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embeddings/oleObject2.bin" ContentType="application/vnd.openxmlformats-officedocument.oleObject"/>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codeName="ThisWorkbook" defaultThemeVersion="124226"/>
  <mc:AlternateContent xmlns:mc="http://schemas.openxmlformats.org/markup-compatibility/2006">
    <mc:Choice Requires="x15">
      <x15ac:absPath xmlns:x15ac="http://schemas.microsoft.com/office/spreadsheetml/2010/11/ac" url="https://my.novartis.net/personal/luescmi3_novartis_net/Documents/Desktop/ONGOING/"/>
    </mc:Choice>
  </mc:AlternateContent>
  <xr:revisionPtr revIDLastSave="15" documentId="8_{9C8B26DB-600D-4B8A-8EC9-DBB22E136E83}" xr6:coauthVersionLast="47" xr6:coauthVersionMax="47" xr10:uidLastSave="{1DDD2420-2A07-4982-83DB-D5AA3EE457B6}"/>
  <workbookProtection workbookAlgorithmName="SHA-512" workbookHashValue="oNwtjfp41lWmY20O6DT83KMfoyIR8vPvb8Vh5LoPhQaRu3W79u1DV2Ep2nYX9e+lpoF0eHMp46Sl+m5Ah5Wlig==" workbookSaltValue="/LsPTJfSmnsUKtE+fn1i2Q==" workbookSpinCount="100000" lockStructure="1"/>
  <bookViews>
    <workbookView xWindow="-110" yWindow="-110" windowWidth="19420" windowHeight="10420" tabRatio="909" xr2:uid="{00000000-000D-0000-FFFF-FFFF00000000}"/>
  </bookViews>
  <sheets>
    <sheet name="Org. Lett. 2013, 15, 3950." sheetId="8" r:id="rId1"/>
    <sheet name="PMI-Org. Lett. 2013, 15, 3950." sheetId="7" r:id="rId2"/>
    <sheet name="Metrics template - main chain" sheetId="3" r:id="rId3"/>
    <sheet name="Metrics template - side chain" sheetId="9" r:id="rId4"/>
    <sheet name="Metrics template - side chain 2" sheetId="10" r:id="rId5"/>
    <sheet name="Science 2015, 349, 1087." sheetId="14" r:id="rId6"/>
    <sheet name="PMI-Science 2015, 349, 1087." sheetId="15" r:id="rId7"/>
    <sheet name="Metrics template - main chain-b" sheetId="16" r:id="rId8"/>
    <sheet name="Metrics template - side chain-b" sheetId="17" r:id="rId9"/>
    <sheet name="Metrics template - side chain2b" sheetId="18" r:id="rId10"/>
    <sheet name="Metrics template - side chain3b" sheetId="19" r:id="rId11"/>
    <sheet name="Data Analysis" sheetId="20" r:id="rId12"/>
    <sheet name="... additional information" sheetId="13" state="hidden" r:id="rId13"/>
  </sheets>
  <definedNames>
    <definedName name="ChemTrans">'... additional information'!$3:$3</definedName>
    <definedName name="InternExtern">'... additional information'!$7:$7</definedName>
    <definedName name="Technologies">'... additional information'!$15:$15</definedName>
    <definedName name="transformations" localSheetId="12">'... additional information'!$A$3:$A$300</definedName>
    <definedName name="transformations">#REF!</definedName>
    <definedName name="Units">'... additional information'!$A$19:$B$19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L65" i="20" l="1"/>
  <c r="BE65" i="20"/>
  <c r="AF65" i="20"/>
  <c r="AE65" i="20"/>
  <c r="AD65" i="20"/>
  <c r="AC65" i="20"/>
  <c r="AB65" i="20"/>
  <c r="AA65" i="20"/>
  <c r="Z65" i="20"/>
  <c r="Y65" i="20"/>
  <c r="X65" i="20"/>
  <c r="W65" i="20"/>
  <c r="V65" i="20"/>
  <c r="U65" i="20"/>
  <c r="T65" i="20"/>
  <c r="S65" i="20"/>
  <c r="Q65" i="20"/>
  <c r="P65" i="20"/>
  <c r="O65" i="20"/>
  <c r="K65" i="20"/>
  <c r="BE62" i="20"/>
  <c r="BQ62" i="20" s="1"/>
  <c r="BB62" i="20"/>
  <c r="BA62" i="20"/>
  <c r="AT62" i="20"/>
  <c r="AS62" i="20"/>
  <c r="AL62" i="20"/>
  <c r="AK62" i="20"/>
  <c r="AI62" i="20"/>
  <c r="AY62" i="20" s="1"/>
  <c r="AF62" i="20"/>
  <c r="AE62" i="20"/>
  <c r="AD62" i="20"/>
  <c r="AC62" i="20"/>
  <c r="AB62" i="20"/>
  <c r="BT62" i="20" s="1"/>
  <c r="AA62" i="20"/>
  <c r="BS62" i="20" s="1"/>
  <c r="Z62" i="20"/>
  <c r="Y62" i="20"/>
  <c r="X62" i="20"/>
  <c r="W62" i="20"/>
  <c r="V62" i="20"/>
  <c r="U62" i="20"/>
  <c r="T62" i="20"/>
  <c r="BL62" i="20" s="1"/>
  <c r="S62" i="20"/>
  <c r="BK62" i="20" s="1"/>
  <c r="Q62" i="20"/>
  <c r="BI62" i="20" s="1"/>
  <c r="P62" i="20"/>
  <c r="R62" i="20" s="1"/>
  <c r="O62" i="20"/>
  <c r="K62" i="20"/>
  <c r="BF58" i="20"/>
  <c r="BE58" i="20"/>
  <c r="BS58" i="20" s="1"/>
  <c r="BB58" i="20"/>
  <c r="AW58" i="20"/>
  <c r="AV58" i="20"/>
  <c r="AT58" i="20"/>
  <c r="AO58" i="20"/>
  <c r="AI58" i="20"/>
  <c r="AF58" i="20"/>
  <c r="AE58" i="20"/>
  <c r="BW58" i="20" s="1"/>
  <c r="AD58" i="20"/>
  <c r="BV58" i="20" s="1"/>
  <c r="AC58" i="20"/>
  <c r="AB58" i="20"/>
  <c r="BT58" i="20" s="1"/>
  <c r="AA58" i="20"/>
  <c r="Z58" i="20"/>
  <c r="Y58" i="20"/>
  <c r="X58" i="20"/>
  <c r="W58" i="20"/>
  <c r="BO58" i="20" s="1"/>
  <c r="V58" i="20"/>
  <c r="BN58" i="20" s="1"/>
  <c r="U58" i="20"/>
  <c r="T58" i="20"/>
  <c r="BL58" i="20" s="1"/>
  <c r="S58" i="20"/>
  <c r="Q58" i="20" a="1"/>
  <c r="Q58" i="20" s="1"/>
  <c r="P58" i="20"/>
  <c r="O58" i="20"/>
  <c r="BG58" i="20" s="1"/>
  <c r="K58" i="20"/>
  <c r="BT53" i="20"/>
  <c r="BS53" i="20"/>
  <c r="BR53" i="20"/>
  <c r="BL53" i="20"/>
  <c r="BK53" i="20"/>
  <c r="BE53" i="20"/>
  <c r="BW53" i="20" s="1"/>
  <c r="AF53" i="20"/>
  <c r="BX53" i="20" s="1"/>
  <c r="AE53" i="20"/>
  <c r="AD53" i="20"/>
  <c r="AC53" i="20"/>
  <c r="AB53" i="20"/>
  <c r="AA53" i="20"/>
  <c r="Z53" i="20"/>
  <c r="Y53" i="20"/>
  <c r="X53" i="20"/>
  <c r="BP53" i="20" s="1"/>
  <c r="W53" i="20"/>
  <c r="V53" i="20"/>
  <c r="U53" i="20"/>
  <c r="T53" i="20"/>
  <c r="S53" i="20"/>
  <c r="Q53" i="20"/>
  <c r="P53" i="20"/>
  <c r="BH53" i="20" s="1"/>
  <c r="O53" i="20"/>
  <c r="K53" i="20"/>
  <c r="BF53" i="20" s="1"/>
  <c r="BT50" i="20"/>
  <c r="BS50" i="20"/>
  <c r="BR50" i="20"/>
  <c r="BQ50" i="20"/>
  <c r="BL50" i="20"/>
  <c r="BK50" i="20"/>
  <c r="BJ50" i="20"/>
  <c r="BI50" i="20"/>
  <c r="BE50" i="20"/>
  <c r="BV50" i="20" s="1"/>
  <c r="AF50" i="20"/>
  <c r="AE50" i="20"/>
  <c r="BW50" i="20" s="1"/>
  <c r="AD50" i="20"/>
  <c r="AC50" i="20"/>
  <c r="AB50" i="20"/>
  <c r="AA50" i="20"/>
  <c r="Z50" i="20"/>
  <c r="Y50" i="20"/>
  <c r="X50" i="20"/>
  <c r="W50" i="20"/>
  <c r="BO50" i="20" s="1"/>
  <c r="V50" i="20"/>
  <c r="U50" i="20"/>
  <c r="T50" i="20"/>
  <c r="S50" i="20"/>
  <c r="Q50" i="20"/>
  <c r="P50" i="20"/>
  <c r="R50" i="20" s="1"/>
  <c r="O50" i="20"/>
  <c r="BG50" i="20" s="1"/>
  <c r="K50" i="20"/>
  <c r="BX47" i="20"/>
  <c r="BS47" i="20"/>
  <c r="BR47" i="20"/>
  <c r="BQ47" i="20"/>
  <c r="BP47" i="20"/>
  <c r="BK47" i="20"/>
  <c r="BJ47" i="20"/>
  <c r="BI47" i="20"/>
  <c r="BH47" i="20"/>
  <c r="BE47" i="20"/>
  <c r="AF47" i="20"/>
  <c r="AE47" i="20"/>
  <c r="AD47" i="20"/>
  <c r="BV47" i="20" s="1"/>
  <c r="AC47" i="20"/>
  <c r="AB47" i="20"/>
  <c r="BT47" i="20" s="1"/>
  <c r="AA47" i="20"/>
  <c r="Z47" i="20"/>
  <c r="Y47" i="20"/>
  <c r="X47" i="20"/>
  <c r="W47" i="20"/>
  <c r="V47" i="20"/>
  <c r="BN47" i="20" s="1"/>
  <c r="U47" i="20"/>
  <c r="T47" i="20"/>
  <c r="BL47" i="20" s="1"/>
  <c r="S47" i="20"/>
  <c r="R47" i="20"/>
  <c r="Q47" i="20"/>
  <c r="P47" i="20"/>
  <c r="O47" i="20"/>
  <c r="K47" i="20"/>
  <c r="BF47" i="20" s="1"/>
  <c r="BX46" i="20"/>
  <c r="BW46" i="20"/>
  <c r="BQ46" i="20"/>
  <c r="BP46" i="20"/>
  <c r="BO46" i="20"/>
  <c r="BI46" i="20"/>
  <c r="BH46" i="20"/>
  <c r="BG46" i="20"/>
  <c r="BE46" i="20"/>
  <c r="BU46" i="20" s="1"/>
  <c r="AP46" i="20"/>
  <c r="AO46" i="20"/>
  <c r="AI46" i="20"/>
  <c r="Q46" i="20"/>
  <c r="R46" i="20" s="1"/>
  <c r="K46" i="20"/>
  <c r="BN45" i="20"/>
  <c r="BM45" i="20"/>
  <c r="BE45" i="20"/>
  <c r="BV45" i="20" s="1"/>
  <c r="Q45" i="20"/>
  <c r="R45" i="20" s="1"/>
  <c r="K45" i="20"/>
  <c r="BX42" i="20"/>
  <c r="BW42" i="20"/>
  <c r="BQ42" i="20"/>
  <c r="BP42" i="20"/>
  <c r="BO42" i="20"/>
  <c r="BI42" i="20"/>
  <c r="BH42" i="20"/>
  <c r="BG42" i="20"/>
  <c r="BE42" i="20"/>
  <c r="AF42" i="20"/>
  <c r="AE42" i="20"/>
  <c r="AD42" i="20"/>
  <c r="AC42" i="20"/>
  <c r="AB42" i="20"/>
  <c r="AA42" i="20"/>
  <c r="Z42" i="20"/>
  <c r="Y42" i="20"/>
  <c r="X42" i="20"/>
  <c r="W42" i="20"/>
  <c r="V42" i="20"/>
  <c r="U42" i="20"/>
  <c r="T42" i="20"/>
  <c r="S42" i="20"/>
  <c r="Q42" i="20"/>
  <c r="P42" i="20"/>
  <c r="R42" i="20" s="1"/>
  <c r="O42" i="20"/>
  <c r="K42" i="20"/>
  <c r="BX41" i="20"/>
  <c r="BW41" i="20"/>
  <c r="BV41" i="20"/>
  <c r="BT41" i="20"/>
  <c r="BS41" i="20"/>
  <c r="BR41" i="20"/>
  <c r="BQ41" i="20"/>
  <c r="BP41" i="20"/>
  <c r="BO41" i="20"/>
  <c r="BN41" i="20"/>
  <c r="BL41" i="20"/>
  <c r="BK41" i="20"/>
  <c r="BH41" i="20"/>
  <c r="BG41" i="20"/>
  <c r="BE41" i="20"/>
  <c r="BU41" i="20" s="1"/>
  <c r="BB41" i="20"/>
  <c r="AX41" i="20"/>
  <c r="AW41" i="20"/>
  <c r="AV41" i="20"/>
  <c r="AT41" i="20"/>
  <c r="AP41" i="20"/>
  <c r="AO41" i="20"/>
  <c r="AL41" i="20"/>
  <c r="AI41" i="20"/>
  <c r="BA41" i="20" s="1"/>
  <c r="Q41" i="20"/>
  <c r="BI41" i="20" s="1"/>
  <c r="K41" i="20"/>
  <c r="BF41" i="20" s="1"/>
  <c r="BA40" i="20"/>
  <c r="AW40" i="20"/>
  <c r="AV40" i="20"/>
  <c r="AU40" i="20"/>
  <c r="AS40" i="20"/>
  <c r="AO40" i="20"/>
  <c r="AK40" i="20"/>
  <c r="AI40" i="20"/>
  <c r="AZ40" i="20" s="1"/>
  <c r="Q40" i="20"/>
  <c r="K40" i="20"/>
  <c r="BX39" i="20"/>
  <c r="BV39" i="20"/>
  <c r="BT39" i="20"/>
  <c r="BS39" i="20"/>
  <c r="BR39" i="20"/>
  <c r="BQ39" i="20"/>
  <c r="BP39" i="20"/>
  <c r="BN39" i="20"/>
  <c r="BL39" i="20"/>
  <c r="BK39" i="20"/>
  <c r="BI39" i="20"/>
  <c r="BH39" i="20"/>
  <c r="BE39" i="20"/>
  <c r="BU39" i="20" s="1"/>
  <c r="Q39" i="20"/>
  <c r="R39" i="20" s="1"/>
  <c r="BJ39" i="20" s="1"/>
  <c r="K39" i="20"/>
  <c r="BF39" i="20" s="1"/>
  <c r="BX36" i="20"/>
  <c r="BW36" i="20"/>
  <c r="BQ36" i="20"/>
  <c r="BP36" i="20"/>
  <c r="BO36" i="20"/>
  <c r="BI36" i="20"/>
  <c r="BH36" i="20"/>
  <c r="BG36" i="20"/>
  <c r="BE36" i="20"/>
  <c r="BU36" i="20" s="1"/>
  <c r="AF36" i="20"/>
  <c r="AE36" i="20"/>
  <c r="AD36" i="20"/>
  <c r="AC36" i="20"/>
  <c r="AB36" i="20"/>
  <c r="AA36" i="20"/>
  <c r="Z36" i="20"/>
  <c r="Y36" i="20"/>
  <c r="X36" i="20"/>
  <c r="W36" i="20"/>
  <c r="V36" i="20"/>
  <c r="U36" i="20"/>
  <c r="T36" i="20"/>
  <c r="S36" i="20"/>
  <c r="Q36" i="20"/>
  <c r="P36" i="20"/>
  <c r="R36" i="20" s="1"/>
  <c r="O36" i="20"/>
  <c r="K36" i="20"/>
  <c r="BX35" i="20"/>
  <c r="BW35" i="20"/>
  <c r="BV35" i="20"/>
  <c r="BT35" i="20"/>
  <c r="BS35" i="20"/>
  <c r="BR35" i="20"/>
  <c r="BQ35" i="20"/>
  <c r="BP35" i="20"/>
  <c r="BO35" i="20"/>
  <c r="BN35" i="20"/>
  <c r="BL35" i="20"/>
  <c r="BK35" i="20"/>
  <c r="BI35" i="20"/>
  <c r="BH35" i="20"/>
  <c r="BG35" i="20"/>
  <c r="BF35" i="20"/>
  <c r="BE35" i="20"/>
  <c r="BU35" i="20" s="1"/>
  <c r="R35" i="20"/>
  <c r="BJ35" i="20" s="1"/>
  <c r="Q35" i="20"/>
  <c r="K35" i="20"/>
  <c r="BW34" i="20"/>
  <c r="BV34" i="20"/>
  <c r="BS34" i="20"/>
  <c r="BM34" i="20"/>
  <c r="BK34" i="20"/>
  <c r="BH34" i="20"/>
  <c r="BF34" i="20"/>
  <c r="BE34" i="20"/>
  <c r="BO34" i="20" s="1"/>
  <c r="Q34" i="20"/>
  <c r="R34" i="20" s="1"/>
  <c r="K34" i="20"/>
  <c r="BW33" i="20"/>
  <c r="BV33" i="20"/>
  <c r="BR33" i="20"/>
  <c r="BM33" i="20"/>
  <c r="BL33" i="20"/>
  <c r="BG33" i="20"/>
  <c r="BE33" i="20"/>
  <c r="BN33" i="20" s="1"/>
  <c r="R33" i="20"/>
  <c r="Q33" i="20"/>
  <c r="K33" i="20"/>
  <c r="BX32" i="20"/>
  <c r="BW32" i="20"/>
  <c r="BV32" i="20"/>
  <c r="BT32" i="20"/>
  <c r="BS32" i="20"/>
  <c r="BR32" i="20"/>
  <c r="BQ32" i="20"/>
  <c r="BP32" i="20"/>
  <c r="BO32" i="20"/>
  <c r="BN32" i="20"/>
  <c r="BL32" i="20"/>
  <c r="BK32" i="20"/>
  <c r="BH32" i="20"/>
  <c r="BG32" i="20"/>
  <c r="BF32" i="20"/>
  <c r="BE32" i="20"/>
  <c r="BU32" i="20" s="1"/>
  <c r="Q32" i="20"/>
  <c r="R32" i="20" s="1"/>
  <c r="BJ32" i="20" s="1"/>
  <c r="K32" i="20"/>
  <c r="BV31" i="20"/>
  <c r="BU31" i="20"/>
  <c r="BT31" i="20"/>
  <c r="BR31" i="20"/>
  <c r="BQ31" i="20"/>
  <c r="BP31" i="20"/>
  <c r="BM31" i="20"/>
  <c r="BL31" i="20"/>
  <c r="BK31" i="20"/>
  <c r="BH31" i="20"/>
  <c r="BF31" i="20"/>
  <c r="BE31" i="20"/>
  <c r="Q31" i="20"/>
  <c r="BI31" i="20" s="1"/>
  <c r="K31" i="20"/>
  <c r="BS30" i="20"/>
  <c r="BR30" i="20"/>
  <c r="BJ30" i="20"/>
  <c r="BH30" i="20"/>
  <c r="BE30" i="20"/>
  <c r="BV30" i="20" s="1"/>
  <c r="Q30" i="20"/>
  <c r="R30" i="20" s="1"/>
  <c r="K30" i="20"/>
  <c r="BV29" i="20"/>
  <c r="BT29" i="20"/>
  <c r="BR29" i="20"/>
  <c r="BQ29" i="20"/>
  <c r="BN29" i="20"/>
  <c r="BL29" i="20"/>
  <c r="BJ29" i="20"/>
  <c r="BI29" i="20"/>
  <c r="BE29" i="20"/>
  <c r="BW29" i="20" s="1"/>
  <c r="R29" i="20"/>
  <c r="Q29" i="20"/>
  <c r="K29" i="20"/>
  <c r="BF29" i="20" s="1"/>
  <c r="BX28" i="20"/>
  <c r="BT28" i="20"/>
  <c r="BS28" i="20"/>
  <c r="BP28" i="20"/>
  <c r="BL28" i="20"/>
  <c r="BK28" i="20"/>
  <c r="BH28" i="20"/>
  <c r="BE28" i="20"/>
  <c r="BQ28" i="20" s="1"/>
  <c r="Q28" i="20"/>
  <c r="R28" i="20" s="1"/>
  <c r="K28" i="20"/>
  <c r="BF28" i="20" s="1"/>
  <c r="BE27" i="20"/>
  <c r="BN27" i="20" s="1"/>
  <c r="Q27" i="20"/>
  <c r="R27" i="20" s="1"/>
  <c r="K27" i="20"/>
  <c r="BX23" i="20"/>
  <c r="BW23" i="20"/>
  <c r="BP23" i="20"/>
  <c r="BO23" i="20"/>
  <c r="BH23" i="20"/>
  <c r="BG23" i="20"/>
  <c r="BE23" i="20"/>
  <c r="BU23" i="20" s="1"/>
  <c r="AF23" i="20"/>
  <c r="AE23" i="20"/>
  <c r="AD23" i="20"/>
  <c r="AC23" i="20"/>
  <c r="AB23" i="20"/>
  <c r="AA23" i="20"/>
  <c r="Z23" i="20"/>
  <c r="Y23" i="20"/>
  <c r="X23" i="20"/>
  <c r="W23" i="20"/>
  <c r="V23" i="20"/>
  <c r="U23" i="20"/>
  <c r="T23" i="20"/>
  <c r="BL23" i="20" s="1"/>
  <c r="S23" i="20"/>
  <c r="Q23" i="20"/>
  <c r="P23" i="20"/>
  <c r="R23" i="20" s="1"/>
  <c r="O23" i="20"/>
  <c r="K23" i="20"/>
  <c r="BR22" i="20"/>
  <c r="BQ22" i="20"/>
  <c r="BI22" i="20"/>
  <c r="BE22" i="20"/>
  <c r="BW22" i="20" s="1"/>
  <c r="AI22" i="20"/>
  <c r="Q22" i="20"/>
  <c r="R22" i="20" s="1"/>
  <c r="BJ22" i="20" s="1"/>
  <c r="K22" i="20"/>
  <c r="BX21" i="20"/>
  <c r="BW21" i="20"/>
  <c r="BP21" i="20"/>
  <c r="BO21" i="20"/>
  <c r="BH21" i="20"/>
  <c r="BG21" i="20"/>
  <c r="BE21" i="20"/>
  <c r="BU21" i="20" s="1"/>
  <c r="AX21" i="20"/>
  <c r="AW21" i="20"/>
  <c r="AP21" i="20"/>
  <c r="AO21" i="20"/>
  <c r="AI21" i="20"/>
  <c r="AU21" i="20" s="1"/>
  <c r="Q21" i="20"/>
  <c r="R21" i="20" s="1"/>
  <c r="K21" i="20"/>
  <c r="BE20" i="20"/>
  <c r="BV20" i="20" s="1"/>
  <c r="AV20" i="20"/>
  <c r="AU20" i="20"/>
  <c r="AN20" i="20"/>
  <c r="AM20" i="20"/>
  <c r="AI20" i="20"/>
  <c r="BA20" i="20" s="1"/>
  <c r="Q20" i="20"/>
  <c r="R20" i="20" s="1"/>
  <c r="K20" i="20"/>
  <c r="BX19" i="20"/>
  <c r="BQ19" i="20"/>
  <c r="BP19" i="20"/>
  <c r="BI19" i="20"/>
  <c r="BH19" i="20"/>
  <c r="BE19" i="20"/>
  <c r="BV19" i="20" s="1"/>
  <c r="AI19" i="20"/>
  <c r="AQ19" i="20" s="1"/>
  <c r="R19" i="20"/>
  <c r="Q19" i="20"/>
  <c r="K19" i="20"/>
  <c r="BL16" i="20"/>
  <c r="BK16" i="20"/>
  <c r="BE16" i="20"/>
  <c r="BQ16" i="20" s="1"/>
  <c r="BB16" i="20"/>
  <c r="BA16" i="20"/>
  <c r="AT16" i="20"/>
  <c r="AS16" i="20"/>
  <c r="AL16" i="20"/>
  <c r="AK16" i="20"/>
  <c r="AI16" i="20"/>
  <c r="AY16" i="20" s="1"/>
  <c r="AF16" i="20"/>
  <c r="AE16" i="20"/>
  <c r="AD16" i="20"/>
  <c r="AC16" i="20"/>
  <c r="AB16" i="20"/>
  <c r="BT16" i="20" s="1"/>
  <c r="AA16" i="20"/>
  <c r="BS16" i="20" s="1"/>
  <c r="Z16" i="20"/>
  <c r="Y16" i="20"/>
  <c r="X16" i="20"/>
  <c r="W16" i="20"/>
  <c r="V16" i="20"/>
  <c r="U16" i="20"/>
  <c r="T16" i="20"/>
  <c r="S16" i="20"/>
  <c r="Q16" i="20"/>
  <c r="P16" i="20"/>
  <c r="R16" i="20" s="1"/>
  <c r="O16" i="20"/>
  <c r="K16" i="20"/>
  <c r="BR15" i="20"/>
  <c r="BQ15" i="20"/>
  <c r="BI15" i="20"/>
  <c r="BE15" i="20"/>
  <c r="BW15" i="20" s="1"/>
  <c r="AZ15" i="20"/>
  <c r="AY15" i="20"/>
  <c r="AR15" i="20"/>
  <c r="AQ15" i="20"/>
  <c r="AJ15" i="20"/>
  <c r="AI15" i="20"/>
  <c r="Q15" i="20"/>
  <c r="R15" i="20" s="1"/>
  <c r="BJ15" i="20" s="1"/>
  <c r="K15" i="20"/>
  <c r="BT14" i="20"/>
  <c r="BL14" i="20"/>
  <c r="BE14" i="20"/>
  <c r="BR14" i="20" s="1"/>
  <c r="BB14" i="20"/>
  <c r="BA14" i="20"/>
  <c r="AX14" i="20"/>
  <c r="AW14" i="20"/>
  <c r="AV14" i="20"/>
  <c r="AU14" i="20"/>
  <c r="AT14" i="20"/>
  <c r="AS14" i="20"/>
  <c r="AP14" i="20"/>
  <c r="AO14" i="20"/>
  <c r="AN14" i="20"/>
  <c r="AM14" i="20"/>
  <c r="AL14" i="20"/>
  <c r="AK14" i="20"/>
  <c r="AI14" i="20"/>
  <c r="AZ14" i="20" s="1"/>
  <c r="R14" i="20"/>
  <c r="K14" i="20"/>
  <c r="BX13" i="20"/>
  <c r="BW13" i="20"/>
  <c r="BV13" i="20"/>
  <c r="BP13" i="20"/>
  <c r="BO13" i="20"/>
  <c r="BN13" i="20"/>
  <c r="BH13" i="20"/>
  <c r="BG13" i="20"/>
  <c r="BF13" i="20"/>
  <c r="C92" i="20" s="1"/>
  <c r="BE13" i="20"/>
  <c r="BT13" i="20" s="1"/>
  <c r="AF13" i="20"/>
  <c r="AE13" i="20"/>
  <c r="AD13" i="20"/>
  <c r="AC13" i="20"/>
  <c r="AB13" i="20"/>
  <c r="AA13" i="20"/>
  <c r="Z13" i="20"/>
  <c r="Y13" i="20"/>
  <c r="X13" i="20"/>
  <c r="W13" i="20"/>
  <c r="V13" i="20"/>
  <c r="U13" i="20"/>
  <c r="T13" i="20"/>
  <c r="S13" i="20"/>
  <c r="R13" i="20"/>
  <c r="Q13" i="20"/>
  <c r="P13" i="20"/>
  <c r="O13" i="20"/>
  <c r="K13" i="20"/>
  <c r="Q12" i="20"/>
  <c r="R12" i="20" s="1"/>
  <c r="BB11" i="20"/>
  <c r="BA11" i="20"/>
  <c r="AZ11" i="20"/>
  <c r="AW11" i="20"/>
  <c r="AV11" i="20"/>
  <c r="AU11" i="20"/>
  <c r="AT11" i="20"/>
  <c r="AS11" i="20"/>
  <c r="AR11" i="20"/>
  <c r="AO11" i="20"/>
  <c r="AM11" i="20"/>
  <c r="AL11" i="20"/>
  <c r="AK11" i="20"/>
  <c r="AJ11" i="20"/>
  <c r="AI11" i="20"/>
  <c r="AY11" i="20" s="1"/>
  <c r="Q11" i="20"/>
  <c r="R11" i="20" s="1"/>
  <c r="AN11" i="20" s="1"/>
  <c r="K11" i="20"/>
  <c r="BX10" i="20"/>
  <c r="BW10" i="20"/>
  <c r="BV10" i="20"/>
  <c r="BP10" i="20"/>
  <c r="BO10" i="20"/>
  <c r="BN10" i="20"/>
  <c r="BH10" i="20"/>
  <c r="BG10" i="20"/>
  <c r="BE10" i="20"/>
  <c r="BT10" i="20" s="1"/>
  <c r="AX10" i="20"/>
  <c r="AW10" i="20"/>
  <c r="AV10" i="20"/>
  <c r="AU10" i="20"/>
  <c r="AR10" i="20"/>
  <c r="AP10" i="20"/>
  <c r="AO10" i="20"/>
  <c r="AI10" i="20"/>
  <c r="BB10" i="20" s="1"/>
  <c r="Q10" i="20"/>
  <c r="R10" i="20" s="1"/>
  <c r="AN10" i="20" s="1"/>
  <c r="K10" i="20"/>
  <c r="BF10" i="20" s="1"/>
  <c r="BS9" i="20"/>
  <c r="BR9" i="20"/>
  <c r="BQ9" i="20"/>
  <c r="BK9" i="20"/>
  <c r="BJ9" i="20"/>
  <c r="BI9" i="20"/>
  <c r="BE9" i="20"/>
  <c r="BW9" i="20" s="1"/>
  <c r="AI9" i="20"/>
  <c r="AW9" i="20" s="1"/>
  <c r="R9" i="20"/>
  <c r="Q9" i="20"/>
  <c r="K9" i="20"/>
  <c r="BT8" i="20"/>
  <c r="BL8" i="20"/>
  <c r="BE8" i="20"/>
  <c r="BR8" i="20" s="1"/>
  <c r="BB8" i="20"/>
  <c r="AX8" i="20"/>
  <c r="AV8" i="20"/>
  <c r="AU8" i="20"/>
  <c r="AT8" i="20"/>
  <c r="AP8" i="20"/>
  <c r="AN8" i="20"/>
  <c r="AM8" i="20"/>
  <c r="AL8" i="20"/>
  <c r="AK8" i="20"/>
  <c r="AI8" i="20"/>
  <c r="AZ8" i="20" s="1"/>
  <c r="R8" i="20"/>
  <c r="Q8" i="20"/>
  <c r="K8" i="20"/>
  <c r="BT7" i="20"/>
  <c r="BS7" i="20"/>
  <c r="BR7" i="20"/>
  <c r="BL7" i="20"/>
  <c r="BK7" i="20"/>
  <c r="BE7" i="20"/>
  <c r="BX7" i="20" s="1"/>
  <c r="BB7" i="20"/>
  <c r="BA7" i="20"/>
  <c r="AZ7" i="20"/>
  <c r="AT7" i="20"/>
  <c r="AS7" i="20"/>
  <c r="AR7" i="20"/>
  <c r="AL7" i="20"/>
  <c r="AK7" i="20"/>
  <c r="AJ7" i="20"/>
  <c r="AI7" i="20"/>
  <c r="AX7" i="20" s="1"/>
  <c r="Q7" i="20"/>
  <c r="R7" i="20" s="1"/>
  <c r="BJ7" i="20" s="1"/>
  <c r="K7" i="20"/>
  <c r="BE6" i="20"/>
  <c r="BE80" i="20" s="1"/>
  <c r="AW6" i="20"/>
  <c r="AV6" i="20"/>
  <c r="AU6" i="20"/>
  <c r="AO6" i="20"/>
  <c r="AM6" i="20"/>
  <c r="AK6" i="20"/>
  <c r="AI6" i="20"/>
  <c r="BA6" i="20" s="1"/>
  <c r="Q6" i="20"/>
  <c r="R6" i="20" s="1"/>
  <c r="AN6" i="20" s="1"/>
  <c r="K6" i="20"/>
  <c r="AJ6" i="20" s="1"/>
  <c r="BB5" i="20"/>
  <c r="AV5" i="20"/>
  <c r="AU5" i="20"/>
  <c r="AT5" i="20"/>
  <c r="AM5" i="20"/>
  <c r="AL5" i="20"/>
  <c r="AI5" i="20"/>
  <c r="AZ5" i="20" s="1"/>
  <c r="Q5" i="20"/>
  <c r="R5" i="20" s="1"/>
  <c r="AN5" i="20" s="1"/>
  <c r="K5" i="20"/>
  <c r="BB4" i="20"/>
  <c r="BA4" i="20"/>
  <c r="AU4" i="20"/>
  <c r="AT4" i="20"/>
  <c r="AS4" i="20"/>
  <c r="AM4" i="20"/>
  <c r="AL4" i="20"/>
  <c r="AK4" i="20"/>
  <c r="AI4" i="20"/>
  <c r="AY4" i="20" s="1"/>
  <c r="AF4" i="20"/>
  <c r="AE4" i="20"/>
  <c r="AD4" i="20"/>
  <c r="AC4" i="20"/>
  <c r="AB4" i="20"/>
  <c r="AA4" i="20"/>
  <c r="Z4" i="20"/>
  <c r="Y4" i="20"/>
  <c r="X4" i="20"/>
  <c r="W4" i="20"/>
  <c r="V4" i="20"/>
  <c r="U4" i="20"/>
  <c r="T4" i="20"/>
  <c r="S4" i="20"/>
  <c r="Q4" i="20"/>
  <c r="R4" i="20" s="1"/>
  <c r="P4" i="20"/>
  <c r="O4" i="20"/>
  <c r="K4" i="20"/>
  <c r="Q3" i="20"/>
  <c r="R3" i="20" s="1"/>
  <c r="BZ2" i="20"/>
  <c r="CA29" i="20" s="1"/>
  <c r="CT29" i="20" l="1"/>
  <c r="CP29" i="20"/>
  <c r="CH29" i="20"/>
  <c r="CO29" i="20"/>
  <c r="CG29" i="20"/>
  <c r="CN29" i="20"/>
  <c r="CF29" i="20"/>
  <c r="CM29" i="20"/>
  <c r="CE29" i="20"/>
  <c r="CL29" i="20"/>
  <c r="CD29" i="20"/>
  <c r="CQ29" i="20"/>
  <c r="CI29" i="20"/>
  <c r="CS29" i="20"/>
  <c r="CR29" i="20"/>
  <c r="CK29" i="20"/>
  <c r="CJ29" i="20"/>
  <c r="CC29" i="20"/>
  <c r="BU6" i="20"/>
  <c r="AJ9" i="20"/>
  <c r="BU14" i="20"/>
  <c r="AW22" i="20"/>
  <c r="AO22" i="20"/>
  <c r="AV22" i="20"/>
  <c r="AN22" i="20"/>
  <c r="AU22" i="20"/>
  <c r="AM22" i="20"/>
  <c r="BB22" i="20"/>
  <c r="AT22" i="20"/>
  <c r="AL22" i="20"/>
  <c r="BA22" i="20"/>
  <c r="AS22" i="20"/>
  <c r="AK22" i="20"/>
  <c r="AX22" i="20"/>
  <c r="AP22" i="20"/>
  <c r="AU80" i="20"/>
  <c r="AJ4" i="20"/>
  <c r="B92" i="20" s="1"/>
  <c r="AR4" i="20"/>
  <c r="AZ4" i="20"/>
  <c r="AK5" i="20"/>
  <c r="AS5" i="20"/>
  <c r="AS80" i="20" s="1"/>
  <c r="BA5" i="20"/>
  <c r="BA80" i="20" s="1"/>
  <c r="AL6" i="20"/>
  <c r="AL80" i="20" s="1"/>
  <c r="AT6" i="20"/>
  <c r="AT80" i="20" s="1"/>
  <c r="BB6" i="20"/>
  <c r="BL6" i="20"/>
  <c r="BT6" i="20"/>
  <c r="AQ7" i="20"/>
  <c r="AY7" i="20"/>
  <c r="BI7" i="20"/>
  <c r="BQ7" i="20"/>
  <c r="CA7" i="20"/>
  <c r="AS8" i="20"/>
  <c r="BA8" i="20"/>
  <c r="BK8" i="20"/>
  <c r="BS8" i="20"/>
  <c r="AP9" i="20"/>
  <c r="AX9" i="20"/>
  <c r="BH9" i="20"/>
  <c r="BP9" i="20"/>
  <c r="BX9" i="20"/>
  <c r="AM10" i="20"/>
  <c r="BM10" i="20"/>
  <c r="BU10" i="20"/>
  <c r="BM13" i="20"/>
  <c r="BU13" i="20"/>
  <c r="BK14" i="20"/>
  <c r="BS14" i="20"/>
  <c r="R65" i="20"/>
  <c r="BR65" i="20"/>
  <c r="BJ65" i="20"/>
  <c r="BQ65" i="20"/>
  <c r="BI65" i="20"/>
  <c r="BX65" i="20"/>
  <c r="BP65" i="20"/>
  <c r="BH65" i="20"/>
  <c r="BW65" i="20"/>
  <c r="BO65" i="20"/>
  <c r="BG65" i="20"/>
  <c r="BV65" i="20"/>
  <c r="BN65" i="20"/>
  <c r="BF65" i="20"/>
  <c r="BS65" i="20"/>
  <c r="BK65" i="20"/>
  <c r="BU65" i="20"/>
  <c r="BT65" i="20"/>
  <c r="BM65" i="20"/>
  <c r="CA65" i="20"/>
  <c r="CA45" i="20"/>
  <c r="CA30" i="20"/>
  <c r="CA28" i="20"/>
  <c r="CA42" i="20"/>
  <c r="CA27" i="20"/>
  <c r="CA20" i="20"/>
  <c r="CA31" i="20"/>
  <c r="CA23" i="20"/>
  <c r="CA21" i="20"/>
  <c r="BM6" i="20"/>
  <c r="BV6" i="20"/>
  <c r="BM8" i="20"/>
  <c r="AZ9" i="20"/>
  <c r="BG6" i="20"/>
  <c r="BO6" i="20"/>
  <c r="BW6" i="20"/>
  <c r="BF8" i="20"/>
  <c r="BN8" i="20"/>
  <c r="BV8" i="20"/>
  <c r="AK9" i="20"/>
  <c r="AK80" i="20" s="1"/>
  <c r="AS9" i="20"/>
  <c r="BA9" i="20"/>
  <c r="BF14" i="20"/>
  <c r="C91" i="20" s="1"/>
  <c r="BN14" i="20"/>
  <c r="BV14" i="20"/>
  <c r="BS20" i="20"/>
  <c r="BK20" i="20"/>
  <c r="BR20" i="20"/>
  <c r="BJ20" i="20"/>
  <c r="BQ20" i="20"/>
  <c r="BI20" i="20"/>
  <c r="BX20" i="20"/>
  <c r="BP20" i="20"/>
  <c r="BH20" i="20"/>
  <c r="BW20" i="20"/>
  <c r="BO20" i="20"/>
  <c r="BG20" i="20"/>
  <c r="BT20" i="20"/>
  <c r="BL20" i="20"/>
  <c r="AJ22" i="20"/>
  <c r="BF27" i="20"/>
  <c r="R31" i="20"/>
  <c r="AI80" i="20"/>
  <c r="AQ9" i="20"/>
  <c r="AV19" i="20"/>
  <c r="AN19" i="20"/>
  <c r="AU19" i="20"/>
  <c r="AM19" i="20"/>
  <c r="BB19" i="20"/>
  <c r="AT19" i="20"/>
  <c r="AL19" i="20"/>
  <c r="BA19" i="20"/>
  <c r="AS19" i="20"/>
  <c r="AK19" i="20"/>
  <c r="AZ19" i="20"/>
  <c r="AR19" i="20"/>
  <c r="AJ19" i="20"/>
  <c r="AW19" i="20"/>
  <c r="AO19" i="20"/>
  <c r="AR9" i="20"/>
  <c r="AN4" i="20"/>
  <c r="AV4" i="20"/>
  <c r="AO5" i="20"/>
  <c r="AW5" i="20"/>
  <c r="AP6" i="20"/>
  <c r="AX6" i="20"/>
  <c r="BH6" i="20"/>
  <c r="BP6" i="20"/>
  <c r="BX6" i="20"/>
  <c r="AM7" i="20"/>
  <c r="AM80" i="20" s="1"/>
  <c r="AU7" i="20"/>
  <c r="BM7" i="20"/>
  <c r="BU7" i="20"/>
  <c r="AO8" i="20"/>
  <c r="AW8" i="20"/>
  <c r="BG8" i="20"/>
  <c r="BO8" i="20"/>
  <c r="BW8" i="20"/>
  <c r="AL9" i="20"/>
  <c r="AT9" i="20"/>
  <c r="BB9" i="20"/>
  <c r="BB80" i="20" s="1"/>
  <c r="BL9" i="20"/>
  <c r="BT9" i="20"/>
  <c r="AQ10" i="20"/>
  <c r="AY10" i="20"/>
  <c r="BI10" i="20"/>
  <c r="BQ10" i="20"/>
  <c r="BI13" i="20"/>
  <c r="BQ13" i="20"/>
  <c r="BG14" i="20"/>
  <c r="BO14" i="20"/>
  <c r="BW14" i="20"/>
  <c r="AX19" i="20"/>
  <c r="BF20" i="20"/>
  <c r="AQ22" i="20"/>
  <c r="BM27" i="20"/>
  <c r="R40" i="20"/>
  <c r="AN40" i="20" s="1"/>
  <c r="AM40" i="20"/>
  <c r="BF6" i="20"/>
  <c r="AO4" i="20"/>
  <c r="AW4" i="20"/>
  <c r="AP5" i="20"/>
  <c r="AX5" i="20"/>
  <c r="AQ6" i="20"/>
  <c r="AY6" i="20"/>
  <c r="BI6" i="20"/>
  <c r="BQ6" i="20"/>
  <c r="AN7" i="20"/>
  <c r="AV7" i="20"/>
  <c r="BF7" i="20"/>
  <c r="BN7" i="20"/>
  <c r="BV7" i="20"/>
  <c r="BH8" i="20"/>
  <c r="BP8" i="20"/>
  <c r="BX8" i="20"/>
  <c r="AM9" i="20"/>
  <c r="AU9" i="20"/>
  <c r="BM9" i="20"/>
  <c r="BU9" i="20"/>
  <c r="AJ10" i="20"/>
  <c r="AZ10" i="20"/>
  <c r="BJ10" i="20"/>
  <c r="BR10" i="20"/>
  <c r="BJ13" i="20"/>
  <c r="BR13" i="20"/>
  <c r="BH14" i="20"/>
  <c r="BP14" i="20"/>
  <c r="BX14" i="20"/>
  <c r="AY19" i="20"/>
  <c r="BM20" i="20"/>
  <c r="AR22" i="20"/>
  <c r="CA22" i="20"/>
  <c r="AY9" i="20"/>
  <c r="BN6" i="20"/>
  <c r="BM14" i="20"/>
  <c r="BS27" i="20"/>
  <c r="BK27" i="20"/>
  <c r="BR27" i="20"/>
  <c r="BJ27" i="20"/>
  <c r="BQ27" i="20"/>
  <c r="BI27" i="20"/>
  <c r="BX27" i="20"/>
  <c r="BP27" i="20"/>
  <c r="BH27" i="20"/>
  <c r="BW27" i="20"/>
  <c r="BO27" i="20"/>
  <c r="BG27" i="20"/>
  <c r="BT27" i="20"/>
  <c r="BL27" i="20"/>
  <c r="AP4" i="20"/>
  <c r="AX4" i="20"/>
  <c r="AX80" i="20" s="1"/>
  <c r="AQ5" i="20"/>
  <c r="AY5" i="20"/>
  <c r="AY80" i="20" s="1"/>
  <c r="AR6" i="20"/>
  <c r="AZ6" i="20"/>
  <c r="BJ6" i="20"/>
  <c r="BR6" i="20"/>
  <c r="AO7" i="20"/>
  <c r="AW7" i="20"/>
  <c r="BG7" i="20"/>
  <c r="BO7" i="20"/>
  <c r="BW7" i="20"/>
  <c r="AQ8" i="20"/>
  <c r="AY8" i="20"/>
  <c r="BI8" i="20"/>
  <c r="BQ8" i="20"/>
  <c r="AN9" i="20"/>
  <c r="AV9" i="20"/>
  <c r="BF9" i="20"/>
  <c r="BN9" i="20"/>
  <c r="BV9" i="20"/>
  <c r="AK10" i="20"/>
  <c r="AS10" i="20"/>
  <c r="BA10" i="20"/>
  <c r="BK10" i="20"/>
  <c r="BS10" i="20"/>
  <c r="AP11" i="20"/>
  <c r="AX11" i="20"/>
  <c r="BK13" i="20"/>
  <c r="BS13" i="20"/>
  <c r="AQ14" i="20"/>
  <c r="AY14" i="20"/>
  <c r="BI14" i="20"/>
  <c r="BQ14" i="20"/>
  <c r="CA14" i="20"/>
  <c r="BN20" i="20"/>
  <c r="AY22" i="20"/>
  <c r="BU27" i="20"/>
  <c r="CA32" i="20"/>
  <c r="BU8" i="20"/>
  <c r="CA15" i="20"/>
  <c r="AP19" i="20"/>
  <c r="AQ4" i="20"/>
  <c r="AJ5" i="20"/>
  <c r="AR5" i="20"/>
  <c r="AS6" i="20"/>
  <c r="BK6" i="20"/>
  <c r="BS6" i="20"/>
  <c r="AP7" i="20"/>
  <c r="BH7" i="20"/>
  <c r="BP7" i="20"/>
  <c r="AJ8" i="20"/>
  <c r="AR8" i="20"/>
  <c r="BJ8" i="20"/>
  <c r="AO9" i="20"/>
  <c r="BG9" i="20"/>
  <c r="BO9" i="20"/>
  <c r="AL10" i="20"/>
  <c r="AT10" i="20"/>
  <c r="BL10" i="20"/>
  <c r="AQ11" i="20"/>
  <c r="BL13" i="20"/>
  <c r="AJ14" i="20"/>
  <c r="B91" i="20" s="1"/>
  <c r="AR14" i="20"/>
  <c r="BJ14" i="20"/>
  <c r="AW15" i="20"/>
  <c r="AO15" i="20"/>
  <c r="AV15" i="20"/>
  <c r="AN15" i="20"/>
  <c r="AU15" i="20"/>
  <c r="AM15" i="20"/>
  <c r="BB15" i="20"/>
  <c r="AT15" i="20"/>
  <c r="AL15" i="20"/>
  <c r="BA15" i="20"/>
  <c r="AS15" i="20"/>
  <c r="AK15" i="20"/>
  <c r="AX15" i="20"/>
  <c r="AP15" i="20"/>
  <c r="BU20" i="20"/>
  <c r="AZ22" i="20"/>
  <c r="BV27" i="20"/>
  <c r="BH15" i="20"/>
  <c r="BP15" i="20"/>
  <c r="BX15" i="20"/>
  <c r="AJ16" i="20"/>
  <c r="AR16" i="20"/>
  <c r="AZ16" i="20"/>
  <c r="BJ16" i="20"/>
  <c r="BR16" i="20"/>
  <c r="BG19" i="20"/>
  <c r="BO19" i="20"/>
  <c r="BW19" i="20"/>
  <c r="AL20" i="20"/>
  <c r="AT20" i="20"/>
  <c r="BB20" i="20"/>
  <c r="AN21" i="20"/>
  <c r="AV21" i="20"/>
  <c r="BF21" i="20"/>
  <c r="BN21" i="20"/>
  <c r="BV21" i="20"/>
  <c r="BH22" i="20"/>
  <c r="BP22" i="20"/>
  <c r="BX22" i="20"/>
  <c r="BF23" i="20"/>
  <c r="BN23" i="20"/>
  <c r="BV23" i="20"/>
  <c r="BJ28" i="20"/>
  <c r="BR28" i="20"/>
  <c r="BH29" i="20"/>
  <c r="BP29" i="20"/>
  <c r="BX29" i="20"/>
  <c r="BG30" i="20"/>
  <c r="BP30" i="20"/>
  <c r="BJ33" i="20"/>
  <c r="BU33" i="20"/>
  <c r="BG45" i="20"/>
  <c r="AU46" i="20"/>
  <c r="AM46" i="20"/>
  <c r="BB46" i="20"/>
  <c r="AT46" i="20"/>
  <c r="AL46" i="20"/>
  <c r="BA46" i="20"/>
  <c r="AS46" i="20"/>
  <c r="AK46" i="20"/>
  <c r="AZ46" i="20"/>
  <c r="AR46" i="20"/>
  <c r="AJ46" i="20"/>
  <c r="AV46" i="20"/>
  <c r="AN46" i="20"/>
  <c r="BK15" i="20"/>
  <c r="BS15" i="20"/>
  <c r="AM16" i="20"/>
  <c r="AU16" i="20"/>
  <c r="BM16" i="20"/>
  <c r="BU16" i="20"/>
  <c r="BJ19" i="20"/>
  <c r="BR19" i="20"/>
  <c r="AO20" i="20"/>
  <c r="AW20" i="20"/>
  <c r="AQ21" i="20"/>
  <c r="AY21" i="20"/>
  <c r="BI21" i="20"/>
  <c r="BQ21" i="20"/>
  <c r="BK22" i="20"/>
  <c r="BS22" i="20"/>
  <c r="BI23" i="20"/>
  <c r="BQ23" i="20"/>
  <c r="BM28" i="20"/>
  <c r="BU28" i="20"/>
  <c r="BK29" i="20"/>
  <c r="BS29" i="20"/>
  <c r="BK30" i="20"/>
  <c r="BT30" i="20"/>
  <c r="BW31" i="20"/>
  <c r="BO31" i="20"/>
  <c r="BG31" i="20"/>
  <c r="BN31" i="20"/>
  <c r="BX31" i="20"/>
  <c r="BN34" i="20"/>
  <c r="BO45" i="20"/>
  <c r="AQ46" i="20"/>
  <c r="BU47" i="20"/>
  <c r="AL58" i="20"/>
  <c r="R58" i="20"/>
  <c r="AN58" i="20" s="1"/>
  <c r="BA58" i="20"/>
  <c r="BL15" i="20"/>
  <c r="BT15" i="20"/>
  <c r="AN16" i="20"/>
  <c r="AV16" i="20"/>
  <c r="BF16" i="20"/>
  <c r="BN16" i="20"/>
  <c r="BV16" i="20"/>
  <c r="BK19" i="20"/>
  <c r="BS19" i="20"/>
  <c r="AP20" i="20"/>
  <c r="AX20" i="20"/>
  <c r="AJ21" i="20"/>
  <c r="AR21" i="20"/>
  <c r="AZ21" i="20"/>
  <c r="BJ21" i="20"/>
  <c r="BR21" i="20"/>
  <c r="BL22" i="20"/>
  <c r="BT22" i="20"/>
  <c r="BJ23" i="20"/>
  <c r="BR23" i="20"/>
  <c r="BN28" i="20"/>
  <c r="BV28" i="20"/>
  <c r="BL30" i="20"/>
  <c r="BU30" i="20"/>
  <c r="BI32" i="20"/>
  <c r="BQ33" i="20"/>
  <c r="BI33" i="20"/>
  <c r="BX33" i="20"/>
  <c r="BS33" i="20"/>
  <c r="BK33" i="20"/>
  <c r="BO33" i="20"/>
  <c r="BU42" i="20"/>
  <c r="BU45" i="20"/>
  <c r="AW46" i="20"/>
  <c r="BM15" i="20"/>
  <c r="BU15" i="20"/>
  <c r="AO16" i="20"/>
  <c r="AW16" i="20"/>
  <c r="BG16" i="20"/>
  <c r="BO16" i="20"/>
  <c r="BW16" i="20"/>
  <c r="BL19" i="20"/>
  <c r="BT19" i="20"/>
  <c r="AQ20" i="20"/>
  <c r="AY20" i="20"/>
  <c r="AK21" i="20"/>
  <c r="AS21" i="20"/>
  <c r="BA21" i="20"/>
  <c r="BK21" i="20"/>
  <c r="BS21" i="20"/>
  <c r="BM22" i="20"/>
  <c r="BU22" i="20"/>
  <c r="BK23" i="20"/>
  <c r="BS23" i="20"/>
  <c r="BG28" i="20"/>
  <c r="BO28" i="20"/>
  <c r="BW28" i="20"/>
  <c r="BM29" i="20"/>
  <c r="BU29" i="20"/>
  <c r="BM30" i="20"/>
  <c r="BF33" i="20"/>
  <c r="BP33" i="20"/>
  <c r="BR34" i="20"/>
  <c r="BJ34" i="20"/>
  <c r="BQ34" i="20"/>
  <c r="BI34" i="20"/>
  <c r="BX34" i="20"/>
  <c r="BT34" i="20"/>
  <c r="BL34" i="20"/>
  <c r="BP34" i="20"/>
  <c r="AX46" i="20"/>
  <c r="BF15" i="20"/>
  <c r="C88" i="20" s="1"/>
  <c r="BN15" i="20"/>
  <c r="BV15" i="20"/>
  <c r="AP16" i="20"/>
  <c r="AX16" i="20"/>
  <c r="BH16" i="20"/>
  <c r="BP16" i="20"/>
  <c r="BX16" i="20"/>
  <c r="BM19" i="20"/>
  <c r="BU19" i="20"/>
  <c r="AJ20" i="20"/>
  <c r="AR20" i="20"/>
  <c r="AZ20" i="20"/>
  <c r="AL21" i="20"/>
  <c r="AT21" i="20"/>
  <c r="BB21" i="20"/>
  <c r="BL21" i="20"/>
  <c r="BT21" i="20"/>
  <c r="BF22" i="20"/>
  <c r="BN22" i="20"/>
  <c r="BV22" i="20"/>
  <c r="BT23" i="20"/>
  <c r="BQ30" i="20"/>
  <c r="BI30" i="20"/>
  <c r="BN30" i="20"/>
  <c r="BW30" i="20"/>
  <c r="BS45" i="20"/>
  <c r="BK45" i="20"/>
  <c r="BR45" i="20"/>
  <c r="BJ45" i="20"/>
  <c r="BQ45" i="20"/>
  <c r="BI45" i="20"/>
  <c r="BX45" i="20"/>
  <c r="BP45" i="20"/>
  <c r="BH45" i="20"/>
  <c r="BT45" i="20"/>
  <c r="BL45" i="20"/>
  <c r="BW45" i="20"/>
  <c r="AY46" i="20"/>
  <c r="BG15" i="20"/>
  <c r="BO15" i="20"/>
  <c r="AQ16" i="20"/>
  <c r="BI16" i="20"/>
  <c r="BF19" i="20"/>
  <c r="BN19" i="20"/>
  <c r="AK20" i="20"/>
  <c r="AS20" i="20"/>
  <c r="AM21" i="20"/>
  <c r="BM21" i="20"/>
  <c r="BG22" i="20"/>
  <c r="BO22" i="20"/>
  <c r="BM23" i="20"/>
  <c r="BI28" i="20"/>
  <c r="BG29" i="20"/>
  <c r="BO29" i="20"/>
  <c r="BF30" i="20"/>
  <c r="BO30" i="20"/>
  <c r="BX30" i="20"/>
  <c r="BJ31" i="20"/>
  <c r="BS31" i="20"/>
  <c r="BH33" i="20"/>
  <c r="BT33" i="20"/>
  <c r="BG34" i="20"/>
  <c r="BU34" i="20"/>
  <c r="R41" i="20"/>
  <c r="BF45" i="20"/>
  <c r="BM32" i="20"/>
  <c r="BM35" i="20"/>
  <c r="BF36" i="20"/>
  <c r="BN36" i="20"/>
  <c r="BV36" i="20"/>
  <c r="BG39" i="20"/>
  <c r="BO39" i="20"/>
  <c r="BW39" i="20"/>
  <c r="AL40" i="20"/>
  <c r="AT40" i="20"/>
  <c r="BB40" i="20"/>
  <c r="AM41" i="20"/>
  <c r="AU41" i="20"/>
  <c r="BM41" i="20"/>
  <c r="BF42" i="20"/>
  <c r="BN42" i="20"/>
  <c r="BV42" i="20"/>
  <c r="BF46" i="20"/>
  <c r="BN46" i="20"/>
  <c r="BV46" i="20"/>
  <c r="BG47" i="20"/>
  <c r="BO47" i="20"/>
  <c r="BW47" i="20"/>
  <c r="BH50" i="20"/>
  <c r="BP50" i="20"/>
  <c r="BX50" i="20"/>
  <c r="BI53" i="20"/>
  <c r="BQ53" i="20"/>
  <c r="AM58" i="20"/>
  <c r="AU58" i="20"/>
  <c r="BM58" i="20"/>
  <c r="BU58" i="20"/>
  <c r="AJ62" i="20"/>
  <c r="AR62" i="20"/>
  <c r="AZ62" i="20"/>
  <c r="BJ62" i="20"/>
  <c r="BR62" i="20"/>
  <c r="AP58" i="20"/>
  <c r="AX58" i="20"/>
  <c r="BH58" i="20"/>
  <c r="BP58" i="20"/>
  <c r="BX58" i="20"/>
  <c r="AM62" i="20"/>
  <c r="AU62" i="20"/>
  <c r="BM62" i="20"/>
  <c r="BU62" i="20"/>
  <c r="BJ36" i="20"/>
  <c r="BR36" i="20"/>
  <c r="AP40" i="20"/>
  <c r="AX40" i="20"/>
  <c r="AQ41" i="20"/>
  <c r="AY41" i="20"/>
  <c r="BJ42" i="20"/>
  <c r="BR42" i="20"/>
  <c r="BJ46" i="20"/>
  <c r="BR46" i="20"/>
  <c r="BM53" i="20"/>
  <c r="BU53" i="20"/>
  <c r="AQ58" i="20"/>
  <c r="AY58" i="20"/>
  <c r="BI58" i="20"/>
  <c r="BQ58" i="20"/>
  <c r="AN62" i="20"/>
  <c r="AV62" i="20"/>
  <c r="BF62" i="20"/>
  <c r="C89" i="20" s="1"/>
  <c r="BN62" i="20"/>
  <c r="BV62" i="20"/>
  <c r="BK36" i="20"/>
  <c r="BS36" i="20"/>
  <c r="AQ40" i="20"/>
  <c r="AY40" i="20"/>
  <c r="AJ41" i="20"/>
  <c r="AR41" i="20"/>
  <c r="AZ41" i="20"/>
  <c r="BK42" i="20"/>
  <c r="BS42" i="20"/>
  <c r="BK46" i="20"/>
  <c r="BS46" i="20"/>
  <c r="BM50" i="20"/>
  <c r="BU50" i="20"/>
  <c r="R53" i="20"/>
  <c r="BJ53" i="20" s="1"/>
  <c r="BN53" i="20"/>
  <c r="BV53" i="20"/>
  <c r="AJ58" i="20"/>
  <c r="AR58" i="20"/>
  <c r="AZ58" i="20"/>
  <c r="BJ58" i="20"/>
  <c r="BR58" i="20"/>
  <c r="AO62" i="20"/>
  <c r="AW62" i="20"/>
  <c r="BG62" i="20"/>
  <c r="BO62" i="20"/>
  <c r="BW62" i="20"/>
  <c r="BL36" i="20"/>
  <c r="BT36" i="20"/>
  <c r="BM39" i="20"/>
  <c r="AJ40" i="20"/>
  <c r="AR40" i="20"/>
  <c r="AK41" i="20"/>
  <c r="AS41" i="20"/>
  <c r="BL42" i="20"/>
  <c r="BT42" i="20"/>
  <c r="BL46" i="20"/>
  <c r="BT46" i="20"/>
  <c r="BM47" i="20"/>
  <c r="BF50" i="20"/>
  <c r="BN50" i="20"/>
  <c r="BG53" i="20"/>
  <c r="BO53" i="20"/>
  <c r="AK58" i="20"/>
  <c r="AS58" i="20"/>
  <c r="BK58" i="20"/>
  <c r="AP62" i="20"/>
  <c r="AX62" i="20"/>
  <c r="BH62" i="20"/>
  <c r="BP62" i="20"/>
  <c r="BX62" i="20"/>
  <c r="BM36" i="20"/>
  <c r="BM42" i="20"/>
  <c r="BM46" i="20"/>
  <c r="AQ62" i="20"/>
  <c r="BV80" i="20" l="1"/>
  <c r="AP80" i="20"/>
  <c r="CT32" i="20"/>
  <c r="CL32" i="20"/>
  <c r="CN32" i="20"/>
  <c r="CF32" i="20"/>
  <c r="CR32" i="20"/>
  <c r="CH32" i="20"/>
  <c r="CQ32" i="20"/>
  <c r="CG32" i="20"/>
  <c r="CP32" i="20"/>
  <c r="CE32" i="20"/>
  <c r="CO32" i="20"/>
  <c r="CD32" i="20"/>
  <c r="CM32" i="20"/>
  <c r="CC32" i="20"/>
  <c r="CS32" i="20"/>
  <c r="CI32" i="20"/>
  <c r="CJ32" i="20"/>
  <c r="CK32" i="20"/>
  <c r="BR80" i="20"/>
  <c r="AW80" i="20"/>
  <c r="AV80" i="20"/>
  <c r="BW80" i="20"/>
  <c r="CN21" i="20"/>
  <c r="CF21" i="20"/>
  <c r="CM21" i="20"/>
  <c r="CE21" i="20"/>
  <c r="CT21" i="20"/>
  <c r="CL21" i="20"/>
  <c r="CD21" i="20"/>
  <c r="CS21" i="20"/>
  <c r="CK21" i="20"/>
  <c r="CC21" i="20"/>
  <c r="CR21" i="20"/>
  <c r="CJ21" i="20"/>
  <c r="CO21" i="20"/>
  <c r="CG21" i="20"/>
  <c r="CQ21" i="20"/>
  <c r="CP21" i="20"/>
  <c r="CI21" i="20"/>
  <c r="CH21" i="20"/>
  <c r="CT45" i="20"/>
  <c r="CL45" i="20"/>
  <c r="CD45" i="20"/>
  <c r="CS45" i="20"/>
  <c r="CK45" i="20"/>
  <c r="CC45" i="20"/>
  <c r="CR45" i="20"/>
  <c r="CJ45" i="20"/>
  <c r="CQ45" i="20"/>
  <c r="CI45" i="20"/>
  <c r="CM45" i="20"/>
  <c r="CE45" i="20"/>
  <c r="CF45" i="20"/>
  <c r="CP45" i="20"/>
  <c r="CO45" i="20"/>
  <c r="CG45" i="20"/>
  <c r="CH45" i="20"/>
  <c r="CN45" i="20"/>
  <c r="CP15" i="20"/>
  <c r="CH15" i="20"/>
  <c r="CO15" i="20"/>
  <c r="CG15" i="20"/>
  <c r="CN15" i="20"/>
  <c r="CF15" i="20"/>
  <c r="CM15" i="20"/>
  <c r="CE15" i="20"/>
  <c r="CT15" i="20"/>
  <c r="CL15" i="20"/>
  <c r="CD15" i="20"/>
  <c r="CQ15" i="20"/>
  <c r="CI15" i="20"/>
  <c r="CS15" i="20"/>
  <c r="CR15" i="20"/>
  <c r="CK15" i="20"/>
  <c r="CJ15" i="20"/>
  <c r="CC15" i="20"/>
  <c r="CR28" i="20"/>
  <c r="CJ28" i="20"/>
  <c r="CQ28" i="20"/>
  <c r="CI28" i="20"/>
  <c r="CP28" i="20"/>
  <c r="CH28" i="20"/>
  <c r="CO28" i="20"/>
  <c r="CG28" i="20"/>
  <c r="CN28" i="20"/>
  <c r="CF28" i="20"/>
  <c r="CS28" i="20"/>
  <c r="CK28" i="20"/>
  <c r="CC28" i="20"/>
  <c r="CD28" i="20"/>
  <c r="CM28" i="20"/>
  <c r="CL28" i="20"/>
  <c r="CT28" i="20"/>
  <c r="CE28" i="20"/>
  <c r="CR30" i="20"/>
  <c r="CJ30" i="20"/>
  <c r="CT30" i="20"/>
  <c r="CK30" i="20"/>
  <c r="CS30" i="20"/>
  <c r="CI30" i="20"/>
  <c r="CQ30" i="20"/>
  <c r="CH30" i="20"/>
  <c r="CP30" i="20"/>
  <c r="CG30" i="20"/>
  <c r="CO30" i="20"/>
  <c r="CF30" i="20"/>
  <c r="CL30" i="20"/>
  <c r="CC30" i="20"/>
  <c r="CM30" i="20"/>
  <c r="CE30" i="20"/>
  <c r="CD30" i="20"/>
  <c r="CN30" i="20"/>
  <c r="CP22" i="20"/>
  <c r="CH22" i="20"/>
  <c r="CO22" i="20"/>
  <c r="CG22" i="20"/>
  <c r="CN22" i="20"/>
  <c r="CF22" i="20"/>
  <c r="CM22" i="20"/>
  <c r="CE22" i="20"/>
  <c r="CT22" i="20"/>
  <c r="CL22" i="20"/>
  <c r="CD22" i="20"/>
  <c r="CQ22" i="20"/>
  <c r="CI22" i="20"/>
  <c r="CJ22" i="20"/>
  <c r="CS22" i="20"/>
  <c r="CC22" i="20"/>
  <c r="CR22" i="20"/>
  <c r="CK22" i="20"/>
  <c r="AO80" i="20"/>
  <c r="BX80" i="20"/>
  <c r="BO80" i="20"/>
  <c r="CN23" i="20"/>
  <c r="CF23" i="20"/>
  <c r="CM23" i="20"/>
  <c r="CE23" i="20"/>
  <c r="CT23" i="20"/>
  <c r="CL23" i="20"/>
  <c r="CD23" i="20"/>
  <c r="CS23" i="20"/>
  <c r="CK23" i="20"/>
  <c r="CC23" i="20"/>
  <c r="CR23" i="20"/>
  <c r="CJ23" i="20"/>
  <c r="CO23" i="20"/>
  <c r="CG23" i="20"/>
  <c r="CQ23" i="20"/>
  <c r="CP23" i="20"/>
  <c r="CI23" i="20"/>
  <c r="CH23" i="20"/>
  <c r="CS65" i="20"/>
  <c r="CK65" i="20"/>
  <c r="CC65" i="20"/>
  <c r="CR65" i="20"/>
  <c r="CJ65" i="20"/>
  <c r="CQ65" i="20"/>
  <c r="CI65" i="20"/>
  <c r="CP65" i="20"/>
  <c r="CH65" i="20"/>
  <c r="CO65" i="20"/>
  <c r="CG65" i="20"/>
  <c r="CT65" i="20"/>
  <c r="CL65" i="20"/>
  <c r="CD65" i="20"/>
  <c r="CF65" i="20"/>
  <c r="CE65" i="20"/>
  <c r="CM65" i="20"/>
  <c r="CN65" i="20"/>
  <c r="B88" i="20"/>
  <c r="B93" i="20" s="1"/>
  <c r="BK80" i="20"/>
  <c r="BN80" i="20"/>
  <c r="BU80" i="20"/>
  <c r="B90" i="20"/>
  <c r="BQ80" i="20"/>
  <c r="C90" i="20"/>
  <c r="C93" i="20" s="1"/>
  <c r="BP80" i="20"/>
  <c r="BG80" i="20"/>
  <c r="CP31" i="20"/>
  <c r="CH31" i="20"/>
  <c r="CN31" i="20"/>
  <c r="CE31" i="20"/>
  <c r="CM31" i="20"/>
  <c r="CD31" i="20"/>
  <c r="CL31" i="20"/>
  <c r="CC31" i="20"/>
  <c r="CT31" i="20"/>
  <c r="CK31" i="20"/>
  <c r="CS31" i="20"/>
  <c r="CJ31" i="20"/>
  <c r="CO31" i="20"/>
  <c r="CF31" i="20"/>
  <c r="CQ31" i="20"/>
  <c r="CI31" i="20"/>
  <c r="CR31" i="20"/>
  <c r="CG31" i="20"/>
  <c r="BT80" i="20"/>
  <c r="AZ80" i="20"/>
  <c r="BJ41" i="20"/>
  <c r="BJ80" i="20" s="1"/>
  <c r="AN41" i="20"/>
  <c r="AN80" i="20" s="1"/>
  <c r="AQ80" i="20"/>
  <c r="BI80" i="20"/>
  <c r="BH80" i="20"/>
  <c r="CT20" i="20"/>
  <c r="CL20" i="20"/>
  <c r="CD20" i="20"/>
  <c r="CS20" i="20"/>
  <c r="CK20" i="20"/>
  <c r="CC20" i="20"/>
  <c r="CR20" i="20"/>
  <c r="CJ20" i="20"/>
  <c r="CQ20" i="20"/>
  <c r="CI20" i="20"/>
  <c r="CP20" i="20"/>
  <c r="CH20" i="20"/>
  <c r="CM20" i="20"/>
  <c r="CE20" i="20"/>
  <c r="CG20" i="20"/>
  <c r="CF20" i="20"/>
  <c r="CO20" i="20"/>
  <c r="CN20" i="20"/>
  <c r="BL80" i="20"/>
  <c r="AR80" i="20"/>
  <c r="CN42" i="20"/>
  <c r="CF42" i="20"/>
  <c r="CM42" i="20"/>
  <c r="CE42" i="20"/>
  <c r="CT42" i="20"/>
  <c r="CL42" i="20"/>
  <c r="CD42" i="20"/>
  <c r="CS42" i="20"/>
  <c r="CK42" i="20"/>
  <c r="CC42" i="20"/>
  <c r="CO42" i="20"/>
  <c r="CG42" i="20"/>
  <c r="CI42" i="20"/>
  <c r="CH42" i="20"/>
  <c r="CR42" i="20"/>
  <c r="CJ42" i="20"/>
  <c r="CQ42" i="20"/>
  <c r="CP42" i="20"/>
  <c r="CA80" i="20"/>
  <c r="CQ7" i="20"/>
  <c r="CI7" i="20"/>
  <c r="CL7" i="20"/>
  <c r="CP7" i="20"/>
  <c r="CH7" i="20"/>
  <c r="CS7" i="20"/>
  <c r="CO7" i="20"/>
  <c r="CG7" i="20"/>
  <c r="CG80" i="20" s="1"/>
  <c r="BK81" i="20" s="1"/>
  <c r="CN7" i="20"/>
  <c r="CF7" i="20"/>
  <c r="CK7" i="20"/>
  <c r="CM7" i="20"/>
  <c r="CE7" i="20"/>
  <c r="CD7" i="20"/>
  <c r="CR7" i="20"/>
  <c r="CJ7" i="20"/>
  <c r="CJ80" i="20" s="1"/>
  <c r="BN81" i="20" s="1"/>
  <c r="CT7" i="20"/>
  <c r="CC7" i="20"/>
  <c r="BS80" i="20"/>
  <c r="BM80" i="20"/>
  <c r="B89" i="20"/>
  <c r="CN14" i="20"/>
  <c r="CF14" i="20"/>
  <c r="CM14" i="20"/>
  <c r="CT14" i="20"/>
  <c r="CL14" i="20"/>
  <c r="CD14" i="20"/>
  <c r="CS14" i="20"/>
  <c r="CK14" i="20"/>
  <c r="CC14" i="20"/>
  <c r="CR14" i="20"/>
  <c r="CO14" i="20"/>
  <c r="CG14" i="20"/>
  <c r="CE14" i="20"/>
  <c r="CJ14" i="20"/>
  <c r="CQ14" i="20"/>
  <c r="CI14" i="20"/>
  <c r="CP14" i="20"/>
  <c r="CH14" i="20"/>
  <c r="CT27" i="20"/>
  <c r="CL27" i="20"/>
  <c r="CD27" i="20"/>
  <c r="CS27" i="20"/>
  <c r="CK27" i="20"/>
  <c r="CC27" i="20"/>
  <c r="CR27" i="20"/>
  <c r="CJ27" i="20"/>
  <c r="CQ27" i="20"/>
  <c r="CI27" i="20"/>
  <c r="CP27" i="20"/>
  <c r="CH27" i="20"/>
  <c r="CM27" i="20"/>
  <c r="CE27" i="20"/>
  <c r="CG27" i="20"/>
  <c r="CO27" i="20"/>
  <c r="CF27" i="20"/>
  <c r="CN27" i="20"/>
  <c r="CO80" i="20" l="1"/>
  <c r="BS81" i="20" s="1"/>
  <c r="CT80" i="20"/>
  <c r="BX81" i="20" s="1"/>
  <c r="CN80" i="20"/>
  <c r="BR81" i="20" s="1"/>
  <c r="CQ80" i="20"/>
  <c r="BU81" i="20" s="1"/>
  <c r="CD80" i="20"/>
  <c r="BH81" i="20" s="1"/>
  <c r="CS80" i="20"/>
  <c r="BW81" i="20" s="1"/>
  <c r="CE80" i="20"/>
  <c r="BI81" i="20" s="1"/>
  <c r="CH80" i="20"/>
  <c r="BL81" i="20" s="1"/>
  <c r="CM80" i="20"/>
  <c r="BQ81" i="20" s="1"/>
  <c r="CP80" i="20"/>
  <c r="BT81" i="20" s="1"/>
  <c r="CR80" i="20"/>
  <c r="BV81" i="20" s="1"/>
  <c r="CK80" i="20"/>
  <c r="BO81" i="20" s="1"/>
  <c r="CL80" i="20"/>
  <c r="BP81" i="20" s="1"/>
  <c r="CC80" i="20"/>
  <c r="BG81" i="20" s="1"/>
  <c r="CF80" i="20"/>
  <c r="BJ81" i="20" s="1"/>
  <c r="CI80" i="20"/>
  <c r="BM81" i="20" s="1"/>
  <c r="D1191" i="19" l="1"/>
  <c r="D1195" i="19" s="1"/>
  <c r="D1190" i="19"/>
  <c r="D1194" i="19" s="1"/>
  <c r="D1189" i="19"/>
  <c r="D1185" i="19"/>
  <c r="D1183" i="19"/>
  <c r="D1182" i="19"/>
  <c r="D1181" i="19"/>
  <c r="D1180" i="19"/>
  <c r="D1179" i="19"/>
  <c r="D1178" i="19"/>
  <c r="D1177" i="19"/>
  <c r="D1175" i="19"/>
  <c r="D1174" i="19"/>
  <c r="D1173" i="19"/>
  <c r="D1172" i="19"/>
  <c r="D1171" i="19"/>
  <c r="D1170" i="19"/>
  <c r="D1169" i="19"/>
  <c r="D1168" i="19"/>
  <c r="D1166" i="19"/>
  <c r="D1164" i="19"/>
  <c r="D1163" i="19"/>
  <c r="D1162" i="19"/>
  <c r="D1161" i="19"/>
  <c r="D1160" i="19"/>
  <c r="D1159" i="19"/>
  <c r="D1158" i="19"/>
  <c r="D1157" i="19"/>
  <c r="D1156" i="19"/>
  <c r="D1155" i="19"/>
  <c r="D1153" i="19"/>
  <c r="D1152" i="19"/>
  <c r="D1148" i="19"/>
  <c r="C1148" i="19"/>
  <c r="D1146" i="19"/>
  <c r="D1144" i="19"/>
  <c r="C1144" i="19"/>
  <c r="C1152" i="19" s="1"/>
  <c r="D1124" i="19"/>
  <c r="D1123" i="19"/>
  <c r="D1122" i="19"/>
  <c r="D1118" i="19"/>
  <c r="D1116" i="19"/>
  <c r="D1115" i="19"/>
  <c r="D1114" i="19"/>
  <c r="D1113" i="19"/>
  <c r="D1112" i="19"/>
  <c r="D1111" i="19"/>
  <c r="D1110" i="19"/>
  <c r="D1108" i="19"/>
  <c r="D1107" i="19"/>
  <c r="D1106" i="19"/>
  <c r="D1105" i="19"/>
  <c r="D1104" i="19"/>
  <c r="D1103" i="19"/>
  <c r="D1102" i="19"/>
  <c r="D1101" i="19"/>
  <c r="D1099" i="19"/>
  <c r="D1097" i="19"/>
  <c r="D1096" i="19"/>
  <c r="D1095" i="19"/>
  <c r="D1094" i="19"/>
  <c r="D1093" i="19"/>
  <c r="D1092" i="19"/>
  <c r="D1091" i="19"/>
  <c r="D1090" i="19"/>
  <c r="D1089" i="19"/>
  <c r="D1088" i="19"/>
  <c r="D1086" i="19"/>
  <c r="D1085" i="19"/>
  <c r="D1081" i="19"/>
  <c r="C1081" i="19"/>
  <c r="D1079" i="19"/>
  <c r="D1077" i="19"/>
  <c r="C1077" i="19"/>
  <c r="C1085" i="19" s="1"/>
  <c r="D1061" i="19"/>
  <c r="D1057" i="19"/>
  <c r="D1056" i="19"/>
  <c r="D1060" i="19" s="1"/>
  <c r="D1055" i="19"/>
  <c r="D1051" i="19"/>
  <c r="D1049" i="19"/>
  <c r="D1048" i="19"/>
  <c r="D1047" i="19"/>
  <c r="D1046" i="19"/>
  <c r="D1045" i="19"/>
  <c r="D1044" i="19"/>
  <c r="D1043" i="19"/>
  <c r="D1041" i="19"/>
  <c r="D1040" i="19"/>
  <c r="D1039" i="19"/>
  <c r="D1038" i="19"/>
  <c r="D1037" i="19"/>
  <c r="D1036" i="19"/>
  <c r="D1035" i="19"/>
  <c r="D1034" i="19"/>
  <c r="D1032" i="19"/>
  <c r="D1030" i="19"/>
  <c r="D1029" i="19"/>
  <c r="D1028" i="19"/>
  <c r="D1027" i="19"/>
  <c r="D1026" i="19"/>
  <c r="D1025" i="19"/>
  <c r="D1024" i="19"/>
  <c r="D1023" i="19"/>
  <c r="D1022" i="19"/>
  <c r="D1021" i="19"/>
  <c r="D1019" i="19"/>
  <c r="D1018" i="19"/>
  <c r="D1014" i="19"/>
  <c r="C1014" i="19"/>
  <c r="D1012" i="19"/>
  <c r="D1010" i="19"/>
  <c r="C1010" i="19"/>
  <c r="C1018" i="19" s="1"/>
  <c r="D990" i="19"/>
  <c r="D989" i="19"/>
  <c r="D993" i="19" s="1"/>
  <c r="D988" i="19"/>
  <c r="D984" i="19"/>
  <c r="D982" i="19"/>
  <c r="D981" i="19"/>
  <c r="D980" i="19"/>
  <c r="D979" i="19"/>
  <c r="D978" i="19"/>
  <c r="D977" i="19"/>
  <c r="D976" i="19"/>
  <c r="D974" i="19"/>
  <c r="D973" i="19"/>
  <c r="D972" i="19"/>
  <c r="D971" i="19"/>
  <c r="D970" i="19"/>
  <c r="D969" i="19"/>
  <c r="D968" i="19"/>
  <c r="D967" i="19"/>
  <c r="D965" i="19"/>
  <c r="D963" i="19"/>
  <c r="D962" i="19"/>
  <c r="D961" i="19"/>
  <c r="D960" i="19"/>
  <c r="D959" i="19"/>
  <c r="D958" i="19"/>
  <c r="D957" i="19"/>
  <c r="D956" i="19"/>
  <c r="D955" i="19"/>
  <c r="D954" i="19"/>
  <c r="D952" i="19"/>
  <c r="D951" i="19"/>
  <c r="C951" i="19"/>
  <c r="D947" i="19"/>
  <c r="C947" i="19"/>
  <c r="D994" i="19" s="1"/>
  <c r="D945" i="19"/>
  <c r="D943" i="19"/>
  <c r="C943" i="19"/>
  <c r="D923" i="19"/>
  <c r="D927" i="19" s="1"/>
  <c r="D922" i="19"/>
  <c r="D926" i="19" s="1"/>
  <c r="D921" i="19"/>
  <c r="D917" i="19"/>
  <c r="D915" i="19"/>
  <c r="D914" i="19"/>
  <c r="D913" i="19"/>
  <c r="D912" i="19"/>
  <c r="D911" i="19"/>
  <c r="D910" i="19"/>
  <c r="D909" i="19"/>
  <c r="D907" i="19"/>
  <c r="D906" i="19"/>
  <c r="D905" i="19"/>
  <c r="D904" i="19"/>
  <c r="D903" i="19"/>
  <c r="D902" i="19"/>
  <c r="D901" i="19"/>
  <c r="D900" i="19"/>
  <c r="D898" i="19"/>
  <c r="C898" i="19"/>
  <c r="D896" i="19"/>
  <c r="D895" i="19"/>
  <c r="D894" i="19"/>
  <c r="D893" i="19"/>
  <c r="D892" i="19"/>
  <c r="D891" i="19"/>
  <c r="D890" i="19"/>
  <c r="D889" i="19"/>
  <c r="D888" i="19"/>
  <c r="D887" i="19"/>
  <c r="D885" i="19"/>
  <c r="D884" i="19"/>
  <c r="D880" i="19"/>
  <c r="C880" i="19"/>
  <c r="D878" i="19"/>
  <c r="D876" i="19"/>
  <c r="C876" i="19"/>
  <c r="C884" i="19" s="1"/>
  <c r="D856" i="19"/>
  <c r="D860" i="19" s="1"/>
  <c r="D855" i="19"/>
  <c r="D854" i="19"/>
  <c r="D850" i="19"/>
  <c r="D848" i="19"/>
  <c r="D847" i="19"/>
  <c r="D846" i="19"/>
  <c r="D845" i="19"/>
  <c r="D844" i="19"/>
  <c r="D843" i="19"/>
  <c r="D842" i="19"/>
  <c r="D840" i="19"/>
  <c r="D839" i="19"/>
  <c r="D838" i="19"/>
  <c r="D837" i="19"/>
  <c r="D836" i="19"/>
  <c r="D835" i="19"/>
  <c r="D834" i="19"/>
  <c r="D833" i="19"/>
  <c r="D831" i="19"/>
  <c r="D829" i="19"/>
  <c r="D828" i="19"/>
  <c r="D827" i="19"/>
  <c r="D826" i="19"/>
  <c r="D825" i="19"/>
  <c r="D824" i="19"/>
  <c r="D823" i="19"/>
  <c r="D822" i="19"/>
  <c r="D821" i="19"/>
  <c r="D820" i="19"/>
  <c r="D818" i="19"/>
  <c r="D817" i="19"/>
  <c r="C817" i="19"/>
  <c r="D853" i="19" s="1"/>
  <c r="D813" i="19"/>
  <c r="C813" i="19"/>
  <c r="D859" i="19" s="1"/>
  <c r="D811" i="19"/>
  <c r="D809" i="19"/>
  <c r="C809" i="19"/>
  <c r="D789" i="19"/>
  <c r="D793" i="19" s="1"/>
  <c r="D788" i="19"/>
  <c r="D787" i="19"/>
  <c r="D783" i="19"/>
  <c r="D781" i="19"/>
  <c r="D780" i="19"/>
  <c r="D779" i="19"/>
  <c r="D778" i="19"/>
  <c r="D777" i="19"/>
  <c r="D776" i="19"/>
  <c r="D775" i="19"/>
  <c r="D773" i="19"/>
  <c r="D772" i="19"/>
  <c r="D771" i="19"/>
  <c r="D770" i="19"/>
  <c r="D769" i="19"/>
  <c r="D768" i="19"/>
  <c r="D767" i="19"/>
  <c r="D766" i="19"/>
  <c r="D764" i="19"/>
  <c r="D762" i="19"/>
  <c r="D761" i="19"/>
  <c r="D760" i="19"/>
  <c r="D759" i="19"/>
  <c r="D758" i="19"/>
  <c r="D757" i="19"/>
  <c r="D756" i="19"/>
  <c r="D755" i="19"/>
  <c r="D754" i="19"/>
  <c r="D753" i="19"/>
  <c r="D751" i="19"/>
  <c r="D750" i="19"/>
  <c r="D746" i="19"/>
  <c r="C746" i="19"/>
  <c r="D792" i="19" s="1"/>
  <c r="D744" i="19"/>
  <c r="D742" i="19"/>
  <c r="C742" i="19"/>
  <c r="C750" i="19" s="1"/>
  <c r="D725" i="19"/>
  <c r="D722" i="19"/>
  <c r="D721" i="19"/>
  <c r="D720" i="19"/>
  <c r="D716" i="19"/>
  <c r="D714" i="19"/>
  <c r="D713" i="19"/>
  <c r="D712" i="19"/>
  <c r="D711" i="19"/>
  <c r="D710" i="19"/>
  <c r="D709" i="19"/>
  <c r="D708" i="19"/>
  <c r="D706" i="19"/>
  <c r="D705" i="19"/>
  <c r="D704" i="19"/>
  <c r="D703" i="19"/>
  <c r="D702" i="19"/>
  <c r="D701" i="19"/>
  <c r="D700" i="19"/>
  <c r="D699" i="19"/>
  <c r="D697" i="19"/>
  <c r="D695" i="19"/>
  <c r="D694" i="19"/>
  <c r="D693" i="19"/>
  <c r="D692" i="19"/>
  <c r="D691" i="19"/>
  <c r="D690" i="19"/>
  <c r="D689" i="19"/>
  <c r="D688" i="19"/>
  <c r="D687" i="19"/>
  <c r="D686" i="19"/>
  <c r="D684" i="19"/>
  <c r="D683" i="19"/>
  <c r="C683" i="19"/>
  <c r="D679" i="19"/>
  <c r="C679" i="19"/>
  <c r="D677" i="19"/>
  <c r="D675" i="19"/>
  <c r="C675" i="19"/>
  <c r="D659" i="19"/>
  <c r="D655" i="19"/>
  <c r="D654" i="19"/>
  <c r="D653" i="19"/>
  <c r="D649" i="19"/>
  <c r="D647" i="19"/>
  <c r="D646" i="19"/>
  <c r="D645" i="19"/>
  <c r="D644" i="19"/>
  <c r="D643" i="19"/>
  <c r="D642" i="19"/>
  <c r="D641" i="19"/>
  <c r="D639" i="19"/>
  <c r="D638" i="19"/>
  <c r="D637" i="19"/>
  <c r="D636" i="19"/>
  <c r="D635" i="19"/>
  <c r="D634" i="19"/>
  <c r="D633" i="19"/>
  <c r="D632" i="19"/>
  <c r="D630" i="19"/>
  <c r="D628" i="19"/>
  <c r="D627" i="19"/>
  <c r="D626" i="19"/>
  <c r="D625" i="19"/>
  <c r="D624" i="19"/>
  <c r="D623" i="19"/>
  <c r="D622" i="19"/>
  <c r="D621" i="19"/>
  <c r="D620" i="19"/>
  <c r="D619" i="19"/>
  <c r="D617" i="19"/>
  <c r="D616" i="19"/>
  <c r="D612" i="19"/>
  <c r="C612" i="19"/>
  <c r="D610" i="19"/>
  <c r="D608" i="19"/>
  <c r="C608" i="19"/>
  <c r="C616" i="19" s="1"/>
  <c r="D588" i="19"/>
  <c r="D587" i="19"/>
  <c r="D591" i="19" s="1"/>
  <c r="D586" i="19"/>
  <c r="D582" i="19"/>
  <c r="D580" i="19"/>
  <c r="D579" i="19"/>
  <c r="D578" i="19"/>
  <c r="D577" i="19"/>
  <c r="D576" i="19"/>
  <c r="D575" i="19"/>
  <c r="D574" i="19"/>
  <c r="D572" i="19"/>
  <c r="D571" i="19"/>
  <c r="D570" i="19"/>
  <c r="D569" i="19"/>
  <c r="D568" i="19"/>
  <c r="D567" i="19"/>
  <c r="D566" i="19"/>
  <c r="D565" i="19"/>
  <c r="D563" i="19"/>
  <c r="D561" i="19"/>
  <c r="D560" i="19"/>
  <c r="D559" i="19"/>
  <c r="D558" i="19"/>
  <c r="D557" i="19"/>
  <c r="D556" i="19"/>
  <c r="D555" i="19"/>
  <c r="D554" i="19"/>
  <c r="D553" i="19"/>
  <c r="D552" i="19"/>
  <c r="D550" i="19"/>
  <c r="D549" i="19"/>
  <c r="C549" i="19"/>
  <c r="D585" i="19" s="1"/>
  <c r="D590" i="19" s="1"/>
  <c r="D545" i="19"/>
  <c r="C545" i="19"/>
  <c r="D593" i="19" s="1"/>
  <c r="D543" i="19"/>
  <c r="D541" i="19"/>
  <c r="C541" i="19"/>
  <c r="D525" i="19"/>
  <c r="J74" i="15" s="1"/>
  <c r="D521" i="19"/>
  <c r="D520" i="19"/>
  <c r="D524" i="19" s="1"/>
  <c r="D519" i="19"/>
  <c r="D515" i="19"/>
  <c r="D513" i="19"/>
  <c r="D512" i="19"/>
  <c r="D511" i="19"/>
  <c r="D510" i="19"/>
  <c r="D509" i="19"/>
  <c r="D508" i="19"/>
  <c r="D507" i="19"/>
  <c r="D505" i="19"/>
  <c r="D504" i="19"/>
  <c r="D503" i="19"/>
  <c r="D502" i="19"/>
  <c r="D501" i="19"/>
  <c r="D500" i="19"/>
  <c r="D499" i="19"/>
  <c r="D498" i="19"/>
  <c r="D496" i="19"/>
  <c r="D494" i="19"/>
  <c r="D493" i="19"/>
  <c r="D492" i="19"/>
  <c r="D491" i="19"/>
  <c r="D490" i="19"/>
  <c r="D489" i="19"/>
  <c r="D488" i="19"/>
  <c r="D487" i="19"/>
  <c r="D486" i="19"/>
  <c r="D485" i="19"/>
  <c r="D483" i="19"/>
  <c r="D482" i="19"/>
  <c r="D478" i="19"/>
  <c r="C478" i="19"/>
  <c r="D476" i="19"/>
  <c r="D474" i="19"/>
  <c r="C474" i="19"/>
  <c r="C482" i="19" s="1"/>
  <c r="D458" i="19"/>
  <c r="D454" i="19"/>
  <c r="D453" i="19"/>
  <c r="D457" i="19" s="1"/>
  <c r="I73" i="15" s="1"/>
  <c r="D452" i="19"/>
  <c r="D448" i="19"/>
  <c r="D446" i="19"/>
  <c r="D445" i="19"/>
  <c r="D444" i="19"/>
  <c r="D443" i="19"/>
  <c r="D442" i="19"/>
  <c r="D441" i="19"/>
  <c r="D440" i="19"/>
  <c r="D438" i="19"/>
  <c r="D437" i="19"/>
  <c r="D436" i="19"/>
  <c r="D435" i="19"/>
  <c r="D434" i="19"/>
  <c r="D433" i="19"/>
  <c r="D432" i="19"/>
  <c r="D431" i="19"/>
  <c r="D429" i="19"/>
  <c r="D427" i="19"/>
  <c r="D426" i="19"/>
  <c r="D425" i="19"/>
  <c r="D424" i="19"/>
  <c r="D423" i="19"/>
  <c r="D422" i="19"/>
  <c r="D421" i="19"/>
  <c r="D420" i="19"/>
  <c r="D419" i="19"/>
  <c r="D418" i="19"/>
  <c r="D416" i="19"/>
  <c r="D415" i="19"/>
  <c r="C415" i="19"/>
  <c r="D411" i="19"/>
  <c r="C411" i="19"/>
  <c r="D409" i="19"/>
  <c r="D407" i="19"/>
  <c r="C407" i="19"/>
  <c r="D387" i="19"/>
  <c r="D391" i="19" s="1"/>
  <c r="H74" i="15" s="1"/>
  <c r="D386" i="19"/>
  <c r="D390" i="19" s="1"/>
  <c r="D385" i="19"/>
  <c r="D381" i="19"/>
  <c r="D379" i="19"/>
  <c r="D378" i="19"/>
  <c r="D377" i="19"/>
  <c r="D376" i="19"/>
  <c r="D375" i="19"/>
  <c r="D374" i="19"/>
  <c r="D373" i="19"/>
  <c r="D371" i="19"/>
  <c r="D370" i="19"/>
  <c r="D369" i="19"/>
  <c r="D368" i="19"/>
  <c r="D367" i="19"/>
  <c r="D366" i="19"/>
  <c r="D365" i="19"/>
  <c r="D364" i="19"/>
  <c r="D362" i="19"/>
  <c r="D360" i="19"/>
  <c r="D359" i="19"/>
  <c r="D358" i="19"/>
  <c r="D357" i="19"/>
  <c r="D356" i="19"/>
  <c r="D355" i="19"/>
  <c r="D354" i="19"/>
  <c r="D353" i="19"/>
  <c r="D352" i="19"/>
  <c r="D351" i="19"/>
  <c r="D349" i="19"/>
  <c r="D348" i="19"/>
  <c r="D344" i="19"/>
  <c r="C344" i="19"/>
  <c r="D342" i="19"/>
  <c r="D340" i="19"/>
  <c r="C340" i="19"/>
  <c r="C348" i="19" s="1"/>
  <c r="D320" i="19"/>
  <c r="D324" i="19" s="1"/>
  <c r="D319" i="19"/>
  <c r="D318" i="19"/>
  <c r="D314" i="19"/>
  <c r="D312" i="19"/>
  <c r="D311" i="19"/>
  <c r="D310" i="19"/>
  <c r="D309" i="19"/>
  <c r="D308" i="19"/>
  <c r="D307" i="19"/>
  <c r="D306" i="19"/>
  <c r="D304" i="19"/>
  <c r="D303" i="19"/>
  <c r="D302" i="19"/>
  <c r="D301" i="19"/>
  <c r="D300" i="19"/>
  <c r="D299" i="19"/>
  <c r="D298" i="19"/>
  <c r="D297" i="19"/>
  <c r="D295" i="19"/>
  <c r="D293" i="19"/>
  <c r="D292" i="19"/>
  <c r="D291" i="19"/>
  <c r="D290" i="19"/>
  <c r="D289" i="19"/>
  <c r="D288" i="19"/>
  <c r="D287" i="19"/>
  <c r="D286" i="19"/>
  <c r="D285" i="19"/>
  <c r="D284" i="19"/>
  <c r="D282" i="19"/>
  <c r="D281" i="19"/>
  <c r="C281" i="19"/>
  <c r="D277" i="19"/>
  <c r="C277" i="19"/>
  <c r="D323" i="19" s="1"/>
  <c r="D275" i="19"/>
  <c r="D273" i="19"/>
  <c r="C273" i="19"/>
  <c r="D253" i="19"/>
  <c r="D257" i="19" s="1"/>
  <c r="D252" i="19"/>
  <c r="D251" i="19"/>
  <c r="D247" i="19"/>
  <c r="D245" i="19"/>
  <c r="D244" i="19"/>
  <c r="D243" i="19"/>
  <c r="D242" i="19"/>
  <c r="D241" i="19"/>
  <c r="D240" i="19"/>
  <c r="D239" i="19"/>
  <c r="D237" i="19"/>
  <c r="D236" i="19"/>
  <c r="D235" i="19"/>
  <c r="D234" i="19"/>
  <c r="D233" i="19"/>
  <c r="D232" i="19"/>
  <c r="D231" i="19"/>
  <c r="D230" i="19"/>
  <c r="D228" i="19"/>
  <c r="D226" i="19"/>
  <c r="D225" i="19"/>
  <c r="D224" i="19"/>
  <c r="D223" i="19"/>
  <c r="D222" i="19"/>
  <c r="D221" i="19"/>
  <c r="D220" i="19"/>
  <c r="D219" i="19"/>
  <c r="D218" i="19"/>
  <c r="D217" i="19"/>
  <c r="D215" i="19"/>
  <c r="D214" i="19"/>
  <c r="D210" i="19"/>
  <c r="C210" i="19"/>
  <c r="D256" i="19" s="1"/>
  <c r="F73" i="15" s="1"/>
  <c r="D208" i="19"/>
  <c r="D206" i="19"/>
  <c r="C206" i="19"/>
  <c r="C214" i="19" s="1"/>
  <c r="D186" i="19"/>
  <c r="D185" i="19"/>
  <c r="D184" i="19"/>
  <c r="D180" i="19"/>
  <c r="D178" i="19"/>
  <c r="D177" i="19"/>
  <c r="D176" i="19"/>
  <c r="D175" i="19"/>
  <c r="D174" i="19"/>
  <c r="D173" i="19"/>
  <c r="D172" i="19"/>
  <c r="D170" i="19"/>
  <c r="D169" i="19"/>
  <c r="D168" i="19"/>
  <c r="D167" i="19"/>
  <c r="D166" i="19"/>
  <c r="D165" i="19"/>
  <c r="D164" i="19"/>
  <c r="D163" i="19"/>
  <c r="D161" i="19"/>
  <c r="D159" i="19"/>
  <c r="D158" i="19"/>
  <c r="D157" i="19"/>
  <c r="D156" i="19"/>
  <c r="D155" i="19"/>
  <c r="D154" i="19"/>
  <c r="D153" i="19"/>
  <c r="D152" i="19"/>
  <c r="D151" i="19"/>
  <c r="D150" i="19"/>
  <c r="D148" i="19"/>
  <c r="D147" i="19"/>
  <c r="C147" i="19"/>
  <c r="D143" i="19"/>
  <c r="C143" i="19"/>
  <c r="D141" i="19"/>
  <c r="D139" i="19"/>
  <c r="C139" i="19"/>
  <c r="D119" i="19"/>
  <c r="D117" i="19"/>
  <c r="D113" i="19"/>
  <c r="D112" i="19"/>
  <c r="D111" i="19"/>
  <c r="D110" i="19"/>
  <c r="D109" i="19"/>
  <c r="D108" i="19"/>
  <c r="D107" i="19"/>
  <c r="D106" i="19"/>
  <c r="D105" i="19"/>
  <c r="D103" i="19"/>
  <c r="D102" i="19"/>
  <c r="D101" i="19"/>
  <c r="D100" i="19"/>
  <c r="D99" i="19"/>
  <c r="D98" i="19"/>
  <c r="C98" i="19"/>
  <c r="D97" i="19"/>
  <c r="D96" i="19"/>
  <c r="C96" i="19"/>
  <c r="D118" i="19" s="1"/>
  <c r="D94" i="19"/>
  <c r="D93" i="19"/>
  <c r="D92" i="19"/>
  <c r="D91" i="19"/>
  <c r="D90" i="19"/>
  <c r="D89" i="19"/>
  <c r="D88" i="19"/>
  <c r="D87" i="19"/>
  <c r="D86" i="19"/>
  <c r="D85" i="19"/>
  <c r="D84" i="19"/>
  <c r="D83" i="19"/>
  <c r="D81" i="19"/>
  <c r="C81" i="19"/>
  <c r="D80" i="19"/>
  <c r="C80" i="19"/>
  <c r="D76" i="19"/>
  <c r="C76" i="19"/>
  <c r="D74" i="19"/>
  <c r="D72" i="19"/>
  <c r="C72" i="19"/>
  <c r="D51" i="19"/>
  <c r="D47" i="19"/>
  <c r="D45" i="19"/>
  <c r="D44" i="19"/>
  <c r="D43" i="19"/>
  <c r="D42" i="19"/>
  <c r="D41" i="19"/>
  <c r="C41" i="19"/>
  <c r="D40" i="19"/>
  <c r="D39" i="19"/>
  <c r="D37" i="19"/>
  <c r="D36" i="19"/>
  <c r="C36" i="19"/>
  <c r="D35" i="19"/>
  <c r="C35" i="19"/>
  <c r="D34" i="19"/>
  <c r="C34" i="19"/>
  <c r="D33" i="19"/>
  <c r="D32" i="19"/>
  <c r="C32" i="19"/>
  <c r="D31" i="19"/>
  <c r="D30" i="19"/>
  <c r="C30" i="19"/>
  <c r="D52" i="19" s="1"/>
  <c r="D28" i="19"/>
  <c r="D26" i="19"/>
  <c r="D25" i="19"/>
  <c r="D24" i="19"/>
  <c r="D23" i="19"/>
  <c r="C23" i="19"/>
  <c r="D22" i="19"/>
  <c r="D21" i="19"/>
  <c r="C21" i="19"/>
  <c r="D20" i="19"/>
  <c r="C20" i="19"/>
  <c r="C39" i="19" s="1"/>
  <c r="D53" i="19" s="1"/>
  <c r="D19" i="19"/>
  <c r="D18" i="19"/>
  <c r="C18" i="19"/>
  <c r="D17" i="19"/>
  <c r="D15" i="19"/>
  <c r="D14" i="19"/>
  <c r="C14" i="19"/>
  <c r="D10" i="19"/>
  <c r="C10" i="19"/>
  <c r="D8" i="19"/>
  <c r="D6" i="19"/>
  <c r="C6" i="19"/>
  <c r="D659" i="18"/>
  <c r="D655" i="18"/>
  <c r="D654" i="18"/>
  <c r="D658" i="18" s="1"/>
  <c r="L54" i="15" s="1"/>
  <c r="D653" i="18"/>
  <c r="D649" i="18"/>
  <c r="D647" i="18"/>
  <c r="D646" i="18"/>
  <c r="D645" i="18"/>
  <c r="D644" i="18"/>
  <c r="D643" i="18"/>
  <c r="D642" i="18"/>
  <c r="D641" i="18"/>
  <c r="D639" i="18"/>
  <c r="D638" i="18"/>
  <c r="D637" i="18"/>
  <c r="D636" i="18"/>
  <c r="D635" i="18"/>
  <c r="D634" i="18"/>
  <c r="D633" i="18"/>
  <c r="D632" i="18"/>
  <c r="D630" i="18"/>
  <c r="D628" i="18"/>
  <c r="D627" i="18"/>
  <c r="D626" i="18"/>
  <c r="D625" i="18"/>
  <c r="D624" i="18"/>
  <c r="D623" i="18"/>
  <c r="D622" i="18"/>
  <c r="D621" i="18"/>
  <c r="D620" i="18"/>
  <c r="D619" i="18"/>
  <c r="D617" i="18"/>
  <c r="D616" i="18"/>
  <c r="D612" i="18"/>
  <c r="C612" i="18"/>
  <c r="D610" i="18"/>
  <c r="D608" i="18"/>
  <c r="C608" i="18"/>
  <c r="C616" i="18" s="1"/>
  <c r="D588" i="18"/>
  <c r="D592" i="18" s="1"/>
  <c r="D587" i="18"/>
  <c r="D591" i="18" s="1"/>
  <c r="D586" i="18"/>
  <c r="D582" i="18"/>
  <c r="D580" i="18"/>
  <c r="D579" i="18"/>
  <c r="D578" i="18"/>
  <c r="D577" i="18"/>
  <c r="D576" i="18"/>
  <c r="D575" i="18"/>
  <c r="D574" i="18"/>
  <c r="D572" i="18"/>
  <c r="D571" i="18"/>
  <c r="D570" i="18"/>
  <c r="D569" i="18"/>
  <c r="D568" i="18"/>
  <c r="D567" i="18"/>
  <c r="D566" i="18"/>
  <c r="D565" i="18"/>
  <c r="D563" i="18"/>
  <c r="D561" i="18"/>
  <c r="D560" i="18"/>
  <c r="D559" i="18"/>
  <c r="D558" i="18"/>
  <c r="D557" i="18"/>
  <c r="D556" i="18"/>
  <c r="D555" i="18"/>
  <c r="D554" i="18"/>
  <c r="D553" i="18"/>
  <c r="D552" i="18"/>
  <c r="D550" i="18"/>
  <c r="D549" i="18"/>
  <c r="C549" i="18"/>
  <c r="D545" i="18"/>
  <c r="C545" i="18"/>
  <c r="D543" i="18"/>
  <c r="D541" i="18"/>
  <c r="C541" i="18"/>
  <c r="D521" i="18"/>
  <c r="D525" i="18" s="1"/>
  <c r="D520" i="18"/>
  <c r="D524" i="18" s="1"/>
  <c r="D519" i="18"/>
  <c r="D515" i="18"/>
  <c r="D513" i="18"/>
  <c r="D512" i="18"/>
  <c r="D511" i="18"/>
  <c r="D510" i="18"/>
  <c r="D509" i="18"/>
  <c r="D508" i="18"/>
  <c r="D507" i="18"/>
  <c r="D505" i="18"/>
  <c r="D504" i="18"/>
  <c r="D503" i="18"/>
  <c r="D502" i="18"/>
  <c r="D501" i="18"/>
  <c r="D500" i="18"/>
  <c r="D499" i="18"/>
  <c r="D498" i="18"/>
  <c r="D496" i="18"/>
  <c r="C496" i="18"/>
  <c r="D494" i="18"/>
  <c r="D493" i="18"/>
  <c r="D492" i="18"/>
  <c r="D491" i="18"/>
  <c r="D490" i="18"/>
  <c r="D489" i="18"/>
  <c r="D488" i="18"/>
  <c r="D487" i="18"/>
  <c r="D486" i="18"/>
  <c r="D485" i="18"/>
  <c r="D483" i="18"/>
  <c r="D482" i="18"/>
  <c r="D478" i="18"/>
  <c r="C478" i="18"/>
  <c r="D476" i="18"/>
  <c r="D474" i="18"/>
  <c r="C474" i="18"/>
  <c r="C482" i="18" s="1"/>
  <c r="D454" i="18"/>
  <c r="D458" i="18" s="1"/>
  <c r="D453" i="18"/>
  <c r="D452" i="18"/>
  <c r="D448" i="18"/>
  <c r="D446" i="18"/>
  <c r="D445" i="18"/>
  <c r="D444" i="18"/>
  <c r="D443" i="18"/>
  <c r="D442" i="18"/>
  <c r="D441" i="18"/>
  <c r="D440" i="18"/>
  <c r="D438" i="18"/>
  <c r="D437" i="18"/>
  <c r="D436" i="18"/>
  <c r="D435" i="18"/>
  <c r="D434" i="18"/>
  <c r="D433" i="18"/>
  <c r="D432" i="18"/>
  <c r="D431" i="18"/>
  <c r="D429" i="18"/>
  <c r="D427" i="18"/>
  <c r="D426" i="18"/>
  <c r="D425" i="18"/>
  <c r="D424" i="18"/>
  <c r="D423" i="18"/>
  <c r="D422" i="18"/>
  <c r="D421" i="18"/>
  <c r="D420" i="18"/>
  <c r="D419" i="18"/>
  <c r="D418" i="18"/>
  <c r="D416" i="18"/>
  <c r="D415" i="18"/>
  <c r="C415" i="18"/>
  <c r="D451" i="18" s="1"/>
  <c r="D411" i="18"/>
  <c r="C411" i="18"/>
  <c r="D457" i="18" s="1"/>
  <c r="D409" i="18"/>
  <c r="D407" i="18"/>
  <c r="C407" i="18"/>
  <c r="D387" i="18"/>
  <c r="D391" i="18" s="1"/>
  <c r="D386" i="18"/>
  <c r="D385" i="18"/>
  <c r="D381" i="18"/>
  <c r="D379" i="18"/>
  <c r="D378" i="18"/>
  <c r="D377" i="18"/>
  <c r="D376" i="18"/>
  <c r="D375" i="18"/>
  <c r="D374" i="18"/>
  <c r="D373" i="18"/>
  <c r="D371" i="18"/>
  <c r="D370" i="18"/>
  <c r="D369" i="18"/>
  <c r="D368" i="18"/>
  <c r="D367" i="18"/>
  <c r="D366" i="18"/>
  <c r="D365" i="18"/>
  <c r="D364" i="18"/>
  <c r="D362" i="18"/>
  <c r="D360" i="18"/>
  <c r="D359" i="18"/>
  <c r="D358" i="18"/>
  <c r="D357" i="18"/>
  <c r="D356" i="18"/>
  <c r="D355" i="18"/>
  <c r="D354" i="18"/>
  <c r="D353" i="18"/>
  <c r="D352" i="18"/>
  <c r="D351" i="18"/>
  <c r="D349" i="18"/>
  <c r="D348" i="18"/>
  <c r="D344" i="18"/>
  <c r="C344" i="18"/>
  <c r="D390" i="18" s="1"/>
  <c r="D342" i="18"/>
  <c r="D340" i="18"/>
  <c r="C340" i="18"/>
  <c r="C348" i="18" s="1"/>
  <c r="D323" i="18"/>
  <c r="G54" i="15" s="1"/>
  <c r="D320" i="18"/>
  <c r="D319" i="18"/>
  <c r="D318" i="18"/>
  <c r="D314" i="18"/>
  <c r="D312" i="18"/>
  <c r="D311" i="18"/>
  <c r="D310" i="18"/>
  <c r="D309" i="18"/>
  <c r="D308" i="18"/>
  <c r="D307" i="18"/>
  <c r="D306" i="18"/>
  <c r="D304" i="18"/>
  <c r="D303" i="18"/>
  <c r="D302" i="18"/>
  <c r="D301" i="18"/>
  <c r="D300" i="18"/>
  <c r="D299" i="18"/>
  <c r="D298" i="18"/>
  <c r="D297" i="18"/>
  <c r="D295" i="18"/>
  <c r="D293" i="18"/>
  <c r="D292" i="18"/>
  <c r="D291" i="18"/>
  <c r="D290" i="18"/>
  <c r="D289" i="18"/>
  <c r="D288" i="18"/>
  <c r="D287" i="18"/>
  <c r="D286" i="18"/>
  <c r="D285" i="18"/>
  <c r="D284" i="18"/>
  <c r="D282" i="18"/>
  <c r="D281" i="18"/>
  <c r="C281" i="18"/>
  <c r="D277" i="18"/>
  <c r="C277" i="18"/>
  <c r="D275" i="18"/>
  <c r="D273" i="18"/>
  <c r="C273" i="18"/>
  <c r="D257" i="18"/>
  <c r="D253" i="18"/>
  <c r="D252" i="18"/>
  <c r="D256" i="18" s="1"/>
  <c r="D251" i="18"/>
  <c r="D247" i="18"/>
  <c r="D245" i="18"/>
  <c r="D244" i="18"/>
  <c r="D243" i="18"/>
  <c r="D242" i="18"/>
  <c r="D241" i="18"/>
  <c r="D240" i="18"/>
  <c r="D239" i="18"/>
  <c r="D237" i="18"/>
  <c r="D236" i="18"/>
  <c r="D235" i="18"/>
  <c r="D234" i="18"/>
  <c r="D233" i="18"/>
  <c r="D232" i="18"/>
  <c r="D231" i="18"/>
  <c r="D230" i="18"/>
  <c r="D228" i="18"/>
  <c r="D226" i="18"/>
  <c r="D225" i="18"/>
  <c r="D224" i="18"/>
  <c r="D223" i="18"/>
  <c r="D222" i="18"/>
  <c r="D221" i="18"/>
  <c r="D220" i="18"/>
  <c r="D219" i="18"/>
  <c r="D218" i="18"/>
  <c r="D217" i="18"/>
  <c r="D215" i="18"/>
  <c r="D214" i="18"/>
  <c r="D210" i="18"/>
  <c r="C210" i="18"/>
  <c r="D208" i="18"/>
  <c r="D206" i="18"/>
  <c r="C206" i="18"/>
  <c r="C214" i="18" s="1"/>
  <c r="D186" i="18"/>
  <c r="D185" i="18"/>
  <c r="D189" i="18" s="1"/>
  <c r="D184" i="18"/>
  <c r="D180" i="18"/>
  <c r="D178" i="18"/>
  <c r="D177" i="18"/>
  <c r="D176" i="18"/>
  <c r="D175" i="18"/>
  <c r="D174" i="18"/>
  <c r="D173" i="18"/>
  <c r="D172" i="18"/>
  <c r="D170" i="18"/>
  <c r="D169" i="18"/>
  <c r="D168" i="18"/>
  <c r="D167" i="18"/>
  <c r="D166" i="18"/>
  <c r="D165" i="18"/>
  <c r="D164" i="18"/>
  <c r="D163" i="18"/>
  <c r="D161" i="18"/>
  <c r="D159" i="18"/>
  <c r="D158" i="18"/>
  <c r="D157" i="18"/>
  <c r="D156" i="18"/>
  <c r="D155" i="18"/>
  <c r="D154" i="18"/>
  <c r="D153" i="18"/>
  <c r="D152" i="18"/>
  <c r="D151" i="18"/>
  <c r="D150" i="18"/>
  <c r="D148" i="18"/>
  <c r="D147" i="18"/>
  <c r="D143" i="18"/>
  <c r="C143" i="18"/>
  <c r="D141" i="18"/>
  <c r="D139" i="18"/>
  <c r="C139" i="18"/>
  <c r="C147" i="18" s="1"/>
  <c r="D123" i="18"/>
  <c r="D119" i="18"/>
  <c r="D113" i="18"/>
  <c r="D112" i="18"/>
  <c r="D111" i="18"/>
  <c r="D110" i="18"/>
  <c r="D109" i="18"/>
  <c r="D108" i="18"/>
  <c r="D107" i="18"/>
  <c r="D106" i="18"/>
  <c r="D105" i="18"/>
  <c r="D103" i="18"/>
  <c r="D102" i="18"/>
  <c r="D101" i="18"/>
  <c r="D100" i="18"/>
  <c r="D99" i="18"/>
  <c r="D98" i="18"/>
  <c r="D97" i="18"/>
  <c r="C97" i="18"/>
  <c r="D96" i="18"/>
  <c r="C96" i="18"/>
  <c r="D94" i="18"/>
  <c r="D93" i="18"/>
  <c r="D92" i="18"/>
  <c r="D91" i="18"/>
  <c r="D90" i="18"/>
  <c r="D89" i="18"/>
  <c r="D88" i="18"/>
  <c r="D87" i="18"/>
  <c r="D86" i="18"/>
  <c r="D85" i="18"/>
  <c r="C85" i="18"/>
  <c r="D117" i="18" s="1"/>
  <c r="D84" i="18"/>
  <c r="D83" i="18"/>
  <c r="D81" i="18"/>
  <c r="D80" i="18"/>
  <c r="D76" i="18"/>
  <c r="C76" i="18"/>
  <c r="D74" i="18"/>
  <c r="D72" i="18"/>
  <c r="C72" i="18"/>
  <c r="C80" i="18" s="1"/>
  <c r="D53" i="18"/>
  <c r="D62" i="18" s="1"/>
  <c r="C60" i="15" s="1"/>
  <c r="D50" i="18"/>
  <c r="D47" i="18"/>
  <c r="D46" i="18"/>
  <c r="D45" i="18"/>
  <c r="D44" i="18"/>
  <c r="D43" i="18"/>
  <c r="D42" i="18"/>
  <c r="D41" i="18"/>
  <c r="D40" i="18"/>
  <c r="D39" i="18"/>
  <c r="D37" i="18"/>
  <c r="C37" i="18"/>
  <c r="D36" i="18"/>
  <c r="C36" i="18"/>
  <c r="D35" i="18"/>
  <c r="D34" i="18"/>
  <c r="C34" i="18"/>
  <c r="D33" i="18"/>
  <c r="D32" i="18"/>
  <c r="D31" i="18"/>
  <c r="C31" i="18"/>
  <c r="C32" i="18" s="1"/>
  <c r="D30" i="18"/>
  <c r="C30" i="18"/>
  <c r="D52" i="18" s="1"/>
  <c r="D28" i="18"/>
  <c r="D27" i="18"/>
  <c r="D26" i="18"/>
  <c r="D25" i="18"/>
  <c r="D24" i="18"/>
  <c r="D23" i="18"/>
  <c r="C23" i="18"/>
  <c r="D22" i="18"/>
  <c r="C22" i="18"/>
  <c r="D21" i="18"/>
  <c r="D20" i="18"/>
  <c r="D19" i="18"/>
  <c r="C19" i="18"/>
  <c r="D18" i="18"/>
  <c r="C18" i="18"/>
  <c r="D17" i="18"/>
  <c r="C17" i="18"/>
  <c r="D51" i="18" s="1"/>
  <c r="D58" i="18" s="1"/>
  <c r="C56" i="15" s="1"/>
  <c r="D15" i="18"/>
  <c r="C15" i="18"/>
  <c r="D14" i="18"/>
  <c r="C14" i="18"/>
  <c r="D10" i="18"/>
  <c r="C10" i="18"/>
  <c r="D8" i="18"/>
  <c r="D6" i="18"/>
  <c r="C6" i="18"/>
  <c r="C4" i="18"/>
  <c r="D656" i="17"/>
  <c r="D660" i="17" s="1"/>
  <c r="D655" i="17"/>
  <c r="D659" i="17" s="1"/>
  <c r="D654" i="17"/>
  <c r="D650" i="17"/>
  <c r="D648" i="17"/>
  <c r="D647" i="17"/>
  <c r="D646" i="17"/>
  <c r="D645" i="17"/>
  <c r="D644" i="17"/>
  <c r="D643" i="17"/>
  <c r="D642" i="17"/>
  <c r="D640" i="17"/>
  <c r="D639" i="17"/>
  <c r="D638" i="17"/>
  <c r="D637" i="17"/>
  <c r="D636" i="17"/>
  <c r="D635" i="17"/>
  <c r="D634" i="17"/>
  <c r="D633" i="17"/>
  <c r="D631" i="17"/>
  <c r="D629" i="17"/>
  <c r="D628" i="17"/>
  <c r="D627" i="17"/>
  <c r="D626" i="17"/>
  <c r="D625" i="17"/>
  <c r="D624" i="17"/>
  <c r="D623" i="17"/>
  <c r="D622" i="17"/>
  <c r="D621" i="17"/>
  <c r="D620" i="17"/>
  <c r="D618" i="17"/>
  <c r="D617" i="17"/>
  <c r="C617" i="17"/>
  <c r="D613" i="17"/>
  <c r="C613" i="17"/>
  <c r="D611" i="17"/>
  <c r="D609" i="17"/>
  <c r="C609" i="17"/>
  <c r="D589" i="17"/>
  <c r="D593" i="17" s="1"/>
  <c r="D588" i="17"/>
  <c r="D587" i="17"/>
  <c r="D583" i="17"/>
  <c r="D581" i="17"/>
  <c r="D580" i="17"/>
  <c r="D579" i="17"/>
  <c r="D578" i="17"/>
  <c r="D577" i="17"/>
  <c r="D576" i="17"/>
  <c r="D575" i="17"/>
  <c r="D573" i="17"/>
  <c r="D572" i="17"/>
  <c r="D571" i="17"/>
  <c r="D570" i="17"/>
  <c r="D569" i="17"/>
  <c r="D568" i="17"/>
  <c r="D567" i="17"/>
  <c r="D566" i="17"/>
  <c r="D564" i="17"/>
  <c r="C564" i="17"/>
  <c r="D562" i="17"/>
  <c r="D561" i="17"/>
  <c r="D560" i="17"/>
  <c r="D559" i="17"/>
  <c r="D558" i="17"/>
  <c r="D557" i="17"/>
  <c r="D556" i="17"/>
  <c r="D555" i="17"/>
  <c r="D554" i="17"/>
  <c r="D553" i="17"/>
  <c r="D551" i="17"/>
  <c r="D550" i="17"/>
  <c r="D546" i="17"/>
  <c r="C546" i="17"/>
  <c r="D544" i="17"/>
  <c r="D542" i="17"/>
  <c r="C542" i="17"/>
  <c r="C550" i="17" s="1"/>
  <c r="D522" i="17"/>
  <c r="D526" i="17" s="1"/>
  <c r="D521" i="17"/>
  <c r="D520" i="17"/>
  <c r="D516" i="17"/>
  <c r="D514" i="17"/>
  <c r="D513" i="17"/>
  <c r="D512" i="17"/>
  <c r="D511" i="17"/>
  <c r="D510" i="17"/>
  <c r="D509" i="17"/>
  <c r="D508" i="17"/>
  <c r="D506" i="17"/>
  <c r="D505" i="17"/>
  <c r="D504" i="17"/>
  <c r="D503" i="17"/>
  <c r="D502" i="17"/>
  <c r="D501" i="17"/>
  <c r="D500" i="17"/>
  <c r="D499" i="17"/>
  <c r="D497" i="17"/>
  <c r="D495" i="17"/>
  <c r="D494" i="17"/>
  <c r="D493" i="17"/>
  <c r="D492" i="17"/>
  <c r="D491" i="17"/>
  <c r="D490" i="17"/>
  <c r="D489" i="17"/>
  <c r="D488" i="17"/>
  <c r="D487" i="17"/>
  <c r="D486" i="17"/>
  <c r="D484" i="17"/>
  <c r="D483" i="17"/>
  <c r="C483" i="17"/>
  <c r="D519" i="17" s="1"/>
  <c r="D479" i="17"/>
  <c r="C479" i="17"/>
  <c r="D525" i="17" s="1"/>
  <c r="D477" i="17"/>
  <c r="D475" i="17"/>
  <c r="C475" i="17"/>
  <c r="D455" i="17"/>
  <c r="D459" i="17" s="1"/>
  <c r="D454" i="17"/>
  <c r="D458" i="17" s="1"/>
  <c r="D453" i="17"/>
  <c r="D449" i="17"/>
  <c r="D447" i="17"/>
  <c r="D446" i="17"/>
  <c r="D445" i="17"/>
  <c r="D444" i="17"/>
  <c r="D443" i="17"/>
  <c r="D442" i="17"/>
  <c r="D441" i="17"/>
  <c r="D439" i="17"/>
  <c r="D438" i="17"/>
  <c r="D437" i="17"/>
  <c r="D436" i="17"/>
  <c r="D435" i="17"/>
  <c r="D434" i="17"/>
  <c r="D433" i="17"/>
  <c r="D432" i="17"/>
  <c r="D430" i="17"/>
  <c r="D428" i="17"/>
  <c r="D427" i="17"/>
  <c r="D426" i="17"/>
  <c r="D425" i="17"/>
  <c r="D424" i="17"/>
  <c r="D423" i="17"/>
  <c r="D422" i="17"/>
  <c r="D421" i="17"/>
  <c r="D420" i="17"/>
  <c r="D419" i="17"/>
  <c r="D417" i="17"/>
  <c r="D416" i="17"/>
  <c r="D412" i="17"/>
  <c r="C412" i="17"/>
  <c r="D410" i="17"/>
  <c r="D408" i="17"/>
  <c r="C408" i="17"/>
  <c r="C416" i="17" s="1"/>
  <c r="D391" i="17"/>
  <c r="H35" i="15" s="1"/>
  <c r="D388" i="17"/>
  <c r="D387" i="17"/>
  <c r="D386" i="17"/>
  <c r="D382" i="17"/>
  <c r="D380" i="17"/>
  <c r="D379" i="17"/>
  <c r="D378" i="17"/>
  <c r="D377" i="17"/>
  <c r="D376" i="17"/>
  <c r="D375" i="17"/>
  <c r="D374" i="17"/>
  <c r="D372" i="17"/>
  <c r="D371" i="17"/>
  <c r="D370" i="17"/>
  <c r="D369" i="17"/>
  <c r="D368" i="17"/>
  <c r="D367" i="17"/>
  <c r="D366" i="17"/>
  <c r="D365" i="17"/>
  <c r="D363" i="17"/>
  <c r="D361" i="17"/>
  <c r="D360" i="17"/>
  <c r="D359" i="17"/>
  <c r="D358" i="17"/>
  <c r="D357" i="17"/>
  <c r="D356" i="17"/>
  <c r="D355" i="17"/>
  <c r="D354" i="17"/>
  <c r="D353" i="17"/>
  <c r="D352" i="17"/>
  <c r="D350" i="17"/>
  <c r="D349" i="17"/>
  <c r="D345" i="17"/>
  <c r="C345" i="17"/>
  <c r="D343" i="17"/>
  <c r="D341" i="17"/>
  <c r="C341" i="17"/>
  <c r="C349" i="17" s="1"/>
  <c r="D325" i="17"/>
  <c r="D321" i="17"/>
  <c r="D320" i="17"/>
  <c r="D319" i="17"/>
  <c r="D315" i="17"/>
  <c r="D313" i="17"/>
  <c r="D312" i="17"/>
  <c r="D311" i="17"/>
  <c r="D310" i="17"/>
  <c r="D309" i="17"/>
  <c r="D308" i="17"/>
  <c r="D307" i="17"/>
  <c r="D305" i="17"/>
  <c r="D304" i="17"/>
  <c r="D303" i="17"/>
  <c r="D302" i="17"/>
  <c r="D301" i="17"/>
  <c r="D300" i="17"/>
  <c r="D299" i="17"/>
  <c r="D298" i="17"/>
  <c r="D296" i="17"/>
  <c r="D294" i="17"/>
  <c r="D293" i="17"/>
  <c r="D292" i="17"/>
  <c r="D291" i="17"/>
  <c r="D290" i="17"/>
  <c r="D289" i="17"/>
  <c r="D288" i="17"/>
  <c r="D287" i="17"/>
  <c r="D286" i="17"/>
  <c r="D285" i="17"/>
  <c r="D283" i="17"/>
  <c r="D282" i="17"/>
  <c r="D278" i="17"/>
  <c r="C278" i="17"/>
  <c r="D276" i="17"/>
  <c r="D274" i="17"/>
  <c r="C274" i="17"/>
  <c r="C282" i="17" s="1"/>
  <c r="D254" i="17"/>
  <c r="D258" i="17" s="1"/>
  <c r="F36" i="15" s="1"/>
  <c r="D253" i="17"/>
  <c r="D257" i="17" s="1"/>
  <c r="D252" i="17"/>
  <c r="D248" i="17"/>
  <c r="D246" i="17"/>
  <c r="D245" i="17"/>
  <c r="D244" i="17"/>
  <c r="D243" i="17"/>
  <c r="D242" i="17"/>
  <c r="D241" i="17"/>
  <c r="D240" i="17"/>
  <c r="D238" i="17"/>
  <c r="D237" i="17"/>
  <c r="D236" i="17"/>
  <c r="D235" i="17"/>
  <c r="D234" i="17"/>
  <c r="D233" i="17"/>
  <c r="D232" i="17"/>
  <c r="D231" i="17"/>
  <c r="D229" i="17"/>
  <c r="D227" i="17"/>
  <c r="D226" i="17"/>
  <c r="D225" i="17"/>
  <c r="D224" i="17"/>
  <c r="D223" i="17"/>
  <c r="D222" i="17"/>
  <c r="D221" i="17"/>
  <c r="D220" i="17"/>
  <c r="D219" i="17"/>
  <c r="D218" i="17"/>
  <c r="D216" i="17"/>
  <c r="D215" i="17"/>
  <c r="C215" i="17"/>
  <c r="D251" i="17" s="1"/>
  <c r="D211" i="17"/>
  <c r="C211" i="17"/>
  <c r="D209" i="17"/>
  <c r="D207" i="17"/>
  <c r="C207" i="17"/>
  <c r="D191" i="17"/>
  <c r="D187" i="17"/>
  <c r="D186" i="17"/>
  <c r="D190" i="17" s="1"/>
  <c r="E35" i="15" s="1"/>
  <c r="D185" i="17"/>
  <c r="D181" i="17"/>
  <c r="D179" i="17"/>
  <c r="D178" i="17"/>
  <c r="D177" i="17"/>
  <c r="D176" i="17"/>
  <c r="D175" i="17"/>
  <c r="D174" i="17"/>
  <c r="D173" i="17"/>
  <c r="D171" i="17"/>
  <c r="D170" i="17"/>
  <c r="D169" i="17"/>
  <c r="D168" i="17"/>
  <c r="D167" i="17"/>
  <c r="D166" i="17"/>
  <c r="D165" i="17"/>
  <c r="D164" i="17"/>
  <c r="D162" i="17"/>
  <c r="D160" i="17"/>
  <c r="D159" i="17"/>
  <c r="D158" i="17"/>
  <c r="D157" i="17"/>
  <c r="D156" i="17"/>
  <c r="D155" i="17"/>
  <c r="D154" i="17"/>
  <c r="D153" i="17"/>
  <c r="D152" i="17"/>
  <c r="D151" i="17"/>
  <c r="D149" i="17"/>
  <c r="D148" i="17"/>
  <c r="D144" i="17"/>
  <c r="C144" i="17"/>
  <c r="D142" i="17"/>
  <c r="D140" i="17"/>
  <c r="C140" i="17"/>
  <c r="C148" i="17" s="1"/>
  <c r="D120" i="17"/>
  <c r="D119" i="17"/>
  <c r="D123" i="17" s="1"/>
  <c r="D118" i="17"/>
  <c r="D114" i="17"/>
  <c r="D112" i="17"/>
  <c r="D111" i="17"/>
  <c r="D109" i="17"/>
  <c r="D108" i="17"/>
  <c r="D107" i="17"/>
  <c r="D106" i="17"/>
  <c r="D104" i="17"/>
  <c r="D103" i="17"/>
  <c r="D102" i="17"/>
  <c r="D101" i="17"/>
  <c r="D100" i="17"/>
  <c r="D99" i="17"/>
  <c r="D98" i="17"/>
  <c r="D97" i="17"/>
  <c r="D95" i="17"/>
  <c r="D93" i="17"/>
  <c r="D92" i="17"/>
  <c r="D91" i="17"/>
  <c r="D90" i="17"/>
  <c r="D89" i="17"/>
  <c r="D88" i="17"/>
  <c r="D87" i="17"/>
  <c r="D86" i="17"/>
  <c r="D85" i="17"/>
  <c r="D84" i="17"/>
  <c r="D82" i="17"/>
  <c r="D81" i="17"/>
  <c r="C81" i="17"/>
  <c r="D77" i="17"/>
  <c r="C77" i="17"/>
  <c r="D124" i="17" s="1"/>
  <c r="D75" i="17"/>
  <c r="D73" i="17"/>
  <c r="D110" i="17" s="1"/>
  <c r="C73" i="17"/>
  <c r="D47" i="17"/>
  <c r="D46" i="17"/>
  <c r="D45" i="17"/>
  <c r="D44" i="17"/>
  <c r="D43" i="17"/>
  <c r="C43" i="17"/>
  <c r="D42" i="17"/>
  <c r="C42" i="17"/>
  <c r="D41" i="17"/>
  <c r="C41" i="17"/>
  <c r="D40" i="17"/>
  <c r="D39" i="17"/>
  <c r="D37" i="17"/>
  <c r="D36" i="17"/>
  <c r="D35" i="17"/>
  <c r="D34" i="17"/>
  <c r="C34" i="17"/>
  <c r="D33" i="17"/>
  <c r="D32" i="17"/>
  <c r="C32" i="17"/>
  <c r="D31" i="17"/>
  <c r="C31" i="17"/>
  <c r="D30" i="17"/>
  <c r="C30" i="17"/>
  <c r="D28" i="17"/>
  <c r="D27" i="17"/>
  <c r="D26" i="17"/>
  <c r="D25" i="17"/>
  <c r="C25" i="17"/>
  <c r="C35" i="17" s="1"/>
  <c r="D24" i="17"/>
  <c r="D23" i="17"/>
  <c r="C23" i="17"/>
  <c r="D22" i="17"/>
  <c r="C22" i="17"/>
  <c r="D21" i="17"/>
  <c r="D20" i="17"/>
  <c r="C20" i="17"/>
  <c r="C39" i="17" s="1"/>
  <c r="D53" i="17" s="1"/>
  <c r="D19" i="17"/>
  <c r="D18" i="17"/>
  <c r="D17" i="17"/>
  <c r="C17" i="17"/>
  <c r="D51" i="17" s="1"/>
  <c r="D15" i="17"/>
  <c r="D14" i="17"/>
  <c r="D10" i="17"/>
  <c r="C10" i="17"/>
  <c r="D8" i="17"/>
  <c r="D6" i="17"/>
  <c r="C6" i="17"/>
  <c r="C14" i="17" s="1"/>
  <c r="D930" i="16"/>
  <c r="D934" i="16" s="1"/>
  <c r="D929" i="16"/>
  <c r="D928" i="16"/>
  <c r="D927" i="16"/>
  <c r="D924" i="16"/>
  <c r="D922" i="16"/>
  <c r="D921" i="16"/>
  <c r="D920" i="16"/>
  <c r="D919" i="16"/>
  <c r="D918" i="16"/>
  <c r="D917" i="16"/>
  <c r="D916" i="16"/>
  <c r="D914" i="16"/>
  <c r="D913" i="16"/>
  <c r="D912" i="16"/>
  <c r="D911" i="16"/>
  <c r="D910" i="16"/>
  <c r="D909" i="16"/>
  <c r="D908" i="16"/>
  <c r="D907" i="16"/>
  <c r="D905" i="16"/>
  <c r="D903" i="16"/>
  <c r="D902" i="16"/>
  <c r="D901" i="16"/>
  <c r="D900" i="16"/>
  <c r="D899" i="16"/>
  <c r="D898" i="16"/>
  <c r="D897" i="16"/>
  <c r="D896" i="16"/>
  <c r="D895" i="16"/>
  <c r="D894" i="16"/>
  <c r="D892" i="16"/>
  <c r="D891" i="16"/>
  <c r="C891" i="16"/>
  <c r="D887" i="16"/>
  <c r="C887" i="16"/>
  <c r="D933" i="16" s="1"/>
  <c r="P16" i="15" s="1"/>
  <c r="D885" i="16"/>
  <c r="D883" i="16"/>
  <c r="C883" i="16"/>
  <c r="D863" i="16"/>
  <c r="D867" i="16" s="1"/>
  <c r="D862" i="16"/>
  <c r="D861" i="16"/>
  <c r="D857" i="16"/>
  <c r="D855" i="16"/>
  <c r="D854" i="16"/>
  <c r="D853" i="16"/>
  <c r="D852" i="16"/>
  <c r="D851" i="16"/>
  <c r="D850" i="16"/>
  <c r="D849" i="16"/>
  <c r="D847" i="16"/>
  <c r="D846" i="16"/>
  <c r="D845" i="16"/>
  <c r="D844" i="16"/>
  <c r="D843" i="16"/>
  <c r="D842" i="16"/>
  <c r="D841" i="16"/>
  <c r="D840" i="16"/>
  <c r="D838" i="16"/>
  <c r="D836" i="16"/>
  <c r="D835" i="16"/>
  <c r="D834" i="16"/>
  <c r="D833" i="16"/>
  <c r="D832" i="16"/>
  <c r="D831" i="16"/>
  <c r="D830" i="16"/>
  <c r="D829" i="16"/>
  <c r="D828" i="16"/>
  <c r="D827" i="16"/>
  <c r="D825" i="16"/>
  <c r="D824" i="16"/>
  <c r="D820" i="16"/>
  <c r="C820" i="16"/>
  <c r="D866" i="16" s="1"/>
  <c r="D818" i="16"/>
  <c r="D816" i="16"/>
  <c r="C816" i="16"/>
  <c r="C824" i="16" s="1"/>
  <c r="D799" i="16"/>
  <c r="D796" i="16"/>
  <c r="D800" i="16" s="1"/>
  <c r="D795" i="16"/>
  <c r="D794" i="16"/>
  <c r="D790" i="16"/>
  <c r="D788" i="16"/>
  <c r="D787" i="16"/>
  <c r="D786" i="16"/>
  <c r="D785" i="16"/>
  <c r="D784" i="16"/>
  <c r="D783" i="16"/>
  <c r="D782" i="16"/>
  <c r="D780" i="16"/>
  <c r="D779" i="16"/>
  <c r="D778" i="16"/>
  <c r="D777" i="16"/>
  <c r="D776" i="16"/>
  <c r="D775" i="16"/>
  <c r="D774" i="16"/>
  <c r="D773" i="16"/>
  <c r="D771" i="16"/>
  <c r="D769" i="16"/>
  <c r="D768" i="16"/>
  <c r="D767" i="16"/>
  <c r="D766" i="16"/>
  <c r="D765" i="16"/>
  <c r="D764" i="16"/>
  <c r="D763" i="16"/>
  <c r="D762" i="16"/>
  <c r="D761" i="16"/>
  <c r="D760" i="16"/>
  <c r="D758" i="16"/>
  <c r="D757" i="16"/>
  <c r="D753" i="16"/>
  <c r="C753" i="16"/>
  <c r="D751" i="16"/>
  <c r="D749" i="16"/>
  <c r="C749" i="16"/>
  <c r="C757" i="16" s="1"/>
  <c r="D733" i="16"/>
  <c r="D729" i="16"/>
  <c r="D728" i="16"/>
  <c r="D727" i="16"/>
  <c r="D723" i="16"/>
  <c r="D721" i="16"/>
  <c r="D720" i="16"/>
  <c r="D719" i="16"/>
  <c r="D718" i="16"/>
  <c r="D717" i="16"/>
  <c r="D716" i="16"/>
  <c r="D715" i="16"/>
  <c r="D713" i="16"/>
  <c r="D712" i="16"/>
  <c r="D711" i="16"/>
  <c r="D710" i="16"/>
  <c r="D709" i="16"/>
  <c r="D708" i="16"/>
  <c r="D707" i="16"/>
  <c r="D706" i="16"/>
  <c r="D704" i="16"/>
  <c r="D702" i="16"/>
  <c r="D701" i="16"/>
  <c r="D700" i="16"/>
  <c r="D699" i="16"/>
  <c r="D698" i="16"/>
  <c r="D697" i="16"/>
  <c r="D696" i="16"/>
  <c r="D695" i="16"/>
  <c r="D694" i="16"/>
  <c r="D693" i="16"/>
  <c r="D691" i="16"/>
  <c r="D690" i="16"/>
  <c r="D686" i="16"/>
  <c r="C686" i="16"/>
  <c r="D684" i="16"/>
  <c r="D682" i="16"/>
  <c r="C682" i="16"/>
  <c r="C690" i="16" s="1"/>
  <c r="D662" i="16"/>
  <c r="D661" i="16"/>
  <c r="D665" i="16" s="1"/>
  <c r="D660" i="16"/>
  <c r="D656" i="16"/>
  <c r="D654" i="16"/>
  <c r="D653" i="16"/>
  <c r="D652" i="16"/>
  <c r="D651" i="16"/>
  <c r="D650" i="16"/>
  <c r="D649" i="16"/>
  <c r="D648" i="16"/>
  <c r="D646" i="16"/>
  <c r="D645" i="16"/>
  <c r="D644" i="16"/>
  <c r="D643" i="16"/>
  <c r="D642" i="16"/>
  <c r="D641" i="16"/>
  <c r="D640" i="16"/>
  <c r="D639" i="16"/>
  <c r="D637" i="16"/>
  <c r="D635" i="16"/>
  <c r="D634" i="16"/>
  <c r="D633" i="16"/>
  <c r="D632" i="16"/>
  <c r="D631" i="16"/>
  <c r="D630" i="16"/>
  <c r="D629" i="16"/>
  <c r="D628" i="16"/>
  <c r="D627" i="16"/>
  <c r="D626" i="16"/>
  <c r="D624" i="16"/>
  <c r="D623" i="16"/>
  <c r="C623" i="16"/>
  <c r="D659" i="16" s="1"/>
  <c r="D664" i="16" s="1"/>
  <c r="D619" i="16"/>
  <c r="C619" i="16"/>
  <c r="D667" i="16" s="1"/>
  <c r="D617" i="16"/>
  <c r="D615" i="16"/>
  <c r="C615" i="16"/>
  <c r="D599" i="16"/>
  <c r="K17" i="15" s="1"/>
  <c r="D595" i="16"/>
  <c r="D594" i="16"/>
  <c r="D598" i="16" s="1"/>
  <c r="D593" i="16"/>
  <c r="D589" i="16"/>
  <c r="D587" i="16"/>
  <c r="D586" i="16"/>
  <c r="D585" i="16"/>
  <c r="D584" i="16"/>
  <c r="D583" i="16"/>
  <c r="D582" i="16"/>
  <c r="D581" i="16"/>
  <c r="D579" i="16"/>
  <c r="D578" i="16"/>
  <c r="D577" i="16"/>
  <c r="D576" i="16"/>
  <c r="D575" i="16"/>
  <c r="D574" i="16"/>
  <c r="D573" i="16"/>
  <c r="D572" i="16"/>
  <c r="D570" i="16"/>
  <c r="D568" i="16"/>
  <c r="D567" i="16"/>
  <c r="D566" i="16"/>
  <c r="D565" i="16"/>
  <c r="D564" i="16"/>
  <c r="D563" i="16"/>
  <c r="D562" i="16"/>
  <c r="D561" i="16"/>
  <c r="D560" i="16"/>
  <c r="D559" i="16"/>
  <c r="D557" i="16"/>
  <c r="D556" i="16"/>
  <c r="D552" i="16"/>
  <c r="C552" i="16"/>
  <c r="D550" i="16"/>
  <c r="D548" i="16"/>
  <c r="C548" i="16"/>
  <c r="C556" i="16" s="1"/>
  <c r="D528" i="16"/>
  <c r="D527" i="16"/>
  <c r="D531" i="16" s="1"/>
  <c r="D526" i="16"/>
  <c r="D522" i="16"/>
  <c r="D520" i="16"/>
  <c r="D519" i="16"/>
  <c r="D518" i="16"/>
  <c r="D517" i="16"/>
  <c r="D516" i="16"/>
  <c r="D515" i="16"/>
  <c r="D514" i="16"/>
  <c r="D512" i="16"/>
  <c r="D511" i="16"/>
  <c r="D510" i="16"/>
  <c r="D509" i="16"/>
  <c r="D508" i="16"/>
  <c r="D507" i="16"/>
  <c r="D506" i="16"/>
  <c r="D505" i="16"/>
  <c r="D503" i="16"/>
  <c r="D501" i="16"/>
  <c r="D500" i="16"/>
  <c r="D499" i="16"/>
  <c r="D498" i="16"/>
  <c r="D497" i="16"/>
  <c r="D496" i="16"/>
  <c r="D495" i="16"/>
  <c r="D494" i="16"/>
  <c r="D493" i="16"/>
  <c r="D492" i="16"/>
  <c r="D490" i="16"/>
  <c r="D489" i="16"/>
  <c r="C489" i="16"/>
  <c r="D525" i="16" s="1"/>
  <c r="D485" i="16"/>
  <c r="C485" i="16"/>
  <c r="D532" i="16" s="1"/>
  <c r="D483" i="16"/>
  <c r="D481" i="16"/>
  <c r="C481" i="16"/>
  <c r="D461" i="16"/>
  <c r="D465" i="16" s="1"/>
  <c r="I17" i="15" s="1"/>
  <c r="D460" i="16"/>
  <c r="D464" i="16" s="1"/>
  <c r="I16" i="15" s="1"/>
  <c r="D459" i="16"/>
  <c r="D455" i="16"/>
  <c r="D453" i="16"/>
  <c r="D452" i="16"/>
  <c r="D451" i="16"/>
  <c r="D450" i="16"/>
  <c r="D449" i="16"/>
  <c r="D448" i="16"/>
  <c r="D447" i="16"/>
  <c r="D445" i="16"/>
  <c r="D444" i="16"/>
  <c r="D443" i="16"/>
  <c r="D442" i="16"/>
  <c r="D441" i="16"/>
  <c r="D440" i="16"/>
  <c r="D439" i="16"/>
  <c r="D438" i="16"/>
  <c r="D436" i="16"/>
  <c r="D434" i="16"/>
  <c r="D433" i="16"/>
  <c r="D432" i="16"/>
  <c r="D431" i="16"/>
  <c r="D430" i="16"/>
  <c r="D429" i="16"/>
  <c r="D428" i="16"/>
  <c r="D427" i="16"/>
  <c r="D426" i="16"/>
  <c r="D425" i="16"/>
  <c r="D423" i="16"/>
  <c r="D422" i="16"/>
  <c r="D418" i="16"/>
  <c r="C418" i="16"/>
  <c r="D416" i="16"/>
  <c r="D414" i="16"/>
  <c r="C414" i="16"/>
  <c r="C422" i="16" s="1"/>
  <c r="D395" i="16"/>
  <c r="D394" i="16"/>
  <c r="D398" i="16" s="1"/>
  <c r="D393" i="16"/>
  <c r="D392" i="16"/>
  <c r="D388" i="16"/>
  <c r="D386" i="16"/>
  <c r="D385" i="16"/>
  <c r="D384" i="16"/>
  <c r="D383" i="16"/>
  <c r="D382" i="16"/>
  <c r="D381" i="16"/>
  <c r="D380" i="16"/>
  <c r="D378" i="16"/>
  <c r="D377" i="16"/>
  <c r="D376" i="16"/>
  <c r="D375" i="16"/>
  <c r="D374" i="16"/>
  <c r="D373" i="16"/>
  <c r="D372" i="16"/>
  <c r="D371" i="16"/>
  <c r="D369" i="16"/>
  <c r="C369" i="16"/>
  <c r="C388" i="16" s="1"/>
  <c r="D367" i="16"/>
  <c r="D366" i="16"/>
  <c r="D365" i="16"/>
  <c r="D364" i="16"/>
  <c r="D363" i="16"/>
  <c r="D362" i="16"/>
  <c r="D361" i="16"/>
  <c r="D360" i="16"/>
  <c r="D359" i="16"/>
  <c r="D358" i="16"/>
  <c r="D356" i="16"/>
  <c r="D355" i="16"/>
  <c r="C355" i="16"/>
  <c r="D351" i="16"/>
  <c r="C351" i="16"/>
  <c r="D397" i="16" s="1"/>
  <c r="H16" i="15" s="1"/>
  <c r="D349" i="16"/>
  <c r="D347" i="16"/>
  <c r="C347" i="16"/>
  <c r="D331" i="16"/>
  <c r="G17" i="15" s="1"/>
  <c r="D327" i="16"/>
  <c r="D326" i="16"/>
  <c r="D325" i="16"/>
  <c r="D321" i="16"/>
  <c r="D319" i="16"/>
  <c r="D318" i="16"/>
  <c r="D317" i="16"/>
  <c r="D316" i="16"/>
  <c r="D315" i="16"/>
  <c r="D314" i="16"/>
  <c r="D313" i="16"/>
  <c r="D311" i="16"/>
  <c r="D310" i="16"/>
  <c r="D309" i="16"/>
  <c r="D308" i="16"/>
  <c r="D307" i="16"/>
  <c r="D306" i="16"/>
  <c r="D305" i="16"/>
  <c r="D304" i="16"/>
  <c r="D302" i="16"/>
  <c r="D300" i="16"/>
  <c r="D299" i="16"/>
  <c r="D298" i="16"/>
  <c r="D297" i="16"/>
  <c r="D296" i="16"/>
  <c r="D295" i="16"/>
  <c r="D294" i="16"/>
  <c r="D293" i="16"/>
  <c r="D292" i="16"/>
  <c r="D291" i="16"/>
  <c r="D289" i="16"/>
  <c r="D288" i="16"/>
  <c r="C288" i="16"/>
  <c r="D284" i="16"/>
  <c r="C284" i="16"/>
  <c r="D330" i="16" s="1"/>
  <c r="G16" i="15" s="1"/>
  <c r="D282" i="16"/>
  <c r="D280" i="16"/>
  <c r="C280" i="16"/>
  <c r="D260" i="16"/>
  <c r="D264" i="16" s="1"/>
  <c r="F17" i="15" s="1"/>
  <c r="D259" i="16"/>
  <c r="D263" i="16" s="1"/>
  <c r="D258" i="16"/>
  <c r="D254" i="16"/>
  <c r="D252" i="16"/>
  <c r="D251" i="16"/>
  <c r="D250" i="16"/>
  <c r="D249" i="16"/>
  <c r="D248" i="16"/>
  <c r="D247" i="16"/>
  <c r="D246" i="16"/>
  <c r="D244" i="16"/>
  <c r="D243" i="16"/>
  <c r="D242" i="16"/>
  <c r="D241" i="16"/>
  <c r="D240" i="16"/>
  <c r="D239" i="16"/>
  <c r="D238" i="16"/>
  <c r="D237" i="16"/>
  <c r="D235" i="16"/>
  <c r="D233" i="16"/>
  <c r="D232" i="16"/>
  <c r="D231" i="16"/>
  <c r="D230" i="16"/>
  <c r="D229" i="16"/>
  <c r="D228" i="16"/>
  <c r="D227" i="16"/>
  <c r="D226" i="16"/>
  <c r="D225" i="16"/>
  <c r="D224" i="16"/>
  <c r="D222" i="16"/>
  <c r="D221" i="16"/>
  <c r="D217" i="16"/>
  <c r="C217" i="16"/>
  <c r="D215" i="16"/>
  <c r="D213" i="16"/>
  <c r="C213" i="16"/>
  <c r="C221" i="16" s="1"/>
  <c r="D196" i="16"/>
  <c r="E16" i="15" s="1"/>
  <c r="D193" i="16"/>
  <c r="D192" i="16"/>
  <c r="D191" i="16"/>
  <c r="D187" i="16"/>
  <c r="D185" i="16"/>
  <c r="D184" i="16"/>
  <c r="D183" i="16"/>
  <c r="D182" i="16"/>
  <c r="D181" i="16"/>
  <c r="D180" i="16"/>
  <c r="D179" i="16"/>
  <c r="D177" i="16"/>
  <c r="D176" i="16"/>
  <c r="D175" i="16"/>
  <c r="D174" i="16"/>
  <c r="D173" i="16"/>
  <c r="D172" i="16"/>
  <c r="D171" i="16"/>
  <c r="D170" i="16"/>
  <c r="D168" i="16"/>
  <c r="D166" i="16"/>
  <c r="D165" i="16"/>
  <c r="D164" i="16"/>
  <c r="D163" i="16"/>
  <c r="D162" i="16"/>
  <c r="D161" i="16"/>
  <c r="D160" i="16"/>
  <c r="D159" i="16"/>
  <c r="D158" i="16"/>
  <c r="D157" i="16"/>
  <c r="D155" i="16"/>
  <c r="D154" i="16"/>
  <c r="D150" i="16"/>
  <c r="C150" i="16"/>
  <c r="D148" i="16"/>
  <c r="D146" i="16"/>
  <c r="C146" i="16"/>
  <c r="C154" i="16" s="1"/>
  <c r="D126" i="16"/>
  <c r="D125" i="16"/>
  <c r="D129" i="16" s="1"/>
  <c r="D124" i="16"/>
  <c r="D120" i="16"/>
  <c r="D118" i="16"/>
  <c r="D117" i="16"/>
  <c r="D116" i="16"/>
  <c r="D115" i="16"/>
  <c r="D114" i="16"/>
  <c r="D113" i="16"/>
  <c r="D112" i="16"/>
  <c r="D110" i="16"/>
  <c r="D109" i="16"/>
  <c r="D108" i="16"/>
  <c r="D107" i="16"/>
  <c r="D106" i="16"/>
  <c r="D105" i="16"/>
  <c r="D104" i="16"/>
  <c r="D103" i="16"/>
  <c r="D101" i="16"/>
  <c r="D99" i="16"/>
  <c r="D98" i="16"/>
  <c r="D97" i="16"/>
  <c r="D96" i="16"/>
  <c r="D95" i="16"/>
  <c r="D94" i="16"/>
  <c r="D93" i="16"/>
  <c r="D92" i="16"/>
  <c r="D91" i="16"/>
  <c r="D90" i="16"/>
  <c r="D88" i="16"/>
  <c r="D87" i="16"/>
  <c r="C87" i="16"/>
  <c r="D123" i="16" s="1"/>
  <c r="D83" i="16"/>
  <c r="C83" i="16"/>
  <c r="D130" i="16" s="1"/>
  <c r="D81" i="16"/>
  <c r="D79" i="16"/>
  <c r="C79" i="16"/>
  <c r="D59" i="16"/>
  <c r="D53" i="16"/>
  <c r="D52" i="16"/>
  <c r="D51" i="16"/>
  <c r="D50" i="16"/>
  <c r="D49" i="16"/>
  <c r="D48" i="16"/>
  <c r="C48" i="16"/>
  <c r="D47" i="16"/>
  <c r="D46" i="16"/>
  <c r="D45" i="16"/>
  <c r="D43" i="16"/>
  <c r="D42" i="16"/>
  <c r="D41" i="16"/>
  <c r="D40" i="16"/>
  <c r="D39" i="16"/>
  <c r="D38" i="16"/>
  <c r="D37" i="16"/>
  <c r="C37" i="16"/>
  <c r="D36" i="16"/>
  <c r="D35" i="16"/>
  <c r="D34" i="16"/>
  <c r="D33" i="16"/>
  <c r="C33" i="16"/>
  <c r="D31" i="16"/>
  <c r="D30" i="16"/>
  <c r="D29" i="16"/>
  <c r="D28" i="16"/>
  <c r="D27" i="16"/>
  <c r="D26" i="16"/>
  <c r="C26" i="16"/>
  <c r="C38" i="16" s="1"/>
  <c r="D25" i="16"/>
  <c r="D24" i="16"/>
  <c r="C24" i="16"/>
  <c r="C35" i="16" s="1"/>
  <c r="D23" i="16"/>
  <c r="D22" i="16"/>
  <c r="C22" i="16"/>
  <c r="D57" i="16" s="1"/>
  <c r="C8" i="15" s="1"/>
  <c r="D21" i="16"/>
  <c r="D20" i="16"/>
  <c r="D18" i="16"/>
  <c r="D17" i="16"/>
  <c r="C17" i="16"/>
  <c r="D16" i="16"/>
  <c r="C16" i="16"/>
  <c r="D15" i="16"/>
  <c r="D14" i="16"/>
  <c r="D10" i="16"/>
  <c r="C10" i="16"/>
  <c r="D8" i="16"/>
  <c r="D6" i="16"/>
  <c r="C4" i="16"/>
  <c r="C6" i="16" s="1"/>
  <c r="C14" i="16" s="1"/>
  <c r="K75" i="15"/>
  <c r="L74" i="15"/>
  <c r="I74" i="15"/>
  <c r="G74" i="15"/>
  <c r="F74" i="15"/>
  <c r="K73" i="15"/>
  <c r="J73" i="15"/>
  <c r="H73" i="15"/>
  <c r="G73" i="15"/>
  <c r="K72" i="15"/>
  <c r="L70" i="15"/>
  <c r="K70" i="15"/>
  <c r="J70" i="15"/>
  <c r="I70" i="15"/>
  <c r="H70" i="15"/>
  <c r="G70" i="15"/>
  <c r="F70" i="15"/>
  <c r="E70" i="15"/>
  <c r="D70" i="15"/>
  <c r="C70" i="15"/>
  <c r="L69" i="15"/>
  <c r="K69" i="15"/>
  <c r="J69" i="15"/>
  <c r="I69" i="15"/>
  <c r="H69" i="15"/>
  <c r="G69" i="15"/>
  <c r="F69" i="15"/>
  <c r="E69" i="15"/>
  <c r="D69" i="15"/>
  <c r="L68" i="15"/>
  <c r="K68" i="15"/>
  <c r="J68" i="15"/>
  <c r="I68" i="15"/>
  <c r="H68" i="15"/>
  <c r="G68" i="15"/>
  <c r="F68" i="15"/>
  <c r="E68" i="15"/>
  <c r="C68" i="15"/>
  <c r="L67" i="15"/>
  <c r="K67" i="15"/>
  <c r="J67" i="15"/>
  <c r="I67" i="15"/>
  <c r="H67" i="15"/>
  <c r="G67" i="15"/>
  <c r="F67" i="15"/>
  <c r="E67" i="15"/>
  <c r="D67" i="15"/>
  <c r="C67" i="15"/>
  <c r="K66" i="15"/>
  <c r="L65" i="15"/>
  <c r="K65" i="15"/>
  <c r="J65" i="15"/>
  <c r="I65" i="15"/>
  <c r="H65" i="15"/>
  <c r="G65" i="15"/>
  <c r="F65" i="15"/>
  <c r="E65" i="15"/>
  <c r="D65" i="15"/>
  <c r="C65" i="15"/>
  <c r="P64" i="15"/>
  <c r="L55" i="15"/>
  <c r="K55" i="15"/>
  <c r="J55" i="15"/>
  <c r="I55" i="15"/>
  <c r="H55" i="15"/>
  <c r="F55" i="15"/>
  <c r="D55" i="15"/>
  <c r="K54" i="15"/>
  <c r="J54" i="15"/>
  <c r="I54" i="15"/>
  <c r="H54" i="15"/>
  <c r="F54" i="15"/>
  <c r="E54" i="15"/>
  <c r="L51" i="15"/>
  <c r="K51" i="15"/>
  <c r="J51" i="15"/>
  <c r="I51" i="15"/>
  <c r="H51" i="15"/>
  <c r="G51" i="15"/>
  <c r="F51" i="15"/>
  <c r="E51" i="15"/>
  <c r="D51" i="15"/>
  <c r="C51" i="15"/>
  <c r="L50" i="15"/>
  <c r="K50" i="15"/>
  <c r="J50" i="15"/>
  <c r="I50" i="15"/>
  <c r="H50" i="15"/>
  <c r="G50" i="15"/>
  <c r="F50" i="15"/>
  <c r="E50" i="15"/>
  <c r="D50" i="15"/>
  <c r="C50" i="15"/>
  <c r="L49" i="15"/>
  <c r="K49" i="15"/>
  <c r="J49" i="15"/>
  <c r="I49" i="15"/>
  <c r="H49" i="15"/>
  <c r="G49" i="15"/>
  <c r="F49" i="15"/>
  <c r="E49" i="15"/>
  <c r="C49" i="15"/>
  <c r="L48" i="15"/>
  <c r="K48" i="15"/>
  <c r="J48" i="15"/>
  <c r="I48" i="15"/>
  <c r="H48" i="15"/>
  <c r="G48" i="15"/>
  <c r="F48" i="15"/>
  <c r="E48" i="15"/>
  <c r="D48" i="15"/>
  <c r="C47" i="15"/>
  <c r="L46" i="15"/>
  <c r="K46" i="15"/>
  <c r="J46" i="15"/>
  <c r="I46" i="15"/>
  <c r="H46" i="15"/>
  <c r="G46" i="15"/>
  <c r="F46" i="15"/>
  <c r="E46" i="15"/>
  <c r="D46" i="15"/>
  <c r="C46" i="15"/>
  <c r="P45" i="15"/>
  <c r="L36" i="15"/>
  <c r="K36" i="15"/>
  <c r="J36" i="15"/>
  <c r="I36" i="15"/>
  <c r="G36" i="15"/>
  <c r="E36" i="15"/>
  <c r="D36" i="15"/>
  <c r="L35" i="15"/>
  <c r="J35" i="15"/>
  <c r="I35" i="15"/>
  <c r="F35" i="15"/>
  <c r="D35" i="15"/>
  <c r="L32" i="15"/>
  <c r="K32" i="15"/>
  <c r="J32" i="15"/>
  <c r="I32" i="15"/>
  <c r="H32" i="15"/>
  <c r="G32" i="15"/>
  <c r="F32" i="15"/>
  <c r="E32" i="15"/>
  <c r="D32" i="15"/>
  <c r="C32" i="15"/>
  <c r="L31" i="15"/>
  <c r="K31" i="15"/>
  <c r="J31" i="15"/>
  <c r="I31" i="15"/>
  <c r="H31" i="15"/>
  <c r="G31" i="15"/>
  <c r="F31" i="15"/>
  <c r="E31" i="15"/>
  <c r="D31" i="15"/>
  <c r="C31" i="15"/>
  <c r="L30" i="15"/>
  <c r="K30" i="15"/>
  <c r="J30" i="15"/>
  <c r="I30" i="15"/>
  <c r="H30" i="15"/>
  <c r="G30" i="15"/>
  <c r="F30" i="15"/>
  <c r="E30" i="15"/>
  <c r="D30" i="15"/>
  <c r="L29" i="15"/>
  <c r="K29" i="15"/>
  <c r="J29" i="15"/>
  <c r="I29" i="15"/>
  <c r="H29" i="15"/>
  <c r="G29" i="15"/>
  <c r="F29" i="15"/>
  <c r="E29" i="15"/>
  <c r="D29" i="15"/>
  <c r="C29" i="15"/>
  <c r="L27" i="15"/>
  <c r="K27" i="15"/>
  <c r="J27" i="15"/>
  <c r="I27" i="15"/>
  <c r="H27" i="15"/>
  <c r="G27" i="15"/>
  <c r="F27" i="15"/>
  <c r="E27" i="15"/>
  <c r="D27" i="15"/>
  <c r="C27" i="15"/>
  <c r="P26" i="15"/>
  <c r="L18" i="15"/>
  <c r="P17" i="15"/>
  <c r="O17" i="15"/>
  <c r="N17" i="15"/>
  <c r="M17" i="15"/>
  <c r="J17" i="15"/>
  <c r="H17" i="15"/>
  <c r="D17" i="15"/>
  <c r="O16" i="15"/>
  <c r="N16" i="15"/>
  <c r="L16" i="15"/>
  <c r="K16" i="15"/>
  <c r="J16" i="15"/>
  <c r="F16" i="15"/>
  <c r="D16" i="15"/>
  <c r="L15" i="15"/>
  <c r="H14" i="15"/>
  <c r="P11" i="15"/>
  <c r="P12" i="15" s="1"/>
  <c r="O11" i="15"/>
  <c r="N11" i="15"/>
  <c r="M11" i="15"/>
  <c r="L11" i="15"/>
  <c r="L12" i="15" s="1"/>
  <c r="K11" i="15"/>
  <c r="J11" i="15"/>
  <c r="I11" i="15"/>
  <c r="H11" i="15"/>
  <c r="G11" i="15"/>
  <c r="F11" i="15"/>
  <c r="E11" i="15"/>
  <c r="D11" i="15"/>
  <c r="C11" i="15"/>
  <c r="P10" i="15"/>
  <c r="O10" i="15"/>
  <c r="N10" i="15"/>
  <c r="M10" i="15"/>
  <c r="L10" i="15"/>
  <c r="K10" i="15"/>
  <c r="J10" i="15"/>
  <c r="I10" i="15"/>
  <c r="H10" i="15"/>
  <c r="G10" i="15"/>
  <c r="E10" i="15"/>
  <c r="D10" i="15"/>
  <c r="C10" i="15"/>
  <c r="P9" i="15"/>
  <c r="O9" i="15"/>
  <c r="N9" i="15"/>
  <c r="M9" i="15"/>
  <c r="L9" i="15"/>
  <c r="K9" i="15"/>
  <c r="J9" i="15"/>
  <c r="I9" i="15"/>
  <c r="H9" i="15"/>
  <c r="G9" i="15"/>
  <c r="F9" i="15"/>
  <c r="E9" i="15"/>
  <c r="D9" i="15"/>
  <c r="P8" i="15"/>
  <c r="O8" i="15"/>
  <c r="N8" i="15"/>
  <c r="M8" i="15"/>
  <c r="L8" i="15"/>
  <c r="K8" i="15"/>
  <c r="J8" i="15"/>
  <c r="I8" i="15"/>
  <c r="H8" i="15"/>
  <c r="G8" i="15"/>
  <c r="F8" i="15"/>
  <c r="E8" i="15"/>
  <c r="D8" i="15"/>
  <c r="P7" i="15"/>
  <c r="L7" i="15"/>
  <c r="P6" i="15"/>
  <c r="O6" i="15"/>
  <c r="N6" i="15"/>
  <c r="M6" i="15"/>
  <c r="L6" i="15"/>
  <c r="K6" i="15"/>
  <c r="J6" i="15"/>
  <c r="I6" i="15"/>
  <c r="H6" i="15"/>
  <c r="G6" i="15"/>
  <c r="F6" i="15"/>
  <c r="E6" i="15"/>
  <c r="D6" i="15"/>
  <c r="C6" i="15"/>
  <c r="P5" i="15"/>
  <c r="D128" i="16" l="1"/>
  <c r="D15" i="15" s="1"/>
  <c r="D131" i="16"/>
  <c r="D18" i="15" s="1"/>
  <c r="D7" i="15"/>
  <c r="D12" i="15" s="1"/>
  <c r="C764" i="19"/>
  <c r="D786" i="19"/>
  <c r="D791" i="19" s="1"/>
  <c r="D190" i="16"/>
  <c r="D524" i="17"/>
  <c r="J34" i="15" s="1"/>
  <c r="D527" i="17"/>
  <c r="J37" i="15" s="1"/>
  <c r="J28" i="15"/>
  <c r="D61" i="18"/>
  <c r="C59" i="15" s="1"/>
  <c r="D56" i="18"/>
  <c r="C54" i="15" s="1"/>
  <c r="D62" i="19"/>
  <c r="C79" i="15" s="1"/>
  <c r="D57" i="19"/>
  <c r="C74" i="15" s="1"/>
  <c r="C69" i="15"/>
  <c r="D858" i="19"/>
  <c r="D861" i="19"/>
  <c r="C704" i="16"/>
  <c r="D726" i="16"/>
  <c r="D530" i="16"/>
  <c r="J15" i="15" s="1"/>
  <c r="D533" i="16"/>
  <c r="J18" i="15" s="1"/>
  <c r="D122" i="19"/>
  <c r="D73" i="15" s="1"/>
  <c r="D68" i="15"/>
  <c r="D189" i="19"/>
  <c r="E73" i="15" s="1"/>
  <c r="J7" i="15"/>
  <c r="J12" i="15" s="1"/>
  <c r="C168" i="16"/>
  <c r="D592" i="16"/>
  <c r="C570" i="16"/>
  <c r="D456" i="18"/>
  <c r="I53" i="15" s="1"/>
  <c r="D459" i="18"/>
  <c r="I56" i="15" s="1"/>
  <c r="I47" i="15"/>
  <c r="D63" i="19"/>
  <c r="C80" i="15" s="1"/>
  <c r="D60" i="19"/>
  <c r="C77" i="15" s="1"/>
  <c r="D59" i="19"/>
  <c r="D56" i="16"/>
  <c r="D64" i="16" s="1"/>
  <c r="C18" i="15" s="1"/>
  <c r="F10" i="15"/>
  <c r="D256" i="17"/>
  <c r="F34" i="15" s="1"/>
  <c r="F28" i="15"/>
  <c r="D60" i="18"/>
  <c r="C58" i="15" s="1"/>
  <c r="D59" i="18"/>
  <c r="C57" i="15" s="1"/>
  <c r="C48" i="15"/>
  <c r="C31" i="16"/>
  <c r="D257" i="16"/>
  <c r="C235" i="16"/>
  <c r="D57" i="17"/>
  <c r="C36" i="15" s="1"/>
  <c r="D62" i="17"/>
  <c r="C583" i="17"/>
  <c r="D590" i="17"/>
  <c r="K33" i="15" s="1"/>
  <c r="C917" i="19"/>
  <c r="D924" i="19"/>
  <c r="C302" i="16"/>
  <c r="C430" i="17"/>
  <c r="D452" i="17"/>
  <c r="D460" i="17" s="1"/>
  <c r="I37" i="15" s="1"/>
  <c r="D63" i="16"/>
  <c r="C17" i="15" s="1"/>
  <c r="D198" i="16"/>
  <c r="E18" i="15" s="1"/>
  <c r="D197" i="16"/>
  <c r="E17" i="15" s="1"/>
  <c r="D932" i="16"/>
  <c r="P15" i="15" s="1"/>
  <c r="D935" i="16"/>
  <c r="P18" i="15" s="1"/>
  <c r="C515" i="18"/>
  <c r="D522" i="18"/>
  <c r="J52" i="15" s="1"/>
  <c r="C362" i="18"/>
  <c r="D384" i="18"/>
  <c r="D392" i="18" s="1"/>
  <c r="H56" i="15" s="1"/>
  <c r="D129" i="19"/>
  <c r="D80" i="15" s="1"/>
  <c r="D58" i="16"/>
  <c r="C101" i="16"/>
  <c r="D324" i="16"/>
  <c r="D793" i="16"/>
  <c r="C771" i="16"/>
  <c r="D265" i="16"/>
  <c r="F18" i="15" s="1"/>
  <c r="D458" i="16"/>
  <c r="C436" i="16"/>
  <c r="C295" i="19"/>
  <c r="D317" i="19"/>
  <c r="C905" i="16"/>
  <c r="D385" i="17"/>
  <c r="D393" i="17" s="1"/>
  <c r="H37" i="15" s="1"/>
  <c r="C363" i="17"/>
  <c r="D125" i="18"/>
  <c r="C94" i="18"/>
  <c r="D116" i="18"/>
  <c r="D128" i="18"/>
  <c r="C228" i="18"/>
  <c r="D250" i="18"/>
  <c r="C630" i="19"/>
  <c r="D652" i="19"/>
  <c r="D660" i="19" s="1"/>
  <c r="L75" i="15" s="1"/>
  <c r="D801" i="16"/>
  <c r="N18" i="15" s="1"/>
  <c r="C296" i="17"/>
  <c r="D318" i="17"/>
  <c r="D183" i="18"/>
  <c r="C161" i="18"/>
  <c r="D61" i="19"/>
  <c r="C78" i="15" s="1"/>
  <c r="D56" i="19"/>
  <c r="C73" i="15" s="1"/>
  <c r="D193" i="19"/>
  <c r="E77" i="15" s="1"/>
  <c r="C1166" i="19"/>
  <c r="D1188" i="19"/>
  <c r="D1193" i="19" s="1"/>
  <c r="D391" i="16"/>
  <c r="D600" i="16"/>
  <c r="K18" i="15" s="1"/>
  <c r="D734" i="16"/>
  <c r="M18" i="15" s="1"/>
  <c r="D59" i="17"/>
  <c r="C497" i="17"/>
  <c r="D63" i="18"/>
  <c r="C61" i="15" s="1"/>
  <c r="C429" i="18"/>
  <c r="D190" i="19"/>
  <c r="E74" i="15" s="1"/>
  <c r="D384" i="19"/>
  <c r="D518" i="19"/>
  <c r="C496" i="19"/>
  <c r="C831" i="19"/>
  <c r="D1121" i="19"/>
  <c r="D1126" i="19" s="1"/>
  <c r="C1099" i="19"/>
  <c r="C503" i="16"/>
  <c r="D50" i="17"/>
  <c r="C28" i="17"/>
  <c r="D52" i="17"/>
  <c r="D184" i="17"/>
  <c r="C162" i="17"/>
  <c r="D196" i="17"/>
  <c r="C362" i="19"/>
  <c r="D63" i="17"/>
  <c r="C42" i="15" s="1"/>
  <c r="D259" i="17"/>
  <c r="F37" i="15" s="1"/>
  <c r="D326" i="17"/>
  <c r="G37" i="15" s="1"/>
  <c r="D652" i="18"/>
  <c r="C630" i="18"/>
  <c r="D124" i="19"/>
  <c r="D75" i="15" s="1"/>
  <c r="D123" i="19"/>
  <c r="D74" i="15" s="1"/>
  <c r="C228" i="19"/>
  <c r="D260" i="19"/>
  <c r="F77" i="15" s="1"/>
  <c r="D250" i="19"/>
  <c r="D1054" i="19"/>
  <c r="D1059" i="19" s="1"/>
  <c r="C1032" i="19"/>
  <c r="D1196" i="19"/>
  <c r="C838" i="16"/>
  <c r="D860" i="16"/>
  <c r="D392" i="17"/>
  <c r="H36" i="15" s="1"/>
  <c r="D586" i="17"/>
  <c r="D55" i="18"/>
  <c r="C53" i="15" s="1"/>
  <c r="D324" i="18"/>
  <c r="G55" i="15" s="1"/>
  <c r="D518" i="18"/>
  <c r="D58" i="19"/>
  <c r="C75" i="15" s="1"/>
  <c r="D526" i="19"/>
  <c r="J75" i="15" s="1"/>
  <c r="D726" i="19"/>
  <c r="D920" i="19"/>
  <c r="D1129" i="19"/>
  <c r="D732" i="16"/>
  <c r="M16" i="15" s="1"/>
  <c r="D324" i="17"/>
  <c r="G35" i="15" s="1"/>
  <c r="C28" i="19"/>
  <c r="D194" i="19"/>
  <c r="E78" i="15" s="1"/>
  <c r="D258" i="19"/>
  <c r="F75" i="15" s="1"/>
  <c r="D658" i="19"/>
  <c r="L73" i="15" s="1"/>
  <c r="D794" i="19"/>
  <c r="D117" i="17"/>
  <c r="D653" i="17"/>
  <c r="C28" i="18"/>
  <c r="D585" i="18"/>
  <c r="D451" i="19"/>
  <c r="D987" i="19"/>
  <c r="D126" i="17"/>
  <c r="D38" i="15" s="1"/>
  <c r="D57" i="18"/>
  <c r="C55" i="15" s="1"/>
  <c r="C295" i="18"/>
  <c r="D50" i="19"/>
  <c r="D116" i="19"/>
  <c r="C161" i="19"/>
  <c r="D196" i="19"/>
  <c r="E80" i="15" s="1"/>
  <c r="C697" i="19"/>
  <c r="C637" i="16"/>
  <c r="C229" i="17"/>
  <c r="D592" i="17"/>
  <c r="K35" i="15" s="1"/>
  <c r="C99" i="18"/>
  <c r="D118" i="18" s="1"/>
  <c r="C94" i="19"/>
  <c r="D126" i="19"/>
  <c r="D77" i="15" s="1"/>
  <c r="C563" i="19"/>
  <c r="D129" i="17"/>
  <c r="D41" i="15" s="1"/>
  <c r="D317" i="18"/>
  <c r="D325" i="18" s="1"/>
  <c r="G56" i="15" s="1"/>
  <c r="D127" i="19"/>
  <c r="D183" i="19"/>
  <c r="D719" i="19"/>
  <c r="D724" i="19" s="1"/>
  <c r="D1127" i="19"/>
  <c r="D666" i="16"/>
  <c r="L17" i="15" s="1"/>
  <c r="C95" i="17"/>
  <c r="C631" i="17"/>
  <c r="D190" i="18"/>
  <c r="E55" i="15" s="1"/>
  <c r="C563" i="18"/>
  <c r="C429" i="19"/>
  <c r="D592" i="19"/>
  <c r="K74" i="15" s="1"/>
  <c r="C965" i="19"/>
  <c r="D1128" i="19"/>
  <c r="D122" i="18" l="1"/>
  <c r="D54" i="15" s="1"/>
  <c r="D49" i="15"/>
  <c r="D127" i="18"/>
  <c r="D723" i="19"/>
  <c r="C716" i="19"/>
  <c r="D456" i="19"/>
  <c r="I72" i="15" s="1"/>
  <c r="D459" i="19"/>
  <c r="I75" i="15" s="1"/>
  <c r="I66" i="15"/>
  <c r="D865" i="16"/>
  <c r="O15" i="15" s="1"/>
  <c r="O7" i="15"/>
  <c r="O12" i="15" s="1"/>
  <c r="C1051" i="19"/>
  <c r="D1058" i="19"/>
  <c r="C649" i="18"/>
  <c r="D656" i="18"/>
  <c r="L52" i="15" s="1"/>
  <c r="D56" i="17"/>
  <c r="C35" i="15" s="1"/>
  <c r="D61" i="17"/>
  <c r="C30" i="15"/>
  <c r="D857" i="19"/>
  <c r="C850" i="19"/>
  <c r="C515" i="19"/>
  <c r="D522" i="19"/>
  <c r="J71" i="15" s="1"/>
  <c r="D1192" i="19"/>
  <c r="C1185" i="19"/>
  <c r="C180" i="18"/>
  <c r="D187" i="18"/>
  <c r="E52" i="15" s="1"/>
  <c r="D255" i="18"/>
  <c r="F53" i="15" s="1"/>
  <c r="F47" i="15"/>
  <c r="D121" i="18"/>
  <c r="D53" i="15" s="1"/>
  <c r="D47" i="15"/>
  <c r="D389" i="17"/>
  <c r="H33" i="15" s="1"/>
  <c r="C382" i="17"/>
  <c r="E7" i="15"/>
  <c r="E12" i="15" s="1"/>
  <c r="D195" i="16"/>
  <c r="E15" i="15" s="1"/>
  <c r="C582" i="19"/>
  <c r="D589" i="19"/>
  <c r="K71" i="15" s="1"/>
  <c r="D392" i="19"/>
  <c r="H75" i="15" s="1"/>
  <c r="H66" i="15"/>
  <c r="D389" i="19"/>
  <c r="H72" i="15" s="1"/>
  <c r="D730" i="16"/>
  <c r="M14" i="15" s="1"/>
  <c r="C723" i="16"/>
  <c r="C650" i="17"/>
  <c r="D657" i="17"/>
  <c r="L33" i="15" s="1"/>
  <c r="D54" i="18"/>
  <c r="C52" i="15" s="1"/>
  <c r="C47" i="18"/>
  <c r="D390" i="17"/>
  <c r="H34" i="15" s="1"/>
  <c r="H28" i="15"/>
  <c r="D658" i="17"/>
  <c r="L34" i="15" s="1"/>
  <c r="D661" i="17"/>
  <c r="L37" i="15" s="1"/>
  <c r="L28" i="15"/>
  <c r="C247" i="19"/>
  <c r="D254" i="19"/>
  <c r="F71" i="15" s="1"/>
  <c r="D323" i="17"/>
  <c r="G34" i="15" s="1"/>
  <c r="G28" i="15"/>
  <c r="D126" i="18"/>
  <c r="D322" i="19"/>
  <c r="G72" i="15" s="1"/>
  <c r="D325" i="19"/>
  <c r="G75" i="15" s="1"/>
  <c r="G66" i="15"/>
  <c r="D262" i="16"/>
  <c r="F15" i="15" s="1"/>
  <c r="F7" i="15"/>
  <c r="F12" i="15" s="1"/>
  <c r="D125" i="19"/>
  <c r="C76" i="15"/>
  <c r="C589" i="16"/>
  <c r="D596" i="16"/>
  <c r="K14" i="15" s="1"/>
  <c r="D194" i="16"/>
  <c r="E14" i="15" s="1"/>
  <c r="C187" i="16"/>
  <c r="D1062" i="19"/>
  <c r="D188" i="19"/>
  <c r="E72" i="15" s="1"/>
  <c r="E66" i="15"/>
  <c r="D590" i="18"/>
  <c r="K53" i="15" s="1"/>
  <c r="D593" i="18"/>
  <c r="K56" i="15" s="1"/>
  <c r="K47" i="15"/>
  <c r="D188" i="18"/>
  <c r="E53" i="15" s="1"/>
  <c r="E47" i="15"/>
  <c r="D389" i="18"/>
  <c r="H53" i="15" s="1"/>
  <c r="H47" i="15"/>
  <c r="C114" i="17"/>
  <c r="D121" i="17"/>
  <c r="D33" i="15" s="1"/>
  <c r="C448" i="19"/>
  <c r="D455" i="19"/>
  <c r="I71" i="15" s="1"/>
  <c r="D322" i="18"/>
  <c r="G53" i="15" s="1"/>
  <c r="G47" i="15"/>
  <c r="D120" i="19"/>
  <c r="D71" i="15" s="1"/>
  <c r="C113" i="19"/>
  <c r="D189" i="17"/>
  <c r="E34" i="15" s="1"/>
  <c r="E28" i="15"/>
  <c r="C1118" i="19"/>
  <c r="D1125" i="19"/>
  <c r="D254" i="18"/>
  <c r="F52" i="15" s="1"/>
  <c r="C247" i="18"/>
  <c r="D321" i="19"/>
  <c r="G71" i="15" s="1"/>
  <c r="C314" i="19"/>
  <c r="D797" i="16"/>
  <c r="N14" i="15" s="1"/>
  <c r="C790" i="16"/>
  <c r="C321" i="16"/>
  <c r="D328" i="16"/>
  <c r="G14" i="15" s="1"/>
  <c r="D192" i="17"/>
  <c r="E37" i="15" s="1"/>
  <c r="D329" i="16"/>
  <c r="G15" i="15" s="1"/>
  <c r="D332" i="16"/>
  <c r="G18" i="15" s="1"/>
  <c r="G7" i="15"/>
  <c r="G12" i="15" s="1"/>
  <c r="D261" i="19"/>
  <c r="C254" i="16"/>
  <c r="D261" i="16"/>
  <c r="F14" i="15" s="1"/>
  <c r="D61" i="16"/>
  <c r="C15" i="15" s="1"/>
  <c r="C7" i="15"/>
  <c r="D657" i="18"/>
  <c r="L53" i="15" s="1"/>
  <c r="L47" i="15"/>
  <c r="C181" i="17"/>
  <c r="D188" i="17"/>
  <c r="E33" i="15" s="1"/>
  <c r="F15" i="16"/>
  <c r="D57" i="15"/>
  <c r="C783" i="19"/>
  <c r="D790" i="19"/>
  <c r="D187" i="19"/>
  <c r="E71" i="15" s="1"/>
  <c r="C180" i="19"/>
  <c r="D122" i="17"/>
  <c r="D34" i="15" s="1"/>
  <c r="D125" i="17"/>
  <c r="D37" i="15" s="1"/>
  <c r="D28" i="15"/>
  <c r="C857" i="16"/>
  <c r="D864" i="16"/>
  <c r="O14" i="15" s="1"/>
  <c r="D263" i="19"/>
  <c r="C656" i="16"/>
  <c r="D663" i="16"/>
  <c r="L14" i="15" s="1"/>
  <c r="D121" i="19"/>
  <c r="D72" i="15" s="1"/>
  <c r="D66" i="15"/>
  <c r="D591" i="17"/>
  <c r="K34" i="15" s="1"/>
  <c r="K28" i="15"/>
  <c r="C381" i="19"/>
  <c r="D388" i="19"/>
  <c r="H71" i="15" s="1"/>
  <c r="D193" i="17"/>
  <c r="D455" i="18"/>
  <c r="I52" i="15" s="1"/>
  <c r="C448" i="18"/>
  <c r="D130" i="17"/>
  <c r="D192" i="18"/>
  <c r="D594" i="17"/>
  <c r="K37" i="15" s="1"/>
  <c r="D931" i="16"/>
  <c r="P14" i="15" s="1"/>
  <c r="C924" i="16"/>
  <c r="D463" i="16"/>
  <c r="I15" i="15" s="1"/>
  <c r="I7" i="15"/>
  <c r="I12" i="15" s="1"/>
  <c r="C120" i="16"/>
  <c r="D127" i="16"/>
  <c r="D14" i="15" s="1"/>
  <c r="C41" i="15"/>
  <c r="H16" i="16"/>
  <c r="C53" i="16"/>
  <c r="D60" i="16"/>
  <c r="C14" i="15" s="1"/>
  <c r="D731" i="16"/>
  <c r="M15" i="15" s="1"/>
  <c r="M7" i="15"/>
  <c r="M12" i="15" s="1"/>
  <c r="C984" i="19"/>
  <c r="D991" i="19"/>
  <c r="C47" i="17"/>
  <c r="D54" i="17"/>
  <c r="C33" i="15" s="1"/>
  <c r="C248" i="17"/>
  <c r="D255" i="17"/>
  <c r="F33" i="15" s="1"/>
  <c r="D657" i="19"/>
  <c r="L72" i="15" s="1"/>
  <c r="L66" i="15"/>
  <c r="C455" i="16"/>
  <c r="D462" i="16"/>
  <c r="I14" i="15" s="1"/>
  <c r="D128" i="19"/>
  <c r="D55" i="19"/>
  <c r="C72" i="15" s="1"/>
  <c r="C66" i="15"/>
  <c r="D928" i="19"/>
  <c r="D925" i="19"/>
  <c r="D526" i="18"/>
  <c r="J56" i="15" s="1"/>
  <c r="D523" i="18"/>
  <c r="J53" i="15" s="1"/>
  <c r="J47" i="15"/>
  <c r="D258" i="18"/>
  <c r="F56" i="15" s="1"/>
  <c r="C522" i="16"/>
  <c r="D529" i="16"/>
  <c r="J14" i="15" s="1"/>
  <c r="D727" i="19"/>
  <c r="D523" i="17"/>
  <c r="J33" i="15" s="1"/>
  <c r="C516" i="17"/>
  <c r="D60" i="17"/>
  <c r="D656" i="19"/>
  <c r="L71" i="15" s="1"/>
  <c r="C649" i="19"/>
  <c r="H15" i="16"/>
  <c r="D60" i="15"/>
  <c r="D195" i="18"/>
  <c r="D798" i="16"/>
  <c r="N15" i="15" s="1"/>
  <c r="N7" i="15"/>
  <c r="N12" i="15" s="1"/>
  <c r="C381" i="18"/>
  <c r="D388" i="18"/>
  <c r="H52" i="15" s="1"/>
  <c r="C449" i="17"/>
  <c r="D456" i="17"/>
  <c r="I33" i="15" s="1"/>
  <c r="D660" i="18"/>
  <c r="L56" i="15" s="1"/>
  <c r="D597" i="16"/>
  <c r="K15" i="15" s="1"/>
  <c r="K7" i="15"/>
  <c r="K12" i="15" s="1"/>
  <c r="D321" i="18"/>
  <c r="G52" i="15" s="1"/>
  <c r="C314" i="18"/>
  <c r="D263" i="17"/>
  <c r="E41" i="15"/>
  <c r="C113" i="18"/>
  <c r="D120" i="18"/>
  <c r="D52" i="15" s="1"/>
  <c r="D78" i="15"/>
  <c r="G17" i="16"/>
  <c r="D54" i="19"/>
  <c r="C71" i="15" s="1"/>
  <c r="C47" i="19"/>
  <c r="D55" i="17"/>
  <c r="C34" i="15" s="1"/>
  <c r="C28" i="15"/>
  <c r="D523" i="19"/>
  <c r="J72" i="15" s="1"/>
  <c r="J66" i="15"/>
  <c r="D399" i="16"/>
  <c r="H18" i="15" s="1"/>
  <c r="H7" i="15"/>
  <c r="H12" i="15" s="1"/>
  <c r="D396" i="16"/>
  <c r="H15" i="15" s="1"/>
  <c r="D457" i="17"/>
  <c r="I34" i="15" s="1"/>
  <c r="I28" i="15"/>
  <c r="C582" i="18"/>
  <c r="D589" i="18"/>
  <c r="K52" i="15" s="1"/>
  <c r="D992" i="19"/>
  <c r="D995" i="19"/>
  <c r="D868" i="16"/>
  <c r="O18" i="15" s="1"/>
  <c r="D255" i="19"/>
  <c r="F72" i="15" s="1"/>
  <c r="F66" i="15"/>
  <c r="D191" i="18"/>
  <c r="E56" i="15" s="1"/>
  <c r="D124" i="18"/>
  <c r="D56" i="15" s="1"/>
  <c r="F16" i="16"/>
  <c r="C38" i="15"/>
  <c r="D322" i="17"/>
  <c r="G33" i="15" s="1"/>
  <c r="C315" i="17"/>
  <c r="D129" i="18"/>
  <c r="D327" i="19"/>
  <c r="D62" i="16"/>
  <c r="C16" i="15" s="1"/>
  <c r="C9" i="15"/>
  <c r="D58" i="17"/>
  <c r="C37" i="15" s="1"/>
  <c r="D191" i="19"/>
  <c r="E75" i="15" s="1"/>
  <c r="D466" i="16"/>
  <c r="I18" i="15" s="1"/>
  <c r="F80" i="15" l="1"/>
  <c r="D330" i="19"/>
  <c r="C12" i="15"/>
  <c r="C13" i="15"/>
  <c r="C40" i="15"/>
  <c r="G16" i="16"/>
  <c r="D128" i="17"/>
  <c r="D58" i="15"/>
  <c r="D193" i="18"/>
  <c r="D195" i="19"/>
  <c r="H17" i="16"/>
  <c r="D79" i="15"/>
  <c r="E57" i="15"/>
  <c r="D259" i="18"/>
  <c r="D65" i="16"/>
  <c r="D69" i="16"/>
  <c r="F41" i="15"/>
  <c r="D330" i="17"/>
  <c r="D42" i="15"/>
  <c r="D197" i="17"/>
  <c r="G77" i="15"/>
  <c r="D394" i="19"/>
  <c r="D127" i="17"/>
  <c r="C39" i="15"/>
  <c r="G15" i="16"/>
  <c r="D59" i="15"/>
  <c r="D194" i="18"/>
  <c r="E60" i="15"/>
  <c r="D262" i="18"/>
  <c r="D68" i="16"/>
  <c r="F78" i="15"/>
  <c r="D328" i="19"/>
  <c r="F17" i="16"/>
  <c r="D66" i="16" s="1"/>
  <c r="D76" i="15"/>
  <c r="D192" i="19"/>
  <c r="D61" i="15"/>
  <c r="D196" i="18"/>
  <c r="E38" i="15"/>
  <c r="D260" i="17"/>
  <c r="G78" i="15" l="1"/>
  <c r="D395" i="19"/>
  <c r="C19" i="15"/>
  <c r="D132" i="16"/>
  <c r="D461" i="19"/>
  <c r="H77" i="15"/>
  <c r="F57" i="15"/>
  <c r="D326" i="18"/>
  <c r="C22" i="15"/>
  <c r="D135" i="16"/>
  <c r="E61" i="15"/>
  <c r="D263" i="18"/>
  <c r="D329" i="18"/>
  <c r="F60" i="15"/>
  <c r="E42" i="15"/>
  <c r="D264" i="17"/>
  <c r="D39" i="15"/>
  <c r="D194" i="17"/>
  <c r="D40" i="15"/>
  <c r="D195" i="17"/>
  <c r="E76" i="15"/>
  <c r="D259" i="19"/>
  <c r="E59" i="15"/>
  <c r="D261" i="18"/>
  <c r="O13" i="15"/>
  <c r="J13" i="15"/>
  <c r="D13" i="15"/>
  <c r="I13" i="15"/>
  <c r="H13" i="15"/>
  <c r="P13" i="15"/>
  <c r="G13" i="15"/>
  <c r="F13" i="15"/>
  <c r="L13" i="15"/>
  <c r="N13" i="15"/>
  <c r="E13" i="15"/>
  <c r="K13" i="15"/>
  <c r="M13" i="15"/>
  <c r="C23" i="15"/>
  <c r="D136" i="16"/>
  <c r="F38" i="15"/>
  <c r="D327" i="17"/>
  <c r="G41" i="15"/>
  <c r="D397" i="17"/>
  <c r="E79" i="15"/>
  <c r="D262" i="19"/>
  <c r="G80" i="15"/>
  <c r="D397" i="19"/>
  <c r="C20" i="15"/>
  <c r="D133" i="16"/>
  <c r="D67" i="16"/>
  <c r="E58" i="15"/>
  <c r="D260" i="18"/>
  <c r="F76" i="15" l="1"/>
  <c r="D326" i="19"/>
  <c r="F79" i="15"/>
  <c r="D329" i="19"/>
  <c r="G60" i="15"/>
  <c r="D396" i="18"/>
  <c r="I77" i="15"/>
  <c r="D528" i="19"/>
  <c r="F42" i="15"/>
  <c r="D331" i="17"/>
  <c r="F58" i="15"/>
  <c r="D327" i="18"/>
  <c r="E40" i="15"/>
  <c r="D262" i="17"/>
  <c r="F61" i="15"/>
  <c r="D330" i="18"/>
  <c r="D19" i="15"/>
  <c r="D199" i="16"/>
  <c r="G57" i="15"/>
  <c r="D393" i="18"/>
  <c r="H41" i="15"/>
  <c r="D464" i="17"/>
  <c r="H80" i="15"/>
  <c r="D464" i="19"/>
  <c r="C21" i="15"/>
  <c r="D134" i="16"/>
  <c r="D261" i="17"/>
  <c r="E39" i="15"/>
  <c r="D22" i="15"/>
  <c r="D202" i="16"/>
  <c r="H78" i="15"/>
  <c r="D462" i="19"/>
  <c r="F59" i="15"/>
  <c r="D328" i="18"/>
  <c r="D23" i="15"/>
  <c r="D203" i="16"/>
  <c r="D20" i="15"/>
  <c r="D200" i="16"/>
  <c r="G38" i="15"/>
  <c r="D394" i="17"/>
  <c r="D595" i="19" l="1"/>
  <c r="J77" i="15"/>
  <c r="E20" i="15"/>
  <c r="D267" i="16"/>
  <c r="H60" i="15"/>
  <c r="D463" i="18"/>
  <c r="H38" i="15"/>
  <c r="D461" i="17"/>
  <c r="E22" i="15"/>
  <c r="D269" i="16"/>
  <c r="H57" i="15"/>
  <c r="D460" i="18"/>
  <c r="G58" i="15"/>
  <c r="D394" i="18"/>
  <c r="G79" i="15"/>
  <c r="D396" i="19"/>
  <c r="I78" i="15"/>
  <c r="D529" i="19"/>
  <c r="E23" i="15"/>
  <c r="D270" i="16"/>
  <c r="F39" i="15"/>
  <c r="D328" i="17"/>
  <c r="G61" i="15"/>
  <c r="D397" i="18"/>
  <c r="F40" i="15"/>
  <c r="D329" i="17"/>
  <c r="G59" i="15"/>
  <c r="D395" i="18"/>
  <c r="D21" i="15"/>
  <c r="D201" i="16"/>
  <c r="E19" i="15"/>
  <c r="D266" i="16"/>
  <c r="G42" i="15"/>
  <c r="D398" i="17"/>
  <c r="G76" i="15"/>
  <c r="D393" i="19"/>
  <c r="I80" i="15"/>
  <c r="D531" i="19"/>
  <c r="I41" i="15"/>
  <c r="D531" i="17"/>
  <c r="J41" i="15" l="1"/>
  <c r="D598" i="17"/>
  <c r="F19" i="15"/>
  <c r="D333" i="16"/>
  <c r="H61" i="15"/>
  <c r="D464" i="18"/>
  <c r="H79" i="15"/>
  <c r="D463" i="19"/>
  <c r="I38" i="15"/>
  <c r="D528" i="17"/>
  <c r="I60" i="15"/>
  <c r="D530" i="18"/>
  <c r="E21" i="15"/>
  <c r="D268" i="16"/>
  <c r="H76" i="15"/>
  <c r="D460" i="19"/>
  <c r="F20" i="15"/>
  <c r="D334" i="16"/>
  <c r="J80" i="15"/>
  <c r="D598" i="19"/>
  <c r="G39" i="15"/>
  <c r="D395" i="17"/>
  <c r="H58" i="15"/>
  <c r="D461" i="18"/>
  <c r="H59" i="15"/>
  <c r="D462" i="18"/>
  <c r="F23" i="15"/>
  <c r="D337" i="16"/>
  <c r="I57" i="15"/>
  <c r="D527" i="18"/>
  <c r="H42" i="15"/>
  <c r="D465" i="17"/>
  <c r="G40" i="15"/>
  <c r="D396" i="17"/>
  <c r="J78" i="15"/>
  <c r="D596" i="19"/>
  <c r="F22" i="15"/>
  <c r="D336" i="16"/>
  <c r="K77" i="15"/>
  <c r="D662" i="19"/>
  <c r="H40" i="15" l="1"/>
  <c r="D463" i="17"/>
  <c r="L77" i="15"/>
  <c r="D729" i="19"/>
  <c r="D796" i="19" s="1"/>
  <c r="D863" i="19" s="1"/>
  <c r="D930" i="19" s="1"/>
  <c r="D997" i="19" s="1"/>
  <c r="D1064" i="19" s="1"/>
  <c r="D1131" i="19" s="1"/>
  <c r="D1198" i="19" s="1"/>
  <c r="I42" i="15"/>
  <c r="D532" i="17"/>
  <c r="I58" i="15"/>
  <c r="D528" i="18"/>
  <c r="I76" i="15"/>
  <c r="D527" i="19"/>
  <c r="I79" i="15"/>
  <c r="D530" i="19"/>
  <c r="J57" i="15"/>
  <c r="D594" i="18"/>
  <c r="F21" i="15"/>
  <c r="D335" i="16"/>
  <c r="I61" i="15"/>
  <c r="D531" i="18"/>
  <c r="D403" i="16"/>
  <c r="G22" i="15"/>
  <c r="H39" i="15"/>
  <c r="D462" i="17"/>
  <c r="K78" i="15"/>
  <c r="D663" i="19"/>
  <c r="G23" i="15"/>
  <c r="D404" i="16"/>
  <c r="K80" i="15"/>
  <c r="D665" i="19"/>
  <c r="J60" i="15"/>
  <c r="D597" i="18"/>
  <c r="G19" i="15"/>
  <c r="D400" i="16"/>
  <c r="I59" i="15"/>
  <c r="D529" i="18"/>
  <c r="G20" i="15"/>
  <c r="D401" i="16"/>
  <c r="J38" i="15"/>
  <c r="D595" i="17"/>
  <c r="K41" i="15"/>
  <c r="D665" i="17"/>
  <c r="L41" i="15" s="1"/>
  <c r="H19" i="15" l="1"/>
  <c r="D467" i="16"/>
  <c r="L78" i="15"/>
  <c r="D730" i="19"/>
  <c r="D797" i="19" s="1"/>
  <c r="D864" i="19" s="1"/>
  <c r="D931" i="19" s="1"/>
  <c r="D998" i="19" s="1"/>
  <c r="D1065" i="19" s="1"/>
  <c r="D1132" i="19" s="1"/>
  <c r="D1199" i="19" s="1"/>
  <c r="G21" i="15"/>
  <c r="D402" i="16"/>
  <c r="D595" i="18"/>
  <c r="J58" i="15"/>
  <c r="I39" i="15"/>
  <c r="D529" i="17"/>
  <c r="K57" i="15"/>
  <c r="D661" i="18"/>
  <c r="L57" i="15" s="1"/>
  <c r="J42" i="15"/>
  <c r="D599" i="17"/>
  <c r="K38" i="15"/>
  <c r="D662" i="17"/>
  <c r="L38" i="15" s="1"/>
  <c r="L80" i="15"/>
  <c r="D732" i="19"/>
  <c r="D799" i="19" s="1"/>
  <c r="D866" i="19" s="1"/>
  <c r="D933" i="19" s="1"/>
  <c r="D1000" i="19" s="1"/>
  <c r="D1067" i="19" s="1"/>
  <c r="D1134" i="19" s="1"/>
  <c r="D1201" i="19" s="1"/>
  <c r="J79" i="15"/>
  <c r="D597" i="19"/>
  <c r="H22" i="15"/>
  <c r="D470" i="16"/>
  <c r="H20" i="15"/>
  <c r="D468" i="16"/>
  <c r="J61" i="15"/>
  <c r="D598" i="18"/>
  <c r="I40" i="15"/>
  <c r="D530" i="17"/>
  <c r="K60" i="15"/>
  <c r="D664" i="18"/>
  <c r="L60" i="15" s="1"/>
  <c r="J59" i="15"/>
  <c r="D596" i="18"/>
  <c r="H23" i="15"/>
  <c r="D471" i="16"/>
  <c r="D594" i="19"/>
  <c r="J76" i="15"/>
  <c r="K58" i="15" l="1"/>
  <c r="D662" i="18"/>
  <c r="L58" i="15" s="1"/>
  <c r="K59" i="15"/>
  <c r="D663" i="18"/>
  <c r="L59" i="15" s="1"/>
  <c r="I20" i="15"/>
  <c r="D535" i="16"/>
  <c r="H21" i="15"/>
  <c r="D469" i="16"/>
  <c r="K42" i="15"/>
  <c r="D666" i="17"/>
  <c r="L42" i="15" s="1"/>
  <c r="J40" i="15"/>
  <c r="D597" i="17"/>
  <c r="K79" i="15"/>
  <c r="D664" i="19"/>
  <c r="I22" i="15"/>
  <c r="D537" i="16"/>
  <c r="K76" i="15"/>
  <c r="D661" i="19"/>
  <c r="I23" i="15"/>
  <c r="D538" i="16"/>
  <c r="K61" i="15"/>
  <c r="D665" i="18"/>
  <c r="L61" i="15" s="1"/>
  <c r="J39" i="15"/>
  <c r="D596" i="17"/>
  <c r="I19" i="15"/>
  <c r="D534" i="16"/>
  <c r="J22" i="15" l="1"/>
  <c r="D604" i="16"/>
  <c r="D731" i="19"/>
  <c r="D798" i="19" s="1"/>
  <c r="D865" i="19" s="1"/>
  <c r="D932" i="19" s="1"/>
  <c r="D999" i="19" s="1"/>
  <c r="D1066" i="19" s="1"/>
  <c r="D1133" i="19" s="1"/>
  <c r="D1200" i="19" s="1"/>
  <c r="L79" i="15"/>
  <c r="J20" i="15"/>
  <c r="D602" i="16"/>
  <c r="J23" i="15"/>
  <c r="D605" i="16"/>
  <c r="K40" i="15"/>
  <c r="D664" i="17"/>
  <c r="L40" i="15" s="1"/>
  <c r="I21" i="15"/>
  <c r="D536" i="16"/>
  <c r="D663" i="17"/>
  <c r="L39" i="15" s="1"/>
  <c r="K39" i="15"/>
  <c r="J19" i="15"/>
  <c r="D601" i="16"/>
  <c r="L76" i="15"/>
  <c r="D728" i="19"/>
  <c r="D795" i="19" s="1"/>
  <c r="D862" i="19" s="1"/>
  <c r="D929" i="19" s="1"/>
  <c r="D996" i="19" s="1"/>
  <c r="D1063" i="19" s="1"/>
  <c r="D1130" i="19" s="1"/>
  <c r="D1197" i="19" s="1"/>
  <c r="K19" i="15" l="1"/>
  <c r="D668" i="16"/>
  <c r="D669" i="16"/>
  <c r="K20" i="15"/>
  <c r="J21" i="15"/>
  <c r="D603" i="16"/>
  <c r="K22" i="15"/>
  <c r="D671" i="16"/>
  <c r="K23" i="15"/>
  <c r="D672" i="16"/>
  <c r="L22" i="15" l="1"/>
  <c r="D738" i="16"/>
  <c r="K21" i="15"/>
  <c r="D670" i="16"/>
  <c r="L20" i="15"/>
  <c r="D736" i="16"/>
  <c r="L23" i="15"/>
  <c r="D739" i="16"/>
  <c r="L19" i="15"/>
  <c r="D735" i="16"/>
  <c r="M23" i="15" l="1"/>
  <c r="D806" i="16"/>
  <c r="M20" i="15"/>
  <c r="D803" i="16"/>
  <c r="L21" i="15"/>
  <c r="D737" i="16"/>
  <c r="M22" i="15"/>
  <c r="D805" i="16"/>
  <c r="M19" i="15"/>
  <c r="D802" i="16"/>
  <c r="N22" i="15" l="1"/>
  <c r="D872" i="16"/>
  <c r="N20" i="15"/>
  <c r="D870" i="16"/>
  <c r="M21" i="15"/>
  <c r="D804" i="16"/>
  <c r="N19" i="15"/>
  <c r="D869" i="16"/>
  <c r="N23" i="15"/>
  <c r="D873" i="16"/>
  <c r="D871" i="16" l="1"/>
  <c r="N21" i="15"/>
  <c r="O20" i="15"/>
  <c r="D937" i="16"/>
  <c r="P20" i="15" s="1"/>
  <c r="O22" i="15"/>
  <c r="D939" i="16"/>
  <c r="P22" i="15" s="1"/>
  <c r="O19" i="15"/>
  <c r="D936" i="16"/>
  <c r="P19" i="15" s="1"/>
  <c r="O23" i="15"/>
  <c r="D940" i="16"/>
  <c r="P23" i="15" s="1"/>
  <c r="O21" i="15" l="1"/>
  <c r="D938" i="16"/>
  <c r="P21" i="15" s="1"/>
  <c r="C28" i="3" l="1"/>
  <c r="C26" i="3"/>
  <c r="C35" i="3"/>
  <c r="C40" i="3" l="1"/>
  <c r="C39" i="3"/>
  <c r="C37" i="3"/>
  <c r="C22" i="3"/>
  <c r="C45" i="3" s="1"/>
  <c r="C35" i="9"/>
  <c r="C25" i="9"/>
  <c r="C43" i="9"/>
  <c r="C42" i="9"/>
  <c r="C41" i="9"/>
  <c r="C22" i="9"/>
  <c r="C34" i="9"/>
  <c r="C23" i="9"/>
  <c r="C24" i="3" l="1"/>
  <c r="C47" i="3" s="1"/>
  <c r="D52" i="3" l="1"/>
  <c r="D30" i="3"/>
  <c r="D46" i="9"/>
  <c r="D53" i="10"/>
  <c r="D51" i="10"/>
  <c r="D46" i="10"/>
  <c r="D27" i="10"/>
  <c r="D27" i="9"/>
  <c r="C16" i="3"/>
  <c r="C15" i="3"/>
  <c r="C20" i="9"/>
  <c r="C39" i="9" s="1"/>
  <c r="C32" i="9"/>
  <c r="C31" i="9"/>
  <c r="C17" i="9"/>
  <c r="D57" i="3" l="1"/>
  <c r="C32" i="10"/>
  <c r="C31" i="10"/>
  <c r="C30" i="10"/>
  <c r="C30" i="9"/>
  <c r="D59" i="3"/>
  <c r="D52" i="10" l="1"/>
  <c r="C4" i="3"/>
  <c r="C33" i="3" l="1"/>
  <c r="D58" i="3" s="1"/>
  <c r="D17" i="3" l="1"/>
  <c r="D16" i="3"/>
  <c r="D15" i="3"/>
  <c r="D42" i="3"/>
  <c r="D41" i="3"/>
  <c r="D40" i="3"/>
  <c r="D19" i="10" l="1"/>
  <c r="D20" i="10"/>
  <c r="D31" i="10"/>
  <c r="D32" i="10"/>
  <c r="D40" i="10"/>
  <c r="D41" i="10"/>
  <c r="D42" i="10"/>
  <c r="D88" i="10"/>
  <c r="D89" i="10"/>
  <c r="D98" i="10"/>
  <c r="D99" i="10"/>
  <c r="D107" i="10"/>
  <c r="D108" i="10"/>
  <c r="D109" i="10"/>
  <c r="D155" i="10"/>
  <c r="D156" i="10"/>
  <c r="D166" i="10"/>
  <c r="D167" i="10"/>
  <c r="D174" i="10"/>
  <c r="D175" i="10"/>
  <c r="D176" i="10"/>
  <c r="D221" i="10"/>
  <c r="D222" i="10"/>
  <c r="D233" i="10"/>
  <c r="D234" i="10"/>
  <c r="D241" i="10"/>
  <c r="D242" i="10"/>
  <c r="D243" i="10"/>
  <c r="D287" i="10"/>
  <c r="D288" i="10"/>
  <c r="D300" i="10"/>
  <c r="D301" i="10"/>
  <c r="D308" i="10"/>
  <c r="D309" i="10"/>
  <c r="D310" i="10"/>
  <c r="D355" i="10"/>
  <c r="D356" i="10"/>
  <c r="D366" i="10"/>
  <c r="D367" i="10"/>
  <c r="D375" i="10"/>
  <c r="D376" i="10"/>
  <c r="D377" i="10"/>
  <c r="D423" i="10"/>
  <c r="D424" i="10"/>
  <c r="D434" i="10"/>
  <c r="D435" i="10"/>
  <c r="D442" i="10"/>
  <c r="D443" i="10"/>
  <c r="D444" i="10"/>
  <c r="D489" i="10"/>
  <c r="D490" i="10"/>
  <c r="D501" i="10"/>
  <c r="D502" i="10"/>
  <c r="D509" i="10"/>
  <c r="D510" i="10"/>
  <c r="D511" i="10"/>
  <c r="D557" i="10"/>
  <c r="D558" i="10"/>
  <c r="D569" i="10"/>
  <c r="D570" i="10"/>
  <c r="D576" i="10"/>
  <c r="D577" i="10"/>
  <c r="D578" i="10"/>
  <c r="D624" i="10"/>
  <c r="D625" i="10"/>
  <c r="D634" i="10"/>
  <c r="D635" i="10"/>
  <c r="D643" i="10"/>
  <c r="D644" i="10"/>
  <c r="D645" i="10"/>
  <c r="D18" i="9"/>
  <c r="D19" i="9"/>
  <c r="D31" i="9"/>
  <c r="D32" i="9"/>
  <c r="D40" i="9"/>
  <c r="D41" i="9"/>
  <c r="D42" i="9"/>
  <c r="D87" i="9"/>
  <c r="D88" i="9"/>
  <c r="D99" i="9"/>
  <c r="D100" i="9"/>
  <c r="D107" i="9"/>
  <c r="D108" i="9"/>
  <c r="D154" i="9"/>
  <c r="D155" i="9"/>
  <c r="D166" i="9"/>
  <c r="D167" i="9"/>
  <c r="D174" i="9"/>
  <c r="D175" i="9"/>
  <c r="D176" i="9"/>
  <c r="D220" i="9"/>
  <c r="D221" i="9"/>
  <c r="D232" i="9"/>
  <c r="D233" i="9"/>
  <c r="D241" i="9"/>
  <c r="D242" i="9"/>
  <c r="D243" i="9"/>
  <c r="D287" i="9"/>
  <c r="D288" i="9"/>
  <c r="D299" i="9"/>
  <c r="D300" i="9"/>
  <c r="D308" i="9"/>
  <c r="D309" i="9"/>
  <c r="D310" i="9"/>
  <c r="D354" i="9"/>
  <c r="D355" i="9"/>
  <c r="D367" i="9"/>
  <c r="D368" i="9"/>
  <c r="D375" i="9"/>
  <c r="D376" i="9"/>
  <c r="D377" i="9"/>
  <c r="D421" i="9"/>
  <c r="D422" i="9"/>
  <c r="D434" i="9"/>
  <c r="D435" i="9"/>
  <c r="D442" i="9"/>
  <c r="D443" i="9"/>
  <c r="D444" i="9"/>
  <c r="D490" i="9"/>
  <c r="D491" i="9"/>
  <c r="D501" i="9"/>
  <c r="D502" i="9"/>
  <c r="D509" i="9"/>
  <c r="D510" i="9"/>
  <c r="D511" i="9"/>
  <c r="D556" i="9"/>
  <c r="D557" i="9"/>
  <c r="D568" i="9"/>
  <c r="D569" i="9"/>
  <c r="D576" i="9"/>
  <c r="D577" i="9"/>
  <c r="D578" i="9"/>
  <c r="D621" i="9"/>
  <c r="D622" i="9"/>
  <c r="D634" i="9"/>
  <c r="D635" i="9"/>
  <c r="D643" i="9"/>
  <c r="D644" i="9"/>
  <c r="D645" i="9"/>
  <c r="D48" i="3"/>
  <c r="D47" i="3"/>
  <c r="D46" i="3"/>
  <c r="D36" i="3"/>
  <c r="D35" i="3"/>
  <c r="D92" i="3"/>
  <c r="D93" i="3"/>
  <c r="D105" i="3"/>
  <c r="D106" i="3"/>
  <c r="D113" i="3"/>
  <c r="D114" i="3"/>
  <c r="D115" i="3"/>
  <c r="D161" i="3"/>
  <c r="D162" i="3"/>
  <c r="D171" i="3"/>
  <c r="D172" i="3"/>
  <c r="D180" i="3"/>
  <c r="D181" i="3"/>
  <c r="D182" i="3"/>
  <c r="D226" i="3"/>
  <c r="D227" i="3"/>
  <c r="D238" i="3"/>
  <c r="D239" i="3"/>
  <c r="D247" i="3"/>
  <c r="D248" i="3"/>
  <c r="D249" i="3"/>
  <c r="D292" i="3"/>
  <c r="D293" i="3"/>
  <c r="D305" i="3"/>
  <c r="D306" i="3"/>
  <c r="D314" i="3"/>
  <c r="D315" i="3"/>
  <c r="D316" i="3"/>
  <c r="D360" i="3"/>
  <c r="D361" i="3"/>
  <c r="D372" i="3"/>
  <c r="D373" i="3"/>
  <c r="D381" i="3"/>
  <c r="D382" i="3"/>
  <c r="D383" i="3"/>
  <c r="D450" i="3"/>
  <c r="D449" i="3"/>
  <c r="D448" i="3"/>
  <c r="D440" i="3"/>
  <c r="D439" i="3"/>
  <c r="D430" i="3"/>
  <c r="D429" i="3"/>
  <c r="D493" i="3"/>
  <c r="D494" i="3"/>
  <c r="D506" i="3"/>
  <c r="D507" i="3"/>
  <c r="D515" i="3"/>
  <c r="D516" i="3"/>
  <c r="D517" i="3"/>
  <c r="D561" i="3"/>
  <c r="D562" i="3"/>
  <c r="D573" i="3"/>
  <c r="D574" i="3"/>
  <c r="D582" i="3"/>
  <c r="D583" i="3"/>
  <c r="D584" i="3"/>
  <c r="D628" i="3"/>
  <c r="D629" i="3"/>
  <c r="D640" i="3"/>
  <c r="D641" i="3"/>
  <c r="D649" i="3"/>
  <c r="D650" i="3"/>
  <c r="D651" i="3"/>
  <c r="D696" i="3"/>
  <c r="D697" i="3"/>
  <c r="D708" i="3"/>
  <c r="D709" i="3"/>
  <c r="D716" i="3"/>
  <c r="D717" i="3"/>
  <c r="D718" i="3"/>
  <c r="D763" i="3"/>
  <c r="D764" i="3"/>
  <c r="D775" i="3"/>
  <c r="D776" i="3"/>
  <c r="D783" i="3"/>
  <c r="D784" i="3"/>
  <c r="D785" i="3"/>
  <c r="D829" i="3"/>
  <c r="D828" i="3"/>
  <c r="D842" i="3"/>
  <c r="D843" i="3"/>
  <c r="D850" i="3"/>
  <c r="D851" i="3"/>
  <c r="D852" i="3"/>
  <c r="D898" i="3"/>
  <c r="D897" i="3"/>
  <c r="D909" i="3"/>
  <c r="D910" i="3"/>
  <c r="D917" i="3"/>
  <c r="D918" i="3"/>
  <c r="D919" i="3"/>
  <c r="D23" i="3"/>
  <c r="D24" i="3"/>
  <c r="D626" i="10" l="1"/>
  <c r="D623" i="10"/>
  <c r="D622" i="10"/>
  <c r="D621" i="10"/>
  <c r="D559" i="10"/>
  <c r="D556" i="10"/>
  <c r="D555" i="10"/>
  <c r="D554" i="10"/>
  <c r="D491" i="10"/>
  <c r="D488" i="10"/>
  <c r="D487" i="10"/>
  <c r="D486" i="10"/>
  <c r="D483" i="10"/>
  <c r="D426" i="10"/>
  <c r="D425" i="10"/>
  <c r="D422" i="10"/>
  <c r="D421" i="10"/>
  <c r="D358" i="10"/>
  <c r="D357" i="10"/>
  <c r="D354" i="10"/>
  <c r="D353" i="10"/>
  <c r="D291" i="10"/>
  <c r="D290" i="10"/>
  <c r="D289" i="10"/>
  <c r="D286" i="10"/>
  <c r="D224" i="10"/>
  <c r="D223" i="10"/>
  <c r="D220" i="10"/>
  <c r="D218" i="10"/>
  <c r="D158" i="10"/>
  <c r="D157" i="10"/>
  <c r="D154" i="10"/>
  <c r="D153" i="10"/>
  <c r="D90" i="10"/>
  <c r="D87" i="10"/>
  <c r="D86" i="10"/>
  <c r="D85" i="10"/>
  <c r="D23" i="10"/>
  <c r="D22" i="10"/>
  <c r="D21" i="10"/>
  <c r="D15" i="10"/>
  <c r="D626" i="9"/>
  <c r="D625" i="9"/>
  <c r="D624" i="9"/>
  <c r="D618" i="9"/>
  <c r="D559" i="9"/>
  <c r="D558" i="9"/>
  <c r="D554" i="9"/>
  <c r="D550" i="9"/>
  <c r="D492" i="9"/>
  <c r="D489" i="9"/>
  <c r="D488" i="9"/>
  <c r="D487" i="9"/>
  <c r="D486" i="9"/>
  <c r="D483" i="9"/>
  <c r="D425" i="9"/>
  <c r="D424" i="9"/>
  <c r="D423" i="9"/>
  <c r="D416" i="9"/>
  <c r="D358" i="9"/>
  <c r="D357" i="9"/>
  <c r="D356" i="9"/>
  <c r="D349" i="9"/>
  <c r="D291" i="9"/>
  <c r="D290" i="9"/>
  <c r="D289" i="9"/>
  <c r="D282" i="9"/>
  <c r="D224" i="9"/>
  <c r="D223" i="9"/>
  <c r="D222" i="9"/>
  <c r="D215" i="9"/>
  <c r="D157" i="9"/>
  <c r="D156" i="9"/>
  <c r="D153" i="9"/>
  <c r="D152" i="9"/>
  <c r="D91" i="9"/>
  <c r="D90" i="9"/>
  <c r="D89" i="9"/>
  <c r="D86" i="9"/>
  <c r="D23" i="9"/>
  <c r="D22" i="9"/>
  <c r="D21" i="9"/>
  <c r="D20" i="9"/>
  <c r="D900" i="3"/>
  <c r="D899" i="3"/>
  <c r="D896" i="3"/>
  <c r="D895" i="3"/>
  <c r="D832" i="3"/>
  <c r="D831" i="3"/>
  <c r="D830" i="3"/>
  <c r="D827" i="3"/>
  <c r="D766" i="3"/>
  <c r="D765" i="3"/>
  <c r="D762" i="3"/>
  <c r="D761" i="3"/>
  <c r="D699" i="3"/>
  <c r="D698" i="3"/>
  <c r="D695" i="3"/>
  <c r="D693" i="3"/>
  <c r="D631" i="3"/>
  <c r="D630" i="3"/>
  <c r="D627" i="3"/>
  <c r="D626" i="3"/>
  <c r="D565" i="3"/>
  <c r="D564" i="3"/>
  <c r="D563" i="3"/>
  <c r="D556" i="3"/>
  <c r="D498" i="3"/>
  <c r="D497" i="3"/>
  <c r="D496" i="3"/>
  <c r="D495" i="3"/>
  <c r="D492" i="3"/>
  <c r="D489" i="3"/>
  <c r="D431" i="3"/>
  <c r="D428" i="3"/>
  <c r="D427" i="3"/>
  <c r="D425" i="3"/>
  <c r="D364" i="3"/>
  <c r="D363" i="3"/>
  <c r="D362" i="3"/>
  <c r="D358" i="3"/>
  <c r="D297" i="3"/>
  <c r="D296" i="3"/>
  <c r="D295" i="3"/>
  <c r="D291" i="3"/>
  <c r="D230" i="3"/>
  <c r="D229" i="3"/>
  <c r="D228" i="3"/>
  <c r="D224" i="3"/>
  <c r="D163" i="3"/>
  <c r="D160" i="3"/>
  <c r="D159" i="3"/>
  <c r="D157" i="3"/>
  <c r="D96" i="3"/>
  <c r="D95" i="3"/>
  <c r="D94" i="3"/>
  <c r="D26" i="3"/>
  <c r="D25" i="3"/>
  <c r="D22" i="3"/>
  <c r="C6" i="3"/>
  <c r="C14" i="3" s="1"/>
  <c r="D56" i="3" s="1"/>
  <c r="C10" i="3"/>
  <c r="C6" i="9"/>
  <c r="C14" i="9" s="1"/>
  <c r="C28" i="9" s="1"/>
  <c r="C47" i="9" s="1"/>
  <c r="C10" i="9"/>
  <c r="C32" i="7" s="1"/>
  <c r="D51" i="9"/>
  <c r="C29" i="7" s="1"/>
  <c r="D52" i="9"/>
  <c r="D53" i="9"/>
  <c r="C31" i="7" s="1"/>
  <c r="C883" i="3"/>
  <c r="C891" i="3" s="1"/>
  <c r="D928" i="3"/>
  <c r="D929" i="3"/>
  <c r="D930" i="3"/>
  <c r="C887" i="3"/>
  <c r="P11" i="7" s="1"/>
  <c r="C816" i="3"/>
  <c r="C824" i="3" s="1"/>
  <c r="D861" i="3"/>
  <c r="D862" i="3"/>
  <c r="D863" i="3"/>
  <c r="C820" i="3"/>
  <c r="C749" i="3"/>
  <c r="C757" i="3" s="1"/>
  <c r="D794" i="3"/>
  <c r="D795" i="3"/>
  <c r="N9" i="7" s="1"/>
  <c r="D796" i="3"/>
  <c r="C753" i="3"/>
  <c r="C682" i="3"/>
  <c r="C690" i="3" s="1"/>
  <c r="D727" i="3"/>
  <c r="D728" i="3"/>
  <c r="M9" i="7" s="1"/>
  <c r="D729" i="3"/>
  <c r="C686" i="3"/>
  <c r="C615" i="3"/>
  <c r="C623" i="3" s="1"/>
  <c r="D660" i="3"/>
  <c r="D661" i="3"/>
  <c r="D662" i="3"/>
  <c r="C619" i="3"/>
  <c r="D665" i="3" s="1"/>
  <c r="L16" i="7" s="1"/>
  <c r="C548" i="3"/>
  <c r="C556" i="3" s="1"/>
  <c r="D593" i="3"/>
  <c r="K8" i="7" s="1"/>
  <c r="D594" i="3"/>
  <c r="D595" i="3"/>
  <c r="K10" i="7" s="1"/>
  <c r="C552" i="3"/>
  <c r="C481" i="3"/>
  <c r="C489" i="3" s="1"/>
  <c r="D526" i="3"/>
  <c r="D527" i="3"/>
  <c r="D528" i="3"/>
  <c r="C485" i="3"/>
  <c r="C414" i="3"/>
  <c r="C422" i="3"/>
  <c r="D458" i="3" s="1"/>
  <c r="D459" i="3"/>
  <c r="D460" i="3"/>
  <c r="D461" i="3"/>
  <c r="C418" i="3"/>
  <c r="C347" i="3"/>
  <c r="C355" i="3" s="1"/>
  <c r="D392" i="3"/>
  <c r="H8" i="7" s="1"/>
  <c r="D393" i="3"/>
  <c r="D394" i="3"/>
  <c r="D398" i="3" s="1"/>
  <c r="H17" i="7" s="1"/>
  <c r="C351" i="3"/>
  <c r="C280" i="3"/>
  <c r="C288" i="3" s="1"/>
  <c r="D325" i="3"/>
  <c r="D326" i="3"/>
  <c r="D327" i="3"/>
  <c r="G10" i="7" s="1"/>
  <c r="C284" i="3"/>
  <c r="C213" i="3"/>
  <c r="C221" i="3" s="1"/>
  <c r="D258" i="3"/>
  <c r="D259" i="3"/>
  <c r="D260" i="3"/>
  <c r="C217" i="3"/>
  <c r="C146" i="3"/>
  <c r="C154" i="3" s="1"/>
  <c r="D191" i="3"/>
  <c r="E8" i="7" s="1"/>
  <c r="D192" i="3"/>
  <c r="D193" i="3"/>
  <c r="C150" i="3"/>
  <c r="E11" i="7" s="1"/>
  <c r="C79" i="3"/>
  <c r="C87" i="3" s="1"/>
  <c r="D124" i="3"/>
  <c r="D125" i="3"/>
  <c r="D126" i="3"/>
  <c r="D10" i="7" s="1"/>
  <c r="C83" i="3"/>
  <c r="P5" i="7"/>
  <c r="P45" i="7"/>
  <c r="L46" i="7"/>
  <c r="K46" i="7"/>
  <c r="J46" i="7"/>
  <c r="I46" i="7"/>
  <c r="H46" i="7"/>
  <c r="G46" i="7"/>
  <c r="F46" i="7"/>
  <c r="E46" i="7"/>
  <c r="D46" i="7"/>
  <c r="C46" i="7"/>
  <c r="L27" i="7"/>
  <c r="K27" i="7"/>
  <c r="J27" i="7"/>
  <c r="I27" i="7"/>
  <c r="H27" i="7"/>
  <c r="G27" i="7"/>
  <c r="F27" i="7"/>
  <c r="E27" i="7"/>
  <c r="D27" i="7"/>
  <c r="C27" i="7"/>
  <c r="P10" i="7"/>
  <c r="P9" i="7"/>
  <c r="P8" i="7"/>
  <c r="O10" i="7"/>
  <c r="O9" i="7"/>
  <c r="O8" i="7"/>
  <c r="N10" i="7"/>
  <c r="N8" i="7"/>
  <c r="O11" i="7"/>
  <c r="N11" i="7"/>
  <c r="M11" i="7"/>
  <c r="M10" i="7"/>
  <c r="M8" i="7"/>
  <c r="P6" i="7"/>
  <c r="O6" i="7"/>
  <c r="N6" i="7"/>
  <c r="M6" i="7"/>
  <c r="C6" i="7"/>
  <c r="D532" i="3"/>
  <c r="J17" i="7" s="1"/>
  <c r="D465" i="3"/>
  <c r="I17" i="7" s="1"/>
  <c r="D264" i="3"/>
  <c r="F17" i="7" s="1"/>
  <c r="D63" i="3"/>
  <c r="C17" i="7" s="1"/>
  <c r="D598" i="3"/>
  <c r="K16" i="7" s="1"/>
  <c r="D531" i="3"/>
  <c r="J16" i="7" s="1"/>
  <c r="D464" i="3"/>
  <c r="I16" i="7" s="1"/>
  <c r="D397" i="3"/>
  <c r="H16" i="7" s="1"/>
  <c r="D330" i="3"/>
  <c r="G16" i="7" s="1"/>
  <c r="D263" i="3"/>
  <c r="F16" i="7" s="1"/>
  <c r="D129" i="3"/>
  <c r="D16" i="7" s="1"/>
  <c r="D62" i="3"/>
  <c r="C16" i="7" s="1"/>
  <c r="C11" i="7"/>
  <c r="D11" i="7"/>
  <c r="F11" i="7"/>
  <c r="G11" i="7"/>
  <c r="K11" i="7"/>
  <c r="J11" i="7"/>
  <c r="I11" i="7"/>
  <c r="H11" i="7"/>
  <c r="L10" i="7"/>
  <c r="J10" i="7"/>
  <c r="I10" i="7"/>
  <c r="F10" i="7"/>
  <c r="E10" i="7"/>
  <c r="C10" i="7"/>
  <c r="L9" i="7"/>
  <c r="K9" i="7"/>
  <c r="J9" i="7"/>
  <c r="I9" i="7"/>
  <c r="H9" i="7"/>
  <c r="G9" i="7"/>
  <c r="F9" i="7"/>
  <c r="E9" i="7"/>
  <c r="D9" i="7"/>
  <c r="C9" i="7"/>
  <c r="L8" i="7"/>
  <c r="J8" i="7"/>
  <c r="I8" i="7"/>
  <c r="G8" i="7"/>
  <c r="F8" i="7"/>
  <c r="D8" i="7"/>
  <c r="L6" i="7"/>
  <c r="K6" i="7"/>
  <c r="J6" i="7"/>
  <c r="I6" i="7"/>
  <c r="H6" i="7"/>
  <c r="G6" i="7"/>
  <c r="F6" i="7"/>
  <c r="E6" i="7"/>
  <c r="D6" i="7"/>
  <c r="P26" i="7"/>
  <c r="D866" i="3"/>
  <c r="O16" i="7" s="1"/>
  <c r="D867" i="3"/>
  <c r="O17" i="7" s="1"/>
  <c r="D800" i="3"/>
  <c r="N17" i="7" s="1"/>
  <c r="D733" i="3"/>
  <c r="M17" i="7" s="1"/>
  <c r="D924" i="3"/>
  <c r="D922" i="3"/>
  <c r="D921" i="3"/>
  <c r="D920" i="3"/>
  <c r="D916" i="3"/>
  <c r="D914" i="3"/>
  <c r="D913" i="3"/>
  <c r="D912" i="3"/>
  <c r="D911" i="3"/>
  <c r="D908" i="3"/>
  <c r="D907" i="3"/>
  <c r="D905" i="3"/>
  <c r="D903" i="3"/>
  <c r="D902" i="3"/>
  <c r="D901" i="3"/>
  <c r="D894" i="3"/>
  <c r="D892" i="3"/>
  <c r="D891" i="3"/>
  <c r="D887" i="3"/>
  <c r="D885" i="3"/>
  <c r="D883" i="3"/>
  <c r="D857" i="3"/>
  <c r="D855" i="3"/>
  <c r="D854" i="3"/>
  <c r="D853" i="3"/>
  <c r="D849" i="3"/>
  <c r="D847" i="3"/>
  <c r="D846" i="3"/>
  <c r="D845" i="3"/>
  <c r="D844" i="3"/>
  <c r="D841" i="3"/>
  <c r="D840" i="3"/>
  <c r="D838" i="3"/>
  <c r="D836" i="3"/>
  <c r="D835" i="3"/>
  <c r="D834" i="3"/>
  <c r="D833" i="3"/>
  <c r="D825" i="3"/>
  <c r="D824" i="3"/>
  <c r="D820" i="3"/>
  <c r="D818" i="3"/>
  <c r="D816" i="3"/>
  <c r="D790" i="3"/>
  <c r="D788" i="3"/>
  <c r="D787" i="3"/>
  <c r="D786" i="3"/>
  <c r="D782" i="3"/>
  <c r="D780" i="3"/>
  <c r="D779" i="3"/>
  <c r="D778" i="3"/>
  <c r="D777" i="3"/>
  <c r="D774" i="3"/>
  <c r="D773" i="3"/>
  <c r="D771" i="3"/>
  <c r="D769" i="3"/>
  <c r="D768" i="3"/>
  <c r="D767" i="3"/>
  <c r="D760" i="3"/>
  <c r="D758" i="3"/>
  <c r="D757" i="3"/>
  <c r="D753" i="3"/>
  <c r="D751" i="3"/>
  <c r="D749" i="3"/>
  <c r="D723" i="3"/>
  <c r="D721" i="3"/>
  <c r="D720" i="3"/>
  <c r="D719" i="3"/>
  <c r="D715" i="3"/>
  <c r="D713" i="3"/>
  <c r="D712" i="3"/>
  <c r="D711" i="3"/>
  <c r="D710" i="3"/>
  <c r="D707" i="3"/>
  <c r="D706" i="3"/>
  <c r="D704" i="3"/>
  <c r="D702" i="3"/>
  <c r="D701" i="3"/>
  <c r="D700" i="3"/>
  <c r="D694" i="3"/>
  <c r="D691" i="3"/>
  <c r="D690" i="3"/>
  <c r="D686" i="3"/>
  <c r="D684" i="3"/>
  <c r="D682" i="3"/>
  <c r="D656" i="10"/>
  <c r="L50" i="7" s="1"/>
  <c r="D655" i="10"/>
  <c r="D654" i="10"/>
  <c r="L48" i="7" s="1"/>
  <c r="D650" i="10"/>
  <c r="D648" i="10"/>
  <c r="D647" i="10"/>
  <c r="D646" i="10"/>
  <c r="D642" i="10"/>
  <c r="D640" i="10"/>
  <c r="D639" i="10"/>
  <c r="D638" i="10"/>
  <c r="D637" i="10"/>
  <c r="D636" i="10"/>
  <c r="D633" i="10"/>
  <c r="D631" i="10"/>
  <c r="D629" i="10"/>
  <c r="D628" i="10"/>
  <c r="D627" i="10"/>
  <c r="D620" i="10"/>
  <c r="D618" i="10"/>
  <c r="D617" i="10"/>
  <c r="D613" i="10"/>
  <c r="C613" i="10"/>
  <c r="D611" i="10"/>
  <c r="D609" i="10"/>
  <c r="C609" i="10"/>
  <c r="C617" i="10" s="1"/>
  <c r="D589" i="10"/>
  <c r="K50" i="7" s="1"/>
  <c r="D588" i="10"/>
  <c r="K49" i="7" s="1"/>
  <c r="D587" i="10"/>
  <c r="K48" i="7" s="1"/>
  <c r="D583" i="10"/>
  <c r="D581" i="10"/>
  <c r="D580" i="10"/>
  <c r="D579" i="10"/>
  <c r="D575" i="10"/>
  <c r="D573" i="10"/>
  <c r="D572" i="10"/>
  <c r="D571" i="10"/>
  <c r="D568" i="10"/>
  <c r="D567" i="10"/>
  <c r="D566" i="10"/>
  <c r="D564" i="10"/>
  <c r="D562" i="10"/>
  <c r="D561" i="10"/>
  <c r="D560" i="10"/>
  <c r="D553" i="10"/>
  <c r="D551" i="10"/>
  <c r="D550" i="10"/>
  <c r="D546" i="10"/>
  <c r="C546" i="10"/>
  <c r="K51" i="7" s="1"/>
  <c r="D544" i="10"/>
  <c r="D542" i="10"/>
  <c r="C542" i="10"/>
  <c r="C550" i="10" s="1"/>
  <c r="D522" i="10"/>
  <c r="J50" i="7" s="1"/>
  <c r="D521" i="10"/>
  <c r="D520" i="10"/>
  <c r="J48" i="7" s="1"/>
  <c r="D516" i="10"/>
  <c r="D514" i="10"/>
  <c r="D513" i="10"/>
  <c r="D512" i="10"/>
  <c r="D508" i="10"/>
  <c r="D506" i="10"/>
  <c r="D505" i="10"/>
  <c r="D504" i="10"/>
  <c r="D503" i="10"/>
  <c r="D500" i="10"/>
  <c r="D499" i="10"/>
  <c r="D497" i="10"/>
  <c r="D495" i="10"/>
  <c r="D494" i="10"/>
  <c r="D493" i="10"/>
  <c r="D492" i="10"/>
  <c r="D484" i="10"/>
  <c r="D479" i="10"/>
  <c r="C479" i="10"/>
  <c r="D477" i="10"/>
  <c r="D475" i="10"/>
  <c r="C475" i="10"/>
  <c r="C483" i="10" s="1"/>
  <c r="D455" i="10"/>
  <c r="I50" i="7" s="1"/>
  <c r="D454" i="10"/>
  <c r="I49" i="7" s="1"/>
  <c r="D453" i="10"/>
  <c r="I48" i="7" s="1"/>
  <c r="D449" i="10"/>
  <c r="D447" i="10"/>
  <c r="D446" i="10"/>
  <c r="D445" i="10"/>
  <c r="D441" i="10"/>
  <c r="D439" i="10"/>
  <c r="D438" i="10"/>
  <c r="D437" i="10"/>
  <c r="D436" i="10"/>
  <c r="D433" i="10"/>
  <c r="D432" i="10"/>
  <c r="D430" i="10"/>
  <c r="D428" i="10"/>
  <c r="D427" i="10"/>
  <c r="D420" i="10"/>
  <c r="D419" i="10"/>
  <c r="D417" i="10"/>
  <c r="D416" i="10"/>
  <c r="D412" i="10"/>
  <c r="C412" i="10"/>
  <c r="D410" i="10"/>
  <c r="D408" i="10"/>
  <c r="C408" i="10"/>
  <c r="C416" i="10" s="1"/>
  <c r="D388" i="10"/>
  <c r="H50" i="7" s="1"/>
  <c r="D387" i="10"/>
  <c r="H49" i="7" s="1"/>
  <c r="D386" i="10"/>
  <c r="H48" i="7" s="1"/>
  <c r="D382" i="10"/>
  <c r="D380" i="10"/>
  <c r="D379" i="10"/>
  <c r="D378" i="10"/>
  <c r="D374" i="10"/>
  <c r="D372" i="10"/>
  <c r="D371" i="10"/>
  <c r="D370" i="10"/>
  <c r="D369" i="10"/>
  <c r="D368" i="10"/>
  <c r="D365" i="10"/>
  <c r="D363" i="10"/>
  <c r="D361" i="10"/>
  <c r="D360" i="10"/>
  <c r="D359" i="10"/>
  <c r="D352" i="10"/>
  <c r="D350" i="10"/>
  <c r="D349" i="10"/>
  <c r="D345" i="10"/>
  <c r="C345" i="10"/>
  <c r="H51" i="7" s="1"/>
  <c r="D343" i="10"/>
  <c r="D341" i="10"/>
  <c r="C341" i="10"/>
  <c r="C349" i="10" s="1"/>
  <c r="D321" i="10"/>
  <c r="G50" i="7" s="1"/>
  <c r="D320" i="10"/>
  <c r="G49" i="7" s="1"/>
  <c r="D319" i="10"/>
  <c r="G48" i="7" s="1"/>
  <c r="D315" i="10"/>
  <c r="D313" i="10"/>
  <c r="D312" i="10"/>
  <c r="D311" i="10"/>
  <c r="D307" i="10"/>
  <c r="D305" i="10"/>
  <c r="D304" i="10"/>
  <c r="D303" i="10"/>
  <c r="D302" i="10"/>
  <c r="D299" i="10"/>
  <c r="D298" i="10"/>
  <c r="D296" i="10"/>
  <c r="D294" i="10"/>
  <c r="D293" i="10"/>
  <c r="D292" i="10"/>
  <c r="D285" i="10"/>
  <c r="D283" i="10"/>
  <c r="D282" i="10"/>
  <c r="D278" i="10"/>
  <c r="C278" i="10"/>
  <c r="D276" i="10"/>
  <c r="D274" i="10"/>
  <c r="C274" i="10"/>
  <c r="C282" i="10" s="1"/>
  <c r="D254" i="10"/>
  <c r="D253" i="10"/>
  <c r="F49" i="7" s="1"/>
  <c r="D252" i="10"/>
  <c r="F48" i="7" s="1"/>
  <c r="D248" i="10"/>
  <c r="D246" i="10"/>
  <c r="D245" i="10"/>
  <c r="D244" i="10"/>
  <c r="D240" i="10"/>
  <c r="D238" i="10"/>
  <c r="D237" i="10"/>
  <c r="D236" i="10"/>
  <c r="D235" i="10"/>
  <c r="D232" i="10"/>
  <c r="D231" i="10"/>
  <c r="D229" i="10"/>
  <c r="D227" i="10"/>
  <c r="D226" i="10"/>
  <c r="D225" i="10"/>
  <c r="D219" i="10"/>
  <c r="D216" i="10"/>
  <c r="D215" i="10"/>
  <c r="D211" i="10"/>
  <c r="C211" i="10"/>
  <c r="F51" i="7" s="1"/>
  <c r="D209" i="10"/>
  <c r="D207" i="10"/>
  <c r="C207" i="10"/>
  <c r="C215" i="10" s="1"/>
  <c r="D187" i="10"/>
  <c r="E50" i="7" s="1"/>
  <c r="D186" i="10"/>
  <c r="E49" i="7" s="1"/>
  <c r="D185" i="10"/>
  <c r="E48" i="7" s="1"/>
  <c r="D181" i="10"/>
  <c r="D179" i="10"/>
  <c r="D178" i="10"/>
  <c r="D177" i="10"/>
  <c r="D173" i="10"/>
  <c r="D171" i="10"/>
  <c r="D170" i="10"/>
  <c r="D169" i="10"/>
  <c r="D168" i="10"/>
  <c r="D165" i="10"/>
  <c r="D164" i="10"/>
  <c r="D162" i="10"/>
  <c r="D160" i="10"/>
  <c r="D159" i="10"/>
  <c r="D152" i="10"/>
  <c r="D151" i="10"/>
  <c r="D149" i="10"/>
  <c r="D148" i="10"/>
  <c r="D144" i="10"/>
  <c r="C144" i="10"/>
  <c r="E51" i="7" s="1"/>
  <c r="D142" i="10"/>
  <c r="D140" i="10"/>
  <c r="C140" i="10"/>
  <c r="C148" i="10" s="1"/>
  <c r="D120" i="10"/>
  <c r="D50" i="7" s="1"/>
  <c r="D119" i="10"/>
  <c r="D118" i="10"/>
  <c r="D48" i="7" s="1"/>
  <c r="D114" i="10"/>
  <c r="D112" i="10"/>
  <c r="D111" i="10"/>
  <c r="D110" i="10"/>
  <c r="D106" i="10"/>
  <c r="D104" i="10"/>
  <c r="D103" i="10"/>
  <c r="D102" i="10"/>
  <c r="D101" i="10"/>
  <c r="D100" i="10"/>
  <c r="D97" i="10"/>
  <c r="D95" i="10"/>
  <c r="D93" i="10"/>
  <c r="D92" i="10"/>
  <c r="D91" i="10"/>
  <c r="D84" i="10"/>
  <c r="D82" i="10"/>
  <c r="D81" i="10"/>
  <c r="D77" i="10"/>
  <c r="C77" i="10"/>
  <c r="D124" i="10" s="1"/>
  <c r="D55" i="7" s="1"/>
  <c r="D75" i="10"/>
  <c r="D73" i="10"/>
  <c r="C73" i="10"/>
  <c r="C81" i="10" s="1"/>
  <c r="C95" i="10" s="1"/>
  <c r="C114" i="10" s="1"/>
  <c r="C50" i="7"/>
  <c r="C49" i="7"/>
  <c r="C48" i="7"/>
  <c r="D47" i="10"/>
  <c r="D45" i="10"/>
  <c r="D44" i="10"/>
  <c r="D43" i="10"/>
  <c r="D39" i="10"/>
  <c r="D37" i="10"/>
  <c r="D36" i="10"/>
  <c r="D35" i="10"/>
  <c r="D34" i="10"/>
  <c r="D33" i="10"/>
  <c r="D30" i="10"/>
  <c r="D28" i="10"/>
  <c r="D26" i="10"/>
  <c r="D25" i="10"/>
  <c r="D24" i="10"/>
  <c r="D18" i="10"/>
  <c r="D17" i="10"/>
  <c r="D14" i="10"/>
  <c r="D10" i="10"/>
  <c r="C10" i="10"/>
  <c r="D56" i="10" s="1"/>
  <c r="D8" i="10"/>
  <c r="D6" i="10"/>
  <c r="C6" i="10"/>
  <c r="C14" i="10" s="1"/>
  <c r="C542" i="9"/>
  <c r="C550" i="9" s="1"/>
  <c r="D542" i="9"/>
  <c r="D544" i="9"/>
  <c r="C546" i="9"/>
  <c r="K32" i="7" s="1"/>
  <c r="D546" i="9"/>
  <c r="D551" i="9"/>
  <c r="D553" i="9"/>
  <c r="D555" i="9"/>
  <c r="D560" i="9"/>
  <c r="D561" i="9"/>
  <c r="D562" i="9"/>
  <c r="D564" i="9"/>
  <c r="D566" i="9"/>
  <c r="D567" i="9"/>
  <c r="D570" i="9"/>
  <c r="D571" i="9"/>
  <c r="D572" i="9"/>
  <c r="D573" i="9"/>
  <c r="D575" i="9"/>
  <c r="D579" i="9"/>
  <c r="D580" i="9"/>
  <c r="D581" i="9"/>
  <c r="D583" i="9"/>
  <c r="D587" i="9"/>
  <c r="K29" i="7" s="1"/>
  <c r="D588" i="9"/>
  <c r="K30" i="7" s="1"/>
  <c r="D589" i="9"/>
  <c r="D593" i="9" s="1"/>
  <c r="K36" i="7" s="1"/>
  <c r="C475" i="9"/>
  <c r="C483" i="9" s="1"/>
  <c r="D475" i="9"/>
  <c r="D477" i="9"/>
  <c r="C479" i="9"/>
  <c r="D479" i="9"/>
  <c r="D484" i="9"/>
  <c r="D493" i="9"/>
  <c r="D494" i="9"/>
  <c r="D495" i="9"/>
  <c r="D497" i="9"/>
  <c r="D499" i="9"/>
  <c r="D500" i="9"/>
  <c r="D503" i="9"/>
  <c r="D504" i="9"/>
  <c r="D505" i="9"/>
  <c r="D506" i="9"/>
  <c r="D508" i="9"/>
  <c r="D512" i="9"/>
  <c r="D513" i="9"/>
  <c r="D514" i="9"/>
  <c r="D516" i="9"/>
  <c r="D520" i="9"/>
  <c r="J29" i="7" s="1"/>
  <c r="D521" i="9"/>
  <c r="D525" i="9" s="1"/>
  <c r="J35" i="7" s="1"/>
  <c r="D522" i="9"/>
  <c r="J31" i="7" s="1"/>
  <c r="C408" i="9"/>
  <c r="C416" i="9" s="1"/>
  <c r="D408" i="9"/>
  <c r="D410" i="9"/>
  <c r="C274" i="9"/>
  <c r="C282" i="9" s="1"/>
  <c r="D274" i="9"/>
  <c r="D276" i="9"/>
  <c r="C278" i="9"/>
  <c r="G32" i="7" s="1"/>
  <c r="D278" i="9"/>
  <c r="D283" i="9"/>
  <c r="D285" i="9"/>
  <c r="D286" i="9"/>
  <c r="D292" i="9"/>
  <c r="D293" i="9"/>
  <c r="D294" i="9"/>
  <c r="D296" i="9"/>
  <c r="D298" i="9"/>
  <c r="D301" i="9"/>
  <c r="D302" i="9"/>
  <c r="D303" i="9"/>
  <c r="D304" i="9"/>
  <c r="D305" i="9"/>
  <c r="D307" i="9"/>
  <c r="D311" i="9"/>
  <c r="D312" i="9"/>
  <c r="D313" i="9"/>
  <c r="D315" i="9"/>
  <c r="D319" i="9"/>
  <c r="G29" i="7" s="1"/>
  <c r="D320" i="9"/>
  <c r="G30" i="7" s="1"/>
  <c r="D321" i="9"/>
  <c r="G31" i="7" s="1"/>
  <c r="C73" i="9"/>
  <c r="C81" i="9" s="1"/>
  <c r="D73" i="9"/>
  <c r="D110" i="9" s="1"/>
  <c r="D75" i="9"/>
  <c r="C77" i="9"/>
  <c r="D32" i="7" s="1"/>
  <c r="D77" i="9"/>
  <c r="D81" i="9"/>
  <c r="D656" i="9"/>
  <c r="L31" i="7" s="1"/>
  <c r="D655" i="9"/>
  <c r="D659" i="9" s="1"/>
  <c r="L35" i="7" s="1"/>
  <c r="D654" i="9"/>
  <c r="L29" i="7" s="1"/>
  <c r="D650" i="9"/>
  <c r="D648" i="9"/>
  <c r="D647" i="9"/>
  <c r="D646" i="9"/>
  <c r="D642" i="9"/>
  <c r="D640" i="9"/>
  <c r="D639" i="9"/>
  <c r="D638" i="9"/>
  <c r="D637" i="9"/>
  <c r="D636" i="9"/>
  <c r="D633" i="9"/>
  <c r="D631" i="9"/>
  <c r="D629" i="9"/>
  <c r="D628" i="9"/>
  <c r="D627" i="9"/>
  <c r="D623" i="9"/>
  <c r="D620" i="9"/>
  <c r="D617" i="9"/>
  <c r="D613" i="9"/>
  <c r="C613" i="9"/>
  <c r="L32" i="7" s="1"/>
  <c r="D611" i="9"/>
  <c r="D609" i="9"/>
  <c r="C609" i="9"/>
  <c r="C617" i="9" s="1"/>
  <c r="D455" i="9"/>
  <c r="I31" i="7" s="1"/>
  <c r="D454" i="9"/>
  <c r="I30" i="7" s="1"/>
  <c r="D453" i="9"/>
  <c r="I29" i="7" s="1"/>
  <c r="D449" i="9"/>
  <c r="D447" i="9"/>
  <c r="D446" i="9"/>
  <c r="D445" i="9"/>
  <c r="D441" i="9"/>
  <c r="D439" i="9"/>
  <c r="D438" i="9"/>
  <c r="D437" i="9"/>
  <c r="D436" i="9"/>
  <c r="D433" i="9"/>
  <c r="D432" i="9"/>
  <c r="D430" i="9"/>
  <c r="D428" i="9"/>
  <c r="D427" i="9"/>
  <c r="D426" i="9"/>
  <c r="D420" i="9"/>
  <c r="D419" i="9"/>
  <c r="D417" i="9"/>
  <c r="D412" i="9"/>
  <c r="C412" i="9"/>
  <c r="D459" i="9" s="1"/>
  <c r="I36" i="7" s="1"/>
  <c r="D388" i="9"/>
  <c r="H31" i="7" s="1"/>
  <c r="D387" i="9"/>
  <c r="D386" i="9"/>
  <c r="H29" i="7" s="1"/>
  <c r="D382" i="9"/>
  <c r="D380" i="9"/>
  <c r="D379" i="9"/>
  <c r="D378" i="9"/>
  <c r="D374" i="9"/>
  <c r="D372" i="9"/>
  <c r="D371" i="9"/>
  <c r="D370" i="9"/>
  <c r="D369" i="9"/>
  <c r="D366" i="9"/>
  <c r="D365" i="9"/>
  <c r="D363" i="9"/>
  <c r="D361" i="9"/>
  <c r="D360" i="9"/>
  <c r="D359" i="9"/>
  <c r="D353" i="9"/>
  <c r="D352" i="9"/>
  <c r="D350" i="9"/>
  <c r="D345" i="9"/>
  <c r="C345" i="9"/>
  <c r="H32" i="7" s="1"/>
  <c r="D343" i="9"/>
  <c r="D341" i="9"/>
  <c r="C341" i="9"/>
  <c r="C349" i="9" s="1"/>
  <c r="D254" i="9"/>
  <c r="F31" i="7" s="1"/>
  <c r="D253" i="9"/>
  <c r="F30" i="7" s="1"/>
  <c r="D252" i="9"/>
  <c r="F29" i="7" s="1"/>
  <c r="D248" i="9"/>
  <c r="D246" i="9"/>
  <c r="D245" i="9"/>
  <c r="D244" i="9"/>
  <c r="D240" i="9"/>
  <c r="D238" i="9"/>
  <c r="D237" i="9"/>
  <c r="D236" i="9"/>
  <c r="D235" i="9"/>
  <c r="D234" i="9"/>
  <c r="D231" i="9"/>
  <c r="D229" i="9"/>
  <c r="D227" i="9"/>
  <c r="D226" i="9"/>
  <c r="D225" i="9"/>
  <c r="D219" i="9"/>
  <c r="D218" i="9"/>
  <c r="D216" i="9"/>
  <c r="D211" i="9"/>
  <c r="C211" i="9"/>
  <c r="F32" i="7" s="1"/>
  <c r="D209" i="9"/>
  <c r="D207" i="9"/>
  <c r="C207" i="9"/>
  <c r="C215" i="9" s="1"/>
  <c r="C229" i="9" s="1"/>
  <c r="D187" i="9"/>
  <c r="E31" i="7" s="1"/>
  <c r="D186" i="9"/>
  <c r="D185" i="9"/>
  <c r="E29" i="7" s="1"/>
  <c r="D181" i="9"/>
  <c r="D179" i="9"/>
  <c r="D178" i="9"/>
  <c r="D177" i="9"/>
  <c r="D173" i="9"/>
  <c r="D171" i="9"/>
  <c r="D170" i="9"/>
  <c r="D169" i="9"/>
  <c r="D168" i="9"/>
  <c r="D165" i="9"/>
  <c r="D164" i="9"/>
  <c r="D162" i="9"/>
  <c r="D160" i="9"/>
  <c r="D159" i="9"/>
  <c r="D158" i="9"/>
  <c r="D151" i="9"/>
  <c r="D149" i="9"/>
  <c r="D148" i="9"/>
  <c r="D144" i="9"/>
  <c r="C144" i="9"/>
  <c r="E32" i="7" s="1"/>
  <c r="D142" i="9"/>
  <c r="D140" i="9"/>
  <c r="C140" i="9"/>
  <c r="C148" i="9" s="1"/>
  <c r="D120" i="9"/>
  <c r="D31" i="7" s="1"/>
  <c r="D119" i="9"/>
  <c r="D30" i="7" s="1"/>
  <c r="D118" i="9"/>
  <c r="D29" i="7" s="1"/>
  <c r="D114" i="9"/>
  <c r="D112" i="9"/>
  <c r="D111" i="9"/>
  <c r="D109" i="9"/>
  <c r="D106" i="9"/>
  <c r="D104" i="9"/>
  <c r="D103" i="9"/>
  <c r="D102" i="9"/>
  <c r="D101" i="9"/>
  <c r="D98" i="9"/>
  <c r="D97" i="9"/>
  <c r="D95" i="9"/>
  <c r="D93" i="9"/>
  <c r="D92" i="9"/>
  <c r="D85" i="9"/>
  <c r="D84" i="9"/>
  <c r="D82" i="9"/>
  <c r="D47" i="9"/>
  <c r="D45" i="9"/>
  <c r="D44" i="9"/>
  <c r="D43" i="9"/>
  <c r="D39" i="9"/>
  <c r="D37" i="9"/>
  <c r="D36" i="9"/>
  <c r="D35" i="9"/>
  <c r="D34" i="9"/>
  <c r="D33" i="9"/>
  <c r="D30" i="9"/>
  <c r="D28" i="9"/>
  <c r="D26" i="9"/>
  <c r="D25" i="9"/>
  <c r="D24" i="9"/>
  <c r="D17" i="9"/>
  <c r="D15" i="9"/>
  <c r="D14" i="9"/>
  <c r="D10" i="9"/>
  <c r="D8" i="9"/>
  <c r="D6" i="9"/>
  <c r="D526" i="9"/>
  <c r="J36" i="7" s="1"/>
  <c r="D123" i="9"/>
  <c r="D35" i="7" s="1"/>
  <c r="D14" i="3"/>
  <c r="D522" i="3"/>
  <c r="D503" i="3"/>
  <c r="D520" i="3"/>
  <c r="D519" i="3"/>
  <c r="D518" i="3"/>
  <c r="D514" i="3"/>
  <c r="D512" i="3"/>
  <c r="D511" i="3"/>
  <c r="D510" i="3"/>
  <c r="D509" i="3"/>
  <c r="D508" i="3"/>
  <c r="D505" i="3"/>
  <c r="D501" i="3"/>
  <c r="D500" i="3"/>
  <c r="D499" i="3"/>
  <c r="D490" i="3"/>
  <c r="D53" i="3"/>
  <c r="D51" i="3"/>
  <c r="D50" i="3"/>
  <c r="D49" i="3"/>
  <c r="D45" i="3"/>
  <c r="D43" i="3"/>
  <c r="D39" i="3"/>
  <c r="D38" i="3"/>
  <c r="D37" i="3"/>
  <c r="D34" i="3"/>
  <c r="D33" i="3"/>
  <c r="D31" i="3"/>
  <c r="D29" i="3"/>
  <c r="D28" i="3"/>
  <c r="D27" i="3"/>
  <c r="D21" i="3"/>
  <c r="D20" i="3"/>
  <c r="D18" i="3"/>
  <c r="D120" i="3"/>
  <c r="D118" i="3"/>
  <c r="D117" i="3"/>
  <c r="D116" i="3"/>
  <c r="D112" i="3"/>
  <c r="D110" i="3"/>
  <c r="D109" i="3"/>
  <c r="D108" i="3"/>
  <c r="D107" i="3"/>
  <c r="D104" i="3"/>
  <c r="D103" i="3"/>
  <c r="D101" i="3"/>
  <c r="D99" i="3"/>
  <c r="D98" i="3"/>
  <c r="D97" i="3"/>
  <c r="D91" i="3"/>
  <c r="D90" i="3"/>
  <c r="D88" i="3"/>
  <c r="D87" i="3"/>
  <c r="D187" i="3"/>
  <c r="D185" i="3"/>
  <c r="D184" i="3"/>
  <c r="D183" i="3"/>
  <c r="D179" i="3"/>
  <c r="D177" i="3"/>
  <c r="D176" i="3"/>
  <c r="D175" i="3"/>
  <c r="D174" i="3"/>
  <c r="D173" i="3"/>
  <c r="D170" i="3"/>
  <c r="D168" i="3"/>
  <c r="D166" i="3"/>
  <c r="D165" i="3"/>
  <c r="D164" i="3"/>
  <c r="D158" i="3"/>
  <c r="D155" i="3"/>
  <c r="D154" i="3"/>
  <c r="D254" i="3"/>
  <c r="D252" i="3"/>
  <c r="D251" i="3"/>
  <c r="D250" i="3"/>
  <c r="D246" i="3"/>
  <c r="D244" i="3"/>
  <c r="D243" i="3"/>
  <c r="D242" i="3"/>
  <c r="D241" i="3"/>
  <c r="D240" i="3"/>
  <c r="D237" i="3"/>
  <c r="D235" i="3"/>
  <c r="D233" i="3"/>
  <c r="D232" i="3"/>
  <c r="D231" i="3"/>
  <c r="D225" i="3"/>
  <c r="D222" i="3"/>
  <c r="D221" i="3"/>
  <c r="D321" i="3"/>
  <c r="D319" i="3"/>
  <c r="D318" i="3"/>
  <c r="D317" i="3"/>
  <c r="D313" i="3"/>
  <c r="D311" i="3"/>
  <c r="D310" i="3"/>
  <c r="D309" i="3"/>
  <c r="D308" i="3"/>
  <c r="D307" i="3"/>
  <c r="D304" i="3"/>
  <c r="D302" i="3"/>
  <c r="D300" i="3"/>
  <c r="D299" i="3"/>
  <c r="D298" i="3"/>
  <c r="D294" i="3"/>
  <c r="D289" i="3"/>
  <c r="D288" i="3"/>
  <c r="D388" i="3"/>
  <c r="D386" i="3"/>
  <c r="D385" i="3"/>
  <c r="D384" i="3"/>
  <c r="D380" i="3"/>
  <c r="D378" i="3"/>
  <c r="D377" i="3"/>
  <c r="D376" i="3"/>
  <c r="D375" i="3"/>
  <c r="D374" i="3"/>
  <c r="D371" i="3"/>
  <c r="D369" i="3"/>
  <c r="D367" i="3"/>
  <c r="D366" i="3"/>
  <c r="D365" i="3"/>
  <c r="D359" i="3"/>
  <c r="D356" i="3"/>
  <c r="D355" i="3"/>
  <c r="D455" i="3"/>
  <c r="D453" i="3"/>
  <c r="D452" i="3"/>
  <c r="D451" i="3"/>
  <c r="D447" i="3"/>
  <c r="D445" i="3"/>
  <c r="D444" i="3"/>
  <c r="D443" i="3"/>
  <c r="D442" i="3"/>
  <c r="D441" i="3"/>
  <c r="D438" i="3"/>
  <c r="D436" i="3"/>
  <c r="D434" i="3"/>
  <c r="D433" i="3"/>
  <c r="D432" i="3"/>
  <c r="D426" i="3"/>
  <c r="D423" i="3"/>
  <c r="D422" i="3"/>
  <c r="D656" i="3"/>
  <c r="D654" i="3"/>
  <c r="D653" i="3"/>
  <c r="D652" i="3"/>
  <c r="D648" i="3"/>
  <c r="D646" i="3"/>
  <c r="D645" i="3"/>
  <c r="D644" i="3"/>
  <c r="D643" i="3"/>
  <c r="D642" i="3"/>
  <c r="D639" i="3"/>
  <c r="D637" i="3"/>
  <c r="D635" i="3"/>
  <c r="D634" i="3"/>
  <c r="D633" i="3"/>
  <c r="D632" i="3"/>
  <c r="D624" i="3"/>
  <c r="D623" i="3"/>
  <c r="D589" i="3"/>
  <c r="D587" i="3"/>
  <c r="D586" i="3"/>
  <c r="D585" i="3"/>
  <c r="D581" i="3"/>
  <c r="D579" i="3"/>
  <c r="D578" i="3"/>
  <c r="D577" i="3"/>
  <c r="D576" i="3"/>
  <c r="D575" i="3"/>
  <c r="D572" i="3"/>
  <c r="D570" i="3"/>
  <c r="D568" i="3"/>
  <c r="D567" i="3"/>
  <c r="D566" i="3"/>
  <c r="D560" i="3"/>
  <c r="D559" i="3"/>
  <c r="D557" i="3"/>
  <c r="D619" i="3"/>
  <c r="D617" i="3"/>
  <c r="D615" i="3"/>
  <c r="D552" i="3"/>
  <c r="D550" i="3"/>
  <c r="D548" i="3"/>
  <c r="D485" i="3"/>
  <c r="D483" i="3"/>
  <c r="D481" i="3"/>
  <c r="D418" i="3"/>
  <c r="D416" i="3"/>
  <c r="D414" i="3"/>
  <c r="D351" i="3"/>
  <c r="D349" i="3"/>
  <c r="D347" i="3"/>
  <c r="D284" i="3"/>
  <c r="D282" i="3"/>
  <c r="D280" i="3"/>
  <c r="D217" i="3"/>
  <c r="D215" i="3"/>
  <c r="D213" i="3"/>
  <c r="D150" i="3"/>
  <c r="D148" i="3"/>
  <c r="D146" i="3"/>
  <c r="D83" i="3"/>
  <c r="D81" i="3"/>
  <c r="D79" i="3"/>
  <c r="D10" i="3"/>
  <c r="D8" i="3"/>
  <c r="D6" i="3"/>
  <c r="C436" i="3" l="1"/>
  <c r="D599" i="3"/>
  <c r="K17" i="7" s="1"/>
  <c r="D799" i="3"/>
  <c r="N16" i="7" s="1"/>
  <c r="H10" i="7"/>
  <c r="D196" i="3"/>
  <c r="E16" i="7" s="1"/>
  <c r="D659" i="10"/>
  <c r="L54" i="7" s="1"/>
  <c r="D123" i="10"/>
  <c r="D54" i="7" s="1"/>
  <c r="L49" i="7"/>
  <c r="D660" i="10"/>
  <c r="L55" i="7" s="1"/>
  <c r="D525" i="10"/>
  <c r="J54" i="7" s="1"/>
  <c r="D458" i="10"/>
  <c r="I54" i="7" s="1"/>
  <c r="D117" i="9"/>
  <c r="D28" i="7" s="1"/>
  <c r="C95" i="9"/>
  <c r="C114" i="9" s="1"/>
  <c r="L30" i="7"/>
  <c r="D458" i="9"/>
  <c r="I35" i="7" s="1"/>
  <c r="D258" i="9"/>
  <c r="F36" i="7" s="1"/>
  <c r="C497" i="10"/>
  <c r="C516" i="10" s="1"/>
  <c r="D519" i="10"/>
  <c r="D586" i="10"/>
  <c r="C564" i="10"/>
  <c r="C583" i="10" s="1"/>
  <c r="D258" i="10"/>
  <c r="F55" i="7" s="1"/>
  <c r="D391" i="10"/>
  <c r="H54" i="7" s="1"/>
  <c r="D117" i="10"/>
  <c r="D47" i="7" s="1"/>
  <c r="D324" i="10"/>
  <c r="G54" i="7" s="1"/>
  <c r="D526" i="10"/>
  <c r="J55" i="7" s="1"/>
  <c r="D527" i="10"/>
  <c r="J56" i="7" s="1"/>
  <c r="D190" i="10"/>
  <c r="E54" i="7" s="1"/>
  <c r="D459" i="10"/>
  <c r="I55" i="7" s="1"/>
  <c r="D592" i="10"/>
  <c r="K54" i="7" s="1"/>
  <c r="D49" i="7"/>
  <c r="C296" i="10"/>
  <c r="D318" i="10"/>
  <c r="C363" i="10"/>
  <c r="D385" i="10"/>
  <c r="D591" i="10"/>
  <c r="K53" i="7" s="1"/>
  <c r="K47" i="7"/>
  <c r="D594" i="10"/>
  <c r="K56" i="7" s="1"/>
  <c r="D184" i="10"/>
  <c r="C162" i="10"/>
  <c r="C430" i="10"/>
  <c r="D452" i="10"/>
  <c r="D460" i="10" s="1"/>
  <c r="I56" i="7" s="1"/>
  <c r="C229" i="10"/>
  <c r="D251" i="10"/>
  <c r="D259" i="10" s="1"/>
  <c r="F56" i="7" s="1"/>
  <c r="C631" i="10"/>
  <c r="D653" i="10"/>
  <c r="D257" i="10"/>
  <c r="F54" i="7" s="1"/>
  <c r="F50" i="7"/>
  <c r="D121" i="10"/>
  <c r="D52" i="7" s="1"/>
  <c r="D590" i="10"/>
  <c r="K52" i="7" s="1"/>
  <c r="C28" i="10"/>
  <c r="D50" i="10"/>
  <c r="D392" i="10"/>
  <c r="H55" i="7" s="1"/>
  <c r="D51" i="7"/>
  <c r="J49" i="7"/>
  <c r="L51" i="7"/>
  <c r="I51" i="7"/>
  <c r="G51" i="7"/>
  <c r="D523" i="10"/>
  <c r="J52" i="7" s="1"/>
  <c r="D191" i="10"/>
  <c r="E55" i="7" s="1"/>
  <c r="D325" i="10"/>
  <c r="G55" i="7" s="1"/>
  <c r="D593" i="10"/>
  <c r="K55" i="7" s="1"/>
  <c r="J51" i="7"/>
  <c r="D57" i="10"/>
  <c r="C55" i="7" s="1"/>
  <c r="C51" i="7"/>
  <c r="C54" i="7"/>
  <c r="D62" i="10"/>
  <c r="D60" i="10"/>
  <c r="D61" i="10"/>
  <c r="D59" i="10"/>
  <c r="D63" i="10"/>
  <c r="D57" i="9"/>
  <c r="C36" i="7" s="1"/>
  <c r="D56" i="9"/>
  <c r="C35" i="7" s="1"/>
  <c r="C8" i="7"/>
  <c r="D666" i="3"/>
  <c r="L17" i="7" s="1"/>
  <c r="D130" i="3"/>
  <c r="D17" i="7" s="1"/>
  <c r="L11" i="7"/>
  <c r="D391" i="3"/>
  <c r="D399" i="3" s="1"/>
  <c r="H18" i="7" s="1"/>
  <c r="C369" i="3"/>
  <c r="C388" i="3" s="1"/>
  <c r="D732" i="3"/>
  <c r="M16" i="7" s="1"/>
  <c r="D525" i="3"/>
  <c r="D533" i="3" s="1"/>
  <c r="J18" i="7" s="1"/>
  <c r="C503" i="3"/>
  <c r="D529" i="3" s="1"/>
  <c r="J14" i="7" s="1"/>
  <c r="D934" i="3"/>
  <c r="P17" i="7" s="1"/>
  <c r="D331" i="3"/>
  <c r="G17" i="7" s="1"/>
  <c r="D933" i="3"/>
  <c r="P16" i="7" s="1"/>
  <c r="D463" i="3"/>
  <c r="I15" i="7" s="1"/>
  <c r="I7" i="7"/>
  <c r="I12" i="7" s="1"/>
  <c r="D197" i="3"/>
  <c r="E17" i="7" s="1"/>
  <c r="D395" i="3"/>
  <c r="H14" i="7" s="1"/>
  <c r="D392" i="9"/>
  <c r="H36" i="7" s="1"/>
  <c r="K31" i="7"/>
  <c r="C30" i="7"/>
  <c r="D324" i="9"/>
  <c r="G35" i="7" s="1"/>
  <c r="D124" i="9"/>
  <c r="D36" i="7" s="1"/>
  <c r="D391" i="9"/>
  <c r="H35" i="7" s="1"/>
  <c r="H30" i="7"/>
  <c r="D660" i="9"/>
  <c r="L36" i="7" s="1"/>
  <c r="D191" i="9"/>
  <c r="E36" i="7" s="1"/>
  <c r="D190" i="9"/>
  <c r="E35" i="7" s="1"/>
  <c r="D255" i="9"/>
  <c r="F33" i="7" s="1"/>
  <c r="C248" i="9"/>
  <c r="C296" i="9"/>
  <c r="D318" i="9"/>
  <c r="C631" i="9"/>
  <c r="D653" i="9"/>
  <c r="C430" i="9"/>
  <c r="D452" i="9"/>
  <c r="D519" i="9"/>
  <c r="D527" i="9" s="1"/>
  <c r="J37" i="7" s="1"/>
  <c r="C497" i="9"/>
  <c r="D62" i="9"/>
  <c r="H15" i="3" s="1"/>
  <c r="D60" i="9"/>
  <c r="D63" i="9"/>
  <c r="D61" i="9"/>
  <c r="D50" i="9"/>
  <c r="D58" i="9" s="1"/>
  <c r="D59" i="9"/>
  <c r="F15" i="3" s="1"/>
  <c r="C162" i="9"/>
  <c r="D184" i="9"/>
  <c r="J30" i="7"/>
  <c r="D385" i="9"/>
  <c r="D121" i="9"/>
  <c r="D33" i="7" s="1"/>
  <c r="C363" i="9"/>
  <c r="D251" i="9"/>
  <c r="E30" i="7"/>
  <c r="I32" i="7"/>
  <c r="D592" i="9"/>
  <c r="K35" i="7" s="1"/>
  <c r="D257" i="9"/>
  <c r="F35" i="7" s="1"/>
  <c r="D586" i="9"/>
  <c r="J32" i="7"/>
  <c r="C564" i="9"/>
  <c r="D325" i="9"/>
  <c r="G36" i="7" s="1"/>
  <c r="D123" i="3"/>
  <c r="D128" i="3" s="1"/>
  <c r="D15" i="7" s="1"/>
  <c r="C101" i="3"/>
  <c r="D793" i="3"/>
  <c r="C771" i="3"/>
  <c r="D797" i="3" s="1"/>
  <c r="N14" i="7" s="1"/>
  <c r="D726" i="3"/>
  <c r="D734" i="3" s="1"/>
  <c r="C704" i="3"/>
  <c r="C235" i="3"/>
  <c r="D257" i="3"/>
  <c r="D265" i="3" s="1"/>
  <c r="F18" i="7" s="1"/>
  <c r="D659" i="3"/>
  <c r="L7" i="7" s="1"/>
  <c r="L12" i="7" s="1"/>
  <c r="C637" i="3"/>
  <c r="C168" i="3"/>
  <c r="D190" i="3"/>
  <c r="D198" i="3" s="1"/>
  <c r="D466" i="3"/>
  <c r="I18" i="7" s="1"/>
  <c r="H7" i="7"/>
  <c r="H12" i="7" s="1"/>
  <c r="D396" i="3"/>
  <c r="H15" i="7" s="1"/>
  <c r="C570" i="3"/>
  <c r="D592" i="3"/>
  <c r="D324" i="3"/>
  <c r="C302" i="3"/>
  <c r="C905" i="3"/>
  <c r="D927" i="3"/>
  <c r="C31" i="3"/>
  <c r="C53" i="3" s="1"/>
  <c r="D860" i="3"/>
  <c r="C838" i="3"/>
  <c r="C455" i="3" l="1"/>
  <c r="D462" i="3"/>
  <c r="I14" i="7" s="1"/>
  <c r="D122" i="9"/>
  <c r="D34" i="7" s="1"/>
  <c r="D125" i="9"/>
  <c r="D37" i="7" s="1"/>
  <c r="D125" i="10"/>
  <c r="D56" i="7" s="1"/>
  <c r="D122" i="10"/>
  <c r="D53" i="7" s="1"/>
  <c r="D524" i="10"/>
  <c r="J53" i="7" s="1"/>
  <c r="J47" i="7"/>
  <c r="E47" i="7"/>
  <c r="D192" i="10"/>
  <c r="D189" i="10"/>
  <c r="E53" i="7" s="1"/>
  <c r="L47" i="7"/>
  <c r="D658" i="10"/>
  <c r="L53" i="7" s="1"/>
  <c r="D657" i="10"/>
  <c r="L52" i="7" s="1"/>
  <c r="C650" i="10"/>
  <c r="F47" i="7"/>
  <c r="D256" i="10"/>
  <c r="F53" i="7" s="1"/>
  <c r="C248" i="10"/>
  <c r="D255" i="10"/>
  <c r="F52" i="7" s="1"/>
  <c r="D390" i="10"/>
  <c r="H53" i="7" s="1"/>
  <c r="D393" i="10"/>
  <c r="H47" i="7"/>
  <c r="I47" i="7"/>
  <c r="D457" i="10"/>
  <c r="I53" i="7" s="1"/>
  <c r="D389" i="10"/>
  <c r="H52" i="7" s="1"/>
  <c r="C382" i="10"/>
  <c r="C449" i="10"/>
  <c r="D456" i="10"/>
  <c r="I52" i="7" s="1"/>
  <c r="D323" i="10"/>
  <c r="G53" i="7" s="1"/>
  <c r="G47" i="7"/>
  <c r="D326" i="10"/>
  <c r="C47" i="10"/>
  <c r="D54" i="10"/>
  <c r="D661" i="10"/>
  <c r="C181" i="10"/>
  <c r="D188" i="10"/>
  <c r="E52" i="7" s="1"/>
  <c r="C315" i="10"/>
  <c r="D322" i="10"/>
  <c r="G52" i="7" s="1"/>
  <c r="C40" i="7"/>
  <c r="G15" i="3"/>
  <c r="G16" i="3"/>
  <c r="C59" i="7"/>
  <c r="D128" i="10"/>
  <c r="C58" i="7"/>
  <c r="D127" i="10"/>
  <c r="D130" i="10"/>
  <c r="C61" i="7"/>
  <c r="C47" i="7"/>
  <c r="D58" i="10"/>
  <c r="D55" i="10"/>
  <c r="C53" i="7" s="1"/>
  <c r="H16" i="3"/>
  <c r="D68" i="3" s="1"/>
  <c r="D135" i="3" s="1"/>
  <c r="C60" i="7"/>
  <c r="D129" i="10"/>
  <c r="F16" i="3"/>
  <c r="C57" i="7"/>
  <c r="D126" i="10"/>
  <c r="C52" i="7"/>
  <c r="C522" i="3"/>
  <c r="D664" i="3"/>
  <c r="L15" i="7" s="1"/>
  <c r="D530" i="3"/>
  <c r="J15" i="7" s="1"/>
  <c r="J7" i="7"/>
  <c r="J12" i="7" s="1"/>
  <c r="D667" i="3"/>
  <c r="L18" i="7" s="1"/>
  <c r="C790" i="3"/>
  <c r="M18" i="7"/>
  <c r="C37" i="7"/>
  <c r="D128" i="9"/>
  <c r="D40" i="7" s="1"/>
  <c r="C41" i="7"/>
  <c r="D129" i="9"/>
  <c r="C449" i="9"/>
  <c r="D456" i="9"/>
  <c r="I33" i="7" s="1"/>
  <c r="G28" i="7"/>
  <c r="D323" i="9"/>
  <c r="G34" i="7" s="1"/>
  <c r="D326" i="9"/>
  <c r="D256" i="9"/>
  <c r="F34" i="7" s="1"/>
  <c r="F28" i="7"/>
  <c r="D54" i="9"/>
  <c r="C33" i="7" s="1"/>
  <c r="D457" i="9"/>
  <c r="I34" i="7" s="1"/>
  <c r="I28" i="7"/>
  <c r="D657" i="9"/>
  <c r="L33" i="7" s="1"/>
  <c r="C650" i="9"/>
  <c r="D389" i="9"/>
  <c r="H33" i="7" s="1"/>
  <c r="C382" i="9"/>
  <c r="D259" i="9"/>
  <c r="C39" i="7"/>
  <c r="D127" i="9"/>
  <c r="D322" i="9"/>
  <c r="G33" i="7" s="1"/>
  <c r="C315" i="9"/>
  <c r="H28" i="7"/>
  <c r="D393" i="9"/>
  <c r="D390" i="9"/>
  <c r="H34" i="7" s="1"/>
  <c r="D460" i="9"/>
  <c r="C38" i="7"/>
  <c r="D126" i="9"/>
  <c r="C583" i="9"/>
  <c r="D590" i="9"/>
  <c r="K33" i="7" s="1"/>
  <c r="C28" i="7"/>
  <c r="D55" i="9"/>
  <c r="C34" i="7" s="1"/>
  <c r="D658" i="9"/>
  <c r="L34" i="7" s="1"/>
  <c r="D661" i="9"/>
  <c r="L28" i="7"/>
  <c r="E28" i="7"/>
  <c r="D192" i="9"/>
  <c r="D189" i="9"/>
  <c r="E34" i="7" s="1"/>
  <c r="C516" i="9"/>
  <c r="D523" i="9"/>
  <c r="J33" i="7" s="1"/>
  <c r="D591" i="9"/>
  <c r="K34" i="7" s="1"/>
  <c r="K28" i="7"/>
  <c r="D594" i="9"/>
  <c r="C181" i="9"/>
  <c r="D188" i="9"/>
  <c r="E33" i="7" s="1"/>
  <c r="C42" i="7"/>
  <c r="D130" i="9"/>
  <c r="D524" i="9"/>
  <c r="J34" i="7" s="1"/>
  <c r="J28" i="7"/>
  <c r="D7" i="7"/>
  <c r="D12" i="7" s="1"/>
  <c r="D131" i="3"/>
  <c r="E18" i="7"/>
  <c r="N7" i="7"/>
  <c r="N12" i="7" s="1"/>
  <c r="D798" i="3"/>
  <c r="N15" i="7" s="1"/>
  <c r="D801" i="3"/>
  <c r="D262" i="3"/>
  <c r="F15" i="7" s="1"/>
  <c r="F7" i="7"/>
  <c r="F12" i="7" s="1"/>
  <c r="D663" i="3"/>
  <c r="L14" i="7" s="1"/>
  <c r="C656" i="3"/>
  <c r="C254" i="3"/>
  <c r="D261" i="3"/>
  <c r="F14" i="7" s="1"/>
  <c r="D730" i="3"/>
  <c r="M14" i="7" s="1"/>
  <c r="C723" i="3"/>
  <c r="D731" i="3"/>
  <c r="M15" i="7" s="1"/>
  <c r="M7" i="7"/>
  <c r="M12" i="7" s="1"/>
  <c r="E7" i="7"/>
  <c r="E12" i="7" s="1"/>
  <c r="D195" i="3"/>
  <c r="E15" i="7" s="1"/>
  <c r="C187" i="3"/>
  <c r="D194" i="3"/>
  <c r="E14" i="7" s="1"/>
  <c r="D127" i="3"/>
  <c r="D14" i="7" s="1"/>
  <c r="C120" i="3"/>
  <c r="D600" i="3"/>
  <c r="D597" i="3"/>
  <c r="K15" i="7" s="1"/>
  <c r="K7" i="7"/>
  <c r="K12" i="7" s="1"/>
  <c r="O7" i="7"/>
  <c r="O12" i="7" s="1"/>
  <c r="D865" i="3"/>
  <c r="O15" i="7" s="1"/>
  <c r="D868" i="3"/>
  <c r="D932" i="3"/>
  <c r="P15" i="7" s="1"/>
  <c r="P7" i="7"/>
  <c r="P12" i="7" s="1"/>
  <c r="C589" i="3"/>
  <c r="D596" i="3"/>
  <c r="K14" i="7" s="1"/>
  <c r="C924" i="3"/>
  <c r="D931" i="3"/>
  <c r="P14" i="7" s="1"/>
  <c r="D60" i="3"/>
  <c r="C14" i="7" s="1"/>
  <c r="D64" i="3"/>
  <c r="D61" i="3"/>
  <c r="C15" i="7" s="1"/>
  <c r="C7" i="7"/>
  <c r="C13" i="7" s="1"/>
  <c r="D329" i="3"/>
  <c r="G15" i="7" s="1"/>
  <c r="G7" i="7"/>
  <c r="G12" i="7" s="1"/>
  <c r="D332" i="3"/>
  <c r="D864" i="3"/>
  <c r="O14" i="7" s="1"/>
  <c r="C857" i="3"/>
  <c r="D328" i="3"/>
  <c r="G14" i="7" s="1"/>
  <c r="C321" i="3"/>
  <c r="D935" i="3"/>
  <c r="H56" i="7" l="1"/>
  <c r="L56" i="7"/>
  <c r="G56" i="7"/>
  <c r="E56" i="7"/>
  <c r="D69" i="3"/>
  <c r="D67" i="3"/>
  <c r="D134" i="3" s="1"/>
  <c r="D21" i="7" s="1"/>
  <c r="C22" i="7"/>
  <c r="D193" i="10"/>
  <c r="D57" i="7"/>
  <c r="D61" i="7"/>
  <c r="D197" i="10"/>
  <c r="D196" i="10"/>
  <c r="D60" i="7"/>
  <c r="D58" i="7"/>
  <c r="D194" i="10"/>
  <c r="D65" i="3"/>
  <c r="D66" i="3"/>
  <c r="D59" i="7"/>
  <c r="D195" i="10"/>
  <c r="C56" i="7"/>
  <c r="D195" i="9"/>
  <c r="E40" i="7" s="1"/>
  <c r="G37" i="7"/>
  <c r="E37" i="7"/>
  <c r="K37" i="7"/>
  <c r="D38" i="7"/>
  <c r="D193" i="9"/>
  <c r="D39" i="7"/>
  <c r="D194" i="9"/>
  <c r="L37" i="7"/>
  <c r="I37" i="7"/>
  <c r="F37" i="7"/>
  <c r="D41" i="7"/>
  <c r="D196" i="9"/>
  <c r="D42" i="7"/>
  <c r="D197" i="9"/>
  <c r="H37" i="7"/>
  <c r="D18" i="7"/>
  <c r="N18" i="7"/>
  <c r="C12" i="7"/>
  <c r="D202" i="3"/>
  <c r="D22" i="7"/>
  <c r="G18" i="7"/>
  <c r="C18" i="7"/>
  <c r="P18" i="7"/>
  <c r="K18" i="7"/>
  <c r="O18" i="7"/>
  <c r="C21" i="7" l="1"/>
  <c r="D201" i="3"/>
  <c r="E21" i="7" s="1"/>
  <c r="D261" i="10"/>
  <c r="E58" i="7"/>
  <c r="E59" i="7"/>
  <c r="D262" i="10"/>
  <c r="E60" i="7"/>
  <c r="D263" i="10"/>
  <c r="D264" i="10"/>
  <c r="E61" i="7"/>
  <c r="C20" i="7"/>
  <c r="D133" i="3"/>
  <c r="C23" i="7"/>
  <c r="D136" i="3"/>
  <c r="D132" i="3"/>
  <c r="C19" i="7"/>
  <c r="D260" i="10"/>
  <c r="E57" i="7"/>
  <c r="D262" i="9"/>
  <c r="D329" i="9" s="1"/>
  <c r="E42" i="7"/>
  <c r="D264" i="9"/>
  <c r="D261" i="9"/>
  <c r="E39" i="7"/>
  <c r="E41" i="7"/>
  <c r="D263" i="9"/>
  <c r="E38" i="7"/>
  <c r="D260" i="9"/>
  <c r="E22" i="7"/>
  <c r="D269" i="3"/>
  <c r="O13" i="7"/>
  <c r="L13" i="7"/>
  <c r="F13" i="7"/>
  <c r="J13" i="7"/>
  <c r="N13" i="7"/>
  <c r="I13" i="7"/>
  <c r="P13" i="7"/>
  <c r="D13" i="7"/>
  <c r="E13" i="7"/>
  <c r="K13" i="7"/>
  <c r="H13" i="7"/>
  <c r="G13" i="7"/>
  <c r="M13" i="7"/>
  <c r="D268" i="3" l="1"/>
  <c r="F21" i="7" s="1"/>
  <c r="D327" i="10"/>
  <c r="F57" i="7"/>
  <c r="D199" i="3"/>
  <c r="D19" i="7"/>
  <c r="D331" i="10"/>
  <c r="F61" i="7"/>
  <c r="D23" i="7"/>
  <c r="D203" i="3"/>
  <c r="F59" i="7"/>
  <c r="D329" i="10"/>
  <c r="D330" i="10"/>
  <c r="F60" i="7"/>
  <c r="D20" i="7"/>
  <c r="D200" i="3"/>
  <c r="F58" i="7"/>
  <c r="D328" i="10"/>
  <c r="F40" i="7"/>
  <c r="F41" i="7"/>
  <c r="D330" i="9"/>
  <c r="F38" i="7"/>
  <c r="D327" i="9"/>
  <c r="D328" i="9"/>
  <c r="F39" i="7"/>
  <c r="G40" i="7"/>
  <c r="D396" i="9"/>
  <c r="F42" i="7"/>
  <c r="D331" i="9"/>
  <c r="F22" i="7"/>
  <c r="D336" i="3"/>
  <c r="D335" i="3" l="1"/>
  <c r="D402" i="3" s="1"/>
  <c r="E23" i="7"/>
  <c r="D270" i="3"/>
  <c r="G61" i="7"/>
  <c r="D398" i="10"/>
  <c r="D395" i="10"/>
  <c r="G58" i="7"/>
  <c r="D267" i="3"/>
  <c r="E20" i="7"/>
  <c r="D266" i="3"/>
  <c r="E19" i="7"/>
  <c r="D396" i="10"/>
  <c r="G59" i="7"/>
  <c r="D397" i="10"/>
  <c r="G60" i="7"/>
  <c r="G57" i="7"/>
  <c r="D394" i="10"/>
  <c r="H40" i="7"/>
  <c r="D463" i="9"/>
  <c r="D395" i="9"/>
  <c r="G39" i="7"/>
  <c r="G38" i="7"/>
  <c r="D394" i="9"/>
  <c r="G41" i="7"/>
  <c r="D397" i="9"/>
  <c r="D398" i="9"/>
  <c r="G42" i="7"/>
  <c r="D403" i="3"/>
  <c r="G22" i="7"/>
  <c r="G21" i="7" l="1"/>
  <c r="D461" i="10"/>
  <c r="H57" i="7"/>
  <c r="H58" i="7"/>
  <c r="D462" i="10"/>
  <c r="D465" i="10"/>
  <c r="H61" i="7"/>
  <c r="F20" i="7"/>
  <c r="D334" i="3"/>
  <c r="F23" i="7"/>
  <c r="D337" i="3"/>
  <c r="D464" i="10"/>
  <c r="H60" i="7"/>
  <c r="H59" i="7"/>
  <c r="D463" i="10"/>
  <c r="F19" i="7"/>
  <c r="D333" i="3"/>
  <c r="H38" i="7"/>
  <c r="D461" i="9"/>
  <c r="D462" i="9"/>
  <c r="H39" i="7"/>
  <c r="H41" i="7"/>
  <c r="D464" i="9"/>
  <c r="I40" i="7"/>
  <c r="D530" i="9"/>
  <c r="D465" i="9"/>
  <c r="H42" i="7"/>
  <c r="D470" i="3"/>
  <c r="H22" i="7"/>
  <c r="H21" i="7"/>
  <c r="D469" i="3"/>
  <c r="D529" i="10" l="1"/>
  <c r="I58" i="7"/>
  <c r="G19" i="7"/>
  <c r="D400" i="3"/>
  <c r="I60" i="7"/>
  <c r="D531" i="10"/>
  <c r="I61" i="7"/>
  <c r="D532" i="10"/>
  <c r="D404" i="3"/>
  <c r="G23" i="7"/>
  <c r="G20" i="7"/>
  <c r="D401" i="3"/>
  <c r="I59" i="7"/>
  <c r="D530" i="10"/>
  <c r="D528" i="10"/>
  <c r="I57" i="7"/>
  <c r="I41" i="7"/>
  <c r="D531" i="9"/>
  <c r="J40" i="7"/>
  <c r="D597" i="9"/>
  <c r="D529" i="9"/>
  <c r="I39" i="7"/>
  <c r="I38" i="7"/>
  <c r="D528" i="9"/>
  <c r="I42" i="7"/>
  <c r="D532" i="9"/>
  <c r="I22" i="7"/>
  <c r="D537" i="3"/>
  <c r="D536" i="3"/>
  <c r="I21" i="7"/>
  <c r="J61" i="7" l="1"/>
  <c r="D599" i="10"/>
  <c r="J60" i="7"/>
  <c r="D598" i="10"/>
  <c r="D595" i="10"/>
  <c r="J57" i="7"/>
  <c r="D468" i="3"/>
  <c r="H20" i="7"/>
  <c r="D467" i="3"/>
  <c r="H19" i="7"/>
  <c r="D597" i="10"/>
  <c r="J59" i="7"/>
  <c r="H23" i="7"/>
  <c r="D471" i="3"/>
  <c r="J58" i="7"/>
  <c r="D596" i="10"/>
  <c r="D595" i="9"/>
  <c r="J38" i="7"/>
  <c r="J42" i="7"/>
  <c r="D599" i="9"/>
  <c r="J41" i="7"/>
  <c r="D598" i="9"/>
  <c r="D596" i="9"/>
  <c r="J39" i="7"/>
  <c r="K40" i="7"/>
  <c r="D664" i="9"/>
  <c r="L40" i="7" s="1"/>
  <c r="J21" i="7"/>
  <c r="D603" i="3"/>
  <c r="D604" i="3"/>
  <c r="J22" i="7"/>
  <c r="I23" i="7" l="1"/>
  <c r="D538" i="3"/>
  <c r="D662" i="10"/>
  <c r="L57" i="7" s="1"/>
  <c r="K57" i="7"/>
  <c r="I20" i="7"/>
  <c r="D535" i="3"/>
  <c r="D665" i="10"/>
  <c r="L60" i="7" s="1"/>
  <c r="K60" i="7"/>
  <c r="D664" i="10"/>
  <c r="L59" i="7" s="1"/>
  <c r="K59" i="7"/>
  <c r="D663" i="10"/>
  <c r="L58" i="7" s="1"/>
  <c r="K58" i="7"/>
  <c r="D666" i="10"/>
  <c r="L61" i="7" s="1"/>
  <c r="K61" i="7"/>
  <c r="I19" i="7"/>
  <c r="D534" i="3"/>
  <c r="D662" i="9"/>
  <c r="L38" i="7" s="1"/>
  <c r="K38" i="7"/>
  <c r="K41" i="7"/>
  <c r="D665" i="9"/>
  <c r="L41" i="7" s="1"/>
  <c r="K42" i="7"/>
  <c r="D666" i="9"/>
  <c r="L42" i="7" s="1"/>
  <c r="K39" i="7"/>
  <c r="D663" i="9"/>
  <c r="L39" i="7" s="1"/>
  <c r="K22" i="7"/>
  <c r="D671" i="3"/>
  <c r="D670" i="3"/>
  <c r="K21" i="7"/>
  <c r="D601" i="3" l="1"/>
  <c r="J19" i="7"/>
  <c r="D602" i="3"/>
  <c r="J20" i="7"/>
  <c r="D605" i="3"/>
  <c r="J23" i="7"/>
  <c r="D737" i="3"/>
  <c r="L21" i="7"/>
  <c r="L22" i="7"/>
  <c r="D738" i="3"/>
  <c r="D672" i="3" l="1"/>
  <c r="K23" i="7"/>
  <c r="D669" i="3"/>
  <c r="K20" i="7"/>
  <c r="D668" i="3"/>
  <c r="K19" i="7"/>
  <c r="D804" i="3"/>
  <c r="M21" i="7"/>
  <c r="D805" i="3"/>
  <c r="M22" i="7"/>
  <c r="L19" i="7" l="1"/>
  <c r="D735" i="3"/>
  <c r="L20" i="7"/>
  <c r="D736" i="3"/>
  <c r="L23" i="7"/>
  <c r="D739" i="3"/>
  <c r="D871" i="3"/>
  <c r="N21" i="7"/>
  <c r="D872" i="3"/>
  <c r="N22" i="7"/>
  <c r="M23" i="7" l="1"/>
  <c r="D806" i="3"/>
  <c r="D803" i="3"/>
  <c r="M20" i="7"/>
  <c r="D802" i="3"/>
  <c r="M19" i="7"/>
  <c r="D938" i="3"/>
  <c r="P21" i="7" s="1"/>
  <c r="O21" i="7"/>
  <c r="O22" i="7"/>
  <c r="D939" i="3"/>
  <c r="P22" i="7" s="1"/>
  <c r="N19" i="7" l="1"/>
  <c r="D869" i="3"/>
  <c r="D870" i="3"/>
  <c r="N20" i="7"/>
  <c r="N23" i="7"/>
  <c r="D873" i="3"/>
  <c r="O23" i="7" l="1"/>
  <c r="D940" i="3"/>
  <c r="P23" i="7" s="1"/>
  <c r="O19" i="7"/>
  <c r="D936" i="3"/>
  <c r="P19" i="7" s="1"/>
  <c r="D937" i="3"/>
  <c r="P20" i="7" s="1"/>
  <c r="O20"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Luescher, Michael-1</author>
  </authors>
  <commentList>
    <comment ref="C2" authorId="0" shapeId="0" xr:uid="{B5748E24-3333-4D21-B783-015747EC0C58}">
      <text>
        <r>
          <rPr>
            <sz val="10"/>
            <color indexed="81"/>
            <rFont val="Arial"/>
            <family val="2"/>
          </rPr>
          <t>Function of this step - Transformation?</t>
        </r>
      </text>
    </comment>
    <comment ref="C75" authorId="0" shapeId="0" xr:uid="{00606E11-E3E9-4F5F-B3E1-F7AFD9CE3998}">
      <text>
        <r>
          <rPr>
            <sz val="10"/>
            <color indexed="81"/>
            <rFont val="Arial"/>
            <family val="2"/>
          </rPr>
          <t>Function of this step - Transformation?</t>
        </r>
      </text>
    </comment>
    <comment ref="B86" authorId="0" shapeId="0" xr:uid="{CA0FBBE2-FE55-43E5-8C34-38D24BB23BD3}">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89" authorId="0" shapeId="0" xr:uid="{0E2DBD59-0EE5-4FBD-AAA2-EF33D7DC1DAB}">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131" authorId="0" shapeId="0" xr:uid="{84508D33-F194-4C17-B1E5-A60C42A62D35}">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142" authorId="0" shapeId="0" xr:uid="{9CD65E54-C859-4B96-B828-8DAD5FC0D98A}">
      <text>
        <r>
          <rPr>
            <sz val="10"/>
            <color indexed="81"/>
            <rFont val="Arial"/>
            <family val="2"/>
          </rPr>
          <t>Function of this step - Transformation?</t>
        </r>
      </text>
    </comment>
    <comment ref="B153" authorId="0" shapeId="0" xr:uid="{D71A221A-A777-43F5-A2D1-C073024036BA}">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156" authorId="0" shapeId="0" xr:uid="{DB1DE9F9-95B0-4F9D-BC66-24DC93A73A41}">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198" authorId="0" shapeId="0" xr:uid="{B06D7A92-4434-4BA2-9FEB-A1E06E33D112}">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209" authorId="0" shapeId="0" xr:uid="{83CA0622-3A51-477A-A8D5-17A0922653DF}">
      <text>
        <r>
          <rPr>
            <sz val="10"/>
            <color indexed="81"/>
            <rFont val="Arial"/>
            <family val="2"/>
          </rPr>
          <t>Function of this step - Transformation?</t>
        </r>
      </text>
    </comment>
    <comment ref="B220" authorId="0" shapeId="0" xr:uid="{651BF7D2-CE9C-4BD0-982B-333698448E9A}">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223" authorId="0" shapeId="0" xr:uid="{76AB8EBC-449B-4966-9BB5-11A07888A7AF}">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265" authorId="0" shapeId="0" xr:uid="{E25783B1-02CC-4E01-9A07-45F92B0E554F}">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276" authorId="0" shapeId="0" xr:uid="{E8A12B78-69A2-428B-AE21-A12621CC6BC8}">
      <text>
        <r>
          <rPr>
            <sz val="10"/>
            <color indexed="81"/>
            <rFont val="Arial"/>
            <family val="2"/>
          </rPr>
          <t>Function of this step - Transformation?</t>
        </r>
      </text>
    </comment>
    <comment ref="B287" authorId="0" shapeId="0" xr:uid="{83CBA61E-519D-4C53-903B-573F9AF2D254}">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290" authorId="0" shapeId="0" xr:uid="{FEC5E3AA-5757-45F2-B8D5-C10489AE076B}">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332" authorId="0" shapeId="0" xr:uid="{84FEBD43-F104-4C05-9BFF-9EC4924897E7}">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343" authorId="0" shapeId="0" xr:uid="{E5048A78-64D9-4C4C-AA6C-6DC77978AEA3}">
      <text>
        <r>
          <rPr>
            <sz val="10"/>
            <color indexed="81"/>
            <rFont val="Arial"/>
            <family val="2"/>
          </rPr>
          <t>Function of this step - Transformation?</t>
        </r>
      </text>
    </comment>
    <comment ref="B354" authorId="0" shapeId="0" xr:uid="{D54D4CB3-2071-4A43-9860-3356714B868E}">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357" authorId="0" shapeId="0" xr:uid="{7FA05434-E87E-4EB0-BDCC-F07BF2C366E9}">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399" authorId="0" shapeId="0" xr:uid="{9997F7D2-9F0E-45AD-B7A4-D1EFAA882644}">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410" authorId="0" shapeId="0" xr:uid="{7FFA3602-1322-4777-A7BE-EA09D24426EE}">
      <text>
        <r>
          <rPr>
            <sz val="10"/>
            <color indexed="81"/>
            <rFont val="Arial"/>
            <family val="2"/>
          </rPr>
          <t>Function of this step - Transformation?</t>
        </r>
      </text>
    </comment>
    <comment ref="B421" authorId="0" shapeId="0" xr:uid="{BEFAF6B8-2C6F-4802-A6CD-9FC593DCCC24}">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424" authorId="0" shapeId="0" xr:uid="{C50E5934-0DC4-4FF1-A03F-B43BA03037A3}">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466" authorId="0" shapeId="0" xr:uid="{A4F54EA8-B70E-47A2-8854-E057F2D9079D}">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477" authorId="0" shapeId="0" xr:uid="{E66BE6EA-E5B9-439D-89C4-D0CA0352E1D7}">
      <text>
        <r>
          <rPr>
            <sz val="10"/>
            <color indexed="81"/>
            <rFont val="Arial"/>
            <family val="2"/>
          </rPr>
          <t>Function of this step - Transformation?</t>
        </r>
      </text>
    </comment>
    <comment ref="B488" authorId="0" shapeId="0" xr:uid="{87097CA8-8B3F-4E01-8E1A-DE5469E3F76A}">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491" authorId="0" shapeId="0" xr:uid="{AFF6C89B-3C48-440A-B7A3-A380B987A60B}">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533" authorId="0" shapeId="0" xr:uid="{1750CD6D-AE83-4604-9BAA-ADCCC9BA984F}">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544" authorId="0" shapeId="0" xr:uid="{409A9977-C3FA-4460-9FA4-926EA4526458}">
      <text>
        <r>
          <rPr>
            <sz val="10"/>
            <color indexed="81"/>
            <rFont val="Arial"/>
            <family val="2"/>
          </rPr>
          <t>Function of this step - Transformation?</t>
        </r>
      </text>
    </comment>
    <comment ref="B555" authorId="0" shapeId="0" xr:uid="{A7C9985A-D9AE-41C9-AC31-65618D83E459}">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558" authorId="0" shapeId="0" xr:uid="{7910EBBB-A06C-41C6-9B49-9B8879481330}">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600" authorId="0" shapeId="0" xr:uid="{ABA74753-3399-4204-9163-433BE3B22C40}">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611" authorId="0" shapeId="0" xr:uid="{99EAD27F-4013-4E2A-88B3-4F7DBAB0EC69}">
      <text>
        <r>
          <rPr>
            <sz val="10"/>
            <color indexed="81"/>
            <rFont val="Arial"/>
            <family val="2"/>
          </rPr>
          <t>Function of this step - Transformation?</t>
        </r>
      </text>
    </comment>
    <comment ref="B622" authorId="0" shapeId="0" xr:uid="{91E722AC-211A-4F12-AB93-C730F5664BDB}">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625" authorId="0" shapeId="0" xr:uid="{43C40F19-2054-427D-A54B-8EEFCD06FECF}">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667" authorId="0" shapeId="0" xr:uid="{EFCF8616-7D00-4DD5-9998-BC8103C3D58B}">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678" authorId="0" shapeId="0" xr:uid="{90F94B81-E050-462B-B6DD-294B857C518D}">
      <text>
        <r>
          <rPr>
            <sz val="10"/>
            <color indexed="81"/>
            <rFont val="Arial"/>
            <family val="2"/>
          </rPr>
          <t>Function of this step - Transformation?</t>
        </r>
      </text>
    </comment>
    <comment ref="B689" authorId="0" shapeId="0" xr:uid="{1AC33F2E-242C-4A95-9A6A-A51E1D4183F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692" authorId="0" shapeId="0" xr:uid="{2DF8EF58-649B-49B4-AD6B-A63BC50B46BB}">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734" authorId="0" shapeId="0" xr:uid="{0AB10A0D-618C-46C5-B5A7-A0F1CD7C7E84}">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745" authorId="0" shapeId="0" xr:uid="{0A2F1190-B934-4416-A2DA-D947E7D5D1FB}">
      <text>
        <r>
          <rPr>
            <sz val="10"/>
            <color indexed="81"/>
            <rFont val="Arial"/>
            <family val="2"/>
          </rPr>
          <t>Function of this step - Transformation?</t>
        </r>
      </text>
    </comment>
    <comment ref="B756" authorId="0" shapeId="0" xr:uid="{5B06D433-F46C-4ED1-AF47-69890A412E71}">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759" authorId="0" shapeId="0" xr:uid="{F5EC82D3-661A-4909-86B3-BFC046491CFB}">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801" authorId="0" shapeId="0" xr:uid="{7DBFBFC5-CCC3-4EE1-826F-87C6BF5B5852}">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812" authorId="0" shapeId="0" xr:uid="{8B28D3FC-2B32-4745-864E-215E50742F58}">
      <text>
        <r>
          <rPr>
            <sz val="10"/>
            <color indexed="81"/>
            <rFont val="Arial"/>
            <family val="2"/>
          </rPr>
          <t>Function of this step - Transformation?</t>
        </r>
      </text>
    </comment>
    <comment ref="B823" authorId="0" shapeId="0" xr:uid="{FCCB5B86-EB7B-444F-B1ED-CB99E413054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826" authorId="0" shapeId="0" xr:uid="{B34D47CA-0038-4FC4-A5EE-7B1506258329}">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868" authorId="0" shapeId="0" xr:uid="{441ED5F2-8430-462E-945D-2D2134ECF84B}">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879" authorId="0" shapeId="0" xr:uid="{DFE21838-3406-452E-8410-4AA2A870E68E}">
      <text>
        <r>
          <rPr>
            <sz val="10"/>
            <color indexed="81"/>
            <rFont val="Arial"/>
            <family val="2"/>
          </rPr>
          <t>Function of this step - Transformation?</t>
        </r>
      </text>
    </comment>
    <comment ref="B890" authorId="0" shapeId="0" xr:uid="{D88342FD-BEDB-4AD5-A474-083AB23574D4}">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893" authorId="0" shapeId="0" xr:uid="{C5BF8106-E234-42DB-8E53-2B6EF2657D65}">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935" authorId="0" shapeId="0" xr:uid="{28444DAD-4FE6-451A-90A0-79816A33E058}">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Luescher, Michael-1</author>
  </authors>
  <commentList>
    <comment ref="C69" authorId="0" shapeId="0" xr:uid="{F4AD7459-1CE2-4458-BBCB-E232221B60E5}">
      <text>
        <r>
          <rPr>
            <sz val="10"/>
            <color indexed="81"/>
            <rFont val="Arial"/>
            <family val="2"/>
          </rPr>
          <t>Function of this step - Transformation?</t>
        </r>
      </text>
    </comment>
    <comment ref="B80" authorId="0" shapeId="0" xr:uid="{CBDA853F-EE11-4E6D-A831-90824566DA6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83" authorId="0" shapeId="0" xr:uid="{21779055-B75A-49CA-A7D4-899738FD55BA}">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128" authorId="0" shapeId="0" xr:uid="{EC93D0A3-1E8A-43B1-8214-C9A2FE74AB45}">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136" authorId="0" shapeId="0" xr:uid="{C2BED020-9230-4CA1-A8C4-28CCFA065312}">
      <text>
        <r>
          <rPr>
            <sz val="10"/>
            <color indexed="81"/>
            <rFont val="Arial"/>
            <family val="2"/>
          </rPr>
          <t>Function of this step - Transformation?</t>
        </r>
      </text>
    </comment>
    <comment ref="B147" authorId="0" shapeId="0" xr:uid="{AEFBB7F6-6301-4508-9AB3-128961251B3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150" authorId="0" shapeId="0" xr:uid="{68425AEE-8FFB-4023-81BE-BEBF723D8309}">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195" authorId="0" shapeId="0" xr:uid="{B05A3522-54A7-498C-A1EA-374F879F46EE}">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203" authorId="0" shapeId="0" xr:uid="{A31D5030-BFD1-4EE8-85DC-671F00E76263}">
      <text>
        <r>
          <rPr>
            <sz val="10"/>
            <color indexed="81"/>
            <rFont val="Arial"/>
            <family val="2"/>
          </rPr>
          <t>Function of this step - Transformation?</t>
        </r>
      </text>
    </comment>
    <comment ref="B214" authorId="0" shapeId="0" xr:uid="{7C1E5AD9-AC96-40D7-89C3-10AEBE60B350}">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217" authorId="0" shapeId="0" xr:uid="{4384D126-88EF-4A33-9A88-5C81325E3243}">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262" authorId="0" shapeId="0" xr:uid="{42119A99-9438-4186-AB63-0D052BEB097B}">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270" authorId="0" shapeId="0" xr:uid="{530C7F13-728B-46AF-9B8F-FDAC9E09C4FD}">
      <text>
        <r>
          <rPr>
            <sz val="10"/>
            <color indexed="81"/>
            <rFont val="Arial"/>
            <family val="2"/>
          </rPr>
          <t>Function of this step - Transformation?</t>
        </r>
      </text>
    </comment>
    <comment ref="B281" authorId="0" shapeId="0" xr:uid="{CF99F064-755B-43C8-AF7F-07310778D80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284" authorId="0" shapeId="0" xr:uid="{DE7F86E2-AF8B-4F71-B31F-DE69CBF9B167}">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329" authorId="0" shapeId="0" xr:uid="{499B4D14-AF51-49F3-B8BD-4D789D147D66}">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337" authorId="0" shapeId="0" xr:uid="{35BCE5D2-5E85-4618-9679-7AF3160D621C}">
      <text>
        <r>
          <rPr>
            <sz val="10"/>
            <color indexed="81"/>
            <rFont val="Arial"/>
            <family val="2"/>
          </rPr>
          <t>Function of this step - Transformation?</t>
        </r>
      </text>
    </comment>
    <comment ref="B348" authorId="0" shapeId="0" xr:uid="{9DBB4BE5-76E6-4B47-AAAD-487E6CFCCC6C}">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351" authorId="0" shapeId="0" xr:uid="{BA3ED486-8808-448F-A9C9-C7FBECF6EE9A}">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396" authorId="0" shapeId="0" xr:uid="{D4737C84-2944-469C-A60F-87A62764C1BA}">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404" authorId="0" shapeId="0" xr:uid="{A49B4877-E138-4B7A-9645-A293314D7B3E}">
      <text>
        <r>
          <rPr>
            <sz val="10"/>
            <color indexed="81"/>
            <rFont val="Arial"/>
            <family val="2"/>
          </rPr>
          <t>Function of this step - Transformation?</t>
        </r>
      </text>
    </comment>
    <comment ref="B415" authorId="0" shapeId="0" xr:uid="{4064D2BD-92D2-483A-A717-905F0943856D}">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418" authorId="0" shapeId="0" xr:uid="{50A27C7D-C9AB-4107-8C8D-C03D1C9B08EB}">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463" authorId="0" shapeId="0" xr:uid="{4CD17787-123A-4932-B048-D48403C0AD39}">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471" authorId="0" shapeId="0" xr:uid="{749ED89C-BE0D-4D6E-B4FC-36BEF2CB1214}">
      <text>
        <r>
          <rPr>
            <sz val="10"/>
            <color indexed="81"/>
            <rFont val="Arial"/>
            <family val="2"/>
          </rPr>
          <t>Function of this step - Transformation?</t>
        </r>
      </text>
    </comment>
    <comment ref="B482" authorId="0" shapeId="0" xr:uid="{173D8393-A19A-442E-BBAF-E9DD943ED710}">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485" authorId="0" shapeId="0" xr:uid="{87C796AC-3DB0-483B-BEB5-93301555A93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530" authorId="0" shapeId="0" xr:uid="{9A7DB91A-BFBB-46A1-A209-2985C5D18307}">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538" authorId="0" shapeId="0" xr:uid="{5DA9488D-13A3-40EF-B78D-BCDBFBE20BA7}">
      <text>
        <r>
          <rPr>
            <sz val="10"/>
            <color indexed="81"/>
            <rFont val="Arial"/>
            <family val="2"/>
          </rPr>
          <t>Function of this step - Transformation?</t>
        </r>
      </text>
    </comment>
    <comment ref="B549" authorId="0" shapeId="0" xr:uid="{5F18573A-8364-4D71-B38D-3CFCE002AE9C}">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552" authorId="0" shapeId="0" xr:uid="{06D600FD-06A8-4539-9E69-3BBEBF0178EB}">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597" authorId="0" shapeId="0" xr:uid="{54B212E6-19B9-483F-85FE-9CA459C1826B}">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605" authorId="0" shapeId="0" xr:uid="{9ACB0FFB-32C9-4C03-982C-D4B1D8ECB12E}">
      <text>
        <r>
          <rPr>
            <sz val="10"/>
            <color indexed="81"/>
            <rFont val="Arial"/>
            <family val="2"/>
          </rPr>
          <t>Function of this step - Transformation?</t>
        </r>
      </text>
    </comment>
    <comment ref="B616" authorId="0" shapeId="0" xr:uid="{B03E5209-679E-4BEA-B13E-E489F7861A66}">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619" authorId="0" shapeId="0" xr:uid="{4C5FAD9E-EF1E-4761-BD0B-1CD739CC9FE5}">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664" authorId="0" shapeId="0" xr:uid="{0CA8DDA5-0447-442D-9A28-FCDF7F17E053}">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Luescher, Michael-1</author>
  </authors>
  <commentList>
    <comment ref="C69" authorId="0" shapeId="0" xr:uid="{F870CFEF-7335-42D9-836A-FBDE3D8EE057}">
      <text>
        <r>
          <rPr>
            <sz val="10"/>
            <color indexed="81"/>
            <rFont val="Arial"/>
            <family val="2"/>
          </rPr>
          <t>Function of this step - Transformation?</t>
        </r>
      </text>
    </comment>
    <comment ref="B80" authorId="0" shapeId="0" xr:uid="{ABF033D3-FDD8-4F5C-84F4-A122F79A2AC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83" authorId="0" shapeId="0" xr:uid="{113C965D-FE51-498F-81B9-C0FA59760226}">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128" authorId="0" shapeId="0" xr:uid="{5C66970A-83BA-49AB-8FD9-043065248D30}">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136" authorId="0" shapeId="0" xr:uid="{363B157F-8958-4641-A09F-EFB7A5B9700D}">
      <text>
        <r>
          <rPr>
            <sz val="10"/>
            <color indexed="81"/>
            <rFont val="Arial"/>
            <family val="2"/>
          </rPr>
          <t>Function of this step - Transformation?</t>
        </r>
      </text>
    </comment>
    <comment ref="B147" authorId="0" shapeId="0" xr:uid="{736F248D-ADEC-47DA-AF7A-47EAD376D0C4}">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150" authorId="0" shapeId="0" xr:uid="{4ABADDB2-4E2B-428D-837D-EF1AA0CBE4B1}">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195" authorId="0" shapeId="0" xr:uid="{591719E9-806D-4E16-8DF4-59AB58A9B10C}">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203" authorId="0" shapeId="0" xr:uid="{40F6DC19-2502-4284-8C5A-A639ADE9653A}">
      <text>
        <r>
          <rPr>
            <sz val="10"/>
            <color indexed="81"/>
            <rFont val="Arial"/>
            <family val="2"/>
          </rPr>
          <t>Function of this step - Transformation?</t>
        </r>
      </text>
    </comment>
    <comment ref="B214" authorId="0" shapeId="0" xr:uid="{1338B772-8207-4888-A0BD-2BFCF40F5D5C}">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217" authorId="0" shapeId="0" xr:uid="{4296DA39-7135-4775-A861-3A5392F4CA44}">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262" authorId="0" shapeId="0" xr:uid="{00DE5E86-AA15-488B-B9D9-0680F176DB95}">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270" authorId="0" shapeId="0" xr:uid="{FF786C9A-C1BB-41D9-99F2-151B68DB9E98}">
      <text>
        <r>
          <rPr>
            <sz val="10"/>
            <color indexed="81"/>
            <rFont val="Arial"/>
            <family val="2"/>
          </rPr>
          <t>Function of this step - Transformation?</t>
        </r>
      </text>
    </comment>
    <comment ref="B281" authorId="0" shapeId="0" xr:uid="{B93CB9CB-8CA9-4418-B75F-DC9D8FAAD7F9}">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284" authorId="0" shapeId="0" xr:uid="{D34EDA08-D9D7-432E-B028-7DC3A67AA221}">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329" authorId="0" shapeId="0" xr:uid="{F668EABD-A427-48FA-9212-6B05E41DC2E2}">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337" authorId="0" shapeId="0" xr:uid="{E5E8DF8A-086D-4AFF-B25A-991A4787491B}">
      <text>
        <r>
          <rPr>
            <sz val="10"/>
            <color indexed="81"/>
            <rFont val="Arial"/>
            <family val="2"/>
          </rPr>
          <t>Function of this step - Transformation?</t>
        </r>
      </text>
    </comment>
    <comment ref="B348" authorId="0" shapeId="0" xr:uid="{7BDFFD20-9D2F-435E-A71D-D741501C5CE5}">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351" authorId="0" shapeId="0" xr:uid="{28E15B0F-6DBE-4E21-AD62-BE403B3CE4CA}">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396" authorId="0" shapeId="0" xr:uid="{B66F6B1B-5512-4C2D-8E15-A4B631675BAF}">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404" authorId="0" shapeId="0" xr:uid="{C3947412-EC2B-433B-B2EC-231EE4726B72}">
      <text>
        <r>
          <rPr>
            <sz val="10"/>
            <color indexed="81"/>
            <rFont val="Arial"/>
            <family val="2"/>
          </rPr>
          <t>Function of this step - Transformation?</t>
        </r>
      </text>
    </comment>
    <comment ref="B415" authorId="0" shapeId="0" xr:uid="{B96C9904-88F2-4669-859F-9B1995591FDD}">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418" authorId="0" shapeId="0" xr:uid="{B9BE4AA3-8418-41C9-82EF-2DBA91DE47C3}">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463" authorId="0" shapeId="0" xr:uid="{6E3BFEF6-4965-44F9-BA38-8332A4AB6FBE}">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471" authorId="0" shapeId="0" xr:uid="{5B2ACD55-A7B3-4A18-9445-455ABD6C5D07}">
      <text>
        <r>
          <rPr>
            <sz val="10"/>
            <color indexed="81"/>
            <rFont val="Arial"/>
            <family val="2"/>
          </rPr>
          <t>Function of this step - Transformation?</t>
        </r>
      </text>
    </comment>
    <comment ref="B482" authorId="0" shapeId="0" xr:uid="{D9202369-A174-445E-A731-BA23C2B26D09}">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485" authorId="0" shapeId="0" xr:uid="{D30AEF57-DE3B-4870-AEA7-DF37207CCE3E}">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530" authorId="0" shapeId="0" xr:uid="{1DD137E8-8BE7-459B-9B74-D4181CAEC5B6}">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538" authorId="0" shapeId="0" xr:uid="{67AEDD19-1C4F-4BB8-A127-2DC61C506D3A}">
      <text>
        <r>
          <rPr>
            <sz val="10"/>
            <color indexed="81"/>
            <rFont val="Arial"/>
            <family val="2"/>
          </rPr>
          <t>Function of this step - Transformation?</t>
        </r>
      </text>
    </comment>
    <comment ref="B549" authorId="0" shapeId="0" xr:uid="{D966F36F-438B-4D97-8549-8107B1C5B58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552" authorId="0" shapeId="0" xr:uid="{F5899869-816F-4911-9224-B69D2DF41F4A}">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597" authorId="0" shapeId="0" xr:uid="{1C9405F9-5164-4689-B58A-95CDB10150C4}">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605" authorId="0" shapeId="0" xr:uid="{0E3A424B-9894-42D2-B44C-7CFBDD41E092}">
      <text>
        <r>
          <rPr>
            <sz val="10"/>
            <color indexed="81"/>
            <rFont val="Arial"/>
            <family val="2"/>
          </rPr>
          <t>Function of this step - Transformation?</t>
        </r>
      </text>
    </comment>
    <comment ref="B616" authorId="0" shapeId="0" xr:uid="{9FC090C3-D700-463F-B4D0-5A6E4D8AFF7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619" authorId="0" shapeId="0" xr:uid="{F89D69BA-43F9-418F-A935-71030318EE95}">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664" authorId="0" shapeId="0" xr:uid="{F20925AD-A397-44F8-A7A9-1AC39314423D}">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Luescher, Michael-1</author>
  </authors>
  <commentList>
    <comment ref="C75" authorId="0" shapeId="0" xr:uid="{D86310AF-00E0-4FD9-836E-F702AFB0E7CE}">
      <text>
        <r>
          <rPr>
            <sz val="10"/>
            <color indexed="81"/>
            <rFont val="Arial"/>
            <family val="2"/>
          </rPr>
          <t>Function of this step - Transformation?</t>
        </r>
      </text>
    </comment>
    <comment ref="B86" authorId="0" shapeId="0" xr:uid="{D2225E3B-0348-47F0-9075-7F5EA8F773A5}">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89" authorId="0" shapeId="0" xr:uid="{2A6DDADD-9494-43B0-BE35-606B986A9B56}">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131" authorId="0" shapeId="0" xr:uid="{3BC50918-510B-4DA2-B667-3F728B1C0E0C}">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142" authorId="0" shapeId="0" xr:uid="{692E3972-DF7D-4D01-BFD4-440D3FB8544D}">
      <text>
        <r>
          <rPr>
            <sz val="10"/>
            <color indexed="81"/>
            <rFont val="Arial"/>
            <family val="2"/>
          </rPr>
          <t>Function of this step - Transformation?</t>
        </r>
      </text>
    </comment>
    <comment ref="B153" authorId="0" shapeId="0" xr:uid="{6ADB7C56-4D15-4DFA-80C3-217B24EADA50}">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156" authorId="0" shapeId="0" xr:uid="{643E2E77-4BD9-4DE1-BDC5-B385C67A6A3C}">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198" authorId="0" shapeId="0" xr:uid="{309FB34E-69B6-47D1-9493-AEE2CD1852FC}">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209" authorId="0" shapeId="0" xr:uid="{AB473ABF-1871-47BF-8E4E-D7D64428B817}">
      <text>
        <r>
          <rPr>
            <sz val="10"/>
            <color indexed="81"/>
            <rFont val="Arial"/>
            <family val="2"/>
          </rPr>
          <t>Function of this step - Transformation?</t>
        </r>
      </text>
    </comment>
    <comment ref="B220" authorId="0" shapeId="0" xr:uid="{FE3578E5-0775-4FC2-A690-CC2E719A1E96}">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223" authorId="0" shapeId="0" xr:uid="{F30231FE-EF9F-4A0B-BEA5-C829EE0CDBA3}">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265" authorId="0" shapeId="0" xr:uid="{3105EDA8-00FD-4248-A1A2-839A3970FC35}">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276" authorId="0" shapeId="0" xr:uid="{5433C478-ABE8-4D9D-A2AE-4882C784CEF2}">
      <text>
        <r>
          <rPr>
            <sz val="10"/>
            <color indexed="81"/>
            <rFont val="Arial"/>
            <family val="2"/>
          </rPr>
          <t>Function of this step - Transformation?</t>
        </r>
      </text>
    </comment>
    <comment ref="B287" authorId="0" shapeId="0" xr:uid="{7A368A98-A36F-4469-B217-F4BF49E85522}">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290" authorId="0" shapeId="0" xr:uid="{F7618F21-C867-4070-94F5-FFCD1CC64AC9}">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332" authorId="0" shapeId="0" xr:uid="{62E6428F-E254-4576-9497-989AB2B49F3D}">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343" authorId="0" shapeId="0" xr:uid="{EFF04251-3178-4502-A6AC-1B0C96795EA7}">
      <text>
        <r>
          <rPr>
            <sz val="10"/>
            <color indexed="81"/>
            <rFont val="Arial"/>
            <family val="2"/>
          </rPr>
          <t>Function of this step - Transformation?</t>
        </r>
      </text>
    </comment>
    <comment ref="B354" authorId="0" shapeId="0" xr:uid="{7155CAF2-5CF6-433E-AE11-313FE0B1240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357" authorId="0" shapeId="0" xr:uid="{A4848764-D28B-4D4F-B476-9E2CCFAD137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399" authorId="0" shapeId="0" xr:uid="{B2FC8921-DC59-4734-958B-A15A46A8B9DE}">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410" authorId="0" shapeId="0" xr:uid="{0E2A8830-CE4C-46B3-9F46-963613E810CD}">
      <text>
        <r>
          <rPr>
            <sz val="10"/>
            <color indexed="81"/>
            <rFont val="Arial"/>
            <family val="2"/>
          </rPr>
          <t>Function of this step - Transformation?</t>
        </r>
      </text>
    </comment>
    <comment ref="B421" authorId="0" shapeId="0" xr:uid="{460D96A1-613B-4171-A141-7D6BCEF61F2C}">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424" authorId="0" shapeId="0" xr:uid="{F4D45819-0AD3-4185-A417-9A883AF89397}">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466" authorId="0" shapeId="0" xr:uid="{FF5DC6F4-2046-4C3C-8223-F9969B3D8A15}">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477" authorId="0" shapeId="0" xr:uid="{4F6D1978-BB39-4A69-A759-856CB8B1D823}">
      <text>
        <r>
          <rPr>
            <sz val="10"/>
            <color indexed="81"/>
            <rFont val="Arial"/>
            <family val="2"/>
          </rPr>
          <t>Function of this step - Transformation?</t>
        </r>
      </text>
    </comment>
    <comment ref="B488" authorId="0" shapeId="0" xr:uid="{E7E258E6-A4B4-414F-A38D-60CB81BFF59A}">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491" authorId="0" shapeId="0" xr:uid="{97B51D09-A727-4F97-AFC1-1F3D407DFAB9}">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533" authorId="0" shapeId="0" xr:uid="{55DFACAF-6C12-4E92-B45E-EFD7A172ADCA}">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544" authorId="0" shapeId="0" xr:uid="{EF1AFAAD-E0F2-4BAD-82B5-E82C50D01FD2}">
      <text>
        <r>
          <rPr>
            <sz val="10"/>
            <color indexed="81"/>
            <rFont val="Arial"/>
            <family val="2"/>
          </rPr>
          <t>Function of this step - Transformation?</t>
        </r>
      </text>
    </comment>
    <comment ref="B555" authorId="0" shapeId="0" xr:uid="{BCDE4181-EB50-453C-B2FE-A48BBC304CF2}">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558" authorId="0" shapeId="0" xr:uid="{B6DCB9D7-4369-4257-A6A4-A99C4762D579}">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600" authorId="0" shapeId="0" xr:uid="{AA11F5BD-7D1E-475E-9284-AA026A92FA35}">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611" authorId="0" shapeId="0" xr:uid="{BC359357-57D3-4A8C-8B2A-D28F4F055A45}">
      <text>
        <r>
          <rPr>
            <sz val="10"/>
            <color indexed="81"/>
            <rFont val="Arial"/>
            <family val="2"/>
          </rPr>
          <t>Function of this step - Transformation?</t>
        </r>
      </text>
    </comment>
    <comment ref="B622" authorId="0" shapeId="0" xr:uid="{0643A72E-91D6-45DF-8B48-30D824E3CEDA}">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625" authorId="0" shapeId="0" xr:uid="{9B4BE3F2-E5ED-45CE-99D1-58E830A00CC4}">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667" authorId="0" shapeId="0" xr:uid="{9566A633-7F54-4F79-91F0-7613F560C682}">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678" authorId="0" shapeId="0" xr:uid="{CB990627-7710-4C82-9CBD-2C7DAFB26EEB}">
      <text>
        <r>
          <rPr>
            <sz val="10"/>
            <color indexed="81"/>
            <rFont val="Arial"/>
            <family val="2"/>
          </rPr>
          <t>Function of this step - Transformation?</t>
        </r>
      </text>
    </comment>
    <comment ref="B689" authorId="0" shapeId="0" xr:uid="{B8DD34BE-160A-45CB-A2CD-9CCF6CE2E3B0}">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692" authorId="0" shapeId="0" xr:uid="{A77F3F9F-9271-4F0B-AD91-4BC6A171677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734" authorId="0" shapeId="0" xr:uid="{3DA925C6-BF42-42B7-8CA1-C2C5E9F47FFC}">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745" authorId="0" shapeId="0" xr:uid="{9389CF6B-FC4D-4818-A7E6-7B4ABFB9A6E3}">
      <text>
        <r>
          <rPr>
            <sz val="10"/>
            <color indexed="81"/>
            <rFont val="Arial"/>
            <family val="2"/>
          </rPr>
          <t>Function of this step - Transformation?</t>
        </r>
      </text>
    </comment>
    <comment ref="B756" authorId="0" shapeId="0" xr:uid="{81A2F947-FD23-4765-A8A8-10A73A9E6AA6}">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759" authorId="0" shapeId="0" xr:uid="{9798C757-77D5-4A58-9ACE-EFFE402E1EA3}">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801" authorId="0" shapeId="0" xr:uid="{7C1E9924-DF9F-468D-99FF-B3EC03401BF4}">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812" authorId="0" shapeId="0" xr:uid="{6A18FE24-DBBB-4A99-8F31-0F0EF9110EE3}">
      <text>
        <r>
          <rPr>
            <sz val="10"/>
            <color indexed="81"/>
            <rFont val="Arial"/>
            <family val="2"/>
          </rPr>
          <t>Function of this step - Transformation?</t>
        </r>
      </text>
    </comment>
    <comment ref="B823" authorId="0" shapeId="0" xr:uid="{B603BAD8-3A74-489F-976A-DA40F27AF364}">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826" authorId="0" shapeId="0" xr:uid="{C63DDF45-9D6B-4B61-9E05-B87F4CB41745}">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868" authorId="0" shapeId="0" xr:uid="{396F53E5-2BF3-42DE-93B1-06F1995DD6FD}">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879" authorId="0" shapeId="0" xr:uid="{4E8C1802-7BA8-405F-A67C-304A040FBB1E}">
      <text>
        <r>
          <rPr>
            <sz val="10"/>
            <color indexed="81"/>
            <rFont val="Arial"/>
            <family val="2"/>
          </rPr>
          <t>Function of this step - Transformation?</t>
        </r>
      </text>
    </comment>
    <comment ref="B890" authorId="0" shapeId="0" xr:uid="{92C05B51-4028-4DCA-A3D0-FF932B0B365C}">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893" authorId="0" shapeId="0" xr:uid="{9E22AF9A-74EC-4BE0-9863-242D166D602F}">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935" authorId="0" shapeId="0" xr:uid="{7E9F499B-3B04-458C-ABF7-AA8F8CB2F9D1}">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Luescher, Michael-1</author>
  </authors>
  <commentList>
    <comment ref="C69" authorId="0" shapeId="0" xr:uid="{E24D9C02-1523-43D5-8AA7-2B59D4B5AF84}">
      <text>
        <r>
          <rPr>
            <sz val="10"/>
            <color indexed="81"/>
            <rFont val="Arial"/>
            <family val="2"/>
          </rPr>
          <t>Function of this step - Transformation?</t>
        </r>
      </text>
    </comment>
    <comment ref="B80" authorId="0" shapeId="0" xr:uid="{E9E43BAD-F737-404A-A3D9-0A85DCDA9CBF}">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83" authorId="0" shapeId="0" xr:uid="{B5453AA9-9AB2-467D-8E39-E07585B0DF6E}">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128" authorId="0" shapeId="0" xr:uid="{6DD0551E-E0D4-47A5-A69E-4D0E5DBB8A23}">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136" authorId="0" shapeId="0" xr:uid="{552EB4FA-0BE7-44DE-A4B0-D524FE55C5B7}">
      <text>
        <r>
          <rPr>
            <sz val="10"/>
            <color indexed="81"/>
            <rFont val="Arial"/>
            <family val="2"/>
          </rPr>
          <t>Function of this step - Transformation?</t>
        </r>
      </text>
    </comment>
    <comment ref="B147" authorId="0" shapeId="0" xr:uid="{780125D9-EE7B-494F-A1B9-6935FBD36B39}">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150" authorId="0" shapeId="0" xr:uid="{71F18785-DDF9-4377-859E-7A2612A3CB6E}">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195" authorId="0" shapeId="0" xr:uid="{288FA67B-5F81-4A7A-8BC3-D793F028C2C9}">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203" authorId="0" shapeId="0" xr:uid="{B454FBC8-149B-4C04-8A39-6E23C2371C02}">
      <text>
        <r>
          <rPr>
            <sz val="10"/>
            <color indexed="81"/>
            <rFont val="Arial"/>
            <family val="2"/>
          </rPr>
          <t>Function of this step - Transformation?</t>
        </r>
      </text>
    </comment>
    <comment ref="B214" authorId="0" shapeId="0" xr:uid="{7CAF0AA3-5F84-43EF-AB7F-1DC567D66E45}">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217" authorId="0" shapeId="0" xr:uid="{41D61190-CF9A-4CDB-9739-5EFF0CF44EC1}">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262" authorId="0" shapeId="0" xr:uid="{BF21BEBF-2A20-4900-8B20-0024ABD49025}">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270" authorId="0" shapeId="0" xr:uid="{1499F3DB-A02F-4E5E-9043-401EA5333569}">
      <text>
        <r>
          <rPr>
            <sz val="10"/>
            <color indexed="81"/>
            <rFont val="Arial"/>
            <family val="2"/>
          </rPr>
          <t>Function of this step - Transformation?</t>
        </r>
      </text>
    </comment>
    <comment ref="B281" authorId="0" shapeId="0" xr:uid="{34668021-CE0B-42A5-A770-4C121AD49DDA}">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284" authorId="0" shapeId="0" xr:uid="{11C3F59E-22BC-47D9-8E81-F076FE21E50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329" authorId="0" shapeId="0" xr:uid="{04CCA7C2-AEE0-4CFC-8AEE-D00A0FE6E65E}">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337" authorId="0" shapeId="0" xr:uid="{A1D5AFEA-97D8-4359-A910-4EF46BDD5524}">
      <text>
        <r>
          <rPr>
            <sz val="10"/>
            <color indexed="81"/>
            <rFont val="Arial"/>
            <family val="2"/>
          </rPr>
          <t>Function of this step - Transformation?</t>
        </r>
      </text>
    </comment>
    <comment ref="B348" authorId="0" shapeId="0" xr:uid="{8E7DE759-0BA7-4E5D-9326-04DE189A9D12}">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351" authorId="0" shapeId="0" xr:uid="{1EAA0BB2-B0B4-499E-928C-DB394174F1DB}">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396" authorId="0" shapeId="0" xr:uid="{CE108F49-03C3-4B7B-A99E-70657F8B0990}">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404" authorId="0" shapeId="0" xr:uid="{4BC9FA34-A91A-40E8-8C32-1350CF1A4560}">
      <text>
        <r>
          <rPr>
            <sz val="10"/>
            <color indexed="81"/>
            <rFont val="Arial"/>
            <family val="2"/>
          </rPr>
          <t>Function of this step - Transformation?</t>
        </r>
      </text>
    </comment>
    <comment ref="B415" authorId="0" shapeId="0" xr:uid="{C16F2263-11CD-4D86-B81E-97B262F1073B}">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418" authorId="0" shapeId="0" xr:uid="{E0D20296-623B-46B8-ABE0-CFD7A6CD31BC}">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463" authorId="0" shapeId="0" xr:uid="{FE9F0AE1-5710-4556-B83F-26BE27F9D775}">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471" authorId="0" shapeId="0" xr:uid="{F4BED4AA-A86D-4C1A-AEC8-A497FA8574F6}">
      <text>
        <r>
          <rPr>
            <sz val="10"/>
            <color indexed="81"/>
            <rFont val="Arial"/>
            <family val="2"/>
          </rPr>
          <t>Function of this step - Transformation?</t>
        </r>
      </text>
    </comment>
    <comment ref="B482" authorId="0" shapeId="0" xr:uid="{5E440C32-19E8-43CB-85A7-8BC7BFE71F6F}">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485" authorId="0" shapeId="0" xr:uid="{51A859EC-2DE0-4B55-AE77-C7040F05426C}">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530" authorId="0" shapeId="0" xr:uid="{23642921-04B0-4B6C-9BCF-3E163471C6FA}">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538" authorId="0" shapeId="0" xr:uid="{A3B4FF73-6BB5-4355-A097-5DE7132072D1}">
      <text>
        <r>
          <rPr>
            <sz val="10"/>
            <color indexed="81"/>
            <rFont val="Arial"/>
            <family val="2"/>
          </rPr>
          <t>Function of this step - Transformation?</t>
        </r>
      </text>
    </comment>
    <comment ref="B549" authorId="0" shapeId="0" xr:uid="{41256AE2-135F-4FE1-AF49-CB4EEF6AD9F0}">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552" authorId="0" shapeId="0" xr:uid="{AA1E679E-EC99-45E5-AC88-1B0B10782DB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597" authorId="0" shapeId="0" xr:uid="{1F47F2DB-61C8-4D8E-BA93-8EF2AEB9B5E6}">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605" authorId="0" shapeId="0" xr:uid="{C75DD3CA-97A1-464B-AD07-E6242185D515}">
      <text>
        <r>
          <rPr>
            <sz val="10"/>
            <color indexed="81"/>
            <rFont val="Arial"/>
            <family val="2"/>
          </rPr>
          <t>Function of this step - Transformation?</t>
        </r>
      </text>
    </comment>
    <comment ref="B616" authorId="0" shapeId="0" xr:uid="{CFE7FE2B-EEF9-49C1-A449-FCA978F4F77D}">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619" authorId="0" shapeId="0" xr:uid="{3B5A66B5-816F-4184-9661-7D5053410035}">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664" authorId="0" shapeId="0" xr:uid="{825E033D-319E-45CC-811A-7800C1E5C4E6}">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Luescher, Michael-1</author>
  </authors>
  <commentList>
    <comment ref="B149" authorId="0" shapeId="0" xr:uid="{EED9BA81-1196-4C7B-AF3F-E35A2A040DCC}">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194" authorId="0" shapeId="0" xr:uid="{3AD1CDD6-2383-4AEA-8C8D-DF4FBE7E208C}">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202" authorId="0" shapeId="0" xr:uid="{0B4ACF6B-1858-46B3-A3B4-2CA80A6D29E2}">
      <text>
        <r>
          <rPr>
            <sz val="10"/>
            <color indexed="81"/>
            <rFont val="Arial"/>
            <family val="2"/>
          </rPr>
          <t>Function of this step - Transformation?</t>
        </r>
      </text>
    </comment>
    <comment ref="B213" authorId="0" shapeId="0" xr:uid="{E2F00F49-E1C7-4C19-A931-882BEF3859CE}">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216" authorId="0" shapeId="0" xr:uid="{62A1DABC-A1A1-477C-A529-8D3BC33C60C7}">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261" authorId="0" shapeId="0" xr:uid="{82986F0E-4AE3-4A22-B5EE-ECDF4F1ED2E0}">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269" authorId="0" shapeId="0" xr:uid="{31D10B83-935B-4B51-B323-B0BEFF394FE5}">
      <text>
        <r>
          <rPr>
            <sz val="10"/>
            <color indexed="81"/>
            <rFont val="Arial"/>
            <family val="2"/>
          </rPr>
          <t>Function of this step - Transformation?</t>
        </r>
      </text>
    </comment>
    <comment ref="B280" authorId="0" shapeId="0" xr:uid="{AA1886EA-986F-42FD-8E21-03E22249D1C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283" authorId="0" shapeId="0" xr:uid="{30D5C5DB-1F8C-49DF-8DF7-694D5B78C811}">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328" authorId="0" shapeId="0" xr:uid="{4569AECC-6511-4599-A8CB-7B9B05393318}">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336" authorId="0" shapeId="0" xr:uid="{E347753F-CEC3-434D-BFAF-D55FE02658C4}">
      <text>
        <r>
          <rPr>
            <sz val="10"/>
            <color indexed="81"/>
            <rFont val="Arial"/>
            <family val="2"/>
          </rPr>
          <t>Function of this step - Transformation?</t>
        </r>
      </text>
    </comment>
    <comment ref="B347" authorId="0" shapeId="0" xr:uid="{3B49EB09-B20A-48B1-8F03-633A24B2E2D4}">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350" authorId="0" shapeId="0" xr:uid="{F07D40B8-2401-4519-92D6-36577130E29A}">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395" authorId="0" shapeId="0" xr:uid="{2179F7CD-D330-4ED7-B565-4703330D540A}">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403" authorId="0" shapeId="0" xr:uid="{0D34DDB0-15AD-4980-AFBF-103B00E7B745}">
      <text>
        <r>
          <rPr>
            <sz val="10"/>
            <color indexed="81"/>
            <rFont val="Arial"/>
            <family val="2"/>
          </rPr>
          <t>Function of this step - Transformation?</t>
        </r>
      </text>
    </comment>
    <comment ref="B414" authorId="0" shapeId="0" xr:uid="{470B451E-22C2-40A7-B679-F92F98F3D7E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417" authorId="0" shapeId="0" xr:uid="{B8B43A74-B43C-4425-B350-AA1755D34050}">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462" authorId="0" shapeId="0" xr:uid="{4A0761FE-F48A-444C-8F24-C4EF4BE14983}">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470" authorId="0" shapeId="0" xr:uid="{F4BEDF79-4F5D-49EA-831C-40A2323FADC2}">
      <text>
        <r>
          <rPr>
            <sz val="10"/>
            <color indexed="81"/>
            <rFont val="Arial"/>
            <family val="2"/>
          </rPr>
          <t>Function of this step - Transformation?</t>
        </r>
      </text>
    </comment>
    <comment ref="B481" authorId="0" shapeId="0" xr:uid="{901E72FE-06F1-46AE-977C-9BD1BFB32A43}">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484" authorId="0" shapeId="0" xr:uid="{5887F437-4353-4B5C-B93B-2E5C632FF2ED}">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529" authorId="0" shapeId="0" xr:uid="{C29B1FB0-0C16-4DB5-B387-E0390BA07616}">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537" authorId="0" shapeId="0" xr:uid="{9608520C-A58E-43EF-AC1A-7B7B8C35FC41}">
      <text>
        <r>
          <rPr>
            <sz val="10"/>
            <color indexed="81"/>
            <rFont val="Arial"/>
            <family val="2"/>
          </rPr>
          <t>Function of this step - Transformation?</t>
        </r>
      </text>
    </comment>
    <comment ref="B548" authorId="0" shapeId="0" xr:uid="{60590D65-3E8E-4F88-9386-4B021C9A3AF9}">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551" authorId="0" shapeId="0" xr:uid="{55D41A7E-3255-4FC3-9C03-34C893022A1F}">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596" authorId="0" shapeId="0" xr:uid="{E9196C2F-A15C-430C-A570-C9759057F890}">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604" authorId="0" shapeId="0" xr:uid="{6A258021-6E3D-4EE6-8086-E32731C35DC7}">
      <text>
        <r>
          <rPr>
            <sz val="10"/>
            <color indexed="81"/>
            <rFont val="Arial"/>
            <family val="2"/>
          </rPr>
          <t>Function of this step - Transformation?</t>
        </r>
      </text>
    </comment>
    <comment ref="B615" authorId="0" shapeId="0" xr:uid="{88C43FF3-57E0-4786-9415-1CBD2769C120}">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618" authorId="0" shapeId="0" xr:uid="{700FF513-1E64-43D4-AAA2-F5E3C478AB8D}">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663" authorId="0" shapeId="0" xr:uid="{388BCFE7-B8B9-4A57-9BA7-CF4FEDCB95F6}">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Luescher, Michael-1</author>
  </authors>
  <commentList>
    <comment ref="C135" authorId="0" shapeId="0" xr:uid="{6B941DE6-FA72-4669-B8CD-1CE2F6AB1FDD}">
      <text>
        <r>
          <rPr>
            <sz val="10"/>
            <color indexed="81"/>
            <rFont val="Arial"/>
            <family val="2"/>
          </rPr>
          <t>Function of this step - Transformation?</t>
        </r>
      </text>
    </comment>
    <comment ref="B146" authorId="0" shapeId="0" xr:uid="{26207A97-B099-4E88-84D9-4BD53C329D21}">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149" authorId="0" shapeId="0" xr:uid="{74FDDA6B-DA22-436D-8806-79F58639A981}">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194" authorId="0" shapeId="0" xr:uid="{3F4DB56B-C10B-4527-89FB-AFBEFF8CCBDE}">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202" authorId="0" shapeId="0" xr:uid="{01217D82-0BF9-45D1-A250-97A940323E3C}">
      <text>
        <r>
          <rPr>
            <sz val="10"/>
            <color indexed="81"/>
            <rFont val="Arial"/>
            <family val="2"/>
          </rPr>
          <t>Function of this step - Transformation?</t>
        </r>
      </text>
    </comment>
    <comment ref="B213" authorId="0" shapeId="0" xr:uid="{AF173A01-E708-4B8A-9DEC-AE106EE7413A}">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216" authorId="0" shapeId="0" xr:uid="{786AE1F6-3D1C-4298-BAF1-73470591F8C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261" authorId="0" shapeId="0" xr:uid="{C7308005-F649-4F30-81BF-06F46DC14DA4}">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269" authorId="0" shapeId="0" xr:uid="{2AF88AFB-3ED7-4747-972E-352DB72EB4E1}">
      <text>
        <r>
          <rPr>
            <sz val="10"/>
            <color indexed="81"/>
            <rFont val="Arial"/>
            <family val="2"/>
          </rPr>
          <t>Function of this step - Transformation?</t>
        </r>
      </text>
    </comment>
    <comment ref="B280" authorId="0" shapeId="0" xr:uid="{B3751459-F290-4965-BCCF-7A76BACB7D40}">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283" authorId="0" shapeId="0" xr:uid="{7A2BDE1E-2152-407A-A3DE-0DEB0E60159C}">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328" authorId="0" shapeId="0" xr:uid="{6EB5C5E1-C2BF-472E-8943-387335F8C7D6}">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336" authorId="0" shapeId="0" xr:uid="{9129FCA0-F653-4516-B4B5-B0207EB8D7F5}">
      <text>
        <r>
          <rPr>
            <sz val="10"/>
            <color indexed="81"/>
            <rFont val="Arial"/>
            <family val="2"/>
          </rPr>
          <t>Function of this step - Transformation?</t>
        </r>
      </text>
    </comment>
    <comment ref="B347" authorId="0" shapeId="0" xr:uid="{84268021-96F0-4864-ACBA-F0D08D3EE71C}">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350" authorId="0" shapeId="0" xr:uid="{635089AC-9253-4018-94A0-80A099A1F253}">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395" authorId="0" shapeId="0" xr:uid="{7C16B226-1F0F-4575-8250-1D3FC7F8D0BA}">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403" authorId="0" shapeId="0" xr:uid="{50A60E7D-2335-43BB-ABC8-4553C5325493}">
      <text>
        <r>
          <rPr>
            <sz val="10"/>
            <color indexed="81"/>
            <rFont val="Arial"/>
            <family val="2"/>
          </rPr>
          <t>Function of this step - Transformation?</t>
        </r>
      </text>
    </comment>
    <comment ref="B414" authorId="0" shapeId="0" xr:uid="{CDA21C34-EE08-4255-A2DB-EEDC1BCB56BC}">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417" authorId="0" shapeId="0" xr:uid="{FABA4D68-51F9-4314-AD53-07B959EDBF04}">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462" authorId="0" shapeId="0" xr:uid="{32F1CE09-8A20-48EF-A230-2293EC8DCCAA}">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470" authorId="0" shapeId="0" xr:uid="{CF1BD1A6-DFA4-416F-A921-065D21992DD2}">
      <text>
        <r>
          <rPr>
            <sz val="10"/>
            <color indexed="81"/>
            <rFont val="Arial"/>
            <family val="2"/>
          </rPr>
          <t>Function of this step - Transformation?</t>
        </r>
      </text>
    </comment>
    <comment ref="B481" authorId="0" shapeId="0" xr:uid="{FE59B0D1-1BB4-4C39-8254-6D41A2BAC464}">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484" authorId="0" shapeId="0" xr:uid="{9D16F476-4D0C-4CE9-AF3A-6E13D07218FD}">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529" authorId="0" shapeId="0" xr:uid="{E2818D44-DD74-4A46-9BC4-C89DFBC49A48}">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537" authorId="0" shapeId="0" xr:uid="{C21EEE28-75CE-480B-8356-806F282C03ED}">
      <text>
        <r>
          <rPr>
            <sz val="10"/>
            <color indexed="81"/>
            <rFont val="Arial"/>
            <family val="2"/>
          </rPr>
          <t>Function of this step - Transformation?</t>
        </r>
      </text>
    </comment>
    <comment ref="B548" authorId="0" shapeId="0" xr:uid="{4142C9E4-3B6A-489C-B527-80AEC2376F1F}">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551" authorId="0" shapeId="0" xr:uid="{75D9EFCE-CA48-4CD8-BB7B-55F488961EDA}">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596" authorId="0" shapeId="0" xr:uid="{C9D3066D-243D-4582-82AC-EFF0A9FC052D}">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604" authorId="0" shapeId="0" xr:uid="{C8E4D77A-2D8E-490B-B01F-7815FC0EA8F5}">
      <text>
        <r>
          <rPr>
            <sz val="10"/>
            <color indexed="81"/>
            <rFont val="Arial"/>
            <family val="2"/>
          </rPr>
          <t>Function of this step - Transformation?</t>
        </r>
      </text>
    </comment>
    <comment ref="B615" authorId="0" shapeId="0" xr:uid="{543F8E06-EA6B-4232-9F87-3DC242B79D3E}">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618" authorId="0" shapeId="0" xr:uid="{5707BF23-71F7-4E5E-8438-EC484D5886C0}">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663" authorId="0" shapeId="0" xr:uid="{E828C6B2-B01C-423C-9A03-7FC665C64122}">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671" authorId="0" shapeId="0" xr:uid="{5E5421C6-0E2B-45F1-A9AD-1F67D523F061}">
      <text>
        <r>
          <rPr>
            <sz val="10"/>
            <color indexed="81"/>
            <rFont val="Arial"/>
            <family val="2"/>
          </rPr>
          <t>Function of this step - Transformation?</t>
        </r>
      </text>
    </comment>
    <comment ref="B682" authorId="0" shapeId="0" xr:uid="{898F7924-16BC-4A62-AA93-12162277C1F4}">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685" authorId="0" shapeId="0" xr:uid="{087CA591-3534-47A2-8145-FC29CBA67EED}">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730" authorId="0" shapeId="0" xr:uid="{4D085445-1E16-4184-8670-B3BF2A9D465C}">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738" authorId="0" shapeId="0" xr:uid="{DC8FBC84-53D4-4049-BA36-83DCBC50381B}">
      <text>
        <r>
          <rPr>
            <sz val="10"/>
            <color indexed="81"/>
            <rFont val="Arial"/>
            <family val="2"/>
          </rPr>
          <t>Function of this step - Transformation?</t>
        </r>
      </text>
    </comment>
    <comment ref="B749" authorId="0" shapeId="0" xr:uid="{14051E91-9E22-4750-B93C-93F6A679CA9C}">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752" authorId="0" shapeId="0" xr:uid="{10312723-7E72-4E64-B194-226E0468870E}">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797" authorId="0" shapeId="0" xr:uid="{3E771816-4F6F-4CFB-8946-72E14927DA42}">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805" authorId="0" shapeId="0" xr:uid="{6D6B2EA3-9A1D-4D8D-BEA1-4AB72B1DB5A7}">
      <text>
        <r>
          <rPr>
            <sz val="10"/>
            <color indexed="81"/>
            <rFont val="Arial"/>
            <family val="2"/>
          </rPr>
          <t>Function of this step - Transformation?</t>
        </r>
      </text>
    </comment>
    <comment ref="B816" authorId="0" shapeId="0" xr:uid="{52006721-F235-4EC6-B7C6-13F6FB6B1E33}">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819" authorId="0" shapeId="0" xr:uid="{D754583F-6822-4F7F-8847-FE77E700AB66}">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864" authorId="0" shapeId="0" xr:uid="{40D9827F-E3CF-4991-B647-9943D0D663C3}">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872" authorId="0" shapeId="0" xr:uid="{7DFBC084-8379-4291-9124-4B3C6E78FA62}">
      <text>
        <r>
          <rPr>
            <sz val="10"/>
            <color indexed="81"/>
            <rFont val="Arial"/>
            <family val="2"/>
          </rPr>
          <t>Function of this step - Transformation?</t>
        </r>
      </text>
    </comment>
    <comment ref="B883" authorId="0" shapeId="0" xr:uid="{3C60F77A-36E5-4B6C-A4CC-80E50D225300}">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886" authorId="0" shapeId="0" xr:uid="{B741B496-DDB6-48F6-B16A-E02CE8D83076}">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931" authorId="0" shapeId="0" xr:uid="{3157AC48-E4F7-4188-BFA8-C747764F8667}">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939" authorId="0" shapeId="0" xr:uid="{ECE1F2AF-222D-46D7-BA1F-C408C4CC6BA7}">
      <text>
        <r>
          <rPr>
            <sz val="10"/>
            <color indexed="81"/>
            <rFont val="Arial"/>
            <family val="2"/>
          </rPr>
          <t>Function of this step - Transformation?</t>
        </r>
      </text>
    </comment>
    <comment ref="B950" authorId="0" shapeId="0" xr:uid="{0A278C88-F81D-4E05-BD3C-481AADDDF026}">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953" authorId="0" shapeId="0" xr:uid="{50824212-7C78-48E3-BE84-D4B6CD5261CB}">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998" authorId="0" shapeId="0" xr:uid="{8F4363ED-3AA6-4E01-AA50-8CE0C1C307A8}">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1006" authorId="0" shapeId="0" xr:uid="{A8233D4F-8EBA-4B0C-856F-B47976002921}">
      <text>
        <r>
          <rPr>
            <sz val="10"/>
            <color indexed="81"/>
            <rFont val="Arial"/>
            <family val="2"/>
          </rPr>
          <t>Function of this step - Transformation?</t>
        </r>
      </text>
    </comment>
    <comment ref="B1017" authorId="0" shapeId="0" xr:uid="{4BFBD037-5A24-4103-A30F-E17FC187716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1020" authorId="0" shapeId="0" xr:uid="{367EC3DE-4A57-4F12-898F-D79306C24862}">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1065" authorId="0" shapeId="0" xr:uid="{47B1A521-CE2C-4CD6-82CA-AB6B187107B3}">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1073" authorId="0" shapeId="0" xr:uid="{42A5CB5B-3C89-4925-B746-0884D35B2CA2}">
      <text>
        <r>
          <rPr>
            <sz val="10"/>
            <color indexed="81"/>
            <rFont val="Arial"/>
            <family val="2"/>
          </rPr>
          <t>Function of this step - Transformation?</t>
        </r>
      </text>
    </comment>
    <comment ref="B1084" authorId="0" shapeId="0" xr:uid="{F395E100-48AD-4C62-BFF1-ADA18088166E}">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1087" authorId="0" shapeId="0" xr:uid="{D1E0434E-E824-4C93-B760-43558314D01B}">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1132" authorId="0" shapeId="0" xr:uid="{D4F91F08-EBE1-46B4-9AAF-E6C3129F9B49}">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 ref="C1140" authorId="0" shapeId="0" xr:uid="{89736BC1-EE0F-49EC-8425-BEF8500094A1}">
      <text>
        <r>
          <rPr>
            <sz val="10"/>
            <color indexed="81"/>
            <rFont val="Arial"/>
            <family val="2"/>
          </rPr>
          <t>Function of this step - Transformation?</t>
        </r>
      </text>
    </comment>
    <comment ref="B1151" authorId="0" shapeId="0" xr:uid="{A4E952CF-D38F-43DB-8A70-DB313EF9ABF8}">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B1154" authorId="0" shapeId="0" xr:uid="{3F433EFA-C61C-4FC6-BEE3-40F604AF4B1F}">
      <text>
        <r>
          <rPr>
            <sz val="10"/>
            <color indexed="81"/>
            <rFont val="Arial"/>
            <family val="2"/>
          </rPr>
          <t xml:space="preserve">Solvents of dissolved substrates or reagents are to be added to the solvents or aqueous tab:
→ </t>
        </r>
        <r>
          <rPr>
            <b/>
            <sz val="10"/>
            <color indexed="81"/>
            <rFont val="Arial"/>
            <family val="2"/>
          </rPr>
          <t xml:space="preserve">10 kg aq. NaOH (25 wt.-%) = NaOH 2.5 kg (in reagents)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6"/>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t>
        </r>
        <r>
          <rPr>
            <b/>
            <sz val="9"/>
            <color indexed="81"/>
            <rFont val="Arial"/>
            <family val="2"/>
          </rPr>
          <t xml:space="preserve">  </t>
        </r>
        <r>
          <rPr>
            <b/>
            <sz val="8.5"/>
            <color indexed="81"/>
            <rFont val="Arial"/>
            <family val="2"/>
          </rPr>
          <t xml:space="preserve">   </t>
        </r>
        <r>
          <rPr>
            <b/>
            <sz val="9"/>
            <color indexed="81"/>
            <rFont val="Arial"/>
            <family val="2"/>
          </rPr>
          <t xml:space="preserve">  </t>
        </r>
        <r>
          <rPr>
            <b/>
            <sz val="10"/>
            <color indexed="81"/>
            <rFont val="Arial"/>
            <family val="2"/>
          </rPr>
          <t xml:space="preserve">     = H2O</t>
        </r>
        <r>
          <rPr>
            <b/>
            <sz val="9"/>
            <color indexed="81"/>
            <rFont val="Arial"/>
            <family val="2"/>
          </rPr>
          <t xml:space="preserve">  </t>
        </r>
        <r>
          <rPr>
            <b/>
            <sz val="10"/>
            <color indexed="81"/>
            <rFont val="Arial"/>
            <family val="2"/>
          </rPr>
          <t xml:space="preserve">  7.5 kg (in</t>
        </r>
        <r>
          <rPr>
            <b/>
            <sz val="9"/>
            <color indexed="81"/>
            <rFont val="Arial"/>
            <family val="2"/>
          </rPr>
          <t xml:space="preserve">  </t>
        </r>
        <r>
          <rPr>
            <b/>
            <sz val="10"/>
            <color indexed="81"/>
            <rFont val="Arial"/>
            <family val="2"/>
          </rPr>
          <t>aqueous)
→ 10 kg n-BuLi</t>
        </r>
        <r>
          <rPr>
            <b/>
            <sz val="9"/>
            <color indexed="81"/>
            <rFont val="Arial"/>
            <family val="2"/>
          </rPr>
          <t xml:space="preserve"> </t>
        </r>
        <r>
          <rPr>
            <b/>
            <sz val="8"/>
            <color indexed="81"/>
            <rFont val="Arial"/>
            <family val="2"/>
          </rPr>
          <t xml:space="preserve">  </t>
        </r>
        <r>
          <rPr>
            <b/>
            <sz val="9"/>
            <color indexed="81"/>
            <rFont val="Arial"/>
            <family val="2"/>
          </rPr>
          <t xml:space="preserve"> </t>
        </r>
        <r>
          <rPr>
            <b/>
            <sz val="10"/>
            <color indexed="81"/>
            <rFont val="Arial"/>
            <family val="2"/>
          </rPr>
          <t xml:space="preserve">(2.5 M in hexanes)
</t>
        </r>
        <r>
          <rPr>
            <b/>
            <sz val="9"/>
            <color indexed="81"/>
            <rFont val="Arial"/>
            <family val="2"/>
          </rPr>
          <t xml:space="preserve">     </t>
        </r>
        <r>
          <rPr>
            <b/>
            <sz val="10"/>
            <color indexed="81"/>
            <rFont val="Arial"/>
            <family val="2"/>
          </rPr>
          <t xml:space="preserve"> </t>
        </r>
        <r>
          <rPr>
            <sz val="10"/>
            <color indexed="81"/>
            <rFont val="Arial"/>
            <family val="2"/>
          </rPr>
          <t xml:space="preserve">d = 0.693 kg/L = 14.43 L
     2.5 mol/L   </t>
        </r>
        <r>
          <rPr>
            <sz val="9"/>
            <color indexed="81"/>
            <rFont val="Arial"/>
            <family val="2"/>
          </rPr>
          <t xml:space="preserve">  </t>
        </r>
        <r>
          <rPr>
            <sz val="10"/>
            <color indexed="81"/>
            <rFont val="Arial"/>
            <family val="2"/>
          </rPr>
          <t xml:space="preserve">  </t>
        </r>
        <r>
          <rPr>
            <sz val="9"/>
            <color indexed="81"/>
            <rFont val="Arial"/>
            <family val="2"/>
          </rPr>
          <t xml:space="preserve"> </t>
        </r>
        <r>
          <rPr>
            <sz val="10"/>
            <color indexed="81"/>
            <rFont val="Arial"/>
            <family val="2"/>
          </rPr>
          <t xml:space="preserve"> = 36.08 mol n-BuLi (MW = 64.06 g/mol)
</t>
        </r>
        <r>
          <rPr>
            <b/>
            <sz val="10"/>
            <color indexed="81"/>
            <rFont val="Arial"/>
            <family val="2"/>
          </rPr>
          <t xml:space="preserve"> </t>
        </r>
        <r>
          <rPr>
            <b/>
            <sz val="8"/>
            <color indexed="81"/>
            <rFont val="Arial"/>
            <family val="2"/>
          </rPr>
          <t xml:space="preserve">   </t>
        </r>
        <r>
          <rPr>
            <b/>
            <sz val="10"/>
            <color indexed="81"/>
            <rFont val="Arial"/>
            <family val="2"/>
          </rPr>
          <t xml:space="preserve"> = n-BuLi  </t>
        </r>
        <r>
          <rPr>
            <b/>
            <sz val="8"/>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2.31 kg (in reagents)
</t>
        </r>
        <r>
          <rPr>
            <b/>
            <sz val="9"/>
            <color indexed="81"/>
            <rFont val="Arial"/>
            <family val="2"/>
          </rPr>
          <t xml:space="preserve"> </t>
        </r>
        <r>
          <rPr>
            <b/>
            <sz val="10"/>
            <color indexed="81"/>
            <rFont val="Arial"/>
            <family val="2"/>
          </rPr>
          <t xml:space="preserve"> </t>
        </r>
        <r>
          <rPr>
            <b/>
            <sz val="8"/>
            <color indexed="81"/>
            <rFont val="Arial"/>
            <family val="2"/>
          </rPr>
          <t xml:space="preserve">  </t>
        </r>
        <r>
          <rPr>
            <b/>
            <sz val="10"/>
            <color indexed="81"/>
            <rFont val="Arial"/>
            <family val="2"/>
          </rPr>
          <t xml:space="preserve"> = hexanes  7.69 kg (in</t>
        </r>
        <r>
          <rPr>
            <b/>
            <sz val="3"/>
            <color indexed="81"/>
            <rFont val="Arial"/>
            <family val="2"/>
          </rPr>
          <t xml:space="preserve">    </t>
        </r>
        <r>
          <rPr>
            <b/>
            <sz val="10"/>
            <color indexed="81"/>
            <rFont val="Arial"/>
            <family val="2"/>
          </rPr>
          <t>solvents)</t>
        </r>
      </text>
    </comment>
    <comment ref="F1199" authorId="0" shapeId="0" xr:uid="{F73691EF-E42A-45E6-A054-6546FF8F9D8B}">
      <text>
        <r>
          <rPr>
            <sz val="10"/>
            <color indexed="81"/>
            <rFont val="Arial"/>
            <family val="2"/>
          </rPr>
          <t>Insert comments for this step (e.g. 100 L more ethanol used due to unplanned formation of suspension, slow filtration, strong smell, trickle bed flow reactor used, lower yield than normal, etc. ) in this field.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<sst xmlns="http://schemas.openxmlformats.org/spreadsheetml/2006/main" count="9000" uniqueCount="514">
  <si>
    <t>Value</t>
  </si>
  <si>
    <t>Units</t>
  </si>
  <si>
    <t>kg</t>
  </si>
  <si>
    <t>wt%</t>
  </si>
  <si>
    <t>Molar Yield</t>
  </si>
  <si>
    <t>Raw Materials</t>
  </si>
  <si>
    <t xml:space="preserve">Physical Charge </t>
  </si>
  <si>
    <t>Total mass of substrates and reagents</t>
  </si>
  <si>
    <t>Aqueous</t>
  </si>
  <si>
    <t>Total input material mass</t>
  </si>
  <si>
    <t>PROCESS STEP METRICS</t>
  </si>
  <si>
    <t>Step R-factor</t>
  </si>
  <si>
    <t>Step PMI Substrate, Reagents, Solvents</t>
  </si>
  <si>
    <t>Step PMI Solvents</t>
  </si>
  <si>
    <t>Step PMI Aqueous</t>
  </si>
  <si>
    <t>Step PMI</t>
  </si>
  <si>
    <t>Cumulative R-factor</t>
  </si>
  <si>
    <t>Cumulative PMI Substrate, Reagents, Solvents</t>
  </si>
  <si>
    <t>Cumulative PMI Solvents</t>
  </si>
  <si>
    <t>Cumulative PMI Aqueous</t>
  </si>
  <si>
    <t>Cumulative PMI</t>
  </si>
  <si>
    <t>Solvents</t>
  </si>
  <si>
    <t>g</t>
  </si>
  <si>
    <t>Mass Substrate (kg or g)</t>
  </si>
  <si>
    <t>Mass Reagents (kg or g)</t>
  </si>
  <si>
    <t>Mass Solvents (kg or g)</t>
  </si>
  <si>
    <t>Mass Aqueous (kg or g)</t>
  </si>
  <si>
    <t>Inherited factors from side chains</t>
  </si>
  <si>
    <t>R-factor</t>
  </si>
  <si>
    <t>Source - Idea:</t>
  </si>
  <si>
    <t>Mass Substrate (g or kg)</t>
  </si>
  <si>
    <r>
      <t>Mass Reagents</t>
    </r>
    <r>
      <rPr>
        <b/>
        <sz val="5.5"/>
        <rFont val="Arial"/>
        <family val="2"/>
      </rPr>
      <t xml:space="preserve">  </t>
    </r>
    <r>
      <rPr>
        <b/>
        <sz val="10"/>
        <rFont val="Arial"/>
        <family val="2"/>
      </rPr>
      <t>(g or kg)</t>
    </r>
  </si>
  <si>
    <r>
      <t>Mass Solvents</t>
    </r>
    <r>
      <rPr>
        <b/>
        <sz val="8"/>
        <rFont val="Arial"/>
        <family val="2"/>
      </rPr>
      <t xml:space="preserve">   </t>
    </r>
    <r>
      <rPr>
        <b/>
        <sz val="10"/>
        <rFont val="Arial"/>
        <family val="2"/>
      </rPr>
      <t>(g or kg)</t>
    </r>
  </si>
  <si>
    <t>Mass Aqueous  (g or kg)</t>
  </si>
  <si>
    <t>Isolated amount of product (g or kg)</t>
  </si>
  <si>
    <t>Factor intermediate - substrate</t>
  </si>
  <si>
    <r>
      <t>Cumulated ratio current intermediate vs 1</t>
    </r>
    <r>
      <rPr>
        <b/>
        <vertAlign val="superscript"/>
        <sz val="10"/>
        <rFont val="Arial"/>
        <family val="2"/>
      </rPr>
      <t>st</t>
    </r>
    <r>
      <rPr>
        <b/>
        <sz val="10"/>
        <rFont val="Arial"/>
        <family val="2"/>
      </rPr>
      <t xml:space="preserve"> intermediate</t>
    </r>
  </si>
  <si>
    <t>Molar Yield (100% if this sheet is not populated)</t>
  </si>
  <si>
    <t>Step Name - Number</t>
  </si>
  <si>
    <t xml:space="preserve"> Overall Yield Side Chain 2:</t>
  </si>
  <si>
    <t xml:space="preserve"> Overall Yield Side Chain 1:</t>
  </si>
  <si>
    <t>Step Name - Number (Main Chain)</t>
  </si>
  <si>
    <t>fill in</t>
  </si>
  <si>
    <r>
      <t>Substrates (as 100%)</t>
    </r>
    <r>
      <rPr>
        <sz val="8.5"/>
        <rFont val="Arial"/>
        <family val="2"/>
      </rPr>
      <t xml:space="preserve"> - if more than 2 substrates, add additional ones to reagents!</t>
    </r>
  </si>
  <si>
    <t>fill in - drop down</t>
  </si>
  <si>
    <t>fill in ↑</t>
  </si>
  <si>
    <t>Batch No (PO) or Experiment Number</t>
  </si>
  <si>
    <t>Number of chemical transformations</t>
  </si>
  <si>
    <t>Intern or extern ...</t>
  </si>
  <si>
    <t>Intern</t>
  </si>
  <si>
    <t>Extern</t>
  </si>
  <si>
    <t>Manufacturers ...</t>
  </si>
  <si>
    <t>...</t>
  </si>
  <si>
    <t>Technologies</t>
  </si>
  <si>
    <t>Biocat.</t>
  </si>
  <si>
    <t>Electrochem.</t>
  </si>
  <si>
    <t>Flow chem.</t>
  </si>
  <si>
    <t>Photochem.</t>
  </si>
  <si>
    <t>Intern or extern manufacturing:</t>
  </si>
  <si>
    <t>Technologies used in this sheet:</t>
  </si>
  <si>
    <t xml:space="preserve"> Overall Yield Main Chain:</t>
  </si>
  <si>
    <t>Insert comments here ...</t>
  </si>
  <si>
    <t>Batch (Traditional)</t>
  </si>
  <si>
    <t>Substrate (actual amount)</t>
  </si>
  <si>
    <t>Substrate   (assay)</t>
  </si>
  <si>
    <t>Substrate   (amount added, batch size)</t>
  </si>
  <si>
    <t>Product-Intermediate product (amount obtained, batch yield by weight)</t>
  </si>
  <si>
    <t>Product-Intermediate product (assay)</t>
  </si>
  <si>
    <t>Actual amount of product-intermediate product</t>
  </si>
  <si>
    <t>Reagents   (as 100%)</t>
  </si>
  <si>
    <t>... aqueous</t>
  </si>
  <si>
    <r>
      <t>Solvents,  incl.  diluents</t>
    </r>
    <r>
      <rPr>
        <b/>
        <sz val="8"/>
        <rFont val="Arial"/>
        <family val="2"/>
      </rPr>
      <t xml:space="preserve">  </t>
    </r>
    <r>
      <rPr>
        <b/>
        <sz val="10"/>
        <rFont val="Arial"/>
        <family val="2"/>
      </rPr>
      <t>of  substrates</t>
    </r>
  </si>
  <si>
    <t>Step Function, Name-Number: MAIN CHAIN</t>
  </si>
  <si>
    <t>Step Function, Name-Number:</t>
  </si>
  <si>
    <t>Step Function, Name-Number: SIDE CHAIN 1</t>
  </si>
  <si>
    <t>Step Function, Name-Number: SIDE CHAIN 2</t>
  </si>
  <si>
    <t>Number of chem. trans.; "0" for distillation, column, filtration, salting out, etc.:</t>
  </si>
  <si>
    <t>Flow chem. (Biocat.)</t>
  </si>
  <si>
    <t>Flow chem. (Photo)</t>
  </si>
  <si>
    <t>Flow chem. (Electro)</t>
  </si>
  <si>
    <t>Photochem. (Biocat.)</t>
  </si>
  <si>
    <t>Others (e.g. Micelles; add comment)</t>
  </si>
  <si>
    <t>Yes</t>
  </si>
  <si>
    <t>No</t>
  </si>
  <si>
    <t>Equipment preparation, isolated material, ...</t>
  </si>
  <si>
    <t>Purity in percent?</t>
  </si>
  <si>
    <t xml:space="preserve"> Isolated?</t>
  </si>
  <si>
    <t>Ni Cat.</t>
  </si>
  <si>
    <t>PMI SUMMARY  -  Side Chain 1</t>
  </si>
  <si>
    <t>PMI SUMMARY  -  Side Chain 2</t>
  </si>
  <si>
    <r>
      <t xml:space="preserve">PMI SUMMARY TABLE - PROCESS </t>
    </r>
    <r>
      <rPr>
        <b/>
        <sz val="12"/>
        <color rgb="FF006699"/>
        <rFont val="Arial"/>
        <family val="2"/>
      </rPr>
      <t>INCL. MAIN CHAIN</t>
    </r>
  </si>
  <si>
    <t>Substrates (as 100%)</t>
  </si>
  <si>
    <r>
      <t>Tricyclohexylphosphine;</t>
    </r>
    <r>
      <rPr>
        <sz val="8"/>
        <rFont val="Arial"/>
        <family val="2"/>
      </rPr>
      <t xml:space="preserve"> CAS 2622-14-2</t>
    </r>
  </si>
  <si>
    <r>
      <t>EtOH;</t>
    </r>
    <r>
      <rPr>
        <sz val="8"/>
        <rFont val="Arial"/>
        <family val="2"/>
      </rPr>
      <t xml:space="preserve"> Reaction; 5 mL added with the NiCl2</t>
    </r>
  </si>
  <si>
    <r>
      <t>EtOH</t>
    </r>
    <r>
      <rPr>
        <sz val="8"/>
        <rFont val="Arial"/>
        <family val="2"/>
      </rPr>
      <t>; Reaction; 5 mL from phosphine addition, 50 mL recovered and not included!</t>
    </r>
  </si>
  <si>
    <r>
      <t>MeOH</t>
    </r>
    <r>
      <rPr>
        <sz val="8"/>
        <rFont val="Arial"/>
        <family val="2"/>
      </rPr>
      <t>; Filter washing step</t>
    </r>
  </si>
  <si>
    <r>
      <t>H2O</t>
    </r>
    <r>
      <rPr>
        <sz val="8"/>
        <rFont val="Arial"/>
        <family val="2"/>
      </rPr>
      <t>; Filter washing step</t>
    </r>
  </si>
  <si>
    <t>- The recovered EtOH was removed from the mass balance!</t>
  </si>
  <si>
    <t>RB(OH)2</t>
  </si>
  <si>
    <r>
      <t>3-Bromothiophene;</t>
    </r>
    <r>
      <rPr>
        <sz val="8"/>
        <rFont val="Arial"/>
        <family val="2"/>
      </rPr>
      <t xml:space="preserve"> CAS 872-31-1</t>
    </r>
  </si>
  <si>
    <r>
      <t>THF;</t>
    </r>
    <r>
      <rPr>
        <sz val="8"/>
        <rFont val="Arial"/>
        <family val="2"/>
      </rPr>
      <t xml:space="preserve"> Reaction</t>
    </r>
  </si>
  <si>
    <r>
      <t>n-BuLi;</t>
    </r>
    <r>
      <rPr>
        <sz val="8"/>
        <rFont val="Arial"/>
        <family val="2"/>
      </rPr>
      <t xml:space="preserve"> Pure n-BuLi from 2.5 M nBuLi in n-hexanes</t>
    </r>
  </si>
  <si>
    <r>
      <t>n-Hexanes;</t>
    </r>
    <r>
      <rPr>
        <sz val="8"/>
        <rFont val="Arial"/>
        <family val="2"/>
      </rPr>
      <t xml:space="preserve"> Reaction; from 2.5 M n-BuLi solution</t>
    </r>
  </si>
  <si>
    <t>- It is assumed that the borate is diluted in 10 mL THF.</t>
  </si>
  <si>
    <r>
      <t>Triisopropylborate;</t>
    </r>
    <r>
      <rPr>
        <sz val="8"/>
        <rFont val="Arial"/>
        <family val="2"/>
      </rPr>
      <t xml:space="preserve"> CAS 5419-55-6</t>
    </r>
  </si>
  <si>
    <r>
      <t xml:space="preserve">THF; </t>
    </r>
    <r>
      <rPr>
        <sz val="8"/>
        <rFont val="Arial"/>
        <family val="2"/>
      </rPr>
      <t>Reaction; from B(OiPr)3 solution</t>
    </r>
  </si>
  <si>
    <r>
      <t xml:space="preserve">H2O; </t>
    </r>
    <r>
      <rPr>
        <sz val="8"/>
        <rFont val="Arial"/>
        <family val="2"/>
      </rPr>
      <t>Reaction quench; from 1 M HCl</t>
    </r>
  </si>
  <si>
    <r>
      <t xml:space="preserve">HCl; </t>
    </r>
    <r>
      <rPr>
        <sz val="8"/>
        <rFont val="Arial"/>
        <family val="2"/>
      </rPr>
      <t>Reaction quench; from 1 M HCl</t>
    </r>
  </si>
  <si>
    <r>
      <t xml:space="preserve">H2O; </t>
    </r>
    <r>
      <rPr>
        <sz val="8"/>
        <rFont val="Arial"/>
        <family val="2"/>
      </rPr>
      <t>Extraction; from 1 M NaOH</t>
    </r>
  </si>
  <si>
    <r>
      <rPr>
        <sz val="10"/>
        <rFont val="Arial"/>
        <family val="2"/>
      </rPr>
      <t xml:space="preserve">Et2O; </t>
    </r>
    <r>
      <rPr>
        <sz val="8"/>
        <rFont val="Arial"/>
        <family val="2"/>
      </rPr>
      <t>Extraction; assumed to be 50% of amount stated in protocol</t>
    </r>
  </si>
  <si>
    <r>
      <t xml:space="preserve">NaOH; </t>
    </r>
    <r>
      <rPr>
        <sz val="8"/>
        <rFont val="Arial"/>
        <family val="2"/>
      </rPr>
      <t>Extraction; from 1 M NaOH</t>
    </r>
  </si>
  <si>
    <r>
      <t xml:space="preserve">H2O; </t>
    </r>
    <r>
      <rPr>
        <sz val="8"/>
        <rFont val="Arial"/>
        <family val="2"/>
      </rPr>
      <t>Extraction; from 2 mL HCl 36%</t>
    </r>
  </si>
  <si>
    <r>
      <t xml:space="preserve">H2O; </t>
    </r>
    <r>
      <rPr>
        <sz val="8"/>
        <rFont val="Arial"/>
        <family val="2"/>
      </rPr>
      <t>Extraction; from wash of org. phases; assumed to be 30 wt.-% of 2nd Et2O portion</t>
    </r>
  </si>
  <si>
    <r>
      <t xml:space="preserve">HCl; </t>
    </r>
    <r>
      <rPr>
        <sz val="8"/>
        <rFont val="Arial"/>
        <family val="2"/>
      </rPr>
      <t xml:space="preserve">    Extraction; 2 mL HCl 36% assumed to set aq. phase to pH2</t>
    </r>
  </si>
  <si>
    <r>
      <rPr>
        <sz val="10"/>
        <rFont val="Arial"/>
        <family val="2"/>
      </rPr>
      <t xml:space="preserve">MgSO4; </t>
    </r>
    <r>
      <rPr>
        <sz val="8"/>
        <rFont val="Arial"/>
        <family val="2"/>
      </rPr>
      <t xml:space="preserve"> Extraction; assumed to be 5 wt.-% of 2nd Et2O portion</t>
    </r>
  </si>
  <si>
    <r>
      <rPr>
        <sz val="10"/>
        <rFont val="Arial"/>
        <family val="2"/>
      </rPr>
      <t xml:space="preserve">Et2O; </t>
    </r>
    <r>
      <rPr>
        <sz val="8"/>
        <rFont val="Arial"/>
        <family val="2"/>
      </rPr>
      <t>Extraction; assumed to be 300 wt.-% of amount MgSO4 assumed</t>
    </r>
  </si>
  <si>
    <r>
      <t>5-Bromopyrimidine;</t>
    </r>
    <r>
      <rPr>
        <sz val="8"/>
        <rFont val="Arial"/>
        <family val="2"/>
      </rPr>
      <t xml:space="preserve"> CAS 4595-59-9</t>
    </r>
  </si>
  <si>
    <r>
      <t xml:space="preserve">Thiophene-3-boronic acid; </t>
    </r>
    <r>
      <rPr>
        <sz val="8"/>
        <rFont val="Arial"/>
        <family val="2"/>
      </rPr>
      <t>CAS 6165-69-1</t>
    </r>
  </si>
  <si>
    <r>
      <t xml:space="preserve">NiCl2(PCy3)2; </t>
    </r>
    <r>
      <rPr>
        <sz val="8"/>
        <rFont val="Arial"/>
        <family val="2"/>
      </rPr>
      <t>CAS 19999-87-2</t>
    </r>
  </si>
  <si>
    <r>
      <t xml:space="preserve">tert-Amylalcohol; </t>
    </r>
    <r>
      <rPr>
        <sz val="8"/>
        <rFont val="Arial"/>
        <family val="2"/>
      </rPr>
      <t>Reaction; used as footprint is lower and yield is similar to MeTHF</t>
    </r>
  </si>
  <si>
    <r>
      <t xml:space="preserve">K3PO4; </t>
    </r>
    <r>
      <rPr>
        <sz val="8"/>
        <rFont val="Arial"/>
        <family val="2"/>
      </rPr>
      <t>Reaction</t>
    </r>
  </si>
  <si>
    <r>
      <t xml:space="preserve">H2O; </t>
    </r>
    <r>
      <rPr>
        <sz val="8"/>
        <rFont val="Arial"/>
        <family val="2"/>
      </rPr>
      <t>Extraction; from brine wash of org. phases; assumed to be 30 wt.-% of EtOAc added</t>
    </r>
  </si>
  <si>
    <r>
      <t>NaCl;</t>
    </r>
    <r>
      <rPr>
        <sz val="8"/>
        <rFont val="Arial"/>
        <family val="2"/>
      </rPr>
      <t xml:space="preserve"> Extraction; from brine wash of org. phases</t>
    </r>
  </si>
  <si>
    <r>
      <rPr>
        <sz val="10"/>
        <rFont val="Arial"/>
        <family val="2"/>
      </rPr>
      <t xml:space="preserve">EtOAc; </t>
    </r>
    <r>
      <rPr>
        <sz val="8"/>
        <rFont val="Arial"/>
        <family val="2"/>
      </rPr>
      <t>Extraction; assumed to be 300 wt.-% of amount MgSO4 assumed</t>
    </r>
  </si>
  <si>
    <t>- 86% Yield in paper after filtration over silica plug. 10% Reduction upon column purification assumed = 76%
- Brine assumed to be 25 wt.-% NaCl and 75 wt.-% H2O
- Filtration over the silica plug was left out in favor of a column chrom.
- Hexamethylbenzene (internal standard) was not considered!</t>
  </si>
  <si>
    <r>
      <rPr>
        <sz val="10"/>
        <rFont val="Arial"/>
        <family val="2"/>
      </rPr>
      <t xml:space="preserve">EtOAc; </t>
    </r>
    <r>
      <rPr>
        <sz val="8"/>
        <rFont val="Arial"/>
        <family val="2"/>
      </rPr>
      <t>Purification; assumed to be 300 wt.-% of amount SiO2</t>
    </r>
  </si>
  <si>
    <r>
      <rPr>
        <sz val="10"/>
        <rFont val="Arial"/>
        <family val="2"/>
      </rPr>
      <t xml:space="preserve">n-Hexanes; </t>
    </r>
    <r>
      <rPr>
        <sz val="8"/>
        <rFont val="Arial"/>
        <family val="2"/>
      </rPr>
      <t>Purification; assumed to be 300 wt.-% of amount SiO2</t>
    </r>
  </si>
  <si>
    <r>
      <t xml:space="preserve">NiCl2; </t>
    </r>
    <r>
      <rPr>
        <sz val="8"/>
        <rFont val="Arial"/>
        <family val="2"/>
      </rPr>
      <t>CAS 7718-54-9</t>
    </r>
  </si>
  <si>
    <t>Suzuki</t>
  </si>
  <si>
    <r>
      <rPr>
        <sz val="10"/>
        <rFont val="Arial"/>
        <family val="2"/>
      </rPr>
      <t xml:space="preserve">EtOAc; </t>
    </r>
    <r>
      <rPr>
        <sz val="8"/>
        <rFont val="Arial"/>
        <family val="2"/>
      </rPr>
      <t>Extraction; assumed to be 1.5 mL of solvent per mmol of the coupling partners</t>
    </r>
  </si>
  <si>
    <r>
      <rPr>
        <sz val="10"/>
        <rFont val="Arial"/>
        <family val="2"/>
      </rPr>
      <t xml:space="preserve">MgSO4; </t>
    </r>
    <r>
      <rPr>
        <sz val="8"/>
        <rFont val="Arial"/>
        <family val="2"/>
      </rPr>
      <t xml:space="preserve"> Extraction; assumed to be 5 wt.-% of EtOAc portion</t>
    </r>
  </si>
  <si>
    <r>
      <rPr>
        <sz val="10"/>
        <rFont val="Arial"/>
        <family val="2"/>
      </rPr>
      <t xml:space="preserve">SiO2; </t>
    </r>
    <r>
      <rPr>
        <sz val="8"/>
        <rFont val="Arial"/>
        <family val="2"/>
      </rPr>
      <t>Purification; assumed to be 3000 wt.-% of isolated product</t>
    </r>
  </si>
  <si>
    <t>PMI SUMMARY  - Side Chain 1</t>
  </si>
  <si>
    <t>PMI SUMMARY  - Side Chain 2</t>
  </si>
  <si>
    <t>PMI SUMMARY  - Side Chain 3</t>
  </si>
  <si>
    <t xml:space="preserve"> Overall Yield Side Chain 3:</t>
  </si>
  <si>
    <r>
      <t>Substrates (as 100%)</t>
    </r>
    <r>
      <rPr>
        <sz val="8.5"/>
        <rFont val="Arial"/>
        <family val="2"/>
      </rPr>
      <t xml:space="preserve"> </t>
    </r>
  </si>
  <si>
    <t>Nanoparticles</t>
  </si>
  <si>
    <r>
      <t xml:space="preserve">TPGS-750-M; </t>
    </r>
    <r>
      <rPr>
        <sz val="8"/>
        <rFont val="Arial"/>
        <family val="2"/>
      </rPr>
      <t>Pure TPGS-750-M from 1.0 mL 2 wt.-% TPGS-750-M in H2O, d 1.002 g mL-1</t>
    </r>
  </si>
  <si>
    <r>
      <t xml:space="preserve">K3PO4 </t>
    </r>
    <r>
      <rPr>
        <sz val="8"/>
        <rFont val="Arial"/>
        <family val="2"/>
      </rPr>
      <t>x</t>
    </r>
    <r>
      <rPr>
        <sz val="10"/>
        <rFont val="Arial"/>
        <family val="2"/>
      </rPr>
      <t xml:space="preserve"> H2O; </t>
    </r>
    <r>
      <rPr>
        <sz val="8"/>
        <rFont val="Arial"/>
        <family val="2"/>
      </rPr>
      <t>Reaction</t>
    </r>
  </si>
  <si>
    <r>
      <rPr>
        <sz val="10"/>
        <rFont val="Arial"/>
        <family val="2"/>
      </rPr>
      <t xml:space="preserve">Na2SO4; </t>
    </r>
    <r>
      <rPr>
        <sz val="8"/>
        <rFont val="Arial"/>
        <family val="2"/>
      </rPr>
      <t xml:space="preserve"> Extraction; assumed to be 5 wt.-% of EtOAc</t>
    </r>
  </si>
  <si>
    <t>SiO2; Purification; assumed to be 3000 wt.-% of isolated product</t>
  </si>
  <si>
    <r>
      <t xml:space="preserve">EtOAc; </t>
    </r>
    <r>
      <rPr>
        <sz val="8"/>
        <rFont val="Arial"/>
        <family val="2"/>
      </rPr>
      <t>Extraction</t>
    </r>
  </si>
  <si>
    <r>
      <t xml:space="preserve">H2O; </t>
    </r>
    <r>
      <rPr>
        <sz val="8"/>
        <rFont val="Arial"/>
        <family val="2"/>
      </rPr>
      <t>Reaction; from TPGS solution</t>
    </r>
  </si>
  <si>
    <t>- It is assumed, that the org. phase is washed with brine.
- Brine assumed to be 25 wt.-% NaCl and 75 wt.-% H2O</t>
  </si>
  <si>
    <t>Sphos</t>
  </si>
  <si>
    <t>J. Am. Chem. Soc. 2005, 127, 13, 4685–4696</t>
  </si>
  <si>
    <r>
      <t xml:space="preserve">2-Bromochlorobenzene; </t>
    </r>
    <r>
      <rPr>
        <sz val="8"/>
        <rFont val="Arial"/>
        <family val="2"/>
      </rPr>
      <t>CAS 694-80-4; d 1.638 g mL-1</t>
    </r>
  </si>
  <si>
    <r>
      <t xml:space="preserve">1.3-Dimethoxybenzene; </t>
    </r>
    <r>
      <rPr>
        <sz val="8"/>
        <rFont val="Arial"/>
        <family val="2"/>
      </rPr>
      <t>CAS 151-10-0; d 1.055 g mL-1</t>
    </r>
  </si>
  <si>
    <r>
      <t xml:space="preserve">Chlorodicyclohexylphosphine; </t>
    </r>
    <r>
      <rPr>
        <sz val="8"/>
        <rFont val="Arial"/>
        <family val="2"/>
      </rPr>
      <t>CAS 16523-54-9, d 1.054 g mL-1</t>
    </r>
  </si>
  <si>
    <r>
      <rPr>
        <sz val="10"/>
        <rFont val="Arial"/>
        <family val="2"/>
      </rPr>
      <t xml:space="preserve">SiO2; </t>
    </r>
    <r>
      <rPr>
        <sz val="8"/>
        <rFont val="Arial"/>
        <family val="2"/>
      </rPr>
      <t>Filtration; assumed to be 0.3 g SiO2 per mmol 2-bromochlorobenzene</t>
    </r>
  </si>
  <si>
    <r>
      <rPr>
        <sz val="10"/>
        <rFont val="Arial"/>
        <family val="2"/>
      </rPr>
      <t xml:space="preserve">Cellulose acetate; </t>
    </r>
    <r>
      <rPr>
        <sz val="8"/>
        <rFont val="Arial"/>
        <family val="2"/>
      </rPr>
      <t>Filtration; assumed to be 10 wt.-% to SiO2</t>
    </r>
  </si>
  <si>
    <r>
      <t xml:space="preserve">THF; </t>
    </r>
    <r>
      <rPr>
        <sz val="8"/>
        <rFont val="Arial"/>
        <family val="2"/>
      </rPr>
      <t>Reaction</t>
    </r>
  </si>
  <si>
    <r>
      <t xml:space="preserve">EtOAc; </t>
    </r>
    <r>
      <rPr>
        <sz val="8"/>
        <rFont val="Arial"/>
        <family val="2"/>
      </rPr>
      <t>Filtration; assumed to be 50% of amount stated in protocol</t>
    </r>
  </si>
  <si>
    <r>
      <t xml:space="preserve">Acetone; </t>
    </r>
    <r>
      <rPr>
        <sz val="8"/>
        <rFont val="Arial"/>
        <family val="2"/>
      </rPr>
      <t>Recrystallizations; assumed to be 50 mL</t>
    </r>
  </si>
  <si>
    <r>
      <t xml:space="preserve">MeOH;   </t>
    </r>
    <r>
      <rPr>
        <sz val="9"/>
        <rFont val="Arial"/>
        <family val="2"/>
      </rPr>
      <t xml:space="preserve"> </t>
    </r>
    <r>
      <rPr>
        <sz val="8"/>
        <rFont val="Arial"/>
        <family val="2"/>
      </rPr>
      <t>Recrystallization; trituration assumed to be 5 mL</t>
    </r>
  </si>
  <si>
    <t>Nano cat.</t>
  </si>
  <si>
    <r>
      <t xml:space="preserve">FeCl3; </t>
    </r>
    <r>
      <rPr>
        <sz val="8"/>
        <rFont val="Arial"/>
        <family val="2"/>
      </rPr>
      <t>CAS 7705-08-0</t>
    </r>
  </si>
  <si>
    <r>
      <t xml:space="preserve">Pd(OAc)2; </t>
    </r>
    <r>
      <rPr>
        <sz val="8"/>
        <rFont val="Arial"/>
        <family val="2"/>
      </rPr>
      <t>CAS 3375-31-3</t>
    </r>
  </si>
  <si>
    <r>
      <t>MeMgCl;</t>
    </r>
    <r>
      <rPr>
        <sz val="8"/>
        <rFont val="Arial"/>
        <family val="2"/>
      </rPr>
      <t xml:space="preserve"> Pure MeMgCl from 0.5 M MeMgCl in THF</t>
    </r>
  </si>
  <si>
    <r>
      <t>THF;</t>
    </r>
    <r>
      <rPr>
        <sz val="8"/>
        <rFont val="Arial"/>
        <family val="2"/>
      </rPr>
      <t xml:space="preserve"> Reaction; from 0.5 M MeMgCl solution</t>
    </r>
  </si>
  <si>
    <r>
      <rPr>
        <sz val="10"/>
        <rFont val="Arial"/>
        <family val="2"/>
      </rPr>
      <t>Pentanes;</t>
    </r>
    <r>
      <rPr>
        <sz val="8"/>
        <rFont val="Arial"/>
        <family val="2"/>
      </rPr>
      <t xml:space="preserve"> Trituration; assumed to be  1000 wt.-% of mass of isolated material</t>
    </r>
  </si>
  <si>
    <r>
      <t xml:space="preserve">H2O; </t>
    </r>
    <r>
      <rPr>
        <sz val="8"/>
        <rFont val="Arial"/>
        <family val="2"/>
      </rPr>
      <t>Reaction quench</t>
    </r>
  </si>
  <si>
    <t>Step Function, Name-Number: SIDE CHAIN 3</t>
  </si>
  <si>
    <t>Toc. Succ.</t>
  </si>
  <si>
    <r>
      <t xml:space="preserve">Tocopherol; </t>
    </r>
    <r>
      <rPr>
        <sz val="8"/>
        <rFont val="Arial"/>
        <family val="2"/>
      </rPr>
      <t>CAS 10191-41-0</t>
    </r>
  </si>
  <si>
    <r>
      <t xml:space="preserve">Succinic anhydride; </t>
    </r>
    <r>
      <rPr>
        <sz val="8"/>
        <rFont val="Arial"/>
        <family val="2"/>
      </rPr>
      <t>CAS 108-30-5</t>
    </r>
  </si>
  <si>
    <r>
      <t xml:space="preserve">4-Dimethylaminopyridine; </t>
    </r>
    <r>
      <rPr>
        <sz val="8"/>
        <rFont val="Arial"/>
        <family val="2"/>
      </rPr>
      <t>CAS 1122-58-3</t>
    </r>
  </si>
  <si>
    <t>- Brine assumed to be 25 wt.-% NaCl and 75 wt.-% H2O</t>
  </si>
  <si>
    <r>
      <t xml:space="preserve">Triethylamine; </t>
    </r>
    <r>
      <rPr>
        <sz val="8"/>
        <rFont val="Arial"/>
        <family val="2"/>
      </rPr>
      <t>CAS 121-44-8</t>
    </r>
  </si>
  <si>
    <r>
      <t xml:space="preserve">HCl;  </t>
    </r>
    <r>
      <rPr>
        <sz val="8"/>
        <rFont val="Arial"/>
        <family val="2"/>
      </rPr>
      <t xml:space="preserve"> Extraction; from 1 M HCl</t>
    </r>
  </si>
  <si>
    <r>
      <rPr>
        <sz val="10"/>
        <rFont val="Arial"/>
        <family val="2"/>
      </rPr>
      <t xml:space="preserve">Na2SO4; </t>
    </r>
    <r>
      <rPr>
        <sz val="8"/>
        <rFont val="Arial"/>
        <family val="2"/>
      </rPr>
      <t xml:space="preserve"> Extraction; assumed to be 3 wt.-% of CH2Cl2</t>
    </r>
  </si>
  <si>
    <r>
      <rPr>
        <sz val="10"/>
        <rFont val="Arial"/>
        <family val="2"/>
      </rPr>
      <t xml:space="preserve">SiO2; </t>
    </r>
    <r>
      <rPr>
        <sz val="8"/>
        <rFont val="Arial"/>
        <family val="2"/>
      </rPr>
      <t>Purification</t>
    </r>
  </si>
  <si>
    <r>
      <t xml:space="preserve">CH2Cl2; </t>
    </r>
    <r>
      <rPr>
        <sz val="8"/>
        <rFont val="Arial"/>
        <family val="2"/>
      </rPr>
      <t>Reaction</t>
    </r>
  </si>
  <si>
    <r>
      <t xml:space="preserve">CH2Cl2; </t>
    </r>
    <r>
      <rPr>
        <sz val="8"/>
        <rFont val="Arial"/>
        <family val="2"/>
      </rPr>
      <t>Flask rinse; Extraction</t>
    </r>
  </si>
  <si>
    <r>
      <rPr>
        <sz val="10"/>
        <rFont val="Arial"/>
        <family val="2"/>
      </rPr>
      <t xml:space="preserve">CH2Cl2; </t>
    </r>
    <r>
      <rPr>
        <sz val="8"/>
        <rFont val="Arial"/>
        <family val="2"/>
      </rPr>
      <t>Purification</t>
    </r>
  </si>
  <si>
    <r>
      <t xml:space="preserve">H2O; </t>
    </r>
    <r>
      <rPr>
        <sz val="8"/>
        <rFont val="Arial"/>
        <family val="2"/>
      </rPr>
      <t>Extraction; from 1 M HCl</t>
    </r>
  </si>
  <si>
    <r>
      <t xml:space="preserve">H2O; </t>
    </r>
    <r>
      <rPr>
        <sz val="8"/>
        <rFont val="Arial"/>
        <family val="2"/>
      </rPr>
      <t>Extraction</t>
    </r>
  </si>
  <si>
    <r>
      <t xml:space="preserve">H2O; </t>
    </r>
    <r>
      <rPr>
        <sz val="8"/>
        <rFont val="Arial"/>
        <family val="2"/>
      </rPr>
      <t>Extraction; from brine wash of org. Phases</t>
    </r>
  </si>
  <si>
    <t>TPGS</t>
  </si>
  <si>
    <t>Tocopherol succinate</t>
  </si>
  <si>
    <r>
      <t>MPEG 750;</t>
    </r>
    <r>
      <rPr>
        <sz val="8"/>
        <rFont val="Arial"/>
        <family val="2"/>
      </rPr>
      <t xml:space="preserve"> CAS 9004-74-4</t>
    </r>
  </si>
  <si>
    <r>
      <t xml:space="preserve">PTSA monohydrate; </t>
    </r>
    <r>
      <rPr>
        <sz val="8"/>
        <rFont val="Arial"/>
        <family val="2"/>
      </rPr>
      <t>CAS 6192-52-5</t>
    </r>
  </si>
  <si>
    <r>
      <t xml:space="preserve">Al2O3; </t>
    </r>
    <r>
      <rPr>
        <sz val="8"/>
        <rFont val="Arial"/>
        <family val="2"/>
      </rPr>
      <t>Filtration</t>
    </r>
  </si>
  <si>
    <r>
      <t xml:space="preserve">Toluene; </t>
    </r>
    <r>
      <rPr>
        <sz val="8"/>
        <rFont val="Arial"/>
        <family val="2"/>
      </rPr>
      <t>Reaction</t>
    </r>
  </si>
  <si>
    <r>
      <t>CH2Cl2;</t>
    </r>
    <r>
      <rPr>
        <sz val="8"/>
        <rFont val="Arial"/>
        <family val="2"/>
      </rPr>
      <t xml:space="preserve"> Filtration</t>
    </r>
  </si>
  <si>
    <r>
      <rPr>
        <sz val="10"/>
        <rFont val="Arial"/>
        <family val="2"/>
      </rPr>
      <t xml:space="preserve">EtOAc; </t>
    </r>
    <r>
      <rPr>
        <sz val="8"/>
        <rFont val="Arial"/>
        <family val="2"/>
      </rPr>
      <t>Extraction; assumed to be 300 wt.-% of amount Na2SO4 assumed</t>
    </r>
  </si>
  <si>
    <t>Science 2015, 349, 1087–1091.</t>
  </si>
  <si>
    <t>Materials</t>
  </si>
  <si>
    <t>Reference material for env. footprints</t>
  </si>
  <si>
    <t>LCA-Data Scenario according to footprint method manuscript;
M. U. Luescher, F. Gallou, 2024</t>
  </si>
  <si>
    <r>
      <rPr>
        <b/>
        <sz val="10"/>
        <color theme="0"/>
        <rFont val="Arial"/>
        <family val="2"/>
      </rPr>
      <t xml:space="preserve">Reference material for env. Footprints [Location]
</t>
    </r>
    <r>
      <rPr>
        <sz val="10"/>
        <color theme="0"/>
        <rFont val="Arial"/>
        <family val="2"/>
      </rPr>
      <t>(GLO = Global, RER = Region Europe,     RoW = Rest of World)</t>
    </r>
  </si>
  <si>
    <t>UUID</t>
  </si>
  <si>
    <r>
      <t xml:space="preserve">Sigma Aldrich
List Price [USD]
</t>
    </r>
    <r>
      <rPr>
        <sz val="10"/>
        <color theme="0"/>
        <rFont val="Arial"/>
        <family val="2"/>
      </rPr>
      <t xml:space="preserve">
Sept. 28, 2023</t>
    </r>
  </si>
  <si>
    <t>Amt.</t>
  </si>
  <si>
    <t>Unit</t>
  </si>
  <si>
    <r>
      <t xml:space="preserve">δ </t>
    </r>
    <r>
      <rPr>
        <sz val="10"/>
        <color theme="0"/>
        <rFont val="Arial"/>
        <family val="2"/>
      </rPr>
      <t>[g cm</t>
    </r>
    <r>
      <rPr>
        <vertAlign val="superscript"/>
        <sz val="10"/>
        <color theme="0"/>
        <rFont val="Arial"/>
        <family val="2"/>
      </rPr>
      <t>-3</t>
    </r>
    <r>
      <rPr>
        <sz val="10"/>
        <color theme="0"/>
        <rFont val="Arial"/>
        <family val="2"/>
      </rPr>
      <t xml:space="preserve">]
</t>
    </r>
    <r>
      <rPr>
        <b/>
        <sz val="10"/>
        <color theme="0"/>
        <rFont val="Arial"/>
        <family val="2"/>
      </rPr>
      <t xml:space="preserve">
</t>
    </r>
    <r>
      <rPr>
        <sz val="10"/>
        <color theme="0"/>
        <rFont val="Arial"/>
        <family val="2"/>
      </rPr>
      <t>1 as default for solids</t>
    </r>
  </si>
  <si>
    <t>MW</t>
  </si>
  <si>
    <r>
      <t>Sigma Aldrich
List Price [USD kg</t>
    </r>
    <r>
      <rPr>
        <b/>
        <vertAlign val="superscript"/>
        <sz val="10"/>
        <color theme="0"/>
        <rFont val="Arial"/>
        <family val="2"/>
      </rPr>
      <t>-1</t>
    </r>
    <r>
      <rPr>
        <b/>
        <sz val="10"/>
        <color theme="0"/>
        <rFont val="Arial"/>
        <family val="2"/>
      </rPr>
      <t xml:space="preserve">]
</t>
    </r>
    <r>
      <rPr>
        <sz val="10"/>
        <color theme="0"/>
        <rFont val="Arial"/>
        <family val="2"/>
      </rPr>
      <t>Sept. 28, 2023</t>
    </r>
  </si>
  <si>
    <t>Comments
Price</t>
  </si>
  <si>
    <r>
      <t xml:space="preserve">Sigma Aldrich
Product No., Desription
</t>
    </r>
    <r>
      <rPr>
        <sz val="10"/>
        <color theme="0"/>
        <rFont val="Arial"/>
        <family val="2"/>
      </rPr>
      <t>Sept. 28, 2023</t>
    </r>
  </si>
  <si>
    <t>CAS</t>
  </si>
  <si>
    <r>
      <t xml:space="preserve">Acidification
</t>
    </r>
    <r>
      <rPr>
        <sz val="10"/>
        <color theme="0"/>
        <rFont val="Arial"/>
        <family val="2"/>
      </rPr>
      <t>EF v3.1 no LT</t>
    </r>
    <r>
      <rPr>
        <b/>
        <sz val="10"/>
        <color theme="0"/>
        <rFont val="Arial"/>
        <family val="2"/>
      </rPr>
      <t xml:space="preserve">
</t>
    </r>
    <r>
      <rPr>
        <sz val="10"/>
        <color theme="0"/>
        <rFont val="Arial"/>
        <family val="2"/>
      </rPr>
      <t xml:space="preserve"> </t>
    </r>
    <r>
      <rPr>
        <b/>
        <sz val="10"/>
        <color theme="0"/>
        <rFont val="Arial"/>
        <family val="2"/>
      </rPr>
      <t xml:space="preserve">
mol H+ eq</t>
    </r>
  </si>
  <si>
    <r>
      <t xml:space="preserve">Climate change
</t>
    </r>
    <r>
      <rPr>
        <sz val="10"/>
        <color theme="0"/>
        <rFont val="Arial"/>
        <family val="2"/>
      </rPr>
      <t>EF v3.1 no LT</t>
    </r>
    <r>
      <rPr>
        <b/>
        <sz val="10"/>
        <color theme="0"/>
        <rFont val="Arial"/>
        <family val="2"/>
      </rPr>
      <t xml:space="preserve">
</t>
    </r>
    <r>
      <rPr>
        <sz val="10"/>
        <color theme="0"/>
        <rFont val="Arial"/>
        <family val="2"/>
      </rPr>
      <t>GWP100 Years (Prod. (+ Market))</t>
    </r>
    <r>
      <rPr>
        <b/>
        <sz val="10"/>
        <color theme="0"/>
        <rFont val="Arial"/>
        <family val="2"/>
      </rPr>
      <t xml:space="preserve">
kg CO2 eq</t>
    </r>
  </si>
  <si>
    <r>
      <t xml:space="preserve">Climate change
</t>
    </r>
    <r>
      <rPr>
        <sz val="10"/>
        <color theme="0"/>
        <rFont val="Arial"/>
        <family val="2"/>
      </rPr>
      <t>EF v3.1 no LT</t>
    </r>
    <r>
      <rPr>
        <b/>
        <sz val="10"/>
        <color theme="0"/>
        <rFont val="Arial"/>
        <family val="2"/>
      </rPr>
      <t xml:space="preserve">
</t>
    </r>
    <r>
      <rPr>
        <sz val="10"/>
        <color theme="0"/>
        <rFont val="Arial"/>
        <family val="2"/>
      </rPr>
      <t>GWP100 Years (Incineration)</t>
    </r>
    <r>
      <rPr>
        <b/>
        <sz val="10"/>
        <color theme="0"/>
        <rFont val="Arial"/>
        <family val="2"/>
      </rPr>
      <t xml:space="preserve">
kg CO2 eq</t>
    </r>
  </si>
  <si>
    <r>
      <t xml:space="preserve">Climate change
</t>
    </r>
    <r>
      <rPr>
        <sz val="10"/>
        <color theme="0"/>
        <rFont val="Arial"/>
        <family val="2"/>
      </rPr>
      <t>EF v3.1 no LT</t>
    </r>
    <r>
      <rPr>
        <b/>
        <sz val="10"/>
        <color theme="0"/>
        <rFont val="Arial"/>
        <family val="2"/>
      </rPr>
      <t xml:space="preserve">
</t>
    </r>
    <r>
      <rPr>
        <sz val="10"/>
        <color theme="0"/>
        <rFont val="Arial"/>
        <family val="2"/>
      </rPr>
      <t>GWP100 Years (Total)</t>
    </r>
    <r>
      <rPr>
        <b/>
        <sz val="10"/>
        <color theme="0"/>
        <rFont val="Arial"/>
        <family val="2"/>
      </rPr>
      <t xml:space="preserve">
kg CO2 eq</t>
    </r>
  </si>
  <si>
    <r>
      <t xml:space="preserve">Ecotoxicity, freshwater
</t>
    </r>
    <r>
      <rPr>
        <sz val="10"/>
        <color theme="0"/>
        <rFont val="Arial"/>
        <family val="2"/>
      </rPr>
      <t>EF v3.1 no LT</t>
    </r>
    <r>
      <rPr>
        <b/>
        <sz val="10"/>
        <color theme="0"/>
        <rFont val="Arial"/>
        <family val="2"/>
      </rPr>
      <t xml:space="preserve">
CTUe</t>
    </r>
  </si>
  <si>
    <r>
      <t xml:space="preserve">Energy resources, non-renewable
</t>
    </r>
    <r>
      <rPr>
        <sz val="10"/>
        <color theme="0"/>
        <rFont val="Arial"/>
        <family val="2"/>
      </rPr>
      <t>EF v3.1 no LT</t>
    </r>
    <r>
      <rPr>
        <b/>
        <sz val="10"/>
        <color theme="0"/>
        <rFont val="Arial"/>
        <family val="2"/>
      </rPr>
      <t xml:space="preserve">
MJ eq</t>
    </r>
  </si>
  <si>
    <r>
      <t xml:space="preserve">Eutrophication, freshwater
</t>
    </r>
    <r>
      <rPr>
        <sz val="10"/>
        <color theme="0"/>
        <rFont val="Arial"/>
        <family val="2"/>
      </rPr>
      <t>EF v3.1 no LT</t>
    </r>
    <r>
      <rPr>
        <b/>
        <sz val="10"/>
        <color theme="0"/>
        <rFont val="Arial"/>
        <family val="2"/>
      </rPr>
      <t xml:space="preserve">
kg P eq</t>
    </r>
  </si>
  <si>
    <r>
      <t xml:space="preserve">Eutrophication, marine
</t>
    </r>
    <r>
      <rPr>
        <sz val="10"/>
        <color theme="0"/>
        <rFont val="Arial"/>
        <family val="2"/>
      </rPr>
      <t>EF v3.1 no LT</t>
    </r>
    <r>
      <rPr>
        <b/>
        <sz val="10"/>
        <color theme="0"/>
        <rFont val="Arial"/>
        <family val="2"/>
      </rPr>
      <t xml:space="preserve">
kg N eq</t>
    </r>
  </si>
  <si>
    <r>
      <t xml:space="preserve">Eutrophication, terrestrial
</t>
    </r>
    <r>
      <rPr>
        <sz val="10"/>
        <color theme="0"/>
        <rFont val="Arial"/>
        <family val="2"/>
      </rPr>
      <t>EF v3.1 no LT</t>
    </r>
    <r>
      <rPr>
        <b/>
        <sz val="10"/>
        <color theme="0"/>
        <rFont val="Arial"/>
        <family val="2"/>
      </rPr>
      <t xml:space="preserve">
molc N eq</t>
    </r>
  </si>
  <si>
    <r>
      <t xml:space="preserve">Human toxicity
</t>
    </r>
    <r>
      <rPr>
        <sz val="10"/>
        <color theme="0"/>
        <rFont val="Arial"/>
        <family val="2"/>
      </rPr>
      <t>EF v3.1 no LT</t>
    </r>
    <r>
      <rPr>
        <b/>
        <sz val="10"/>
        <color theme="0"/>
        <rFont val="Arial"/>
        <family val="2"/>
      </rPr>
      <t xml:space="preserve">
</t>
    </r>
    <r>
      <rPr>
        <sz val="10"/>
        <color theme="0"/>
        <rFont val="Arial"/>
        <family val="2"/>
      </rPr>
      <t>Carcinogenic</t>
    </r>
    <r>
      <rPr>
        <b/>
        <sz val="10"/>
        <color theme="0"/>
        <rFont val="Arial"/>
        <family val="2"/>
      </rPr>
      <t xml:space="preserve">
CTUh</t>
    </r>
  </si>
  <si>
    <r>
      <t xml:space="preserve">Human toxicity
</t>
    </r>
    <r>
      <rPr>
        <sz val="10"/>
        <color theme="0"/>
        <rFont val="Arial"/>
        <family val="2"/>
      </rPr>
      <t>EF v3.1 no LT</t>
    </r>
    <r>
      <rPr>
        <b/>
        <sz val="10"/>
        <color theme="0"/>
        <rFont val="Arial"/>
        <family val="2"/>
      </rPr>
      <t xml:space="preserve">
</t>
    </r>
    <r>
      <rPr>
        <sz val="10"/>
        <color theme="0"/>
        <rFont val="Arial"/>
        <family val="2"/>
      </rPr>
      <t>Non-Carcinogenic</t>
    </r>
    <r>
      <rPr>
        <b/>
        <sz val="10"/>
        <color theme="0"/>
        <rFont val="Arial"/>
        <family val="2"/>
      </rPr>
      <t xml:space="preserve">
CTUh</t>
    </r>
  </si>
  <si>
    <r>
      <t xml:space="preserve">Ionizing radiation
</t>
    </r>
    <r>
      <rPr>
        <sz val="10"/>
        <color theme="0"/>
        <rFont val="Arial"/>
        <family val="2"/>
      </rPr>
      <t>EF v3.1 no LT</t>
    </r>
    <r>
      <rPr>
        <b/>
        <sz val="10"/>
        <color theme="0"/>
        <rFont val="Arial"/>
        <family val="2"/>
      </rPr>
      <t xml:space="preserve">
kg U235 eq</t>
    </r>
  </si>
  <si>
    <r>
      <t xml:space="preserve">Land use
</t>
    </r>
    <r>
      <rPr>
        <sz val="10"/>
        <color theme="0"/>
        <rFont val="Arial"/>
        <family val="2"/>
      </rPr>
      <t>EF v3.1 no LT</t>
    </r>
    <r>
      <rPr>
        <b/>
        <sz val="10"/>
        <color theme="0"/>
        <rFont val="Arial"/>
        <family val="2"/>
      </rPr>
      <t xml:space="preserve">
Pt</t>
    </r>
  </si>
  <si>
    <r>
      <t xml:space="preserve">Material resources
</t>
    </r>
    <r>
      <rPr>
        <sz val="10"/>
        <color theme="0"/>
        <rFont val="Arial"/>
        <family val="2"/>
      </rPr>
      <t>EF v3.1 no LT</t>
    </r>
    <r>
      <rPr>
        <b/>
        <sz val="10"/>
        <color theme="0"/>
        <rFont val="Arial"/>
        <family val="2"/>
      </rPr>
      <t xml:space="preserve">
</t>
    </r>
    <r>
      <rPr>
        <sz val="10"/>
        <color theme="0"/>
        <rFont val="Arial"/>
        <family val="2"/>
      </rPr>
      <t>Minerals, metals</t>
    </r>
    <r>
      <rPr>
        <b/>
        <sz val="10"/>
        <color theme="0"/>
        <rFont val="Arial"/>
        <family val="2"/>
      </rPr>
      <t xml:space="preserve">
kg Sb eq</t>
    </r>
  </si>
  <si>
    <r>
      <t xml:space="preserve">Ozone depletion
</t>
    </r>
    <r>
      <rPr>
        <sz val="10"/>
        <color theme="0"/>
        <rFont val="Arial"/>
        <family val="2"/>
      </rPr>
      <t>EF v3.1 no LT</t>
    </r>
    <r>
      <rPr>
        <b/>
        <sz val="10"/>
        <color theme="0"/>
        <rFont val="Arial"/>
        <family val="2"/>
      </rPr>
      <t xml:space="preserve">
</t>
    </r>
    <r>
      <rPr>
        <sz val="10"/>
        <color theme="0"/>
        <rFont val="Arial"/>
        <family val="2"/>
      </rPr>
      <t>ODP100 Years</t>
    </r>
    <r>
      <rPr>
        <b/>
        <sz val="10"/>
        <color theme="0"/>
        <rFont val="Arial"/>
        <family val="2"/>
      </rPr>
      <t xml:space="preserve">
kg CFC-11 eq</t>
    </r>
  </si>
  <si>
    <r>
      <t xml:space="preserve">Particulate matter
</t>
    </r>
    <r>
      <rPr>
        <sz val="10"/>
        <color theme="0"/>
        <rFont val="Arial"/>
        <family val="2"/>
      </rPr>
      <t>EF v3.1 no LT</t>
    </r>
    <r>
      <rPr>
        <b/>
        <sz val="10"/>
        <color theme="0"/>
        <rFont val="Arial"/>
        <family val="2"/>
      </rPr>
      <t xml:space="preserve">
Disease incidence</t>
    </r>
  </si>
  <si>
    <r>
      <t xml:space="preserve">Photochem. ozone formation
</t>
    </r>
    <r>
      <rPr>
        <sz val="10"/>
        <color theme="0"/>
        <rFont val="Arial"/>
        <family val="2"/>
      </rPr>
      <t>EF v3.1 no LT</t>
    </r>
    <r>
      <rPr>
        <b/>
        <sz val="10"/>
        <color theme="0"/>
        <rFont val="Arial"/>
        <family val="2"/>
      </rPr>
      <t xml:space="preserve">
kg NMVOC eq</t>
    </r>
  </si>
  <si>
    <r>
      <t xml:space="preserve">Water use
</t>
    </r>
    <r>
      <rPr>
        <sz val="10"/>
        <color theme="0"/>
        <rFont val="Arial"/>
        <family val="2"/>
      </rPr>
      <t>EF v3.1 no LT</t>
    </r>
    <r>
      <rPr>
        <b/>
        <sz val="10"/>
        <color theme="0"/>
        <rFont val="Arial"/>
        <family val="2"/>
      </rPr>
      <t xml:space="preserve">
m3 deprived</t>
    </r>
  </si>
  <si>
    <r>
      <t xml:space="preserve">Garg OL 2013
</t>
    </r>
    <r>
      <rPr>
        <sz val="10"/>
        <color theme="0"/>
        <rFont val="Arial"/>
        <family val="2"/>
      </rPr>
      <t>cPMI without given material</t>
    </r>
  </si>
  <si>
    <r>
      <t xml:space="preserve">Garg OL 2013
</t>
    </r>
    <r>
      <rPr>
        <sz val="10"/>
        <color theme="0"/>
        <rFont val="Arial"/>
        <family val="2"/>
      </rPr>
      <t>cPMI of given material</t>
    </r>
  </si>
  <si>
    <t>Costs of material needed to prepare one kg
final product [USD]</t>
  </si>
  <si>
    <r>
      <t xml:space="preserve">Climate change
</t>
    </r>
    <r>
      <rPr>
        <sz val="10"/>
        <color theme="0"/>
        <rFont val="Arial"/>
        <family val="2"/>
      </rPr>
      <t>EF v3.1 no LT</t>
    </r>
    <r>
      <rPr>
        <b/>
        <sz val="10"/>
        <color theme="0"/>
        <rFont val="Arial"/>
        <family val="2"/>
      </rPr>
      <t xml:space="preserve">
</t>
    </r>
    <r>
      <rPr>
        <sz val="10"/>
        <color theme="0"/>
        <rFont val="Arial"/>
        <family val="2"/>
      </rPr>
      <t>GWP100 Years (Prod.n (+ Market))</t>
    </r>
    <r>
      <rPr>
        <b/>
        <sz val="10"/>
        <color theme="0"/>
        <rFont val="Arial"/>
        <family val="2"/>
      </rPr>
      <t xml:space="preserve">
kg CO2 eq</t>
    </r>
  </si>
  <si>
    <r>
      <t xml:space="preserve">Science 2015
</t>
    </r>
    <r>
      <rPr>
        <sz val="10"/>
        <color theme="0"/>
        <rFont val="Arial"/>
        <family val="2"/>
      </rPr>
      <t>cPMI w/o given material</t>
    </r>
  </si>
  <si>
    <r>
      <t xml:space="preserve">Science 2015
</t>
    </r>
    <r>
      <rPr>
        <sz val="10"/>
        <color theme="0"/>
        <rFont val="Arial"/>
        <family val="2"/>
      </rPr>
      <t>cPMI of given material</t>
    </r>
  </si>
  <si>
    <r>
      <t xml:space="preserve">Photochem. ozone formation
</t>
    </r>
    <r>
      <rPr>
        <sz val="10"/>
        <color theme="0"/>
        <rFont val="Arial"/>
        <family val="2"/>
      </rPr>
      <t>EF v3.1 no LT</t>
    </r>
    <r>
      <rPr>
        <b/>
        <sz val="10"/>
        <color theme="0"/>
        <rFont val="Arial"/>
        <family val="2"/>
      </rPr>
      <t xml:space="preserve">
kg NMVOC eq</t>
    </r>
  </si>
  <si>
    <r>
      <t xml:space="preserve">Science 2015; Surfactant
</t>
    </r>
    <r>
      <rPr>
        <sz val="10"/>
        <color theme="0"/>
        <rFont val="Arial"/>
        <family val="2"/>
      </rPr>
      <t>cPMI w/o given material</t>
    </r>
  </si>
  <si>
    <r>
      <t xml:space="preserve">Science 2015; Surfactant
</t>
    </r>
    <r>
      <rPr>
        <sz val="10"/>
        <color theme="0"/>
        <rFont val="Arial"/>
        <family val="2"/>
      </rPr>
      <t>cPMI of given material</t>
    </r>
  </si>
  <si>
    <t>Costs of material needed to prepare one kg
final product [USD];
incl. in preceeding calculation!</t>
  </si>
  <si>
    <t>NiCl2</t>
  </si>
  <si>
    <t>market for nickel, class 1</t>
  </si>
  <si>
    <t>-</t>
  </si>
  <si>
    <t>GLO</t>
  </si>
  <si>
    <t>0d9d1001-6635-51b9-bc24-470161f83e97_23fccced-e1e5-421d-9abe-5b59c51a862e</t>
  </si>
  <si>
    <t>7718-54-9</t>
  </si>
  <si>
    <r>
      <rPr>
        <b/>
        <sz val="8"/>
        <color theme="1"/>
        <rFont val="Arial"/>
        <family val="2"/>
      </rPr>
      <t>VIRGIN METAL</t>
    </r>
    <r>
      <rPr>
        <sz val="8"/>
        <color theme="1"/>
        <rFont val="Arial"/>
        <family val="2"/>
      </rPr>
      <t xml:space="preserve"> * 0.45 for Ni content</t>
    </r>
  </si>
  <si>
    <t>Scenario 2</t>
  </si>
  <si>
    <t>339350-250G, 98% anhydrous</t>
  </si>
  <si>
    <t>Ethanol</t>
  </si>
  <si>
    <t>market for ethanol, without water, in 99.7% solution state, from fermentation</t>
  </si>
  <si>
    <t>Scenario 1</t>
  </si>
  <si>
    <t>3226d665-ecfc-502d-ae2f-3b4959e2b1a7_508155f4-0601-4a0b-be0f-9ac7d558605a</t>
  </si>
  <si>
    <t>L</t>
  </si>
  <si>
    <t>187380-200L, reagent grade</t>
  </si>
  <si>
    <t>64-17-5</t>
  </si>
  <si>
    <t>Methanol</t>
  </si>
  <si>
    <t>market for methanol</t>
  </si>
  <si>
    <t>e1f15039-1a5d-547d-bfa7-c245e47a8d92_4a0b47d3-c643-4b67-841b-b5689787f7a1</t>
  </si>
  <si>
    <t>179957-18L-CS, Laboratory Reagent, ≥99.6%</t>
  </si>
  <si>
    <t>67-56-1</t>
  </si>
  <si>
    <t>n-Hexane</t>
  </si>
  <si>
    <t>market for hexane</t>
  </si>
  <si>
    <t>c54024dc-03bc-5d1e-843b-2793490b9bf9_039d3944-e16b-4baf-8153-35752757a05d</t>
  </si>
  <si>
    <t>208752-18L-CS, Laboratory Reagent, ≥95%</t>
  </si>
  <si>
    <t>110-54-3</t>
  </si>
  <si>
    <t>Tetrahydrofuran</t>
  </si>
  <si>
    <t>market for tetrahydrofuran</t>
  </si>
  <si>
    <t>af481436-e45e-599c-a101-4e5e17e54bbf_f75d6f52-d4fa-4c96-b48e-1ec2f4115f27</t>
  </si>
  <si>
    <t>178810-18L-CS, ReagentPlus®, ≥99.0%, contains 250 ppm BHT as inhibitor</t>
  </si>
  <si>
    <t>109-99-9</t>
  </si>
  <si>
    <t>Diethyl ether</t>
  </si>
  <si>
    <t>market for diethyl ether, without water, in 99.95% solution state</t>
  </si>
  <si>
    <t>RoW</t>
  </si>
  <si>
    <t>ee760675-b678-5696-af94-cb88cfedfe53_86f356ee-4bfa-43cf-a82f-4799c7f7c776</t>
  </si>
  <si>
    <t>673811-200L, anhydrous, ACS reagent, ≥99.0%, contains BHT as inhibitor</t>
  </si>
  <si>
    <t>60-29-7</t>
  </si>
  <si>
    <t>Magnesium sulfate</t>
  </si>
  <si>
    <t>market for magnesium sulfate</t>
  </si>
  <si>
    <t>f9038bd0-e9f7-581a-8c77-b091698dcc76_0b9fafd6-2b18-4ec6-a155-26ce0685cffc</t>
  </si>
  <si>
    <t>208094-12KG, anhydrous, reagent grade, ≥97%</t>
  </si>
  <si>
    <t>7487-88-9</t>
  </si>
  <si>
    <t>t-Amyl alcohol</t>
  </si>
  <si>
    <t>market for 2-methyl-2-butanol</t>
  </si>
  <si>
    <t>b439ee40-fb4e-58a2-a696-7643a02d1689_11bd64cc-4415-44e4-8cf0-edde6adc6b46</t>
  </si>
  <si>
    <t>152463-18L, ReagentPlus®, 99%</t>
  </si>
  <si>
    <t>75-85-4</t>
  </si>
  <si>
    <t>Pd(OAc)2</t>
  </si>
  <si>
    <t>market for palladium</t>
  </si>
  <si>
    <t>3f5cf5c8-ed45-52d0-8937-856828aefa45_1d6a1b9e-c272-48f9-81b3-7057c2955688</t>
  </si>
  <si>
    <r>
      <rPr>
        <b/>
        <sz val="8"/>
        <rFont val="Arial"/>
        <family val="2"/>
      </rPr>
      <t>VIRGIN METAL</t>
    </r>
    <r>
      <rPr>
        <sz val="8"/>
        <rFont val="Arial"/>
        <family val="2"/>
      </rPr>
      <t xml:space="preserve"> * 0.42 for Pd content</t>
    </r>
  </si>
  <si>
    <t>205869-100G, reagent grade, 98%</t>
  </si>
  <si>
    <t>3375-31-3</t>
  </si>
  <si>
    <t>Water</t>
  </si>
  <si>
    <t>market for water, deionised</t>
  </si>
  <si>
    <t>acef6928-2d98-55ad-ab61-982efad75546_360e2eb0-f81c-4e4b-ba6b-c7a690f31275</t>
  </si>
  <si>
    <t>8483339200, for synthesis</t>
  </si>
  <si>
    <t>7732-18-5</t>
  </si>
  <si>
    <t>Hydrochloric acid</t>
  </si>
  <si>
    <t>market for hydrochloric acid, without water, in 30% solution state</t>
  </si>
  <si>
    <t>128aebdb-14c9-5237-823c-f79142341b35_3ab60559-40d3-42e4-9cac-476a519098fa</t>
  </si>
  <si>
    <t>Price for pure HCl</t>
  </si>
  <si>
    <t>1003179200, fuming 37%, for analysis EMSURE® ACS,ISO,Reag. Ph Eur</t>
  </si>
  <si>
    <t>7647-01-0</t>
  </si>
  <si>
    <t>n-Butyl lithium</t>
  </si>
  <si>
    <t>sum of bellows materials for env. Footprint</t>
  </si>
  <si>
    <t>Scenario 3</t>
  </si>
  <si>
    <t>Price for pure nBuLi</t>
  </si>
  <si>
    <t>230707-8L, 2.5 M in hexanes</t>
  </si>
  <si>
    <t>109-72-8</t>
  </si>
  <si>
    <t>market for methyl iodide</t>
  </si>
  <si>
    <t>118cef6b-e835-5ff5-8236-6fbe845ba170_1c38240e-a51d-4a2a-ac56-93637c1076c4</t>
  </si>
  <si>
    <t>market for lithium</t>
  </si>
  <si>
    <t>52a3f6a2-e195-5675-909a-168a9730e6bc_787e03e9-2909-4799-9df3-010d7c3f3fbf</t>
  </si>
  <si>
    <t>Tripotassium phosphate</t>
  </si>
  <si>
    <t>market for sodium phosphate</t>
  </si>
  <si>
    <t>1f3a338f-ba82-5666-b814-c19f8f0cbbbc_2fc288b5-3414-4086-9658-84fd71ebf6ac</t>
  </si>
  <si>
    <t>P5629-10KG, reagent grade, ≥98%</t>
  </si>
  <si>
    <t>7778-53-2</t>
  </si>
  <si>
    <t>Silica gel</t>
  </si>
  <si>
    <t>market for activated silica</t>
  </si>
  <si>
    <t>1d3438c5-b6f0-584d-b25c-5107904c1fac_aef8dfb0-f2a7-4ce6-9559-afe913243fc3</t>
  </si>
  <si>
    <t>1115679025, for column chromatography (0.040-0.063 mm)</t>
  </si>
  <si>
    <t>112926-00-8</t>
  </si>
  <si>
    <t>Ethyl acetate</t>
  </si>
  <si>
    <t>market for ethyl acetate</t>
  </si>
  <si>
    <t>8531287f-567b-5f5e-9c51-59f5717a6be8_1a71f77c-edaa-4365-a192-f54ac538d033</t>
  </si>
  <si>
    <t>319902-200L, ACS reagent, ≥99.5%</t>
  </si>
  <si>
    <t>141-78-6</t>
  </si>
  <si>
    <t>Sodium chloride</t>
  </si>
  <si>
    <t>market for sodium chloride, powder</t>
  </si>
  <si>
    <t>3e7110e2-0649-5b89-ae71-1bc5afe99a04_edcfa83a-363a-4b2d-8d6a-612e32dfcdfc</t>
  </si>
  <si>
    <t>1064009103, EMPROVE® ESSENTIAL, Ph. Eur., BP, USP</t>
  </si>
  <si>
    <t>7647-14-5</t>
  </si>
  <si>
    <t>4-(Dimethylamino)pyridine</t>
  </si>
  <si>
    <t>107700-5KG, ReagentPlus®, ≥99%</t>
  </si>
  <si>
    <t>1122-58-3</t>
  </si>
  <si>
    <t>market for chlorine, gaseous</t>
  </si>
  <si>
    <t>3b11c94b-b87f-5a9a-b641-1647cb5aee8b_0992e479-07eb-4837-8aa3-d4411f675dad</t>
  </si>
  <si>
    <t>market for pyridine</t>
  </si>
  <si>
    <t>068d5e87-d6bf-53f1-8a3d-cf60d7a8e09e_c35d04b9-fc6e-4033-9144-af61a3c68526</t>
  </si>
  <si>
    <t>market for dimethylamine</t>
  </si>
  <si>
    <t>1690406c-0838-5cd8-8f6a-58f1e2f7bb43_409fed7c-d609-44ba-901b-045059c1100d</t>
  </si>
  <si>
    <t>Triethylamine</t>
  </si>
  <si>
    <t>market for triethyl amine</t>
  </si>
  <si>
    <t>73e1e525-1480-5616-a70e-a5fce54bae8d_af6f0e39-5637-4468-9e83-850d772bd206</t>
  </si>
  <si>
    <t>8083529040, for synthesis</t>
  </si>
  <si>
    <t>121-44-8</t>
  </si>
  <si>
    <t>Sodium sulfate</t>
  </si>
  <si>
    <t>market for sodium sulfate, anhydrite</t>
  </si>
  <si>
    <t>71fb87c3-1097-556d-8827-f10f28135e2b_2cfef82e-cb0d-4864-8163-9651fc6c25eb</t>
  </si>
  <si>
    <t>746363-25KG, anhydrous, free-flowing, Redi-Dri™, ACS reagent, ≥99%</t>
  </si>
  <si>
    <t>7757-82-6</t>
  </si>
  <si>
    <t>Dichloromethane</t>
  </si>
  <si>
    <t>market for dichloromethane</t>
  </si>
  <si>
    <t>94ff8fc2-982f-5956-aa79-b8f4f5de305b_c1fd4059-c24f-4e05-b3f5-82651ec0dbfa</t>
  </si>
  <si>
    <t>1060509190, for analysis EMSURE® ACS,ISO,Reag. Ph Eur</t>
  </si>
  <si>
    <t>75-09-2</t>
  </si>
  <si>
    <t>Aluminium oxide</t>
  </si>
  <si>
    <t>market for aluminium oxide, non-metallurgical</t>
  </si>
  <si>
    <t>61198d66-25b8-54b6-8c64-93e00ab3866d_96f36f31-8f6a-48f8-921f-1d781b7a545f</t>
  </si>
  <si>
    <t>199443-20KG, activated, basic, Brockmann I</t>
  </si>
  <si>
    <t>1344-28-1</t>
  </si>
  <si>
    <t>p-Toluenesulfonic acid monohydrate</t>
  </si>
  <si>
    <t>market for naphthalene sulfonic acid</t>
  </si>
  <si>
    <t>a76eb288-754e-5a01-a3cb-5a573e4615cf_08342471-1d67-4cb8-b89a-e7f686900079</t>
  </si>
  <si>
    <t>T35920-15KG, ReagentPlus®, ≥98%</t>
  </si>
  <si>
    <t>203-180-0</t>
  </si>
  <si>
    <t>Toluene, PhMe</t>
  </si>
  <si>
    <t>market for toluene, liquid</t>
  </si>
  <si>
    <t>9ec1af2a-e729-5443-bb4e-b428985cacf1_7856dace-7366-43e2-9f81-83d63e579efc</t>
  </si>
  <si>
    <t>179418-200L, ACS reagent, ≥99.5%</t>
  </si>
  <si>
    <t>108-88-3</t>
  </si>
  <si>
    <t>Silica sand (Celite)</t>
  </si>
  <si>
    <t>market for silica sand</t>
  </si>
  <si>
    <t>c39f6308-b683-5d84-8392-48cd9ee731b0_c4842286-21e6-4142-bc35-f2c36f1d68a2</t>
  </si>
  <si>
    <t>419931-25KG, Celite® 545</t>
  </si>
  <si>
    <t>68855-54-9</t>
  </si>
  <si>
    <t>Acetone</t>
  </si>
  <si>
    <t>market for acetone, liquid</t>
  </si>
  <si>
    <t>6efb96fb-1a22-5504-9385-450b0b5658b2_15e08bcb-75e0-4f45-ab47-d6ddff721ebc</t>
  </si>
  <si>
    <t xml:space="preserve">179124-200L, </t>
  </si>
  <si>
    <t>67-64-1</t>
  </si>
  <si>
    <t>Iron(III) chloride</t>
  </si>
  <si>
    <t>market for iron(III) chloride, without water, in 40% solution state</t>
  </si>
  <si>
    <t>a2440cd6-fb9a-5cfb-8fcd-db91feb68660_51202bed-5f41-4b96-a788-9f6649dcb3c8</t>
  </si>
  <si>
    <t>157740-2.5KG, reagent grade, 97%</t>
  </si>
  <si>
    <t>7705-08-0</t>
  </si>
  <si>
    <t>Methylmagnesium chloride</t>
  </si>
  <si>
    <t>Price for pure MeMgCl</t>
  </si>
  <si>
    <t>189901-8L, 3.0 M in THF</t>
  </si>
  <si>
    <t>676-58-4</t>
  </si>
  <si>
    <t>market for methylchloride</t>
  </si>
  <si>
    <t>e3d476a3-3323-5520-81d1-da29efadf106_07a9af51-381d-46b0-8ee1-1a494950a39a</t>
  </si>
  <si>
    <t>market for magnesium</t>
  </si>
  <si>
    <t>a849f6f6-dd9e-5349-9aff-fe7b5393d009_1d344632-354d-4d3f-9f6c-da038a3bd491</t>
  </si>
  <si>
    <t>Pentane</t>
  </si>
  <si>
    <t>market for pentane</t>
  </si>
  <si>
    <t>33edb65d-3de6-58a5-9f09-155fb910827d_a300dfb2-454a-4bb1-aabc-257cc84994c3</t>
  </si>
  <si>
    <t>158941-18L-CS, reagent grade, 98%</t>
  </si>
  <si>
    <t>109-66-0</t>
  </si>
  <si>
    <t>Tricyclohexylphosphine</t>
  </si>
  <si>
    <t>market for solvent, organic</t>
  </si>
  <si>
    <t>Scenario 4</t>
  </si>
  <si>
    <t>8ffe142c-26b7-5984-805f-b21e828f3d0d_c6c77fb4-9850-4849-be9e-71fc9656bc03</t>
  </si>
  <si>
    <t>261971-250G</t>
  </si>
  <si>
    <t>2622-14-2</t>
  </si>
  <si>
    <t>Triisopropylborate</t>
  </si>
  <si>
    <t>market for trimethyl borate</t>
  </si>
  <si>
    <t>9382fc86-ac66-5b23-93f9-4187f0387241_73ba2ae4-7316-43af-86f5-89675d660f40</t>
  </si>
  <si>
    <t>197335-2KG, ≥98%</t>
  </si>
  <si>
    <t>5419-55-6</t>
  </si>
  <si>
    <t>Succinic anhydride</t>
  </si>
  <si>
    <t>average of bellows materials</t>
  </si>
  <si>
    <t>8006839050, for synthesis</t>
  </si>
  <si>
    <t>108-30-5</t>
  </si>
  <si>
    <t>market for succinic acid</t>
  </si>
  <si>
    <t>df414346-bcf8-556b-9155-5112f32122c0_c0c2439d-115d-5846-b0dc-7fc716f3862e</t>
  </si>
  <si>
    <t>market for maleic anhydride</t>
  </si>
  <si>
    <t>2cdb9cca-9d7a-50a9-9ff7-d168c6f8ab3b_4c2b6470-79f6-40e4-b6c0-08a769c9ab04</t>
  </si>
  <si>
    <t>MPEG 750</t>
  </si>
  <si>
    <t>market for non-ionic surfactant</t>
  </si>
  <si>
    <t>bef1e2ff-86ff-5368-9aae-dd21c1138248_3fc068d9-71cf-5f55-8e15-1675bbc38caf</t>
  </si>
  <si>
    <t>unk</t>
  </si>
  <si>
    <t>202495-500G, average Mn 750</t>
  </si>
  <si>
    <t>9004-74-4</t>
  </si>
  <si>
    <t>Sodium hydroxide</t>
  </si>
  <si>
    <t>market for sodium hydroxide, without water, in 50% solution state</t>
  </si>
  <si>
    <t>b84f5014-de3c-5aab-9bb2-f5596b330018_61396bcb-bf35-411a-a6a6-8543ccef83e8</t>
  </si>
  <si>
    <t>221465-50KG, ACS reagent, ≥97.0%, pellets</t>
  </si>
  <si>
    <t>1310-73-2</t>
  </si>
  <si>
    <t>2-Bromochlorobenzene</t>
  </si>
  <si>
    <t>B60401-100G, 99%</t>
  </si>
  <si>
    <t>694-80-4</t>
  </si>
  <si>
    <t>market for bromine</t>
  </si>
  <si>
    <t>3b3ff70a-0f35-5f1c-879e-018d7b38b626_c16db903-a356-4c17-9775-1ce1c4aa4e0b</t>
  </si>
  <si>
    <t>market for monochlorobenzene</t>
  </si>
  <si>
    <t>aea9642c-5006-5c5d-aa7a-df632280489b_0f04185b-5bd5-47c6-b259-c101f5ff47b5</t>
  </si>
  <si>
    <t>1.3-Dimethoxybenzene</t>
  </si>
  <si>
    <t>W238503-10KG-K, ≥98%, FG</t>
  </si>
  <si>
    <t>151-10-0</t>
  </si>
  <si>
    <t>market for resorcinol</t>
  </si>
  <si>
    <t>2fd69980-ce33-58ce-924a-5164322dd622_0848beac-bbcb-4791-b34a-c721d9a3a3fd</t>
  </si>
  <si>
    <t>market for dimethyl sulfate</t>
  </si>
  <si>
    <t>c8e7757a-bb60-5af4-a443-9f31bd58e2ba_5b808359-1aed-4a46-aba5-993226763791</t>
  </si>
  <si>
    <t>Chlorodicyclohexylphosphine</t>
  </si>
  <si>
    <t>481408-5G, 97%</t>
  </si>
  <si>
    <t>16523-54-9</t>
  </si>
  <si>
    <t>market for cyclohexane</t>
  </si>
  <si>
    <t>920dbf93-28a4-5ddf-93de-5877f1442f41_faff01b2-d18a-4432-a850-a9e54cc64e7a</t>
  </si>
  <si>
    <t>market for phosphorus trichloride</t>
  </si>
  <si>
    <t>41b3f041-dfbb-5df8-b93c-65ae55d11c37_f83172e9-3aac-50f1-965f-8eae38b5fea5</t>
  </si>
  <si>
    <t>3-Bromothiophene</t>
  </si>
  <si>
    <t xml:space="preserve">106224-100G, 97% </t>
  </si>
  <si>
    <t>872-31-1</t>
  </si>
  <si>
    <t>market for butane</t>
  </si>
  <si>
    <t>d7c090a7-8844-5e54-ad02-ff5e250dbe54_aaa1fb85-4e0e-426e-808a-35987bd8d486</t>
  </si>
  <si>
    <t>market for sulfur</t>
  </si>
  <si>
    <t>55d9b01f-18f1-5d1d-a841-973075319cca_fe8e025f-14c8-4abd-86df-1797ab26d3db</t>
  </si>
  <si>
    <t>5-Bromopyrimidine</t>
  </si>
  <si>
    <t>219142-25G, 97%</t>
  </si>
  <si>
    <t>4595-59-9</t>
  </si>
  <si>
    <t>market for diazine-compound</t>
  </si>
  <si>
    <t>bf4cc76f-85dd-5bbd-9e7c-e9e41053c033_99a11618-31ec-49b6-afe6-4bb57c1c5d9b</t>
  </si>
  <si>
    <r>
      <rPr>
        <sz val="10"/>
        <rFont val="Arial"/>
        <family val="2"/>
      </rPr>
      <t>Tocopherol</t>
    </r>
    <r>
      <rPr>
        <b/>
        <sz val="10"/>
        <color theme="1"/>
        <rFont val="Arial"/>
        <family val="2"/>
      </rPr>
      <t xml:space="preserve">
</t>
    </r>
  </si>
  <si>
    <t>5008789024, dry powder, EMPROVE® ESSENTIAL, Ph. Eur., BP</t>
  </si>
  <si>
    <t>10191-41-0</t>
  </si>
  <si>
    <t>market for ethylene oxide</t>
  </si>
  <si>
    <t>f37305f2-09f7-56da-ba0c-358cf4ebcdf1_48396be2-470c-4a6a-b858-bec336a26b38</t>
  </si>
  <si>
    <t>market for butene, mixed</t>
  </si>
  <si>
    <t>4756644d-81b0-59a9-900f-cc2c7ad20dab_8c1de2fe-b584-49b7-9b96-d8c50ed152c4</t>
  </si>
  <si>
    <t>market for formaldehyde</t>
  </si>
  <si>
    <t>911a57f1-ac36-586c-90c9-bc5846bceea7_ab2d6d49-c4a9-48b1-bddc-0ccb6b84e022</t>
  </si>
  <si>
    <t>market for acetylene</t>
  </si>
  <si>
    <t>41e1ccdd-276e-528d-8eb5-318fff387f1e_ac271101-169f-43d6-913e-624d1a1b6683</t>
  </si>
  <si>
    <t>market for trichloroborane</t>
  </si>
  <si>
    <t>89e32c2d-47ce-5d4b-85f3-716bc25e8eec_2ed5aaa9-5c79-4693-b26b-b2532b82d7b7</t>
  </si>
  <si>
    <t>market for ammonia, anhydrous, liquid</t>
  </si>
  <si>
    <t>58c7b066-abed-5c76-86e7-297f2533a0b7_06b8d05b-e1e6-427b-929c-bb55e84e7c08</t>
  </si>
  <si>
    <t>market for formic acid</t>
  </si>
  <si>
    <t>87836424-42b4-5c8a-b917-a2de386ebe29_118a9202-6b68-44aa-82b5-2c2bf5bc02cf</t>
  </si>
  <si>
    <t>market for methyl ethyl ketone</t>
  </si>
  <si>
    <t>f290a36e-a79f-527f-8347-e3f00e1eac30_86e1bf02-e86a-479b-9051-710271dbd745</t>
  </si>
  <si>
    <t>market for ethylene carbonate</t>
  </si>
  <si>
    <t>befd0cc8-88b8-5c92-af3b-54859f7c757e_2974c2fd-d35b-4d8b-9919-6e3996ba2674</t>
  </si>
  <si>
    <t>market for hydrogen, liquid</t>
  </si>
  <si>
    <t>2fca9c87-ec8a-55e8-b198-ee165ebfcb4c_8d78a0dc-1489-48c1-8bc4-7c120f318216</t>
  </si>
  <si>
    <t>market for hydroquinone</t>
  </si>
  <si>
    <t>e1557c0d-2fcf-52a5-aab7-18b66dc2150e_c918095d-30ff-4e4c-9243-7e69ee090cf3</t>
  </si>
  <si>
    <r>
      <rPr>
        <u/>
        <sz val="8"/>
        <color theme="1" tint="0.499984740745262"/>
        <rFont val="Arial"/>
        <family val="2"/>
      </rPr>
      <t>Liquids</t>
    </r>
    <r>
      <rPr>
        <sz val="8"/>
        <color theme="1" tint="0.499984740745262"/>
        <rFont val="Arial"/>
        <family val="2"/>
      </rPr>
      <t>: Treatment of spent solvent mixture, hazardous waste incineration (RoW) 
UUID: 07fe2f04-3b62-575f-8920-61b3b6ed6390_cfa1d213-eeff-41a8-8744-7907cc7c4c7b</t>
    </r>
  </si>
  <si>
    <t>SUM</t>
  </si>
  <si>
    <t xml:space="preserve">      SUM - Reaction in H2O  =</t>
  </si>
  <si>
    <t xml:space="preserve">      SUM - ONLY TPGS Surfactant =</t>
  </si>
  <si>
    <r>
      <rPr>
        <u/>
        <sz val="8"/>
        <color theme="1" tint="0.499984740745262"/>
        <rFont val="Arial"/>
        <family val="2"/>
      </rPr>
      <t>Liquids (H2O)</t>
    </r>
    <r>
      <rPr>
        <sz val="8"/>
        <color theme="1" tint="0.499984740745262"/>
        <rFont val="Arial"/>
        <family val="2"/>
      </rPr>
      <t>: 0.628 kg according to Chimia 73 (2019) 730–736.</t>
    </r>
  </si>
  <si>
    <t>cPMI in calculation (sum)</t>
  </si>
  <si>
    <r>
      <rPr>
        <u/>
        <sz val="8"/>
        <color theme="1" tint="0.499984740745262"/>
        <rFont val="Arial"/>
        <family val="2"/>
      </rPr>
      <t>Solids</t>
    </r>
    <r>
      <rPr>
        <sz val="8"/>
        <color theme="1" tint="0.499984740745262"/>
        <rFont val="Arial"/>
        <family val="2"/>
      </rPr>
      <t>: Treatment of hazardous waste, hazardous waste incineration (RoW) 
UUID: 9c0a0d94-8005-5107-920e-66d920fe416d_e5208079-1561-4537-a1f8-863db2702d0f</t>
    </r>
  </si>
  <si>
    <t>cPMI in paper</t>
  </si>
  <si>
    <t>Figure 2 (Incineration and waste treatments not included in price)</t>
  </si>
  <si>
    <t>Ni-Cat. Reaction</t>
  </si>
  <si>
    <t>Reaction using Pd-nanocat.</t>
  </si>
  <si>
    <t xml:space="preserve">   Reagents and Materials</t>
  </si>
  <si>
    <t>Coupling Partners</t>
  </si>
  <si>
    <t>H2O</t>
  </si>
  <si>
    <t>Metals</t>
  </si>
  <si>
    <t>Total</t>
  </si>
  <si>
    <t>Figure 6 (Relative spider diagram of enitre reaction including general coefficient for incineration included in climate change)</t>
  </si>
  <si>
    <t>Acidification</t>
  </si>
  <si>
    <t>Climate Change (Prod.)</t>
  </si>
  <si>
    <t>Climate Change (Inc.)</t>
  </si>
  <si>
    <t>Climate Change (Tot.)</t>
  </si>
  <si>
    <t>EcoTox Freshwater</t>
  </si>
  <si>
    <t>Fossil Resources</t>
  </si>
  <si>
    <t>Eutroph. Freshwater</t>
  </si>
  <si>
    <t>Eutroph. Marine</t>
  </si>
  <si>
    <t>Eutroph. Terr.</t>
  </si>
  <si>
    <t>Human Tox. (carc.)</t>
  </si>
  <si>
    <t>Human Tox. (non-carc.)</t>
  </si>
  <si>
    <t>Ionizing Rad.</t>
  </si>
  <si>
    <t>Land Use</t>
  </si>
  <si>
    <t>Mineral and Metal Resources</t>
  </si>
  <si>
    <t>Ozone Depletion</t>
  </si>
  <si>
    <t>Particulate Matter</t>
  </si>
  <si>
    <t>Ozone Formation</t>
  </si>
  <si>
    <t>Water Resources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</si>
</sst>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
    <numFmt numFmtId="165" formatCode="0.0"/>
    <numFmt numFmtId="166" formatCode="0.0%"/>
    <numFmt numFmtId="167" formatCode="0;\-0;;@"/>
    <numFmt numFmtId="168" formatCode="0.0000"/>
    <numFmt numFmtId="169" formatCode="0_ ;\-0\ "/>
    <numFmt numFmtId="170" formatCode="0.0000000000"/>
    <numFmt numFmtId="171" formatCode="0.000000"/>
    <numFmt numFmtId="172" formatCode="0.00000"/>
    <numFmt numFmtId="173" formatCode="_ [$USD]\ * #,##0_ ;_ [$USD]\ * \-#,##0_ ;_ [$USD]\ * &quot;-&quot;_ ;_ @_ "/>
  </numFmts>
  <fonts count="77" x14ac:knownFonts="1">
    <font>
      <sz val="10"/>
      <name val="Arial"/>
      <family val="2"/>
    </font>
    <font>
      <sz val="10"/>
      <color theme="1"/>
      <name val="Arial"/>
      <family val="2"/>
    </font>
    <font>
      <sz val="10"/>
      <color theme="1"/>
      <name val="Arial"/>
      <family val="2"/>
    </font>
    <font>
      <sz val="10"/>
      <name val="Arial"/>
      <family val="2"/>
    </font>
    <font>
      <b/>
      <sz val="12"/>
      <name val="Arial"/>
      <family val="2"/>
    </font>
    <font>
      <b/>
      <sz val="14"/>
      <color indexed="10"/>
      <name val="Arial"/>
      <family val="2"/>
    </font>
    <font>
      <b/>
      <sz val="16"/>
      <name val="Arial"/>
      <family val="2"/>
    </font>
    <font>
      <b/>
      <sz val="10"/>
      <name val="Arial"/>
      <family val="2"/>
    </font>
    <font>
      <b/>
      <sz val="14"/>
      <color indexed="12"/>
      <name val="Arial"/>
      <family val="2"/>
    </font>
    <font>
      <b/>
      <sz val="11"/>
      <name val="Arial"/>
      <family val="2"/>
    </font>
    <font>
      <sz val="10"/>
      <color indexed="10"/>
      <name val="Arial"/>
      <family val="2"/>
    </font>
    <font>
      <sz val="10"/>
      <color indexed="30"/>
      <name val="Arial"/>
      <family val="2"/>
    </font>
    <font>
      <u/>
      <sz val="10"/>
      <color indexed="12"/>
      <name val="Arial"/>
      <family val="2"/>
    </font>
    <font>
      <b/>
      <sz val="10"/>
      <color indexed="30"/>
      <name val="Arial"/>
      <family val="2"/>
    </font>
    <font>
      <sz val="11"/>
      <name val="Arial"/>
      <family val="2"/>
    </font>
    <font>
      <b/>
      <sz val="14"/>
      <name val="Arial"/>
      <family val="2"/>
    </font>
    <font>
      <sz val="10"/>
      <color indexed="12"/>
      <name val="Arial"/>
      <family val="2"/>
    </font>
    <font>
      <sz val="8"/>
      <name val="Helv"/>
    </font>
    <font>
      <sz val="11"/>
      <color theme="1"/>
      <name val="Arial"/>
      <family val="2"/>
    </font>
    <font>
      <sz val="8"/>
      <name val="Arial"/>
      <family val="2"/>
    </font>
    <font>
      <u/>
      <sz val="7.5"/>
      <color indexed="12"/>
      <name val="Arial"/>
      <family val="2"/>
    </font>
    <font>
      <b/>
      <sz val="14"/>
      <color theme="0"/>
      <name val="Arial"/>
      <family val="2"/>
    </font>
    <font>
      <b/>
      <sz val="5.5"/>
      <name val="Arial"/>
      <family val="2"/>
    </font>
    <font>
      <b/>
      <sz val="8"/>
      <name val="Arial"/>
      <family val="2"/>
    </font>
    <font>
      <b/>
      <vertAlign val="superscript"/>
      <sz val="10"/>
      <name val="Arial"/>
      <family val="2"/>
    </font>
    <font>
      <b/>
      <sz val="20"/>
      <color rgb="FF006699"/>
      <name val="Arial"/>
      <family val="2"/>
    </font>
    <font>
      <b/>
      <sz val="10"/>
      <color theme="0"/>
      <name val="Arial"/>
      <family val="2"/>
    </font>
    <font>
      <b/>
      <sz val="11"/>
      <color theme="0"/>
      <name val="Arial"/>
      <family val="2"/>
    </font>
    <font>
      <b/>
      <sz val="8"/>
      <color rgb="FFFF0000"/>
      <name val="Arial"/>
      <family val="2"/>
    </font>
    <font>
      <b/>
      <sz val="20"/>
      <color theme="1" tint="0.34998626667073579"/>
      <name val="Arial"/>
      <family val="2"/>
    </font>
    <font>
      <sz val="10"/>
      <color theme="1" tint="0.34998626667073579"/>
      <name val="Arial"/>
      <family val="2"/>
    </font>
    <font>
      <b/>
      <sz val="9"/>
      <color indexed="81"/>
      <name val="Arial"/>
      <family val="2"/>
    </font>
    <font>
      <sz val="9"/>
      <color indexed="81"/>
      <name val="Arial"/>
      <family val="2"/>
    </font>
    <font>
      <sz val="10"/>
      <color indexed="81"/>
      <name val="Arial"/>
      <family val="2"/>
    </font>
    <font>
      <b/>
      <sz val="10"/>
      <color indexed="81"/>
      <name val="Arial"/>
      <family val="2"/>
    </font>
    <font>
      <b/>
      <sz val="8"/>
      <color indexed="81"/>
      <name val="Arial"/>
      <family val="2"/>
    </font>
    <font>
      <b/>
      <sz val="8.5"/>
      <color indexed="81"/>
      <name val="Arial"/>
      <family val="2"/>
    </font>
    <font>
      <b/>
      <sz val="6"/>
      <color indexed="81"/>
      <name val="Arial"/>
      <family val="2"/>
    </font>
    <font>
      <b/>
      <sz val="3"/>
      <color indexed="81"/>
      <name val="Arial"/>
      <family val="2"/>
    </font>
    <font>
      <sz val="9"/>
      <name val="Arial"/>
      <family val="2"/>
    </font>
    <font>
      <sz val="8.5"/>
      <name val="Arial"/>
      <family val="2"/>
    </font>
    <font>
      <b/>
      <sz val="12"/>
      <color theme="0"/>
      <name val="Arial"/>
      <family val="2"/>
    </font>
    <font>
      <sz val="12"/>
      <color theme="0"/>
      <name val="Arial"/>
      <family val="2"/>
    </font>
    <font>
      <b/>
      <sz val="9"/>
      <name val="Arial"/>
      <family val="2"/>
    </font>
    <font>
      <b/>
      <sz val="8"/>
      <color theme="1"/>
      <name val="Arial"/>
      <family val="2"/>
    </font>
    <font>
      <b/>
      <u/>
      <sz val="10"/>
      <name val="Arial"/>
      <family val="2"/>
    </font>
    <font>
      <b/>
      <sz val="10"/>
      <color rgb="FFFF0066"/>
      <name val="Arial"/>
      <family val="2"/>
    </font>
    <font>
      <sz val="6"/>
      <color theme="1"/>
      <name val="Arial"/>
      <family val="2"/>
    </font>
    <font>
      <sz val="10"/>
      <color theme="0"/>
      <name val="Arial"/>
      <family val="2"/>
    </font>
    <font>
      <sz val="11"/>
      <color theme="0"/>
      <name val="Arial"/>
      <family val="2"/>
    </font>
    <font>
      <sz val="10"/>
      <color rgb="FFFF0000"/>
      <name val="Arial"/>
      <family val="2"/>
    </font>
    <font>
      <sz val="12"/>
      <name val="Impact"/>
      <family val="2"/>
    </font>
    <font>
      <sz val="9"/>
      <color theme="0" tint="-0.499984740745262"/>
      <name val="Arial"/>
      <family val="2"/>
    </font>
    <font>
      <b/>
      <sz val="10"/>
      <color theme="0" tint="-0.499984740745262"/>
      <name val="Arial"/>
      <family val="2"/>
    </font>
    <font>
      <sz val="9"/>
      <color rgb="FFFF0000"/>
      <name val="Arial"/>
      <family val="2"/>
    </font>
    <font>
      <b/>
      <sz val="12"/>
      <color rgb="FF006699"/>
      <name val="Arial"/>
      <family val="2"/>
    </font>
    <font>
      <sz val="9"/>
      <color indexed="30"/>
      <name val="Arial"/>
      <family val="2"/>
    </font>
    <font>
      <sz val="9"/>
      <color indexed="12"/>
      <name val="Arial"/>
      <family val="2"/>
    </font>
    <font>
      <b/>
      <sz val="9"/>
      <color indexed="30"/>
      <name val="Arial"/>
      <family val="2"/>
    </font>
    <font>
      <b/>
      <sz val="10"/>
      <color theme="1"/>
      <name val="Arial"/>
      <family val="2"/>
    </font>
    <font>
      <b/>
      <sz val="9"/>
      <color rgb="FF000000"/>
      <name val="Arial"/>
      <family val="2"/>
    </font>
    <font>
      <vertAlign val="superscript"/>
      <sz val="10"/>
      <color theme="0"/>
      <name val="Arial"/>
      <family val="2"/>
    </font>
    <font>
      <b/>
      <vertAlign val="superscript"/>
      <sz val="10"/>
      <color theme="0"/>
      <name val="Arial"/>
      <family val="2"/>
    </font>
    <font>
      <sz val="8"/>
      <color theme="1"/>
      <name val="Arial"/>
      <family val="2"/>
    </font>
    <font>
      <b/>
      <sz val="8"/>
      <color theme="0" tint="-0.499984740745262"/>
      <name val="Arial"/>
      <family val="2"/>
    </font>
    <font>
      <sz val="6"/>
      <name val="Arial"/>
      <family val="2"/>
    </font>
    <font>
      <sz val="7"/>
      <color theme="1"/>
      <name val="Arial"/>
      <family val="2"/>
    </font>
    <font>
      <sz val="10"/>
      <color theme="0" tint="-0.499984740745262"/>
      <name val="Arial"/>
      <family val="2"/>
    </font>
    <font>
      <sz val="10"/>
      <color theme="1" tint="0.499984740745262"/>
      <name val="Arial"/>
      <family val="2"/>
    </font>
    <font>
      <sz val="7"/>
      <color rgb="FF000000"/>
      <name val="Lato"/>
      <family val="2"/>
    </font>
    <font>
      <sz val="8"/>
      <color rgb="FFF8696B"/>
      <name val="Arial"/>
      <family val="2"/>
    </font>
    <font>
      <sz val="6"/>
      <color theme="1" tint="0.499984740745262"/>
      <name val="Arial"/>
      <family val="2"/>
    </font>
    <font>
      <sz val="8"/>
      <color theme="1" tint="0.499984740745262"/>
      <name val="Arial"/>
      <family val="2"/>
    </font>
    <font>
      <sz val="7"/>
      <name val="Arial"/>
      <family val="2"/>
    </font>
    <font>
      <sz val="12"/>
      <color rgb="FFBE3455"/>
      <name val="Arial"/>
      <family val="2"/>
    </font>
    <font>
      <b/>
      <sz val="6"/>
      <name val="Arial"/>
      <family val="2"/>
    </font>
    <font>
      <u/>
      <sz val="8"/>
      <color theme="1" tint="0.499984740745262"/>
      <name val="Arial"/>
      <family val="2"/>
    </font>
  </fonts>
  <fills count="27">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43"/>
        <bgColor indexed="64"/>
      </patternFill>
    </fill>
    <fill>
      <patternFill patternType="solid">
        <fgColor indexed="51"/>
        <bgColor indexed="64"/>
      </patternFill>
    </fill>
    <fill>
      <patternFill patternType="solid">
        <fgColor indexed="13"/>
        <bgColor indexed="64"/>
      </patternFill>
    </fill>
    <fill>
      <patternFill patternType="solid">
        <fgColor indexed="44"/>
        <bgColor indexed="64"/>
      </patternFill>
    </fill>
    <fill>
      <patternFill patternType="solid">
        <fgColor theme="0" tint="-4.9989318521683403E-2"/>
        <bgColor indexed="64"/>
      </patternFill>
    </fill>
    <fill>
      <patternFill patternType="solid">
        <fgColor rgb="FF006699"/>
        <bgColor indexed="64"/>
      </patternFill>
    </fill>
    <fill>
      <patternFill patternType="solid">
        <fgColor theme="0" tint="-0.249977111117893"/>
        <bgColor indexed="64"/>
      </patternFill>
    </fill>
    <fill>
      <patternFill patternType="solid">
        <fgColor rgb="FFFF9999"/>
        <bgColor indexed="64"/>
      </patternFill>
    </fill>
    <fill>
      <patternFill patternType="solid">
        <fgColor theme="1" tint="0.499984740745262"/>
        <bgColor indexed="64"/>
      </patternFill>
    </fill>
    <fill>
      <patternFill patternType="solid">
        <fgColor rgb="FFFFFF99"/>
        <bgColor indexed="64"/>
      </patternFill>
    </fill>
    <fill>
      <patternFill patternType="solid">
        <fgColor rgb="FFCCECFF"/>
        <bgColor indexed="64"/>
      </patternFill>
    </fill>
    <fill>
      <patternFill patternType="solid">
        <fgColor rgb="FFFFCCCC"/>
        <bgColor indexed="64"/>
      </patternFill>
    </fill>
    <fill>
      <patternFill patternType="solid">
        <fgColor rgb="FF009999"/>
        <bgColor indexed="64"/>
      </patternFill>
    </fill>
    <fill>
      <patternFill patternType="solid">
        <fgColor theme="0"/>
        <bgColor indexed="64"/>
      </patternFill>
    </fill>
    <fill>
      <patternFill patternType="solid">
        <fgColor rgb="FFFF7C80"/>
        <bgColor indexed="64"/>
      </patternFill>
    </fill>
    <fill>
      <patternFill patternType="solid">
        <fgColor rgb="FFBE3455"/>
        <bgColor indexed="64"/>
      </patternFill>
    </fill>
    <fill>
      <patternFill patternType="solid">
        <fgColor rgb="FF63BE7B"/>
        <bgColor indexed="64"/>
      </patternFill>
    </fill>
    <fill>
      <patternFill patternType="solid">
        <fgColor theme="0" tint="-0.14999847407452621"/>
        <bgColor indexed="64"/>
      </patternFill>
    </fill>
    <fill>
      <patternFill patternType="solid">
        <fgColor rgb="FF93A8A0"/>
        <bgColor indexed="64"/>
      </patternFill>
    </fill>
    <fill>
      <patternFill patternType="solid">
        <fgColor theme="6" tint="0.59999389629810485"/>
        <bgColor indexed="64"/>
      </patternFill>
    </fill>
    <fill>
      <patternFill patternType="solid">
        <fgColor theme="2"/>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top style="thin">
        <color indexed="64"/>
      </top>
      <bottom/>
      <diagonal/>
    </border>
    <border>
      <left style="thick">
        <color indexed="64"/>
      </left>
      <right/>
      <top style="medium">
        <color indexed="64"/>
      </top>
      <bottom style="medium">
        <color indexed="64"/>
      </bottom>
      <diagonal/>
    </border>
    <border>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thick">
        <color indexed="64"/>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top/>
      <bottom/>
      <diagonal/>
    </border>
    <border>
      <left/>
      <right style="thick">
        <color indexed="64"/>
      </right>
      <top/>
      <bottom/>
      <diagonal/>
    </border>
    <border>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ck">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ck">
        <color indexed="64"/>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ck">
        <color indexed="64"/>
      </top>
      <bottom style="thin">
        <color indexed="64"/>
      </bottom>
      <diagonal/>
    </border>
    <border>
      <left/>
      <right style="medium">
        <color indexed="64"/>
      </right>
      <top style="thick">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ck">
        <color indexed="64"/>
      </left>
      <right style="thin">
        <color theme="0"/>
      </right>
      <top style="thin">
        <color theme="0"/>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s>
  <cellStyleXfs count="5">
    <xf numFmtId="0" fontId="0" fillId="0" borderId="0"/>
    <xf numFmtId="0" fontId="17" fillId="0" borderId="1"/>
    <xf numFmtId="0" fontId="18" fillId="0" borderId="0"/>
    <xf numFmtId="0" fontId="20" fillId="0" borderId="0" applyNumberFormat="0" applyFill="0" applyBorder="0" applyAlignment="0" applyProtection="0">
      <alignment vertical="top"/>
      <protection locked="0"/>
    </xf>
    <xf numFmtId="0" fontId="1" fillId="0" borderId="0"/>
  </cellStyleXfs>
  <cellXfs count="458">
    <xf numFmtId="0" fontId="0" fillId="0" borderId="0" xfId="0"/>
    <xf numFmtId="1" fontId="0" fillId="0" borderId="0" xfId="0" applyNumberFormat="1" applyAlignment="1">
      <alignment horizontal="center" vertical="center"/>
    </xf>
    <xf numFmtId="1" fontId="20" fillId="0" borderId="0" xfId="3" applyNumberFormat="1" applyAlignment="1" applyProtection="1">
      <alignment vertical="center"/>
    </xf>
    <xf numFmtId="0" fontId="20" fillId="0" borderId="0" xfId="3" applyFill="1" applyBorder="1" applyAlignment="1" applyProtection="1">
      <alignment horizontal="center" vertical="center"/>
    </xf>
    <xf numFmtId="1" fontId="41" fillId="18" borderId="0" xfId="0" applyNumberFormat="1" applyFont="1" applyFill="1" applyAlignment="1">
      <alignment horizontal="left" vertical="center"/>
    </xf>
    <xf numFmtId="1" fontId="26" fillId="18" borderId="0" xfId="0" applyNumberFormat="1" applyFont="1" applyFill="1" applyAlignment="1">
      <alignment horizontal="center" vertical="center"/>
    </xf>
    <xf numFmtId="1" fontId="42" fillId="18" borderId="0" xfId="0" applyNumberFormat="1" applyFont="1" applyFill="1" applyAlignment="1">
      <alignment vertical="center"/>
    </xf>
    <xf numFmtId="1" fontId="7" fillId="0" borderId="0" xfId="0" applyNumberFormat="1" applyFont="1" applyAlignment="1">
      <alignment horizontal="center" vertical="center"/>
    </xf>
    <xf numFmtId="1" fontId="0" fillId="0" borderId="0" xfId="0" applyNumberFormat="1" applyAlignment="1">
      <alignment vertical="center"/>
    </xf>
    <xf numFmtId="1" fontId="41" fillId="18" borderId="0" xfId="0" applyNumberFormat="1" applyFont="1" applyFill="1" applyAlignment="1">
      <alignment horizontal="center" vertical="center"/>
    </xf>
    <xf numFmtId="1" fontId="42" fillId="18" borderId="0" xfId="0" applyNumberFormat="1" applyFont="1" applyFill="1" applyAlignment="1">
      <alignment horizontal="center" vertical="center"/>
    </xf>
    <xf numFmtId="49" fontId="7" fillId="0" borderId="0" xfId="0" applyNumberFormat="1" applyFont="1" applyAlignment="1">
      <alignment horizontal="center" vertical="center"/>
    </xf>
    <xf numFmtId="49" fontId="0" fillId="0" borderId="0" xfId="0" applyNumberFormat="1" applyAlignment="1">
      <alignment horizontal="center" vertical="center"/>
    </xf>
    <xf numFmtId="49" fontId="0" fillId="0" borderId="0" xfId="0" applyNumberFormat="1" applyAlignment="1">
      <alignment vertical="center"/>
    </xf>
    <xf numFmtId="1" fontId="41" fillId="18" borderId="0" xfId="0" applyNumberFormat="1" applyFont="1" applyFill="1" applyAlignment="1">
      <alignment vertical="center"/>
    </xf>
    <xf numFmtId="1" fontId="7" fillId="0" borderId="0" xfId="0" applyNumberFormat="1" applyFont="1" applyAlignment="1">
      <alignment vertical="center"/>
    </xf>
    <xf numFmtId="1" fontId="44" fillId="0" borderId="0" xfId="0" applyNumberFormat="1" applyFont="1" applyAlignment="1">
      <alignment horizontal="center" vertical="center"/>
    </xf>
    <xf numFmtId="1" fontId="47" fillId="0" borderId="0" xfId="0" applyNumberFormat="1" applyFont="1" applyAlignment="1">
      <alignment horizontal="left" vertical="center"/>
    </xf>
    <xf numFmtId="1" fontId="0" fillId="0" borderId="0" xfId="0" applyNumberFormat="1" applyAlignment="1">
      <alignment horizontal="center" vertical="center" wrapText="1"/>
    </xf>
    <xf numFmtId="1" fontId="26" fillId="0" borderId="0" xfId="0" applyNumberFormat="1" applyFont="1" applyAlignment="1">
      <alignment horizontal="left" vertical="center"/>
    </xf>
    <xf numFmtId="1" fontId="39" fillId="0" borderId="0" xfId="0" applyNumberFormat="1" applyFont="1" applyAlignment="1">
      <alignment horizontal="left" vertical="center"/>
    </xf>
    <xf numFmtId="1" fontId="0" fillId="0" borderId="0" xfId="0" applyNumberFormat="1" applyAlignment="1">
      <alignment horizontal="left" vertical="center"/>
    </xf>
    <xf numFmtId="0" fontId="0" fillId="19" borderId="0" xfId="0" applyFill="1" applyProtection="1">
      <protection locked="0"/>
    </xf>
    <xf numFmtId="1" fontId="51" fillId="0" borderId="0" xfId="3" applyNumberFormat="1" applyFont="1" applyFill="1" applyBorder="1" applyAlignment="1" applyProtection="1">
      <alignment horizontal="center" vertical="center"/>
    </xf>
    <xf numFmtId="14" fontId="28" fillId="0" borderId="0" xfId="0" applyNumberFormat="1" applyFont="1" applyAlignment="1" applyProtection="1">
      <alignment horizontal="lef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5" fillId="0" borderId="0" xfId="0" applyFont="1" applyAlignment="1" applyProtection="1">
      <alignment vertical="center"/>
      <protection hidden="1"/>
    </xf>
    <xf numFmtId="0" fontId="15" fillId="2" borderId="2" xfId="0" applyFont="1" applyFill="1" applyBorder="1" applyAlignment="1">
      <alignment horizontal="left" vertical="center"/>
    </xf>
    <xf numFmtId="0" fontId="19" fillId="17" borderId="37" xfId="0" applyFont="1" applyFill="1" applyBorder="1" applyAlignment="1">
      <alignment horizontal="center" vertical="center"/>
    </xf>
    <xf numFmtId="0" fontId="7" fillId="17" borderId="31" xfId="0" applyFont="1" applyFill="1" applyBorder="1" applyAlignment="1">
      <alignment horizontal="center" vertical="center"/>
    </xf>
    <xf numFmtId="0" fontId="6" fillId="2" borderId="3" xfId="0" applyFont="1" applyFill="1" applyBorder="1" applyAlignment="1">
      <alignment vertical="center"/>
    </xf>
    <xf numFmtId="0" fontId="7" fillId="2" borderId="38" xfId="0" applyFont="1" applyFill="1" applyBorder="1" applyAlignment="1">
      <alignment horizontal="left" vertical="center"/>
    </xf>
    <xf numFmtId="0" fontId="6" fillId="2" borderId="38" xfId="0" applyFont="1" applyFill="1" applyBorder="1" applyAlignment="1">
      <alignment horizontal="left" vertical="center"/>
    </xf>
    <xf numFmtId="0" fontId="7" fillId="0" borderId="0" xfId="0" applyFont="1" applyAlignment="1">
      <alignment vertical="center"/>
    </xf>
    <xf numFmtId="0" fontId="8" fillId="0" borderId="0" xfId="0" applyFont="1" applyAlignment="1">
      <alignment horizontal="center" vertical="center"/>
    </xf>
    <xf numFmtId="0" fontId="0" fillId="0" borderId="0" xfId="0" applyAlignment="1">
      <alignment vertical="center"/>
    </xf>
    <xf numFmtId="0" fontId="11" fillId="0" borderId="19" xfId="0" applyFont="1" applyBorder="1" applyAlignment="1">
      <alignment horizontal="left" vertical="center"/>
    </xf>
    <xf numFmtId="0" fontId="9" fillId="0" borderId="1" xfId="0" applyFont="1" applyBorder="1" applyAlignment="1">
      <alignment horizontal="center" vertical="center"/>
    </xf>
    <xf numFmtId="0" fontId="9" fillId="0" borderId="5" xfId="0" applyFont="1" applyBorder="1" applyAlignment="1">
      <alignment horizontal="center" vertical="center"/>
    </xf>
    <xf numFmtId="0" fontId="7" fillId="0" borderId="6" xfId="0" applyFont="1" applyBorder="1" applyAlignment="1">
      <alignment vertical="center"/>
    </xf>
    <xf numFmtId="0" fontId="9" fillId="2" borderId="38" xfId="0" applyFont="1" applyFill="1" applyBorder="1" applyAlignment="1">
      <alignment horizontal="center" vertical="center"/>
    </xf>
    <xf numFmtId="0" fontId="10" fillId="0" borderId="0" xfId="0" applyFont="1" applyAlignment="1">
      <alignment horizontal="center" vertical="center"/>
    </xf>
    <xf numFmtId="164" fontId="0" fillId="0" borderId="4" xfId="0" applyNumberFormat="1" applyBorder="1" applyAlignment="1">
      <alignment horizontal="left" vertical="center"/>
    </xf>
    <xf numFmtId="2" fontId="56" fillId="0" borderId="1" xfId="0" applyNumberFormat="1" applyFont="1" applyBorder="1" applyAlignment="1">
      <alignment horizontal="center" vertical="center"/>
    </xf>
    <xf numFmtId="0" fontId="7" fillId="0" borderId="7" xfId="0" applyFont="1" applyBorder="1" applyAlignment="1">
      <alignment horizontal="center" vertical="center"/>
    </xf>
    <xf numFmtId="0" fontId="3" fillId="0" borderId="6" xfId="0" applyFont="1" applyBorder="1" applyAlignment="1">
      <alignment vertical="center"/>
    </xf>
    <xf numFmtId="0" fontId="3" fillId="10" borderId="0" xfId="0" applyFont="1" applyFill="1" applyAlignment="1">
      <alignment horizontal="center" vertical="center"/>
    </xf>
    <xf numFmtId="0" fontId="3" fillId="0" borderId="0" xfId="0" applyFont="1" applyAlignment="1">
      <alignment horizontal="center" vertical="center"/>
    </xf>
    <xf numFmtId="9" fontId="57" fillId="0" borderId="1" xfId="0" applyNumberFormat="1" applyFont="1" applyBorder="1" applyAlignment="1">
      <alignment horizontal="center" vertical="center"/>
    </xf>
    <xf numFmtId="0" fontId="12" fillId="0" borderId="0" xfId="0" applyFont="1" applyAlignment="1">
      <alignment horizontal="center" vertical="center"/>
    </xf>
    <xf numFmtId="164" fontId="7" fillId="0" borderId="4" xfId="0" applyNumberFormat="1" applyFont="1" applyBorder="1" applyAlignment="1">
      <alignment horizontal="left" vertical="center"/>
    </xf>
    <xf numFmtId="2" fontId="39" fillId="0" borderId="1" xfId="0" applyNumberFormat="1" applyFont="1" applyBorder="1" applyAlignment="1">
      <alignment horizontal="center" vertical="center"/>
    </xf>
    <xf numFmtId="0" fontId="7" fillId="0" borderId="0" xfId="0" applyFont="1" applyAlignment="1">
      <alignment horizontal="center" vertical="center"/>
    </xf>
    <xf numFmtId="164" fontId="13" fillId="4" borderId="4" xfId="0" applyNumberFormat="1" applyFont="1" applyFill="1" applyBorder="1" applyAlignment="1">
      <alignment horizontal="left" vertical="center"/>
    </xf>
    <xf numFmtId="166" fontId="58" fillId="4" borderId="1" xfId="0" applyNumberFormat="1" applyFont="1" applyFill="1" applyBorder="1" applyAlignment="1">
      <alignment horizontal="center" vertical="center"/>
    </xf>
    <xf numFmtId="0" fontId="14" fillId="4" borderId="5" xfId="0" applyFont="1" applyFill="1" applyBorder="1" applyAlignment="1">
      <alignment vertical="center"/>
    </xf>
    <xf numFmtId="0" fontId="14" fillId="0" borderId="6" xfId="0" applyFont="1" applyBorder="1" applyAlignment="1">
      <alignment vertical="center"/>
    </xf>
    <xf numFmtId="0" fontId="14" fillId="10" borderId="0" xfId="0" applyFont="1" applyFill="1" applyAlignment="1">
      <alignment horizontal="center" vertical="center"/>
    </xf>
    <xf numFmtId="0" fontId="3" fillId="0" borderId="8" xfId="0" applyFont="1" applyBorder="1" applyAlignment="1">
      <alignment vertical="center"/>
    </xf>
    <xf numFmtId="9" fontId="0" fillId="0" borderId="0" xfId="0" applyNumberFormat="1" applyAlignment="1">
      <alignment vertical="center"/>
    </xf>
    <xf numFmtId="0" fontId="7" fillId="5" borderId="9" xfId="0" applyFont="1" applyFill="1" applyBorder="1" applyAlignment="1">
      <alignment horizontal="left" vertical="center"/>
    </xf>
    <xf numFmtId="2" fontId="10" fillId="5" borderId="10" xfId="0" applyNumberFormat="1" applyFont="1" applyFill="1" applyBorder="1" applyAlignment="1">
      <alignment horizontal="center" vertical="center"/>
    </xf>
    <xf numFmtId="2" fontId="10" fillId="5" borderId="11" xfId="0" applyNumberFormat="1" applyFont="1" applyFill="1" applyBorder="1" applyAlignment="1">
      <alignment horizontal="center" vertical="center"/>
    </xf>
    <xf numFmtId="0" fontId="0" fillId="10" borderId="0" xfId="0" applyFill="1" applyAlignment="1">
      <alignment horizontal="center" vertical="center"/>
    </xf>
    <xf numFmtId="0" fontId="9" fillId="2" borderId="9" xfId="0" applyFont="1" applyFill="1" applyBorder="1" applyAlignment="1">
      <alignment horizontal="left" vertical="center"/>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vertical="center"/>
    </xf>
    <xf numFmtId="0" fontId="7" fillId="10" borderId="0" xfId="0" applyFont="1" applyFill="1" applyAlignment="1">
      <alignment horizontal="center" vertical="center"/>
    </xf>
    <xf numFmtId="0" fontId="7" fillId="6" borderId="15" xfId="0" applyFont="1" applyFill="1" applyBorder="1" applyAlignment="1">
      <alignment horizontal="left" vertical="center"/>
    </xf>
    <xf numFmtId="2" fontId="3" fillId="6" borderId="16" xfId="0" applyNumberFormat="1" applyFont="1" applyFill="1" applyBorder="1" applyAlignment="1">
      <alignment horizontal="center" vertical="center" wrapText="1"/>
    </xf>
    <xf numFmtId="0" fontId="7" fillId="6" borderId="17" xfId="0" applyFont="1" applyFill="1" applyBorder="1" applyAlignment="1">
      <alignment horizontal="center" vertical="center"/>
    </xf>
    <xf numFmtId="0" fontId="7" fillId="6" borderId="18" xfId="0" applyFont="1" applyFill="1" applyBorder="1" applyAlignment="1">
      <alignment vertical="center"/>
    </xf>
    <xf numFmtId="0" fontId="0" fillId="0" borderId="19" xfId="0" applyBorder="1" applyAlignment="1">
      <alignment horizontal="left" vertical="center"/>
    </xf>
    <xf numFmtId="2" fontId="11" fillId="0" borderId="20" xfId="0" applyNumberFormat="1" applyFont="1" applyBorder="1" applyAlignment="1">
      <alignment horizontal="center" vertical="center"/>
    </xf>
    <xf numFmtId="0" fontId="3" fillId="0" borderId="21" xfId="0" applyFont="1" applyBorder="1" applyAlignment="1">
      <alignment horizontal="center" vertical="center"/>
    </xf>
    <xf numFmtId="0" fontId="10" fillId="0" borderId="22" xfId="0" applyFont="1" applyBorder="1" applyAlignment="1">
      <alignment vertical="center"/>
    </xf>
    <xf numFmtId="168" fontId="7" fillId="0" borderId="38" xfId="0" applyNumberFormat="1" applyFont="1" applyBorder="1" applyAlignment="1">
      <alignment horizontal="center" vertical="center"/>
    </xf>
    <xf numFmtId="0" fontId="7" fillId="6" borderId="19" xfId="0" applyFont="1" applyFill="1" applyBorder="1" applyAlignment="1">
      <alignment horizontal="left" vertical="center"/>
    </xf>
    <xf numFmtId="2" fontId="7" fillId="6" borderId="20" xfId="0" applyNumberFormat="1" applyFont="1" applyFill="1" applyBorder="1" applyAlignment="1">
      <alignment horizontal="center" vertical="center"/>
    </xf>
    <xf numFmtId="0" fontId="3" fillId="6" borderId="21" xfId="0" applyFont="1" applyFill="1" applyBorder="1" applyAlignment="1">
      <alignment horizontal="center" vertical="center"/>
    </xf>
    <xf numFmtId="0" fontId="7" fillId="10" borderId="0" xfId="0" applyFont="1" applyFill="1" applyAlignment="1">
      <alignment vertical="center"/>
    </xf>
    <xf numFmtId="2" fontId="0" fillId="0" borderId="20" xfId="0" applyNumberFormat="1" applyBorder="1" applyAlignment="1">
      <alignment horizontal="center" vertical="center"/>
    </xf>
    <xf numFmtId="0" fontId="7" fillId="0" borderId="19" xfId="0" applyFont="1" applyBorder="1" applyAlignment="1">
      <alignment horizontal="left" vertical="center"/>
    </xf>
    <xf numFmtId="2" fontId="7" fillId="0" borderId="20" xfId="0" applyNumberFormat="1" applyFont="1" applyBorder="1" applyAlignment="1">
      <alignment horizontal="center" vertical="center"/>
    </xf>
    <xf numFmtId="0" fontId="7" fillId="7" borderId="19" xfId="0" applyFont="1" applyFill="1" applyBorder="1" applyAlignment="1">
      <alignment horizontal="left" vertical="center"/>
    </xf>
    <xf numFmtId="2" fontId="10" fillId="7" borderId="20" xfId="0" applyNumberFormat="1" applyFont="1" applyFill="1" applyBorder="1" applyAlignment="1">
      <alignment horizontal="center" vertical="center"/>
    </xf>
    <xf numFmtId="0" fontId="0" fillId="7" borderId="21" xfId="0" applyFill="1" applyBorder="1" applyAlignment="1">
      <alignment horizontal="center" vertical="center"/>
    </xf>
    <xf numFmtId="2" fontId="3" fillId="6" borderId="20" xfId="0" applyNumberFormat="1" applyFont="1" applyFill="1" applyBorder="1" applyAlignment="1">
      <alignment horizontal="center" vertical="center"/>
    </xf>
    <xf numFmtId="0" fontId="7" fillId="6" borderId="22" xfId="0" applyFont="1" applyFill="1" applyBorder="1" applyAlignment="1">
      <alignment vertical="center"/>
    </xf>
    <xf numFmtId="0" fontId="3" fillId="7" borderId="21" xfId="0" applyFont="1" applyFill="1" applyBorder="1" applyAlignment="1">
      <alignment horizontal="center" vertical="center"/>
    </xf>
    <xf numFmtId="0" fontId="7" fillId="5" borderId="23" xfId="0" applyFont="1" applyFill="1" applyBorder="1" applyAlignment="1">
      <alignment horizontal="left" vertical="center"/>
    </xf>
    <xf numFmtId="165" fontId="7" fillId="5" borderId="0" xfId="0" applyNumberFormat="1" applyFont="1" applyFill="1" applyAlignment="1">
      <alignment horizontal="center" vertical="center"/>
    </xf>
    <xf numFmtId="0" fontId="0" fillId="5" borderId="24" xfId="0" applyFill="1" applyBorder="1" applyAlignment="1">
      <alignment vertical="center"/>
    </xf>
    <xf numFmtId="0" fontId="7" fillId="3" borderId="15" xfId="0" applyFont="1" applyFill="1" applyBorder="1" applyAlignment="1">
      <alignment horizontal="left" vertical="center"/>
    </xf>
    <xf numFmtId="0" fontId="7" fillId="3" borderId="25" xfId="0" applyFont="1" applyFill="1" applyBorder="1" applyAlignment="1">
      <alignment vertical="center"/>
    </xf>
    <xf numFmtId="2" fontId="7" fillId="0" borderId="26" xfId="0" applyNumberFormat="1" applyFont="1" applyBorder="1" applyAlignment="1">
      <alignment horizontal="center" vertical="center"/>
    </xf>
    <xf numFmtId="0" fontId="7" fillId="0" borderId="22" xfId="0" applyFont="1" applyBorder="1" applyAlignment="1">
      <alignment vertical="center"/>
    </xf>
    <xf numFmtId="164" fontId="7" fillId="3" borderId="19" xfId="0" applyNumberFormat="1" applyFont="1" applyFill="1" applyBorder="1" applyAlignment="1">
      <alignment horizontal="left" vertical="center" wrapText="1"/>
    </xf>
    <xf numFmtId="164" fontId="7" fillId="3" borderId="6" xfId="0" applyNumberFormat="1" applyFont="1" applyFill="1" applyBorder="1" applyAlignment="1">
      <alignment vertical="center" wrapText="1"/>
    </xf>
    <xf numFmtId="2" fontId="7" fillId="0" borderId="5" xfId="0" applyNumberFormat="1" applyFont="1" applyBorder="1" applyAlignment="1">
      <alignment horizontal="center" vertical="center"/>
    </xf>
    <xf numFmtId="164" fontId="7" fillId="3" borderId="27" xfId="0" applyNumberFormat="1" applyFont="1" applyFill="1" applyBorder="1" applyAlignment="1">
      <alignment horizontal="left" vertical="center" wrapText="1"/>
    </xf>
    <xf numFmtId="164" fontId="7" fillId="3" borderId="8" xfId="0" applyNumberFormat="1" applyFont="1" applyFill="1" applyBorder="1" applyAlignment="1">
      <alignment vertical="center" wrapText="1"/>
    </xf>
    <xf numFmtId="2" fontId="7" fillId="0" borderId="28" xfId="0" applyNumberFormat="1" applyFont="1" applyBorder="1" applyAlignment="1">
      <alignment horizontal="center" vertical="center"/>
    </xf>
    <xf numFmtId="0" fontId="15" fillId="8" borderId="29" xfId="0" applyFont="1" applyFill="1" applyBorder="1" applyAlignment="1">
      <alignment horizontal="left" vertical="center"/>
    </xf>
    <xf numFmtId="0" fontId="15" fillId="8" borderId="30" xfId="0" applyFont="1" applyFill="1" applyBorder="1" applyAlignment="1">
      <alignment vertical="center"/>
    </xf>
    <xf numFmtId="168" fontId="7" fillId="8" borderId="31" xfId="0" applyNumberFormat="1" applyFont="1" applyFill="1" applyBorder="1" applyAlignment="1">
      <alignment horizontal="center" vertical="center"/>
    </xf>
    <xf numFmtId="0" fontId="7" fillId="10" borderId="49" xfId="0" applyFont="1" applyFill="1" applyBorder="1" applyAlignment="1">
      <alignment horizontal="left" vertical="center"/>
    </xf>
    <xf numFmtId="0" fontId="43" fillId="10" borderId="0" xfId="0" applyFont="1" applyFill="1" applyAlignment="1">
      <alignment horizontal="left" vertical="center"/>
    </xf>
    <xf numFmtId="0" fontId="7" fillId="10" borderId="0" xfId="0" applyFont="1" applyFill="1" applyAlignment="1">
      <alignment horizontal="left" vertical="center"/>
    </xf>
    <xf numFmtId="0" fontId="15" fillId="8" borderId="19" xfId="0" applyFont="1" applyFill="1" applyBorder="1" applyAlignment="1">
      <alignment horizontal="left" vertical="center"/>
    </xf>
    <xf numFmtId="0" fontId="15" fillId="8" borderId="32" xfId="0" applyFont="1" applyFill="1" applyBorder="1" applyAlignment="1">
      <alignment vertical="center"/>
    </xf>
    <xf numFmtId="168" fontId="7" fillId="8" borderId="5" xfId="0" applyNumberFormat="1" applyFont="1" applyFill="1" applyBorder="1" applyAlignment="1">
      <alignment horizontal="center" vertical="center"/>
    </xf>
    <xf numFmtId="0" fontId="15" fillId="8" borderId="27" xfId="0" applyFont="1" applyFill="1" applyBorder="1" applyAlignment="1">
      <alignment horizontal="left" vertical="center"/>
    </xf>
    <xf numFmtId="0" fontId="15" fillId="8" borderId="33" xfId="0" applyFont="1" applyFill="1" applyBorder="1" applyAlignment="1">
      <alignment vertical="center"/>
    </xf>
    <xf numFmtId="168" fontId="7" fillId="8" borderId="28" xfId="0" applyNumberFormat="1" applyFont="1" applyFill="1" applyBorder="1" applyAlignment="1">
      <alignment horizontal="center" vertical="center"/>
    </xf>
    <xf numFmtId="0" fontId="43" fillId="10" borderId="0" xfId="0" applyFont="1" applyFill="1" applyAlignment="1">
      <alignment horizontal="center" vertical="center"/>
    </xf>
    <xf numFmtId="0" fontId="0" fillId="0" borderId="0" xfId="0" applyAlignment="1">
      <alignment horizontal="center" vertical="center"/>
    </xf>
    <xf numFmtId="0" fontId="15" fillId="8" borderId="34" xfId="0" applyFont="1" applyFill="1" applyBorder="1" applyAlignment="1">
      <alignment vertical="center"/>
    </xf>
    <xf numFmtId="0" fontId="15" fillId="9" borderId="29" xfId="0" applyFont="1" applyFill="1" applyBorder="1" applyAlignment="1">
      <alignment horizontal="left" vertical="center"/>
    </xf>
    <xf numFmtId="0" fontId="15" fillId="9" borderId="30" xfId="0" applyFont="1" applyFill="1" applyBorder="1" applyAlignment="1">
      <alignment vertical="center"/>
    </xf>
    <xf numFmtId="168" fontId="7" fillId="9" borderId="31" xfId="0" applyNumberFormat="1" applyFont="1" applyFill="1" applyBorder="1" applyAlignment="1">
      <alignment horizontal="center" vertical="center"/>
    </xf>
    <xf numFmtId="0" fontId="15" fillId="9" borderId="19" xfId="0" applyFont="1" applyFill="1" applyBorder="1" applyAlignment="1">
      <alignment horizontal="left" vertical="center"/>
    </xf>
    <xf numFmtId="0" fontId="15" fillId="9" borderId="32" xfId="0" applyFont="1" applyFill="1" applyBorder="1" applyAlignment="1">
      <alignment vertical="center"/>
    </xf>
    <xf numFmtId="168" fontId="7" fillId="9" borderId="5" xfId="0" applyNumberFormat="1" applyFont="1" applyFill="1" applyBorder="1" applyAlignment="1">
      <alignment horizontal="center" vertical="center"/>
    </xf>
    <xf numFmtId="0" fontId="15" fillId="9" borderId="27" xfId="0" applyFont="1" applyFill="1" applyBorder="1" applyAlignment="1">
      <alignment horizontal="left" vertical="center"/>
    </xf>
    <xf numFmtId="0" fontId="15" fillId="9" borderId="33" xfId="0" applyFont="1" applyFill="1" applyBorder="1" applyAlignment="1">
      <alignment vertical="center"/>
    </xf>
    <xf numFmtId="168" fontId="7" fillId="9" borderId="28" xfId="0" applyNumberFormat="1" applyFont="1" applyFill="1" applyBorder="1" applyAlignment="1">
      <alignment horizontal="center" vertical="center"/>
    </xf>
    <xf numFmtId="0" fontId="15" fillId="9" borderId="35" xfId="0" applyFont="1" applyFill="1" applyBorder="1" applyAlignment="1">
      <alignment horizontal="left" vertical="center"/>
    </xf>
    <xf numFmtId="0" fontId="15" fillId="9" borderId="34" xfId="0" applyFont="1" applyFill="1" applyBorder="1" applyAlignment="1">
      <alignment vertical="center"/>
    </xf>
    <xf numFmtId="168" fontId="7" fillId="9" borderId="36" xfId="0" applyNumberFormat="1" applyFont="1" applyFill="1" applyBorder="1" applyAlignment="1">
      <alignment horizontal="center" vertical="center"/>
    </xf>
    <xf numFmtId="14" fontId="0" fillId="0" borderId="0" xfId="0" applyNumberFormat="1" applyAlignment="1">
      <alignment vertical="center"/>
    </xf>
    <xf numFmtId="0" fontId="39" fillId="0" borderId="42" xfId="0" applyFont="1" applyBorder="1" applyAlignment="1">
      <alignment horizontal="left" vertical="center"/>
    </xf>
    <xf numFmtId="0" fontId="39" fillId="0" borderId="42" xfId="0" applyFont="1" applyBorder="1" applyAlignment="1">
      <alignment horizontal="center" vertical="center"/>
    </xf>
    <xf numFmtId="0" fontId="39" fillId="0" borderId="0" xfId="0" applyFont="1" applyAlignment="1">
      <alignment horizontal="left" vertical="center"/>
    </xf>
    <xf numFmtId="0" fontId="39" fillId="0" borderId="0" xfId="0" applyFont="1" applyAlignment="1">
      <alignment horizontal="center" vertical="center"/>
    </xf>
    <xf numFmtId="49" fontId="19" fillId="0" borderId="0" xfId="0" applyNumberFormat="1" applyFont="1" applyAlignment="1">
      <alignment horizontal="left" vertical="top" wrapText="1"/>
    </xf>
    <xf numFmtId="0" fontId="19" fillId="0" borderId="0" xfId="0" applyFont="1" applyAlignment="1">
      <alignment horizontal="center" vertical="center"/>
    </xf>
    <xf numFmtId="0" fontId="0" fillId="0" borderId="0" xfId="0" applyAlignment="1">
      <alignment horizontal="left" vertical="center"/>
    </xf>
    <xf numFmtId="0" fontId="6" fillId="2" borderId="2" xfId="0" applyFont="1" applyFill="1" applyBorder="1" applyAlignment="1">
      <alignment horizontal="left" vertical="center"/>
    </xf>
    <xf numFmtId="0" fontId="6" fillId="17" borderId="31" xfId="0" applyFont="1" applyFill="1" applyBorder="1" applyAlignment="1">
      <alignment horizontal="center" vertical="center"/>
    </xf>
    <xf numFmtId="165" fontId="11" fillId="0" borderId="1" xfId="0" applyNumberFormat="1" applyFont="1" applyBorder="1" applyAlignment="1">
      <alignment horizontal="center" vertical="center"/>
    </xf>
    <xf numFmtId="166" fontId="16" fillId="0" borderId="1" xfId="0" applyNumberFormat="1" applyFont="1" applyBorder="1" applyAlignment="1">
      <alignment horizontal="center" vertical="center"/>
    </xf>
    <xf numFmtId="165" fontId="3" fillId="0" borderId="1" xfId="0" applyNumberFormat="1" applyFont="1" applyBorder="1" applyAlignment="1">
      <alignment horizontal="center" vertical="center"/>
    </xf>
    <xf numFmtId="166" fontId="11" fillId="4" borderId="1" xfId="0" applyNumberFormat="1" applyFont="1" applyFill="1" applyBorder="1" applyAlignment="1">
      <alignment horizontal="center" vertical="center"/>
    </xf>
    <xf numFmtId="165" fontId="11" fillId="0" borderId="20" xfId="0" applyNumberFormat="1" applyFont="1" applyBorder="1" applyAlignment="1">
      <alignment horizontal="center" vertical="center"/>
    </xf>
    <xf numFmtId="165" fontId="7" fillId="6" borderId="20" xfId="0" applyNumberFormat="1" applyFont="1" applyFill="1" applyBorder="1" applyAlignment="1">
      <alignment horizontal="center" vertical="center"/>
    </xf>
    <xf numFmtId="165" fontId="0" fillId="0" borderId="20" xfId="0" applyNumberFormat="1" applyBorder="1" applyAlignment="1">
      <alignment horizontal="center" vertical="center"/>
    </xf>
    <xf numFmtId="165" fontId="10" fillId="7" borderId="20" xfId="0" applyNumberFormat="1" applyFont="1" applyFill="1" applyBorder="1" applyAlignment="1">
      <alignment horizontal="center" vertical="center"/>
    </xf>
    <xf numFmtId="165" fontId="3" fillId="6" borderId="20" xfId="0" applyNumberFormat="1" applyFont="1" applyFill="1" applyBorder="1" applyAlignment="1">
      <alignment horizontal="center" vertical="center"/>
    </xf>
    <xf numFmtId="165" fontId="7" fillId="0" borderId="26" xfId="0" applyNumberFormat="1" applyFont="1" applyBorder="1" applyAlignment="1">
      <alignment horizontal="center" vertical="center"/>
    </xf>
    <xf numFmtId="165" fontId="7" fillId="0" borderId="5" xfId="0" applyNumberFormat="1" applyFont="1" applyBorder="1" applyAlignment="1">
      <alignment horizontal="center" vertical="center"/>
    </xf>
    <xf numFmtId="165" fontId="7" fillId="0" borderId="28" xfId="0" applyNumberFormat="1" applyFont="1" applyBorder="1" applyAlignment="1">
      <alignment horizontal="center" vertical="center"/>
    </xf>
    <xf numFmtId="0" fontId="43" fillId="20" borderId="38" xfId="0" applyFont="1" applyFill="1" applyBorder="1" applyAlignment="1">
      <alignment horizontal="center" vertical="center"/>
    </xf>
    <xf numFmtId="0" fontId="39" fillId="10" borderId="0" xfId="0" applyFont="1" applyFill="1" applyAlignment="1">
      <alignment horizontal="left" vertical="center"/>
    </xf>
    <xf numFmtId="0" fontId="39" fillId="12" borderId="48" xfId="0" applyFont="1" applyFill="1" applyBorder="1" applyAlignment="1">
      <alignment horizontal="left" vertical="center"/>
    </xf>
    <xf numFmtId="0" fontId="39" fillId="12" borderId="49" xfId="0" applyFont="1" applyFill="1" applyBorder="1" applyAlignment="1">
      <alignment horizontal="left" vertical="center"/>
    </xf>
    <xf numFmtId="0" fontId="39" fillId="12" borderId="50" xfId="0" applyFont="1" applyFill="1" applyBorder="1" applyAlignment="1">
      <alignment horizontal="left" vertical="center"/>
    </xf>
    <xf numFmtId="0" fontId="3" fillId="0" borderId="0" xfId="0" applyFont="1" applyAlignment="1">
      <alignment vertical="center"/>
    </xf>
    <xf numFmtId="9" fontId="0" fillId="0" borderId="0" xfId="0" applyNumberFormat="1" applyAlignment="1" applyProtection="1">
      <alignment vertical="center"/>
      <protection hidden="1"/>
    </xf>
    <xf numFmtId="2" fontId="11" fillId="0" borderId="1" xfId="0" applyNumberFormat="1" applyFont="1" applyBorder="1" applyAlignment="1">
      <alignment horizontal="center" vertical="center"/>
    </xf>
    <xf numFmtId="9" fontId="16" fillId="0" borderId="1" xfId="0" applyNumberFormat="1" applyFont="1" applyBorder="1" applyAlignment="1">
      <alignment horizontal="center" vertical="center"/>
    </xf>
    <xf numFmtId="2" fontId="3" fillId="0" borderId="1" xfId="0" applyNumberFormat="1" applyFont="1" applyBorder="1" applyAlignment="1">
      <alignment horizontal="center" vertical="center"/>
    </xf>
    <xf numFmtId="166" fontId="13" fillId="4" borderId="1" xfId="0" applyNumberFormat="1" applyFont="1" applyFill="1" applyBorder="1" applyAlignment="1">
      <alignment horizontal="center" vertical="center"/>
    </xf>
    <xf numFmtId="0" fontId="23" fillId="0" borderId="19" xfId="0" applyFont="1" applyBorder="1" applyAlignment="1">
      <alignment horizontal="left" vertical="center"/>
    </xf>
    <xf numFmtId="0" fontId="19" fillId="0" borderId="19" xfId="0" applyFont="1" applyBorder="1" applyAlignment="1">
      <alignment horizontal="left" vertical="center"/>
    </xf>
    <xf numFmtId="0" fontId="7" fillId="0" borderId="0" xfId="0" applyFont="1" applyAlignment="1">
      <alignment horizontal="left" vertical="center"/>
    </xf>
    <xf numFmtId="0" fontId="43" fillId="0" borderId="0" xfId="0" applyFont="1" applyAlignment="1">
      <alignment horizontal="left" vertical="center"/>
    </xf>
    <xf numFmtId="0" fontId="19" fillId="0" borderId="0" xfId="0" applyFont="1" applyAlignment="1" applyProtection="1">
      <alignment horizontal="center" vertical="center"/>
      <protection hidden="1"/>
    </xf>
    <xf numFmtId="164" fontId="11" fillId="0" borderId="20" xfId="0" applyNumberFormat="1" applyFont="1" applyBorder="1" applyAlignment="1">
      <alignment horizontal="center" vertical="center"/>
    </xf>
    <xf numFmtId="0" fontId="54" fillId="0" borderId="19" xfId="0" applyFont="1" applyBorder="1" applyAlignment="1">
      <alignment horizontal="left" vertical="center"/>
    </xf>
    <xf numFmtId="0" fontId="50" fillId="0" borderId="19" xfId="0" applyFont="1" applyBorder="1" applyAlignment="1">
      <alignment horizontal="left" vertical="center"/>
    </xf>
    <xf numFmtId="2" fontId="50" fillId="0" borderId="20" xfId="0" applyNumberFormat="1" applyFont="1" applyBorder="1" applyAlignment="1">
      <alignment horizontal="center" vertical="center"/>
    </xf>
    <xf numFmtId="168" fontId="50" fillId="0" borderId="20" xfId="0" applyNumberFormat="1" applyFont="1" applyBorder="1" applyAlignment="1">
      <alignment horizontal="center" vertical="center"/>
    </xf>
    <xf numFmtId="165" fontId="7" fillId="0" borderId="20" xfId="0" applyNumberFormat="1" applyFont="1" applyBorder="1" applyAlignment="1">
      <alignment horizontal="center" vertical="center"/>
    </xf>
    <xf numFmtId="0" fontId="7" fillId="10" borderId="0" xfId="0" applyFont="1" applyFill="1" applyAlignment="1">
      <alignment horizontal="left" vertical="top"/>
    </xf>
    <xf numFmtId="0" fontId="43" fillId="10" borderId="49" xfId="0" applyFont="1" applyFill="1" applyBorder="1" applyAlignment="1">
      <alignment horizontal="center" vertical="center"/>
    </xf>
    <xf numFmtId="0" fontId="10" fillId="0" borderId="6" xfId="0" applyFont="1" applyBorder="1" applyAlignment="1">
      <alignment vertical="center"/>
    </xf>
    <xf numFmtId="49" fontId="39" fillId="10" borderId="0" xfId="0" applyNumberFormat="1" applyFont="1" applyFill="1" applyAlignment="1">
      <alignment horizontal="left" vertical="top" wrapText="1"/>
    </xf>
    <xf numFmtId="0" fontId="6" fillId="0" borderId="0" xfId="0" applyFont="1" applyAlignment="1">
      <alignment vertical="center"/>
    </xf>
    <xf numFmtId="0" fontId="6" fillId="0" borderId="0" xfId="0" applyFont="1" applyAlignment="1">
      <alignment horizontal="left" vertical="center"/>
    </xf>
    <xf numFmtId="0" fontId="9" fillId="0" borderId="0" xfId="0" applyFont="1" applyAlignment="1">
      <alignment horizontal="center" vertical="center"/>
    </xf>
    <xf numFmtId="0" fontId="3" fillId="0" borderId="58" xfId="0" applyFont="1" applyBorder="1" applyAlignment="1">
      <alignment vertical="center"/>
    </xf>
    <xf numFmtId="0" fontId="28" fillId="0" borderId="0" xfId="0" applyFont="1" applyAlignment="1">
      <alignment vertical="center"/>
    </xf>
    <xf numFmtId="169" fontId="53" fillId="0" borderId="0" xfId="0" applyNumberFormat="1" applyFont="1" applyAlignment="1">
      <alignment horizontal="center" vertical="center"/>
    </xf>
    <xf numFmtId="0" fontId="48" fillId="0" borderId="0" xfId="0" applyFont="1" applyAlignment="1">
      <alignment horizontal="center" vertical="center"/>
    </xf>
    <xf numFmtId="0" fontId="45" fillId="0" borderId="0" xfId="0" applyFont="1" applyAlignment="1">
      <alignment vertical="center"/>
    </xf>
    <xf numFmtId="0" fontId="46" fillId="0" borderId="0" xfId="0" applyFont="1" applyAlignment="1">
      <alignment vertical="center"/>
    </xf>
    <xf numFmtId="0" fontId="0" fillId="0" borderId="0" xfId="0" applyAlignment="1">
      <alignment vertical="top"/>
    </xf>
    <xf numFmtId="0" fontId="48" fillId="0" borderId="0" xfId="0" applyFont="1" applyAlignment="1">
      <alignment vertical="center"/>
    </xf>
    <xf numFmtId="169" fontId="26" fillId="0" borderId="0" xfId="0" applyNumberFormat="1" applyFont="1" applyAlignment="1">
      <alignment horizontal="center" vertical="center"/>
    </xf>
    <xf numFmtId="0" fontId="0" fillId="0" borderId="43" xfId="0" applyBorder="1" applyAlignment="1">
      <alignment vertical="center"/>
    </xf>
    <xf numFmtId="166" fontId="21" fillId="11" borderId="41" xfId="0" applyNumberFormat="1" applyFont="1" applyFill="1" applyBorder="1" applyAlignment="1">
      <alignment horizontal="center" vertical="center"/>
    </xf>
    <xf numFmtId="169" fontId="53" fillId="0" borderId="0" xfId="0" applyNumberFormat="1" applyFont="1" applyAlignment="1">
      <alignment horizontal="center" vertical="center" wrapText="1"/>
    </xf>
    <xf numFmtId="0" fontId="4" fillId="0" borderId="46" xfId="0" applyFont="1" applyBorder="1" applyAlignment="1">
      <alignment horizontal="left" vertical="center"/>
    </xf>
    <xf numFmtId="167" fontId="4" fillId="0" borderId="0" xfId="0" applyNumberFormat="1" applyFont="1" applyAlignment="1">
      <alignment horizontal="center" vertical="center"/>
    </xf>
    <xf numFmtId="167" fontId="4" fillId="0" borderId="24" xfId="0" applyNumberFormat="1" applyFont="1" applyBorder="1" applyAlignment="1">
      <alignment horizontal="center" vertical="center"/>
    </xf>
    <xf numFmtId="0" fontId="7" fillId="3" borderId="47" xfId="0" applyFont="1" applyFill="1" applyBorder="1" applyAlignment="1">
      <alignment vertical="center"/>
    </xf>
    <xf numFmtId="1" fontId="0" fillId="0" borderId="24" xfId="0" applyNumberFormat="1" applyBorder="1" applyAlignment="1">
      <alignment horizontal="center" vertical="center"/>
    </xf>
    <xf numFmtId="164" fontId="7" fillId="3" borderId="47" xfId="0" applyNumberFormat="1" applyFont="1" applyFill="1" applyBorder="1" applyAlignment="1">
      <alignment vertical="center" wrapText="1"/>
    </xf>
    <xf numFmtId="164" fontId="7" fillId="3" borderId="45" xfId="2" applyNumberFormat="1" applyFont="1" applyFill="1" applyBorder="1" applyAlignment="1">
      <alignment vertical="center" wrapText="1"/>
    </xf>
    <xf numFmtId="1" fontId="2" fillId="0" borderId="43" xfId="2" applyNumberFormat="1" applyFont="1" applyBorder="1" applyAlignment="1">
      <alignment horizontal="center" vertical="center"/>
    </xf>
    <xf numFmtId="1" fontId="2" fillId="0" borderId="44" xfId="2" applyNumberFormat="1" applyFont="1" applyBorder="1" applyAlignment="1">
      <alignment horizontal="center" vertical="center"/>
    </xf>
    <xf numFmtId="169" fontId="53" fillId="0" borderId="0" xfId="2" applyNumberFormat="1" applyFont="1" applyAlignment="1">
      <alignment horizontal="center" vertical="center"/>
    </xf>
    <xf numFmtId="0" fontId="49" fillId="0" borderId="0" xfId="2" applyFont="1" applyAlignment="1">
      <alignment horizontal="center" vertical="center"/>
    </xf>
    <xf numFmtId="0" fontId="18" fillId="0" borderId="0" xfId="2" applyAlignment="1">
      <alignment vertical="center"/>
    </xf>
    <xf numFmtId="164" fontId="7" fillId="3" borderId="47" xfId="2" applyNumberFormat="1" applyFont="1" applyFill="1" applyBorder="1" applyAlignment="1">
      <alignment vertical="center" wrapText="1"/>
    </xf>
    <xf numFmtId="164" fontId="2" fillId="0" borderId="0" xfId="2" applyNumberFormat="1" applyFont="1" applyAlignment="1">
      <alignment horizontal="center" vertical="center"/>
    </xf>
    <xf numFmtId="164" fontId="2" fillId="0" borderId="24" xfId="2" applyNumberFormat="1" applyFont="1" applyBorder="1" applyAlignment="1">
      <alignment horizontal="center" vertical="center"/>
    </xf>
    <xf numFmtId="164" fontId="2" fillId="0" borderId="43" xfId="2" applyNumberFormat="1" applyFont="1" applyBorder="1" applyAlignment="1">
      <alignment horizontal="center" vertical="center"/>
    </xf>
    <xf numFmtId="164" fontId="2" fillId="0" borderId="44" xfId="2" applyNumberFormat="1" applyFont="1" applyBorder="1" applyAlignment="1">
      <alignment horizontal="center" vertical="center"/>
    </xf>
    <xf numFmtId="0" fontId="4" fillId="8" borderId="47" xfId="0" applyFont="1" applyFill="1" applyBorder="1" applyAlignment="1">
      <alignment vertical="center"/>
    </xf>
    <xf numFmtId="168" fontId="0" fillId="8" borderId="0" xfId="0" applyNumberFormat="1" applyFill="1" applyAlignment="1">
      <alignment horizontal="center" vertical="center"/>
    </xf>
    <xf numFmtId="168" fontId="0" fillId="8" borderId="24" xfId="0" applyNumberFormat="1" applyFill="1" applyBorder="1" applyAlignment="1">
      <alignment horizontal="center" vertical="center"/>
    </xf>
    <xf numFmtId="0" fontId="4" fillId="8" borderId="45" xfId="0" applyFont="1" applyFill="1" applyBorder="1" applyAlignment="1">
      <alignment vertical="center"/>
    </xf>
    <xf numFmtId="168" fontId="0" fillId="8" borderId="43" xfId="0" applyNumberFormat="1" applyFill="1" applyBorder="1" applyAlignment="1">
      <alignment horizontal="center" vertical="center"/>
    </xf>
    <xf numFmtId="168" fontId="0" fillId="8" borderId="44" xfId="0" applyNumberFormat="1" applyFill="1" applyBorder="1" applyAlignment="1">
      <alignment horizontal="center" vertical="center"/>
    </xf>
    <xf numFmtId="0" fontId="4" fillId="9" borderId="47" xfId="0" applyFont="1" applyFill="1" applyBorder="1" applyAlignment="1">
      <alignment vertical="center"/>
    </xf>
    <xf numFmtId="168" fontId="0" fillId="9" borderId="0" xfId="0" applyNumberFormat="1" applyFill="1" applyAlignment="1">
      <alignment horizontal="center" vertical="center"/>
    </xf>
    <xf numFmtId="168" fontId="0" fillId="9" borderId="24" xfId="0" applyNumberFormat="1" applyFill="1" applyBorder="1" applyAlignment="1">
      <alignment horizontal="center" vertical="center"/>
    </xf>
    <xf numFmtId="0" fontId="4" fillId="13" borderId="45" xfId="0" applyFont="1" applyFill="1" applyBorder="1" applyAlignment="1">
      <alignment vertical="center"/>
    </xf>
    <xf numFmtId="168" fontId="0" fillId="13" borderId="43" xfId="0" applyNumberFormat="1" applyFill="1" applyBorder="1" applyAlignment="1">
      <alignment horizontal="center" vertical="center"/>
    </xf>
    <xf numFmtId="168" fontId="0" fillId="13" borderId="44" xfId="0" applyNumberFormat="1" applyFill="1" applyBorder="1" applyAlignment="1">
      <alignment horizontal="center" vertical="center"/>
    </xf>
    <xf numFmtId="0" fontId="52" fillId="10" borderId="0" xfId="0" applyFont="1" applyFill="1" applyAlignment="1">
      <alignment horizontal="left"/>
    </xf>
    <xf numFmtId="0" fontId="52" fillId="10" borderId="0" xfId="0" applyFont="1" applyFill="1" applyAlignment="1">
      <alignment horizontal="center"/>
    </xf>
    <xf numFmtId="1" fontId="53" fillId="10" borderId="0" xfId="0" applyNumberFormat="1" applyFont="1" applyFill="1" applyAlignment="1">
      <alignment horizontal="left"/>
    </xf>
    <xf numFmtId="0" fontId="0" fillId="10" borderId="0" xfId="0" applyFill="1" applyAlignment="1">
      <alignment vertical="center"/>
    </xf>
    <xf numFmtId="0" fontId="52" fillId="10" borderId="0" xfId="0" applyFont="1" applyFill="1" applyAlignment="1">
      <alignment vertical="top"/>
    </xf>
    <xf numFmtId="0" fontId="52" fillId="10" borderId="0" xfId="0" applyFont="1" applyFill="1"/>
    <xf numFmtId="1" fontId="53" fillId="10" borderId="0" xfId="0" applyNumberFormat="1" applyFont="1" applyFill="1" applyAlignment="1">
      <alignment horizontal="left" vertical="top"/>
    </xf>
    <xf numFmtId="166" fontId="21" fillId="14" borderId="41" xfId="0" applyNumberFormat="1" applyFont="1" applyFill="1" applyBorder="1" applyAlignment="1">
      <alignment horizontal="center" vertical="center"/>
    </xf>
    <xf numFmtId="0" fontId="4" fillId="0" borderId="0" xfId="0" applyFont="1" applyAlignment="1">
      <alignment horizontal="center" vertical="center"/>
    </xf>
    <xf numFmtId="0" fontId="4" fillId="0" borderId="24" xfId="0" applyFont="1" applyBorder="1" applyAlignment="1">
      <alignment horizontal="center" vertical="center"/>
    </xf>
    <xf numFmtId="0" fontId="4" fillId="15" borderId="47" xfId="0" applyFont="1" applyFill="1" applyBorder="1" applyAlignment="1">
      <alignment vertical="center"/>
    </xf>
    <xf numFmtId="168" fontId="0" fillId="15" borderId="0" xfId="0" applyNumberFormat="1" applyFill="1" applyAlignment="1">
      <alignment horizontal="center" vertical="center"/>
    </xf>
    <xf numFmtId="1" fontId="0" fillId="15" borderId="0" xfId="0" applyNumberFormat="1" applyFill="1" applyAlignment="1">
      <alignment horizontal="center" vertical="center"/>
    </xf>
    <xf numFmtId="1" fontId="0" fillId="15" borderId="24" xfId="0" applyNumberFormat="1" applyFill="1" applyBorder="1" applyAlignment="1">
      <alignment horizontal="center" vertical="center"/>
    </xf>
    <xf numFmtId="0" fontId="4" fillId="15" borderId="45" xfId="0" applyFont="1" applyFill="1" applyBorder="1" applyAlignment="1">
      <alignment vertical="center"/>
    </xf>
    <xf numFmtId="168" fontId="0" fillId="15" borderId="43" xfId="0" applyNumberFormat="1" applyFill="1" applyBorder="1" applyAlignment="1">
      <alignment horizontal="center" vertical="center"/>
    </xf>
    <xf numFmtId="1" fontId="0" fillId="15" borderId="43" xfId="0" applyNumberFormat="1" applyFill="1" applyBorder="1" applyAlignment="1">
      <alignment horizontal="center" vertical="center"/>
    </xf>
    <xf numFmtId="1" fontId="0" fillId="15" borderId="44" xfId="0" applyNumberFormat="1" applyFill="1" applyBorder="1" applyAlignment="1">
      <alignment horizontal="center" vertical="center"/>
    </xf>
    <xf numFmtId="0" fontId="4" fillId="16" borderId="47" xfId="0" applyFont="1" applyFill="1" applyBorder="1" applyAlignment="1">
      <alignment vertical="center"/>
    </xf>
    <xf numFmtId="168" fontId="0" fillId="16" borderId="0" xfId="0" applyNumberFormat="1" applyFill="1" applyAlignment="1">
      <alignment horizontal="center" vertical="center"/>
    </xf>
    <xf numFmtId="1" fontId="0" fillId="16" borderId="0" xfId="0" applyNumberFormat="1" applyFill="1" applyAlignment="1">
      <alignment horizontal="center" vertical="center"/>
    </xf>
    <xf numFmtId="1" fontId="0" fillId="16" borderId="24" xfId="0" applyNumberFormat="1" applyFill="1" applyBorder="1" applyAlignment="1">
      <alignment horizontal="center" vertical="center"/>
    </xf>
    <xf numFmtId="0" fontId="4" fillId="17" borderId="45" xfId="0" applyFont="1" applyFill="1" applyBorder="1" applyAlignment="1">
      <alignment vertical="center"/>
    </xf>
    <xf numFmtId="168" fontId="0" fillId="17" borderId="43" xfId="0" applyNumberFormat="1" applyFill="1" applyBorder="1" applyAlignment="1">
      <alignment horizontal="center" vertical="center"/>
    </xf>
    <xf numFmtId="1" fontId="7" fillId="17" borderId="44" xfId="0" applyNumberFormat="1" applyFont="1" applyFill="1" applyBorder="1" applyAlignment="1">
      <alignment horizontal="center" vertical="center"/>
    </xf>
    <xf numFmtId="0" fontId="7" fillId="10" borderId="42" xfId="0" applyFont="1" applyFill="1" applyBorder="1" applyAlignment="1">
      <alignment horizontal="center" vertical="center"/>
    </xf>
    <xf numFmtId="0" fontId="0" fillId="10" borderId="42" xfId="0" applyFill="1" applyBorder="1" applyAlignment="1">
      <alignment horizontal="center" vertical="center"/>
    </xf>
    <xf numFmtId="0" fontId="27" fillId="10" borderId="0" xfId="0" applyFont="1" applyFill="1" applyAlignment="1">
      <alignment horizontal="left" vertical="center"/>
    </xf>
    <xf numFmtId="0" fontId="21" fillId="10" borderId="42" xfId="0" applyFont="1" applyFill="1" applyBorder="1" applyAlignment="1">
      <alignment horizontal="center" vertical="center"/>
    </xf>
    <xf numFmtId="0" fontId="21" fillId="10" borderId="0" xfId="0" applyFont="1" applyFill="1" applyAlignment="1">
      <alignment horizontal="center" vertical="center"/>
    </xf>
    <xf numFmtId="1" fontId="7" fillId="17" borderId="43" xfId="0" applyNumberFormat="1" applyFont="1" applyFill="1" applyBorder="1" applyAlignment="1">
      <alignment horizontal="center" vertical="center"/>
    </xf>
    <xf numFmtId="169" fontId="26" fillId="0" borderId="23" xfId="0" applyNumberFormat="1" applyFont="1" applyBorder="1" applyAlignment="1">
      <alignment horizontal="center" vertical="center"/>
    </xf>
    <xf numFmtId="49" fontId="0" fillId="0" borderId="0" xfId="0" applyNumberFormat="1" applyAlignment="1">
      <alignment horizontal="left" vertical="top" wrapText="1"/>
    </xf>
    <xf numFmtId="1" fontId="1" fillId="0" borderId="0" xfId="2" applyNumberFormat="1" applyFont="1" applyAlignment="1">
      <alignment horizontal="center" vertical="center"/>
    </xf>
    <xf numFmtId="1" fontId="1" fillId="0" borderId="24" xfId="2" applyNumberFormat="1" applyFont="1" applyBorder="1" applyAlignment="1">
      <alignment horizontal="center" vertical="center"/>
    </xf>
    <xf numFmtId="164" fontId="1" fillId="0" borderId="0" xfId="2" applyNumberFormat="1" applyFont="1" applyAlignment="1">
      <alignment horizontal="center" vertical="center"/>
    </xf>
    <xf numFmtId="164" fontId="1" fillId="0" borderId="24" xfId="2" applyNumberFormat="1" applyFont="1" applyBorder="1" applyAlignment="1">
      <alignment horizontal="center" vertical="center"/>
    </xf>
    <xf numFmtId="164" fontId="1" fillId="0" borderId="43" xfId="2" applyNumberFormat="1" applyFont="1" applyBorder="1" applyAlignment="1">
      <alignment horizontal="center" vertical="center"/>
    </xf>
    <xf numFmtId="164" fontId="1" fillId="0" borderId="44" xfId="2" applyNumberFormat="1" applyFont="1" applyBorder="1" applyAlignment="1">
      <alignment horizontal="center" vertical="center"/>
    </xf>
    <xf numFmtId="1" fontId="1" fillId="0" borderId="43" xfId="2" applyNumberFormat="1" applyFont="1" applyBorder="1" applyAlignment="1">
      <alignment horizontal="center" vertical="center"/>
    </xf>
    <xf numFmtId="1" fontId="1" fillId="0" borderId="44" xfId="2" applyNumberFormat="1" applyFont="1" applyBorder="1" applyAlignment="1">
      <alignment horizontal="center" vertical="center"/>
    </xf>
    <xf numFmtId="0" fontId="29" fillId="0" borderId="0" xfId="0" applyFont="1" applyAlignment="1">
      <alignment horizontal="left" vertical="center"/>
    </xf>
    <xf numFmtId="0" fontId="30" fillId="0" borderId="0" xfId="0" applyFont="1" applyAlignment="1">
      <alignment horizontal="left" vertical="center"/>
    </xf>
    <xf numFmtId="0" fontId="27" fillId="0" borderId="0" xfId="0" applyFont="1" applyAlignment="1">
      <alignment horizontal="left" vertical="center"/>
    </xf>
    <xf numFmtId="166" fontId="21" fillId="0" borderId="0" xfId="0" applyNumberFormat="1" applyFont="1" applyAlignment="1">
      <alignment horizontal="center" vertical="center"/>
    </xf>
    <xf numFmtId="0" fontId="4" fillId="0" borderId="0" xfId="0" applyFont="1" applyAlignment="1">
      <alignment horizontal="left" vertical="center"/>
    </xf>
    <xf numFmtId="164" fontId="7" fillId="0" borderId="0" xfId="0" applyNumberFormat="1" applyFont="1" applyAlignment="1">
      <alignment vertical="center" wrapText="1"/>
    </xf>
    <xf numFmtId="164" fontId="7" fillId="0" borderId="0" xfId="2" applyNumberFormat="1" applyFont="1" applyAlignment="1">
      <alignment vertical="center" wrapText="1"/>
    </xf>
    <xf numFmtId="0" fontId="4" fillId="0" borderId="0" xfId="0" applyFont="1" applyAlignment="1">
      <alignment vertical="center"/>
    </xf>
    <xf numFmtId="168" fontId="0" fillId="0" borderId="0" xfId="0" applyNumberFormat="1" applyAlignment="1">
      <alignment horizontal="center" vertical="center"/>
    </xf>
    <xf numFmtId="0" fontId="1" fillId="0" borderId="19" xfId="0" applyFont="1" applyBorder="1" applyAlignment="1">
      <alignment horizontal="left" vertical="center"/>
    </xf>
    <xf numFmtId="0" fontId="39" fillId="0" borderId="19" xfId="0" applyFont="1" applyBorder="1" applyAlignment="1">
      <alignment horizontal="left" vertical="center"/>
    </xf>
    <xf numFmtId="164" fontId="7" fillId="6" borderId="20" xfId="0" applyNumberFormat="1" applyFont="1" applyFill="1" applyBorder="1" applyAlignment="1">
      <alignment horizontal="center" vertical="center"/>
    </xf>
    <xf numFmtId="164" fontId="0" fillId="0" borderId="20" xfId="0" applyNumberFormat="1" applyBorder="1" applyAlignment="1">
      <alignment horizontal="center" vertical="center"/>
    </xf>
    <xf numFmtId="164" fontId="7" fillId="0" borderId="20" xfId="0" applyNumberFormat="1" applyFont="1" applyBorder="1" applyAlignment="1">
      <alignment horizontal="center" vertical="center"/>
    </xf>
    <xf numFmtId="164" fontId="10" fillId="7" borderId="20" xfId="0" applyNumberFormat="1" applyFont="1" applyFill="1" applyBorder="1" applyAlignment="1">
      <alignment horizontal="center" vertical="center"/>
    </xf>
    <xf numFmtId="164" fontId="3" fillId="6" borderId="20" xfId="0" applyNumberFormat="1" applyFont="1" applyFill="1" applyBorder="1" applyAlignment="1">
      <alignment horizontal="center" vertical="center"/>
    </xf>
    <xf numFmtId="0" fontId="0" fillId="0" borderId="24" xfId="0" applyBorder="1" applyAlignment="1">
      <alignment vertical="center"/>
    </xf>
    <xf numFmtId="0" fontId="0" fillId="0" borderId="6" xfId="0" applyBorder="1" applyAlignment="1">
      <alignment horizontal="left" vertical="center"/>
    </xf>
    <xf numFmtId="0" fontId="60" fillId="0" borderId="0" xfId="0" applyFont="1"/>
    <xf numFmtId="0" fontId="26" fillId="21" borderId="61" xfId="4" applyFont="1" applyFill="1" applyBorder="1" applyAlignment="1">
      <alignment horizontal="center" vertical="top" wrapText="1"/>
    </xf>
    <xf numFmtId="0" fontId="26" fillId="22" borderId="61" xfId="4" applyFont="1" applyFill="1" applyBorder="1" applyAlignment="1">
      <alignment horizontal="center" vertical="top" wrapText="1"/>
    </xf>
    <xf numFmtId="0" fontId="48" fillId="21" borderId="61" xfId="4" applyFont="1" applyFill="1" applyBorder="1" applyAlignment="1">
      <alignment horizontal="center" vertical="top" wrapText="1"/>
    </xf>
    <xf numFmtId="0" fontId="26" fillId="21" borderId="61" xfId="4" applyFont="1" applyFill="1" applyBorder="1" applyAlignment="1">
      <alignment horizontal="center" vertical="top" wrapText="1" shrinkToFit="1"/>
    </xf>
    <xf numFmtId="170" fontId="26" fillId="21" borderId="61" xfId="4" applyNumberFormat="1" applyFont="1" applyFill="1" applyBorder="1" applyAlignment="1">
      <alignment horizontal="center" vertical="top" wrapText="1"/>
    </xf>
    <xf numFmtId="0" fontId="26" fillId="21" borderId="62" xfId="4" applyFont="1" applyFill="1" applyBorder="1" applyAlignment="1">
      <alignment horizontal="center" vertical="top" wrapText="1"/>
    </xf>
    <xf numFmtId="0" fontId="26" fillId="21" borderId="63" xfId="4" applyFont="1" applyFill="1" applyBorder="1" applyAlignment="1">
      <alignment horizontal="center" vertical="top" wrapText="1"/>
    </xf>
    <xf numFmtId="2" fontId="26" fillId="21" borderId="61" xfId="4" applyNumberFormat="1" applyFont="1" applyFill="1" applyBorder="1" applyAlignment="1">
      <alignment horizontal="center" vertical="top" wrapText="1"/>
    </xf>
    <xf numFmtId="171" fontId="26" fillId="21" borderId="61" xfId="4" applyNumberFormat="1" applyFont="1" applyFill="1" applyBorder="1" applyAlignment="1">
      <alignment horizontal="center" vertical="top" wrapText="1"/>
    </xf>
    <xf numFmtId="0" fontId="63" fillId="0" borderId="0" xfId="4" applyFont="1" applyAlignment="1">
      <alignment horizontal="center" vertical="center" wrapText="1"/>
    </xf>
    <xf numFmtId="0" fontId="64" fillId="0" borderId="0" xfId="4" applyFont="1" applyAlignment="1">
      <alignment horizontal="center" vertical="center" wrapText="1"/>
    </xf>
    <xf numFmtId="0" fontId="53" fillId="0" borderId="0" xfId="4" applyFont="1" applyAlignment="1">
      <alignment horizontal="center" vertical="center" wrapText="1"/>
    </xf>
    <xf numFmtId="0" fontId="65" fillId="0" borderId="0" xfId="4" applyFont="1" applyAlignment="1">
      <alignment horizontal="center" vertical="center" wrapText="1" shrinkToFit="1"/>
    </xf>
    <xf numFmtId="2" fontId="63" fillId="0" borderId="0" xfId="4" applyNumberFormat="1" applyFont="1" applyAlignment="1">
      <alignment horizontal="center" vertical="center" wrapText="1"/>
    </xf>
    <xf numFmtId="165" fontId="63" fillId="0" borderId="0" xfId="4" applyNumberFormat="1" applyFont="1" applyAlignment="1">
      <alignment horizontal="center" vertical="center" wrapText="1"/>
    </xf>
    <xf numFmtId="0" fontId="66" fillId="0" borderId="0" xfId="4" applyFont="1" applyAlignment="1">
      <alignment horizontal="center" vertical="center" wrapText="1"/>
    </xf>
    <xf numFmtId="0" fontId="19" fillId="0" borderId="0" xfId="4" applyFont="1" applyAlignment="1">
      <alignment horizontal="center" vertical="center" wrapText="1"/>
    </xf>
    <xf numFmtId="0" fontId="67" fillId="0" borderId="0" xfId="4" applyFont="1" applyAlignment="1">
      <alignment horizontal="center" vertical="center" wrapText="1"/>
    </xf>
    <xf numFmtId="0" fontId="53" fillId="0" borderId="23" xfId="4" applyFont="1" applyBorder="1" applyAlignment="1">
      <alignment horizontal="center" vertical="center" wrapText="1"/>
    </xf>
    <xf numFmtId="2" fontId="53" fillId="0" borderId="0" xfId="4" applyNumberFormat="1" applyFont="1" applyAlignment="1">
      <alignment horizontal="center" vertical="center" wrapText="1"/>
    </xf>
    <xf numFmtId="171" fontId="53" fillId="0" borderId="0" xfId="4" applyNumberFormat="1" applyFont="1" applyAlignment="1">
      <alignment horizontal="center" vertical="center" wrapText="1"/>
    </xf>
    <xf numFmtId="168" fontId="3" fillId="0" borderId="0" xfId="4" applyNumberFormat="1" applyFont="1" applyAlignment="1">
      <alignment horizontal="center" vertical="center" wrapText="1"/>
    </xf>
    <xf numFmtId="168" fontId="53" fillId="0" borderId="23" xfId="4" applyNumberFormat="1" applyFont="1" applyBorder="1" applyAlignment="1">
      <alignment horizontal="center" vertical="center" wrapText="1"/>
    </xf>
    <xf numFmtId="168" fontId="67" fillId="0" borderId="0" xfId="4" applyNumberFormat="1" applyFont="1" applyAlignment="1">
      <alignment horizontal="center" vertical="center" wrapText="1"/>
    </xf>
    <xf numFmtId="0" fontId="1" fillId="0" borderId="0" xfId="4" applyAlignment="1">
      <alignment horizontal="center" vertical="center"/>
    </xf>
    <xf numFmtId="0" fontId="1" fillId="0" borderId="0" xfId="4" applyAlignment="1">
      <alignment horizontal="center" vertical="center" wrapText="1"/>
    </xf>
    <xf numFmtId="2" fontId="68" fillId="0" borderId="0" xfId="4" applyNumberFormat="1" applyFont="1" applyAlignment="1">
      <alignment horizontal="center" vertical="center"/>
    </xf>
    <xf numFmtId="2" fontId="1" fillId="0" borderId="0" xfId="4" applyNumberFormat="1" applyAlignment="1">
      <alignment horizontal="center" vertical="center"/>
    </xf>
    <xf numFmtId="165" fontId="1" fillId="0" borderId="0" xfId="4" applyNumberFormat="1" applyAlignment="1">
      <alignment horizontal="center" vertical="center"/>
    </xf>
    <xf numFmtId="165" fontId="63" fillId="0" borderId="0" xfId="4" applyNumberFormat="1" applyFont="1" applyAlignment="1">
      <alignment horizontal="center" vertical="center"/>
    </xf>
    <xf numFmtId="0" fontId="19" fillId="0" borderId="0" xfId="4" applyFont="1" applyAlignment="1">
      <alignment horizontal="center" vertical="center"/>
    </xf>
    <xf numFmtId="170" fontId="1" fillId="0" borderId="0" xfId="4" applyNumberFormat="1" applyAlignment="1">
      <alignment horizontal="center" vertical="center"/>
    </xf>
    <xf numFmtId="168" fontId="1" fillId="0" borderId="54" xfId="4" applyNumberFormat="1" applyBorder="1" applyAlignment="1">
      <alignment horizontal="center" vertical="center"/>
    </xf>
    <xf numFmtId="168" fontId="1" fillId="0" borderId="4" xfId="4" applyNumberFormat="1" applyBorder="1" applyAlignment="1">
      <alignment horizontal="center" vertical="center"/>
    </xf>
    <xf numFmtId="171" fontId="1" fillId="0" borderId="0" xfId="4" applyNumberFormat="1" applyAlignment="1">
      <alignment horizontal="center" vertical="center"/>
    </xf>
    <xf numFmtId="172" fontId="1" fillId="0" borderId="4" xfId="4" applyNumberFormat="1" applyBorder="1" applyAlignment="1">
      <alignment horizontal="center" vertical="center"/>
    </xf>
    <xf numFmtId="0" fontId="1" fillId="23" borderId="0" xfId="4" applyFill="1" applyAlignment="1">
      <alignment horizontal="center" vertical="center"/>
    </xf>
    <xf numFmtId="0" fontId="63" fillId="23" borderId="0" xfId="4" applyFont="1" applyFill="1" applyAlignment="1">
      <alignment horizontal="center" vertical="center" wrapText="1"/>
    </xf>
    <xf numFmtId="0" fontId="1" fillId="23" borderId="0" xfId="4" applyFill="1" applyAlignment="1">
      <alignment horizontal="center" vertical="center" wrapText="1"/>
    </xf>
    <xf numFmtId="0" fontId="65" fillId="23" borderId="0" xfId="4" applyFont="1" applyFill="1" applyAlignment="1">
      <alignment horizontal="center" vertical="center" wrapText="1" shrinkToFit="1"/>
    </xf>
    <xf numFmtId="2" fontId="68" fillId="23" borderId="0" xfId="4" applyNumberFormat="1" applyFont="1" applyFill="1" applyAlignment="1">
      <alignment horizontal="center" vertical="center"/>
    </xf>
    <xf numFmtId="2" fontId="1" fillId="23" borderId="0" xfId="4" applyNumberFormat="1" applyFill="1" applyAlignment="1">
      <alignment horizontal="center" vertical="center"/>
    </xf>
    <xf numFmtId="165" fontId="59" fillId="23" borderId="0" xfId="4" applyNumberFormat="1" applyFont="1" applyFill="1" applyAlignment="1">
      <alignment horizontal="center" vertical="center"/>
    </xf>
    <xf numFmtId="165" fontId="63" fillId="23" borderId="0" xfId="4" applyNumberFormat="1" applyFont="1" applyFill="1" applyAlignment="1">
      <alignment horizontal="center" vertical="center"/>
    </xf>
    <xf numFmtId="0" fontId="69" fillId="23" borderId="0" xfId="4" applyFont="1" applyFill="1" applyAlignment="1">
      <alignment horizontal="center" vertical="center" wrapText="1"/>
    </xf>
    <xf numFmtId="0" fontId="19" fillId="23" borderId="0" xfId="4" applyFont="1" applyFill="1" applyAlignment="1">
      <alignment horizontal="center" vertical="center"/>
    </xf>
    <xf numFmtId="170" fontId="1" fillId="23" borderId="0" xfId="4" applyNumberFormat="1" applyFill="1" applyAlignment="1">
      <alignment horizontal="center" vertical="center"/>
    </xf>
    <xf numFmtId="168" fontId="1" fillId="23" borderId="4" xfId="4" applyNumberFormat="1" applyFill="1" applyBorder="1" applyAlignment="1">
      <alignment horizontal="center" vertical="center"/>
    </xf>
    <xf numFmtId="172" fontId="1" fillId="23" borderId="4" xfId="4" applyNumberFormat="1" applyFill="1" applyBorder="1" applyAlignment="1">
      <alignment horizontal="center" vertical="center"/>
    </xf>
    <xf numFmtId="0" fontId="66" fillId="23" borderId="0" xfId="4" applyFont="1" applyFill="1" applyAlignment="1">
      <alignment horizontal="center" vertical="center" wrapText="1"/>
    </xf>
    <xf numFmtId="0" fontId="19" fillId="23" borderId="0" xfId="4" applyFont="1" applyFill="1" applyAlignment="1">
      <alignment horizontal="center" vertical="center" wrapText="1"/>
    </xf>
    <xf numFmtId="0" fontId="3" fillId="0" borderId="0" xfId="4" applyFont="1" applyAlignment="1">
      <alignment horizontal="center" vertical="center"/>
    </xf>
    <xf numFmtId="0" fontId="3" fillId="23" borderId="0" xfId="4" applyFont="1" applyFill="1" applyAlignment="1">
      <alignment horizontal="center" vertical="center"/>
    </xf>
    <xf numFmtId="2" fontId="3" fillId="23" borderId="0" xfId="4" applyNumberFormat="1" applyFont="1" applyFill="1" applyAlignment="1">
      <alignment horizontal="center" vertical="center"/>
    </xf>
    <xf numFmtId="0" fontId="19" fillId="23" borderId="64" xfId="4" applyFont="1" applyFill="1" applyBorder="1" applyAlignment="1">
      <alignment horizontal="center" vertical="center" wrapText="1"/>
    </xf>
    <xf numFmtId="0" fontId="70" fillId="0" borderId="65" xfId="4" applyFont="1" applyBorder="1" applyAlignment="1">
      <alignment horizontal="center" vertical="center" wrapText="1"/>
    </xf>
    <xf numFmtId="0" fontId="68" fillId="0" borderId="0" xfId="4" applyFont="1" applyAlignment="1">
      <alignment horizontal="center" vertical="center" wrapText="1"/>
    </xf>
    <xf numFmtId="0" fontId="71" fillId="0" borderId="0" xfId="4" applyFont="1" applyAlignment="1">
      <alignment horizontal="center" vertical="center" wrapText="1" shrinkToFit="1"/>
    </xf>
    <xf numFmtId="0" fontId="68" fillId="0" borderId="0" xfId="4" applyFont="1" applyAlignment="1">
      <alignment horizontal="center" vertical="center"/>
    </xf>
    <xf numFmtId="165" fontId="68" fillId="0" borderId="0" xfId="4" applyNumberFormat="1" applyFont="1" applyAlignment="1">
      <alignment horizontal="center" vertical="center"/>
    </xf>
    <xf numFmtId="165" fontId="72" fillId="0" borderId="0" xfId="4" applyNumberFormat="1" applyFont="1" applyAlignment="1">
      <alignment horizontal="center" vertical="center"/>
    </xf>
    <xf numFmtId="170" fontId="68" fillId="0" borderId="0" xfId="4" applyNumberFormat="1" applyFont="1" applyAlignment="1">
      <alignment horizontal="center" vertical="center"/>
    </xf>
    <xf numFmtId="0" fontId="72" fillId="0" borderId="66" xfId="4" applyFont="1" applyBorder="1" applyAlignment="1">
      <alignment horizontal="center" vertical="center" wrapText="1"/>
    </xf>
    <xf numFmtId="165" fontId="19" fillId="23" borderId="0" xfId="4" applyNumberFormat="1" applyFont="1" applyFill="1" applyAlignment="1">
      <alignment horizontal="center" vertical="center"/>
    </xf>
    <xf numFmtId="0" fontId="73" fillId="23" borderId="0" xfId="4" applyFont="1" applyFill="1" applyAlignment="1">
      <alignment horizontal="center" vertical="center" wrapText="1"/>
    </xf>
    <xf numFmtId="11" fontId="65" fillId="23" borderId="0" xfId="4" applyNumberFormat="1" applyFont="1" applyFill="1" applyAlignment="1">
      <alignment horizontal="center" vertical="center" wrapText="1" shrinkToFit="1"/>
    </xf>
    <xf numFmtId="0" fontId="72" fillId="0" borderId="65" xfId="4" applyFont="1" applyBorder="1" applyAlignment="1">
      <alignment horizontal="center" vertical="center" wrapText="1"/>
    </xf>
    <xf numFmtId="0" fontId="1" fillId="23" borderId="0" xfId="4" applyFill="1" applyAlignment="1">
      <alignment horizontal="center" vertical="center" shrinkToFit="1"/>
    </xf>
    <xf numFmtId="2" fontId="1" fillId="23" borderId="0" xfId="4" applyNumberFormat="1" applyFill="1" applyAlignment="1">
      <alignment horizontal="center" vertical="center" shrinkToFit="1"/>
    </xf>
    <xf numFmtId="0" fontId="66" fillId="23" borderId="0" xfId="4" applyFont="1" applyFill="1" applyAlignment="1">
      <alignment horizontal="center" vertical="center" wrapText="1" shrinkToFit="1"/>
    </xf>
    <xf numFmtId="0" fontId="19" fillId="23" borderId="0" xfId="4" applyFont="1" applyFill="1" applyAlignment="1">
      <alignment horizontal="center" vertical="center" shrinkToFit="1"/>
    </xf>
    <xf numFmtId="168" fontId="1" fillId="23" borderId="4" xfId="4" quotePrefix="1" applyNumberFormat="1" applyFill="1" applyBorder="1" applyAlignment="1">
      <alignment horizontal="center" vertical="center"/>
    </xf>
    <xf numFmtId="168" fontId="3" fillId="0" borderId="54" xfId="4" applyNumberFormat="1" applyFont="1" applyBorder="1" applyAlignment="1">
      <alignment horizontal="center" vertical="center"/>
    </xf>
    <xf numFmtId="0" fontId="47" fillId="23" borderId="0" xfId="4" applyFont="1" applyFill="1" applyAlignment="1">
      <alignment horizontal="center" vertical="center" wrapText="1"/>
    </xf>
    <xf numFmtId="0" fontId="63" fillId="23" borderId="64" xfId="4" applyFont="1" applyFill="1" applyBorder="1" applyAlignment="1">
      <alignment horizontal="center" vertical="center" wrapText="1"/>
    </xf>
    <xf numFmtId="0" fontId="19" fillId="23" borderId="59" xfId="4" applyFont="1" applyFill="1" applyBorder="1" applyAlignment="1">
      <alignment horizontal="center" vertical="center" wrapText="1"/>
    </xf>
    <xf numFmtId="0" fontId="19" fillId="23" borderId="56" xfId="4" applyFont="1" applyFill="1" applyBorder="1" applyAlignment="1">
      <alignment horizontal="center" vertical="center" wrapText="1"/>
    </xf>
    <xf numFmtId="0" fontId="71" fillId="0" borderId="0" xfId="4" applyFont="1" applyAlignment="1">
      <alignment horizontal="center" vertical="center" wrapText="1"/>
    </xf>
    <xf numFmtId="2" fontId="1" fillId="23" borderId="0" xfId="4" applyNumberFormat="1" applyFill="1" applyAlignment="1">
      <alignment horizontal="center" vertical="center" wrapText="1"/>
    </xf>
    <xf numFmtId="0" fontId="74" fillId="0" borderId="0" xfId="4" applyFont="1" applyAlignment="1">
      <alignment horizontal="center" vertical="center"/>
    </xf>
    <xf numFmtId="168" fontId="3" fillId="0" borderId="4" xfId="4" applyNumberFormat="1" applyFont="1" applyBorder="1" applyAlignment="1">
      <alignment horizontal="center" vertical="center"/>
    </xf>
    <xf numFmtId="0" fontId="3" fillId="0" borderId="54" xfId="4" applyFont="1" applyBorder="1" applyAlignment="1">
      <alignment horizontal="center" vertical="center"/>
    </xf>
    <xf numFmtId="172" fontId="3" fillId="0" borderId="4" xfId="4" applyNumberFormat="1" applyFont="1" applyBorder="1" applyAlignment="1">
      <alignment horizontal="center" vertical="center"/>
    </xf>
    <xf numFmtId="0" fontId="65" fillId="23" borderId="0" xfId="4" applyFont="1" applyFill="1" applyAlignment="1">
      <alignment horizontal="center" vertical="center" wrapText="1"/>
    </xf>
    <xf numFmtId="168" fontId="3" fillId="23" borderId="4" xfId="4" applyNumberFormat="1" applyFont="1" applyFill="1" applyBorder="1" applyAlignment="1">
      <alignment horizontal="center" vertical="center"/>
    </xf>
    <xf numFmtId="172" fontId="3" fillId="23" borderId="4" xfId="4" applyNumberFormat="1" applyFont="1" applyFill="1" applyBorder="1" applyAlignment="1">
      <alignment horizontal="center" vertical="center"/>
    </xf>
    <xf numFmtId="0" fontId="59" fillId="23" borderId="57" xfId="4" applyFont="1" applyFill="1" applyBorder="1" applyAlignment="1">
      <alignment horizontal="center" vertical="top" wrapText="1"/>
    </xf>
    <xf numFmtId="0" fontId="75" fillId="23" borderId="0" xfId="4" applyFont="1" applyFill="1" applyAlignment="1">
      <alignment horizontal="center" vertical="center" wrapText="1" shrinkToFit="1"/>
    </xf>
    <xf numFmtId="0" fontId="68" fillId="0" borderId="0" xfId="4" quotePrefix="1" applyFont="1" applyAlignment="1">
      <alignment horizontal="center" vertical="center"/>
    </xf>
    <xf numFmtId="165" fontId="59" fillId="0" borderId="0" xfId="4" applyNumberFormat="1" applyFont="1" applyAlignment="1">
      <alignment horizontal="center" vertical="center"/>
    </xf>
    <xf numFmtId="168" fontId="1" fillId="0" borderId="0" xfId="4" applyNumberFormat="1" applyAlignment="1">
      <alignment horizontal="center" vertical="center"/>
    </xf>
    <xf numFmtId="168" fontId="1" fillId="0" borderId="23" xfId="4" applyNumberFormat="1" applyBorder="1" applyAlignment="1">
      <alignment horizontal="center" vertical="center"/>
    </xf>
    <xf numFmtId="0" fontId="1" fillId="0" borderId="23" xfId="4" applyBorder="1" applyAlignment="1">
      <alignment horizontal="center" vertical="center"/>
    </xf>
    <xf numFmtId="0" fontId="1" fillId="0" borderId="0" xfId="4" applyAlignment="1">
      <alignment horizontal="left" vertical="center"/>
    </xf>
    <xf numFmtId="168" fontId="68" fillId="0" borderId="0" xfId="4" applyNumberFormat="1" applyFont="1" applyAlignment="1">
      <alignment horizontal="center" vertical="center"/>
    </xf>
    <xf numFmtId="0" fontId="72" fillId="0" borderId="0" xfId="4" applyFont="1" applyAlignment="1">
      <alignment horizontal="left" vertical="center"/>
    </xf>
    <xf numFmtId="168" fontId="1" fillId="0" borderId="0" xfId="4" applyNumberFormat="1" applyAlignment="1">
      <alignment horizontal="left" vertical="center"/>
    </xf>
    <xf numFmtId="168" fontId="1" fillId="24" borderId="67" xfId="4" applyNumberFormat="1" applyFill="1" applyBorder="1" applyAlignment="1">
      <alignment horizontal="center" vertical="center"/>
    </xf>
    <xf numFmtId="2" fontId="1" fillId="25" borderId="68" xfId="4" applyNumberFormat="1" applyFill="1" applyBorder="1" applyAlignment="1">
      <alignment horizontal="center" vertical="center"/>
    </xf>
    <xf numFmtId="171" fontId="1" fillId="25" borderId="68" xfId="4" applyNumberFormat="1" applyFill="1" applyBorder="1" applyAlignment="1">
      <alignment horizontal="center" vertical="center"/>
    </xf>
    <xf numFmtId="170" fontId="1" fillId="25" borderId="68" xfId="4" applyNumberFormat="1" applyFill="1" applyBorder="1" applyAlignment="1">
      <alignment horizontal="center" vertical="center"/>
    </xf>
    <xf numFmtId="168" fontId="1" fillId="24" borderId="69" xfId="4" applyNumberFormat="1" applyFill="1" applyBorder="1" applyAlignment="1">
      <alignment horizontal="center" vertical="center"/>
    </xf>
    <xf numFmtId="2" fontId="1" fillId="0" borderId="0" xfId="4" applyNumberFormat="1" applyAlignment="1">
      <alignment horizontal="left" vertical="center"/>
    </xf>
    <xf numFmtId="0" fontId="59" fillId="26" borderId="0" xfId="4" applyFont="1" applyFill="1" applyAlignment="1">
      <alignment horizontal="left" vertical="center"/>
    </xf>
    <xf numFmtId="0" fontId="63" fillId="26" borderId="0" xfId="4" applyFont="1" applyFill="1" applyAlignment="1">
      <alignment horizontal="center" vertical="center" wrapText="1"/>
    </xf>
    <xf numFmtId="0" fontId="1" fillId="26" borderId="0" xfId="4" applyFill="1" applyAlignment="1">
      <alignment horizontal="center" vertical="center" wrapText="1"/>
    </xf>
    <xf numFmtId="0" fontId="63" fillId="0" borderId="0" xfId="4" applyFont="1" applyAlignment="1">
      <alignment horizontal="center" vertical="center"/>
    </xf>
    <xf numFmtId="0" fontId="67" fillId="0" borderId="0" xfId="4" applyFont="1" applyAlignment="1">
      <alignment horizontal="center" vertical="center"/>
    </xf>
    <xf numFmtId="0" fontId="59" fillId="0" borderId="0" xfId="4" applyFont="1" applyAlignment="1">
      <alignment horizontal="center" vertical="center"/>
    </xf>
    <xf numFmtId="0" fontId="44" fillId="0" borderId="0" xfId="4" applyFont="1" applyAlignment="1">
      <alignment horizontal="right" vertical="center"/>
    </xf>
    <xf numFmtId="173" fontId="63" fillId="0" borderId="0" xfId="4" applyNumberFormat="1" applyFont="1" applyAlignment="1">
      <alignment horizontal="center" vertical="center"/>
    </xf>
    <xf numFmtId="0" fontId="63" fillId="0" borderId="0" xfId="4" applyFont="1" applyAlignment="1">
      <alignment horizontal="right" vertical="center"/>
    </xf>
    <xf numFmtId="0" fontId="3" fillId="0" borderId="0" xfId="4" applyFont="1" applyAlignment="1">
      <alignment horizontal="center" vertical="center" wrapText="1"/>
    </xf>
    <xf numFmtId="0" fontId="3" fillId="0" borderId="0" xfId="4" applyFont="1" applyAlignment="1">
      <alignment horizontal="center" vertical="center" wrapText="1" shrinkToFit="1"/>
    </xf>
    <xf numFmtId="2" fontId="3" fillId="0" borderId="0" xfId="4" applyNumberFormat="1" applyFont="1" applyAlignment="1">
      <alignment horizontal="center" vertical="center"/>
    </xf>
    <xf numFmtId="165" fontId="7" fillId="0" borderId="0" xfId="4" applyNumberFormat="1" applyFont="1" applyAlignment="1">
      <alignment horizontal="center" vertical="center"/>
    </xf>
    <xf numFmtId="165" fontId="3" fillId="0" borderId="0" xfId="4" applyNumberFormat="1" applyFont="1" applyAlignment="1">
      <alignment horizontal="center" vertical="center"/>
    </xf>
    <xf numFmtId="165" fontId="3" fillId="0" borderId="0" xfId="4" applyNumberFormat="1" applyFont="1" applyAlignment="1">
      <alignment horizontal="center" vertical="center" wrapText="1"/>
    </xf>
    <xf numFmtId="165" fontId="3" fillId="0" borderId="0" xfId="4" applyNumberFormat="1" applyFont="1" applyAlignment="1">
      <alignment horizontal="center" vertical="center" wrapText="1" shrinkToFit="1"/>
    </xf>
    <xf numFmtId="0" fontId="25" fillId="9" borderId="39" xfId="0" applyFont="1" applyFill="1" applyBorder="1" applyAlignment="1">
      <alignment vertical="center"/>
    </xf>
    <xf numFmtId="0" fontId="0" fillId="0" borderId="40" xfId="0" applyBorder="1" applyAlignment="1">
      <alignment vertical="center"/>
    </xf>
    <xf numFmtId="0" fontId="0" fillId="0" borderId="41" xfId="0" applyBorder="1" applyAlignment="1">
      <alignment vertical="center"/>
    </xf>
    <xf numFmtId="0" fontId="27" fillId="11" borderId="40" xfId="0" applyFont="1" applyFill="1" applyBorder="1" applyAlignment="1">
      <alignment horizontal="left" vertical="center"/>
    </xf>
    <xf numFmtId="0" fontId="29" fillId="12" borderId="39" xfId="0" applyFont="1" applyFill="1" applyBorder="1" applyAlignment="1">
      <alignment horizontal="left" vertical="center"/>
    </xf>
    <xf numFmtId="0" fontId="30" fillId="12" borderId="40" xfId="0" applyFont="1" applyFill="1" applyBorder="1" applyAlignment="1">
      <alignment horizontal="left" vertical="center"/>
    </xf>
    <xf numFmtId="0" fontId="30" fillId="12" borderId="41" xfId="0" applyFont="1" applyFill="1" applyBorder="1" applyAlignment="1">
      <alignment horizontal="left" vertical="center"/>
    </xf>
    <xf numFmtId="0" fontId="27" fillId="14" borderId="40" xfId="0" applyFont="1" applyFill="1" applyBorder="1" applyAlignment="1">
      <alignment horizontal="left" vertical="center"/>
    </xf>
    <xf numFmtId="1" fontId="39" fillId="17" borderId="43" xfId="0" applyNumberFormat="1" applyFont="1" applyFill="1" applyBorder="1" applyAlignment="1">
      <alignment horizontal="left" vertical="center"/>
    </xf>
    <xf numFmtId="1" fontId="0" fillId="16" borderId="0" xfId="0" applyNumberFormat="1" applyFill="1" applyAlignment="1">
      <alignment horizontal="left" vertical="center"/>
    </xf>
    <xf numFmtId="0" fontId="0" fillId="20" borderId="12" xfId="0" applyFill="1" applyBorder="1" applyAlignment="1">
      <alignment horizontal="center" vertical="center"/>
    </xf>
    <xf numFmtId="0" fontId="0" fillId="0" borderId="14" xfId="0" applyBorder="1" applyAlignment="1">
      <alignment horizontal="center" vertical="center"/>
    </xf>
    <xf numFmtId="49" fontId="0" fillId="12" borderId="0" xfId="0" applyNumberFormat="1" applyFill="1" applyAlignment="1">
      <alignment horizontal="left" vertical="top" wrapText="1"/>
    </xf>
    <xf numFmtId="49" fontId="0" fillId="0" borderId="0" xfId="0" applyNumberFormat="1" applyAlignment="1">
      <alignment horizontal="left" vertical="top" wrapText="1"/>
    </xf>
    <xf numFmtId="0" fontId="43" fillId="10" borderId="0" xfId="0" applyFont="1" applyFill="1" applyAlignment="1">
      <alignment horizontal="left" vertical="center"/>
    </xf>
    <xf numFmtId="0" fontId="0" fillId="10" borderId="0" xfId="0" applyFill="1" applyAlignment="1">
      <alignment horizontal="left" vertical="center"/>
    </xf>
    <xf numFmtId="0" fontId="0" fillId="10" borderId="0" xfId="0" applyFill="1" applyAlignment="1">
      <alignment horizontal="center" vertical="center"/>
    </xf>
    <xf numFmtId="0" fontId="19" fillId="12" borderId="55" xfId="0" applyFont="1" applyFill="1" applyBorder="1" applyAlignment="1">
      <alignment horizontal="center" vertical="center"/>
    </xf>
    <xf numFmtId="0" fontId="19" fillId="12" borderId="51" xfId="0" applyFont="1" applyFill="1" applyBorder="1" applyAlignment="1">
      <alignment horizontal="center" vertical="center"/>
    </xf>
    <xf numFmtId="0" fontId="39" fillId="12" borderId="54" xfId="0" applyFont="1" applyFill="1" applyBorder="1" applyAlignment="1">
      <alignment horizontal="center" vertical="center"/>
    </xf>
    <xf numFmtId="0" fontId="39" fillId="12" borderId="22" xfId="0" applyFont="1" applyFill="1" applyBorder="1" applyAlignment="1">
      <alignment horizontal="center" vertical="center"/>
    </xf>
    <xf numFmtId="0" fontId="39" fillId="12" borderId="52" xfId="0" applyFont="1" applyFill="1" applyBorder="1" applyAlignment="1">
      <alignment horizontal="center" vertical="center"/>
    </xf>
    <xf numFmtId="0" fontId="39" fillId="12" borderId="53"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0" fillId="20" borderId="12" xfId="0" applyFill="1" applyBorder="1" applyAlignment="1">
      <alignment horizontal="left" vertical="center"/>
    </xf>
    <xf numFmtId="0" fontId="0" fillId="20" borderId="10" xfId="0" applyFill="1" applyBorder="1" applyAlignment="1">
      <alignment horizontal="left" vertical="center"/>
    </xf>
    <xf numFmtId="0" fontId="0" fillId="20" borderId="14" xfId="0" applyFill="1" applyBorder="1" applyAlignment="1">
      <alignment horizontal="left" vertical="center"/>
    </xf>
    <xf numFmtId="49" fontId="19" fillId="12" borderId="48" xfId="0" applyNumberFormat="1" applyFont="1" applyFill="1" applyBorder="1" applyAlignment="1">
      <alignment horizontal="left" vertical="top" wrapText="1"/>
    </xf>
    <xf numFmtId="49" fontId="19" fillId="12" borderId="59" xfId="0" applyNumberFormat="1" applyFont="1" applyFill="1" applyBorder="1" applyAlignment="1">
      <alignment horizontal="left" vertical="top" wrapText="1"/>
    </xf>
    <xf numFmtId="49" fontId="19" fillId="12" borderId="60" xfId="0" applyNumberFormat="1" applyFont="1" applyFill="1" applyBorder="1" applyAlignment="1">
      <alignment horizontal="left" vertical="top" wrapText="1"/>
    </xf>
    <xf numFmtId="49" fontId="19" fillId="12" borderId="49" xfId="0" applyNumberFormat="1" applyFont="1" applyFill="1" applyBorder="1" applyAlignment="1">
      <alignment horizontal="left" vertical="top" wrapText="1"/>
    </xf>
    <xf numFmtId="49" fontId="19" fillId="12" borderId="0" xfId="0" applyNumberFormat="1" applyFont="1" applyFill="1" applyAlignment="1">
      <alignment horizontal="left" vertical="top" wrapText="1"/>
    </xf>
    <xf numFmtId="49" fontId="19" fillId="12" borderId="57" xfId="0" applyNumberFormat="1" applyFont="1" applyFill="1" applyBorder="1" applyAlignment="1">
      <alignment horizontal="left" vertical="top" wrapText="1"/>
    </xf>
    <xf numFmtId="0" fontId="0" fillId="0" borderId="49" xfId="0" applyBorder="1"/>
    <xf numFmtId="0" fontId="0" fillId="0" borderId="0" xfId="0"/>
    <xf numFmtId="0" fontId="0" fillId="0" borderId="57" xfId="0" applyBorder="1"/>
    <xf numFmtId="0" fontId="0" fillId="0" borderId="50" xfId="0" applyBorder="1"/>
    <xf numFmtId="0" fontId="0" fillId="0" borderId="56" xfId="0" applyBorder="1"/>
    <xf numFmtId="0" fontId="0" fillId="0" borderId="51" xfId="0" applyBorder="1"/>
    <xf numFmtId="0" fontId="0" fillId="10" borderId="49" xfId="0" applyFill="1" applyBorder="1" applyAlignment="1">
      <alignment horizontal="left" vertical="center"/>
    </xf>
    <xf numFmtId="49" fontId="19" fillId="0" borderId="59" xfId="0" applyNumberFormat="1" applyFont="1" applyBorder="1" applyAlignment="1">
      <alignment horizontal="left" vertical="top" wrapText="1"/>
    </xf>
    <xf numFmtId="49" fontId="19" fillId="0" borderId="60" xfId="0" applyNumberFormat="1" applyFont="1" applyBorder="1" applyAlignment="1">
      <alignment horizontal="left" vertical="top" wrapText="1"/>
    </xf>
    <xf numFmtId="49" fontId="19" fillId="0" borderId="49" xfId="0" applyNumberFormat="1" applyFont="1" applyBorder="1" applyAlignment="1">
      <alignment horizontal="left" vertical="top" wrapText="1"/>
    </xf>
    <xf numFmtId="49" fontId="19" fillId="0" borderId="0" xfId="0" applyNumberFormat="1" applyFont="1" applyAlignment="1">
      <alignment horizontal="left" vertical="top" wrapText="1"/>
    </xf>
    <xf numFmtId="49" fontId="19" fillId="0" borderId="57" xfId="0" applyNumberFormat="1" applyFont="1" applyBorder="1" applyAlignment="1">
      <alignment horizontal="left" vertical="top" wrapText="1"/>
    </xf>
    <xf numFmtId="49" fontId="19" fillId="0" borderId="50" xfId="0" applyNumberFormat="1" applyFont="1" applyBorder="1" applyAlignment="1">
      <alignment horizontal="left" vertical="top" wrapText="1"/>
    </xf>
    <xf numFmtId="49" fontId="19" fillId="0" borderId="56" xfId="0" applyNumberFormat="1" applyFont="1" applyBorder="1" applyAlignment="1">
      <alignment horizontal="left" vertical="top" wrapText="1"/>
    </xf>
    <xf numFmtId="49" fontId="19" fillId="0" borderId="51" xfId="0" applyNumberFormat="1" applyFont="1" applyBorder="1" applyAlignment="1">
      <alignment horizontal="left" vertical="top" wrapText="1"/>
    </xf>
    <xf numFmtId="49" fontId="19" fillId="12" borderId="50" xfId="0" applyNumberFormat="1" applyFont="1" applyFill="1" applyBorder="1" applyAlignment="1">
      <alignment horizontal="left" vertical="top" wrapText="1"/>
    </xf>
    <xf numFmtId="49" fontId="19" fillId="12" borderId="56" xfId="0" applyNumberFormat="1" applyFont="1" applyFill="1" applyBorder="1" applyAlignment="1">
      <alignment horizontal="left" vertical="top" wrapText="1"/>
    </xf>
    <xf numFmtId="49" fontId="19" fillId="12" borderId="51" xfId="0" applyNumberFormat="1" applyFont="1" applyFill="1" applyBorder="1" applyAlignment="1">
      <alignment horizontal="left" vertical="top" wrapText="1"/>
    </xf>
    <xf numFmtId="0" fontId="1" fillId="0" borderId="57" xfId="4" applyBorder="1" applyAlignment="1">
      <alignment horizontal="center" vertical="top" wrapText="1"/>
    </xf>
    <xf numFmtId="0" fontId="1" fillId="0" borderId="57" xfId="4" applyBorder="1" applyAlignment="1">
      <alignment horizontal="center"/>
    </xf>
  </cellXfs>
  <cellStyles count="5">
    <cellStyle name="8 pt helv" xfId="1" xr:uid="{00000000-0005-0000-0000-000000000000}"/>
    <cellStyle name="Hyperlink" xfId="3" builtinId="8"/>
    <cellStyle name="Normal" xfId="0" builtinId="0"/>
    <cellStyle name="Normal 2" xfId="2" xr:uid="{00000000-0005-0000-0000-000003000000}"/>
    <cellStyle name="Normal 3" xfId="4" xr:uid="{F0189EB8-F808-4210-AAF4-6C8430419EEB}"/>
  </cellStyles>
  <dxfs count="0"/>
  <tableStyles count="0" defaultTableStyle="TableStyleMedium9" defaultPivotStyle="PivotStyleLight16"/>
  <colors>
    <mruColors>
      <color rgb="FFFF7C80"/>
      <color rgb="FFFF3300"/>
      <color rgb="FF009999"/>
      <color rgb="FF33CC33"/>
      <color rgb="FF0066CC"/>
      <color rgb="FFFF0066"/>
      <color rgb="FF00FF00"/>
      <color rgb="FF006699"/>
      <color rgb="FFFFCCC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'Data Analysis'!$B$87</c:f>
              <c:strCache>
                <c:ptCount val="1"/>
                <c:pt idx="0">
                  <c:v>Ni-Cat. Reaction</c:v>
                </c:pt>
              </c:strCache>
            </c:strRef>
          </c:tx>
          <c:spPr>
            <a:solidFill>
              <a:schemeClr val="bg1">
                <a:lumMod val="50000"/>
              </a:schemeClr>
            </a:solidFill>
            <a:ln>
              <a:noFill/>
            </a:ln>
            <a:effectLst/>
            <a:sp3d/>
          </c:spPr>
          <c:invertIfNegative val="0"/>
          <c:cat>
            <c:strRef>
              <c:f>'Data Analysis'!$A$88:$A$93</c:f>
              <c:strCache>
                <c:ptCount val="6"/>
                <c:pt idx="0">
                  <c:v>   Reagents and Materials</c:v>
                </c:pt>
                <c:pt idx="1">
                  <c:v>Coupling Partners</c:v>
                </c:pt>
                <c:pt idx="2">
                  <c:v>Solvents</c:v>
                </c:pt>
                <c:pt idx="3">
                  <c:v>H2O</c:v>
                </c:pt>
                <c:pt idx="4">
                  <c:v>Metals</c:v>
                </c:pt>
                <c:pt idx="5">
                  <c:v>Total</c:v>
                </c:pt>
              </c:strCache>
            </c:strRef>
          </c:cat>
          <c:val>
            <c:numRef>
              <c:f>'Data Analysis'!$B$88:$B$93</c:f>
              <c:numCache>
                <c:formatCode>_ [$USD]\ * #,##0_ ;_ [$USD]\ * \-#,##0_ ;_ [$USD]\ * "-"_ ;_ @_ </c:formatCode>
                <c:ptCount val="6"/>
                <c:pt idx="0">
                  <c:v>5451.353630451501</c:v>
                </c:pt>
                <c:pt idx="1">
                  <c:v>10728.087999999916</c:v>
                </c:pt>
                <c:pt idx="2">
                  <c:v>12185.68452819939</c:v>
                </c:pt>
                <c:pt idx="3">
                  <c:v>456.36516048144415</c:v>
                </c:pt>
                <c:pt idx="4">
                  <c:v>17.387999999923522</c:v>
                </c:pt>
                <c:pt idx="5">
                  <c:v>28838.879319132171</c:v>
                </c:pt>
              </c:numCache>
            </c:numRef>
          </c:val>
          <c:extLst>
            <c:ext xmlns:c16="http://schemas.microsoft.com/office/drawing/2014/chart" uri="{C3380CC4-5D6E-409C-BE32-E72D297353CC}">
              <c16:uniqueId val="{00000000-64BF-453C-A788-A834B9374ABE}"/>
            </c:ext>
          </c:extLst>
        </c:ser>
        <c:ser>
          <c:idx val="1"/>
          <c:order val="1"/>
          <c:tx>
            <c:strRef>
              <c:f>'Data Analysis'!$C$87</c:f>
              <c:strCache>
                <c:ptCount val="1"/>
                <c:pt idx="0">
                  <c:v>Reaction using Pd-nanocat.</c:v>
                </c:pt>
              </c:strCache>
            </c:strRef>
          </c:tx>
          <c:spPr>
            <a:solidFill>
              <a:schemeClr val="tx1">
                <a:lumMod val="75000"/>
                <a:lumOff val="25000"/>
              </a:schemeClr>
            </a:solidFill>
            <a:ln>
              <a:noFill/>
            </a:ln>
            <a:effectLst/>
            <a:sp3d/>
          </c:spPr>
          <c:invertIfNegative val="0"/>
          <c:cat>
            <c:strRef>
              <c:f>'Data Analysis'!$A$88:$A$93</c:f>
              <c:strCache>
                <c:ptCount val="6"/>
                <c:pt idx="0">
                  <c:v>   Reagents and Materials</c:v>
                </c:pt>
                <c:pt idx="1">
                  <c:v>Coupling Partners</c:v>
                </c:pt>
                <c:pt idx="2">
                  <c:v>Solvents</c:v>
                </c:pt>
                <c:pt idx="3">
                  <c:v>H2O</c:v>
                </c:pt>
                <c:pt idx="4">
                  <c:v>Metals</c:v>
                </c:pt>
                <c:pt idx="5">
                  <c:v>Total</c:v>
                </c:pt>
              </c:strCache>
            </c:strRef>
          </c:cat>
          <c:val>
            <c:numRef>
              <c:f>'Data Analysis'!$C$88:$C$93</c:f>
              <c:numCache>
                <c:formatCode>_ [$USD]\ * #,##0_ ;_ [$USD]\ * \-#,##0_ ;_ [$USD]\ * "-"_ ;_ @_ </c:formatCode>
                <c:ptCount val="6"/>
                <c:pt idx="0">
                  <c:v>7473.043709829155</c:v>
                </c:pt>
                <c:pt idx="1">
                  <c:v>5396.0239999999931</c:v>
                </c:pt>
                <c:pt idx="2">
                  <c:v>10210.639438370306</c:v>
                </c:pt>
                <c:pt idx="3">
                  <c:v>178.7607286860582</c:v>
                </c:pt>
                <c:pt idx="4">
                  <c:v>36.449999999138072</c:v>
                </c:pt>
                <c:pt idx="5">
                  <c:v>23294.917876884654</c:v>
                </c:pt>
              </c:numCache>
            </c:numRef>
          </c:val>
          <c:extLst>
            <c:ext xmlns:c16="http://schemas.microsoft.com/office/drawing/2014/chart" uri="{C3380CC4-5D6E-409C-BE32-E72D297353CC}">
              <c16:uniqueId val="{00000001-64BF-453C-A788-A834B9374ABE}"/>
            </c:ext>
          </c:extLst>
        </c:ser>
        <c:dLbls>
          <c:showLegendKey val="0"/>
          <c:showVal val="0"/>
          <c:showCatName val="0"/>
          <c:showSerName val="0"/>
          <c:showPercent val="0"/>
          <c:showBubbleSize val="0"/>
        </c:dLbls>
        <c:gapWidth val="150"/>
        <c:shape val="box"/>
        <c:axId val="20994863"/>
        <c:axId val="1554979200"/>
        <c:axId val="0"/>
      </c:bar3DChart>
      <c:catAx>
        <c:axId val="20994863"/>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54979200"/>
        <c:crosses val="autoZero"/>
        <c:auto val="1"/>
        <c:lblAlgn val="ctr"/>
        <c:lblOffset val="100"/>
        <c:noMultiLvlLbl val="0"/>
      </c:catAx>
      <c:valAx>
        <c:axId val="1554979200"/>
        <c:scaling>
          <c:orientation val="minMax"/>
        </c:scaling>
        <c:delete val="1"/>
        <c:axPos val="l"/>
        <c:majorGridlines>
          <c:spPr>
            <a:ln w="9525" cap="flat" cmpd="sng" algn="ctr">
              <a:noFill/>
              <a:round/>
            </a:ln>
            <a:effectLst/>
          </c:spPr>
        </c:majorGridlines>
        <c:numFmt formatCode="_ [$USD]\ * #,##0_ ;_ [$USD]\ * \-#,##0_ ;_ [$USD]\ * &quot;-&quot;_ ;_ @_ " sourceLinked="1"/>
        <c:majorTickMark val="none"/>
        <c:minorTickMark val="none"/>
        <c:tickLblPos val="nextTo"/>
        <c:crossAx val="209948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0"/>
          <c:order val="0"/>
          <c:tx>
            <c:strRef>
              <c:f>'Data Analysis'!$A$109</c:f>
              <c:strCache>
                <c:ptCount val="1"/>
                <c:pt idx="0">
                  <c:v>Ni-Cat. Reaction</c:v>
                </c:pt>
              </c:strCache>
            </c:strRef>
          </c:tx>
          <c:spPr>
            <a:solidFill>
              <a:srgbClr val="BE3455">
                <a:alpha val="30000"/>
              </a:srgbClr>
            </a:solidFill>
            <a:ln w="25400">
              <a:solidFill>
                <a:srgbClr val="BE3455"/>
              </a:solidFill>
            </a:ln>
            <a:effectLst/>
          </c:spPr>
          <c:cat>
            <c:strRef>
              <c:f>'Data Analysis'!$B$108:$S$108</c:f>
              <c:strCache>
                <c:ptCount val="18"/>
                <c:pt idx="0">
                  <c:v>Acidification</c:v>
                </c:pt>
                <c:pt idx="1">
                  <c:v>Climate Change (Prod.)</c:v>
                </c:pt>
                <c:pt idx="2">
                  <c:v>Climate Change (Inc.)</c:v>
                </c:pt>
                <c:pt idx="3">
                  <c:v>Climate Change (Tot.)</c:v>
                </c:pt>
                <c:pt idx="4">
                  <c:v>EcoTox Freshwater</c:v>
                </c:pt>
                <c:pt idx="5">
                  <c:v>Fossil Resources</c:v>
                </c:pt>
                <c:pt idx="6">
                  <c:v>Eutroph. Freshwater</c:v>
                </c:pt>
                <c:pt idx="7">
                  <c:v>Eutroph. Marine</c:v>
                </c:pt>
                <c:pt idx="8">
                  <c:v>Eutroph. Terr.</c:v>
                </c:pt>
                <c:pt idx="9">
                  <c:v>Human Tox. (carc.)</c:v>
                </c:pt>
                <c:pt idx="10">
                  <c:v>Human Tox. (non-carc.)</c:v>
                </c:pt>
                <c:pt idx="11">
                  <c:v>Ionizing Rad.</c:v>
                </c:pt>
                <c:pt idx="12">
                  <c:v>Land Use</c:v>
                </c:pt>
                <c:pt idx="13">
                  <c:v>Mineral and Metal Resources</c:v>
                </c:pt>
                <c:pt idx="14">
                  <c:v>Ozone Depletion</c:v>
                </c:pt>
                <c:pt idx="15">
                  <c:v>Particulate Matter</c:v>
                </c:pt>
                <c:pt idx="16">
                  <c:v>Ozone Formation</c:v>
                </c:pt>
                <c:pt idx="17">
                  <c:v>Water Resources</c:v>
                </c:pt>
              </c:strCache>
            </c:strRef>
          </c:cat>
          <c:val>
            <c:numRef>
              <c:f>'Data Analysis'!$B$109:$S$109</c:f>
              <c:numCache>
                <c:formatCode>0.0</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24.437428713079509</c:v>
                </c:pt>
                <c:pt idx="15">
                  <c:v>100</c:v>
                </c:pt>
                <c:pt idx="16">
                  <c:v>100</c:v>
                </c:pt>
                <c:pt idx="17">
                  <c:v>100</c:v>
                </c:pt>
              </c:numCache>
            </c:numRef>
          </c:val>
          <c:extLst>
            <c:ext xmlns:c16="http://schemas.microsoft.com/office/drawing/2014/chart" uri="{C3380CC4-5D6E-409C-BE32-E72D297353CC}">
              <c16:uniqueId val="{00000000-7C7B-4AE5-9BFB-04ECF6AF6512}"/>
            </c:ext>
          </c:extLst>
        </c:ser>
        <c:ser>
          <c:idx val="1"/>
          <c:order val="1"/>
          <c:tx>
            <c:strRef>
              <c:f>'Data Analysis'!$A$110</c:f>
              <c:strCache>
                <c:ptCount val="1"/>
                <c:pt idx="0">
                  <c:v>Reaction using Pd-nanocat.</c:v>
                </c:pt>
              </c:strCache>
            </c:strRef>
          </c:tx>
          <c:spPr>
            <a:solidFill>
              <a:srgbClr val="5B9397">
                <a:alpha val="30000"/>
              </a:srgbClr>
            </a:solidFill>
            <a:ln w="25400">
              <a:solidFill>
                <a:srgbClr val="5B9397"/>
              </a:solidFill>
            </a:ln>
            <a:effectLst/>
          </c:spPr>
          <c:cat>
            <c:strRef>
              <c:f>'Data Analysis'!$B$108:$S$108</c:f>
              <c:strCache>
                <c:ptCount val="18"/>
                <c:pt idx="0">
                  <c:v>Acidification</c:v>
                </c:pt>
                <c:pt idx="1">
                  <c:v>Climate Change (Prod.)</c:v>
                </c:pt>
                <c:pt idx="2">
                  <c:v>Climate Change (Inc.)</c:v>
                </c:pt>
                <c:pt idx="3">
                  <c:v>Climate Change (Tot.)</c:v>
                </c:pt>
                <c:pt idx="4">
                  <c:v>EcoTox Freshwater</c:v>
                </c:pt>
                <c:pt idx="5">
                  <c:v>Fossil Resources</c:v>
                </c:pt>
                <c:pt idx="6">
                  <c:v>Eutroph. Freshwater</c:v>
                </c:pt>
                <c:pt idx="7">
                  <c:v>Eutroph. Marine</c:v>
                </c:pt>
                <c:pt idx="8">
                  <c:v>Eutroph. Terr.</c:v>
                </c:pt>
                <c:pt idx="9">
                  <c:v>Human Tox. (carc.)</c:v>
                </c:pt>
                <c:pt idx="10">
                  <c:v>Human Tox. (non-carc.)</c:v>
                </c:pt>
                <c:pt idx="11">
                  <c:v>Ionizing Rad.</c:v>
                </c:pt>
                <c:pt idx="12">
                  <c:v>Land Use</c:v>
                </c:pt>
                <c:pt idx="13">
                  <c:v>Mineral and Metal Resources</c:v>
                </c:pt>
                <c:pt idx="14">
                  <c:v>Ozone Depletion</c:v>
                </c:pt>
                <c:pt idx="15">
                  <c:v>Particulate Matter</c:v>
                </c:pt>
                <c:pt idx="16">
                  <c:v>Ozone Formation</c:v>
                </c:pt>
                <c:pt idx="17">
                  <c:v>Water Resources</c:v>
                </c:pt>
              </c:strCache>
            </c:strRef>
          </c:cat>
          <c:val>
            <c:numRef>
              <c:f>'Data Analysis'!$B$110:$S$110</c:f>
              <c:numCache>
                <c:formatCode>0.0</c:formatCode>
                <c:ptCount val="18"/>
                <c:pt idx="0">
                  <c:v>63.475214422802232</c:v>
                </c:pt>
                <c:pt idx="1">
                  <c:v>62.464596431177675</c:v>
                </c:pt>
                <c:pt idx="2">
                  <c:v>72.490252224515686</c:v>
                </c:pt>
                <c:pt idx="3">
                  <c:v>66.823859800343996</c:v>
                </c:pt>
                <c:pt idx="4">
                  <c:v>66.408492939884695</c:v>
                </c:pt>
                <c:pt idx="5">
                  <c:v>64.38788837779164</c:v>
                </c:pt>
                <c:pt idx="6">
                  <c:v>48.96381164982963</c:v>
                </c:pt>
                <c:pt idx="7">
                  <c:v>61.271625854833488</c:v>
                </c:pt>
                <c:pt idx="8">
                  <c:v>63.599197401762119</c:v>
                </c:pt>
                <c:pt idx="9">
                  <c:v>61.29627165416278</c:v>
                </c:pt>
                <c:pt idx="10">
                  <c:v>54.062600168087862</c:v>
                </c:pt>
                <c:pt idx="11">
                  <c:v>56.359902466109858</c:v>
                </c:pt>
                <c:pt idx="12">
                  <c:v>58.669391957952357</c:v>
                </c:pt>
                <c:pt idx="13">
                  <c:v>50.60973151562834</c:v>
                </c:pt>
                <c:pt idx="14">
                  <c:v>100</c:v>
                </c:pt>
                <c:pt idx="15">
                  <c:v>67.223579839644401</c:v>
                </c:pt>
                <c:pt idx="16">
                  <c:v>65.954795072536911</c:v>
                </c:pt>
                <c:pt idx="17">
                  <c:v>52.701940222861268</c:v>
                </c:pt>
              </c:numCache>
            </c:numRef>
          </c:val>
          <c:extLst>
            <c:ext xmlns:c16="http://schemas.microsoft.com/office/drawing/2014/chart" uri="{C3380CC4-5D6E-409C-BE32-E72D297353CC}">
              <c16:uniqueId val="{00000001-7C7B-4AE5-9BFB-04ECF6AF6512}"/>
            </c:ext>
          </c:extLst>
        </c:ser>
        <c:dLbls>
          <c:showLegendKey val="0"/>
          <c:showVal val="0"/>
          <c:showCatName val="0"/>
          <c:showSerName val="0"/>
          <c:showPercent val="0"/>
          <c:showBubbleSize val="0"/>
        </c:dLbls>
        <c:axId val="875466815"/>
        <c:axId val="865122111"/>
      </c:radarChart>
      <c:catAx>
        <c:axId val="875466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65122111"/>
        <c:crosses val="autoZero"/>
        <c:auto val="1"/>
        <c:lblAlgn val="ctr"/>
        <c:lblOffset val="100"/>
        <c:noMultiLvlLbl val="0"/>
      </c:catAx>
      <c:valAx>
        <c:axId val="865122111"/>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de-DE"/>
          </a:p>
        </c:txPr>
        <c:crossAx val="875466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10</xdr:col>
      <xdr:colOff>142874</xdr:colOff>
      <xdr:row>1</xdr:row>
      <xdr:rowOff>127000</xdr:rowOff>
    </xdr:from>
    <xdr:to>
      <xdr:col>20</xdr:col>
      <xdr:colOff>94922</xdr:colOff>
      <xdr:row>17</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6334124" y="288925"/>
          <a:ext cx="6143298" cy="2463800"/>
        </a:xfrm>
        <a:prstGeom prst="rect">
          <a:avLst/>
        </a:prstGeom>
      </xdr:spPr>
    </xdr:pic>
    <xdr:clientData/>
  </xdr:twoCellAnchor>
  <xdr:twoCellAnchor editAs="oneCell">
    <xdr:from>
      <xdr:col>0</xdr:col>
      <xdr:colOff>44970</xdr:colOff>
      <xdr:row>0</xdr:row>
      <xdr:rowOff>63500</xdr:rowOff>
    </xdr:from>
    <xdr:to>
      <xdr:col>9</xdr:col>
      <xdr:colOff>576577</xdr:colOff>
      <xdr:row>51</xdr:row>
      <xdr:rowOff>103133</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44970" y="63500"/>
          <a:ext cx="6103732" cy="82978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672854</xdr:colOff>
      <xdr:row>68</xdr:row>
      <xdr:rowOff>114378</xdr:rowOff>
    </xdr:from>
    <xdr:to>
      <xdr:col>20</xdr:col>
      <xdr:colOff>602673</xdr:colOff>
      <xdr:row>87</xdr:row>
      <xdr:rowOff>133904</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083429" y="12430203"/>
          <a:ext cx="5025694" cy="3219926"/>
        </a:xfrm>
        <a:prstGeom prst="rect">
          <a:avLst/>
        </a:prstGeom>
      </xdr:spPr>
    </xdr:pic>
    <xdr:clientData/>
  </xdr:twoCellAnchor>
  <xdr:twoCellAnchor editAs="oneCell">
    <xdr:from>
      <xdr:col>12</xdr:col>
      <xdr:colOff>649376</xdr:colOff>
      <xdr:row>2</xdr:row>
      <xdr:rowOff>96369</xdr:rowOff>
    </xdr:from>
    <xdr:to>
      <xdr:col>20</xdr:col>
      <xdr:colOff>554632</xdr:colOff>
      <xdr:row>45</xdr:row>
      <xdr:rowOff>6722</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9059951" y="610719"/>
          <a:ext cx="5001131" cy="70255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18489</xdr:colOff>
      <xdr:row>5</xdr:row>
      <xdr:rowOff>82924</xdr:rowOff>
    </xdr:from>
    <xdr:to>
      <xdr:col>19</xdr:col>
      <xdr:colOff>228801</xdr:colOff>
      <xdr:row>18</xdr:row>
      <xdr:rowOff>32496</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117665" y="1113865"/>
          <a:ext cx="3975489" cy="2112307"/>
        </a:xfrm>
        <a:prstGeom prst="rect">
          <a:avLst/>
        </a:prstGeom>
      </xdr:spPr>
    </xdr:pic>
    <xdr:clientData/>
  </xdr:twoCellAnchor>
  <xdr:twoCellAnchor editAs="oneCell">
    <xdr:from>
      <xdr:col>12</xdr:col>
      <xdr:colOff>684678</xdr:colOff>
      <xdr:row>0</xdr:row>
      <xdr:rowOff>140416</xdr:rowOff>
    </xdr:from>
    <xdr:to>
      <xdr:col>22</xdr:col>
      <xdr:colOff>224501</xdr:colOff>
      <xdr:row>4</xdr:row>
      <xdr:rowOff>153199</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9089090" y="140416"/>
          <a:ext cx="5882352" cy="886842"/>
        </a:xfrm>
        <a:prstGeom prst="rect">
          <a:avLst/>
        </a:prstGeom>
      </xdr:spPr>
    </xdr:pic>
    <xdr:clientData/>
  </xdr:twoCellAnchor>
  <xdr:twoCellAnchor editAs="oneCell">
    <xdr:from>
      <xdr:col>12</xdr:col>
      <xdr:colOff>675154</xdr:colOff>
      <xdr:row>18</xdr:row>
      <xdr:rowOff>124018</xdr:rowOff>
    </xdr:from>
    <xdr:to>
      <xdr:col>19</xdr:col>
      <xdr:colOff>237565</xdr:colOff>
      <xdr:row>39</xdr:row>
      <xdr:rowOff>55932</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9079566" y="3317694"/>
          <a:ext cx="4022352" cy="3069562"/>
        </a:xfrm>
        <a:prstGeom prst="rect">
          <a:avLst/>
        </a:prstGeom>
      </xdr:spPr>
    </xdr:pic>
    <xdr:clientData/>
  </xdr:twoCellAnchor>
  <xdr:twoCellAnchor editAs="oneCell">
    <xdr:from>
      <xdr:col>12</xdr:col>
      <xdr:colOff>687766</xdr:colOff>
      <xdr:row>39</xdr:row>
      <xdr:rowOff>39727</xdr:rowOff>
    </xdr:from>
    <xdr:to>
      <xdr:col>19</xdr:col>
      <xdr:colOff>212351</xdr:colOff>
      <xdr:row>64</xdr:row>
      <xdr:rowOff>1469</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9092178" y="6371051"/>
          <a:ext cx="3984526" cy="46009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23532</xdr:colOff>
      <xdr:row>93</xdr:row>
      <xdr:rowOff>122891</xdr:rowOff>
    </xdr:from>
    <xdr:to>
      <xdr:col>3</xdr:col>
      <xdr:colOff>2867</xdr:colOff>
      <xdr:row>104</xdr:row>
      <xdr:rowOff>83881</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179295</xdr:colOff>
      <xdr:row>111</xdr:row>
      <xdr:rowOff>44824</xdr:rowOff>
    </xdr:from>
    <xdr:to>
      <xdr:col>3</xdr:col>
      <xdr:colOff>941136</xdr:colOff>
      <xdr:row>127</xdr:row>
      <xdr:rowOff>53857</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1619250</xdr:colOff>
          <xdr:row>1</xdr:row>
          <xdr:rowOff>152400</xdr:rowOff>
        </xdr:from>
        <xdr:to>
          <xdr:col>1</xdr:col>
          <xdr:colOff>2813050</xdr:colOff>
          <xdr:row>1</xdr:row>
          <xdr:rowOff>1238250</xdr:rowOff>
        </xdr:to>
        <xdr:sp macro="" textlink="">
          <xdr:nvSpPr>
            <xdr:cNvPr id="7170" name="Object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647382</xdr:colOff>
      <xdr:row>49</xdr:row>
      <xdr:rowOff>41009</xdr:rowOff>
    </xdr:from>
    <xdr:to>
      <xdr:col>20</xdr:col>
      <xdr:colOff>314325</xdr:colOff>
      <xdr:row>58</xdr:row>
      <xdr:rowOff>112173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9019857" y="8337284"/>
          <a:ext cx="4686618" cy="1642789"/>
        </a:xfrm>
        <a:prstGeom prst="rect">
          <a:avLst/>
        </a:prstGeom>
      </xdr:spPr>
    </xdr:pic>
    <xdr:clientData/>
  </xdr:twoCellAnchor>
  <xdr:twoCellAnchor editAs="oneCell">
    <xdr:from>
      <xdr:col>13</xdr:col>
      <xdr:colOff>42725</xdr:colOff>
      <xdr:row>10</xdr:row>
      <xdr:rowOff>57150</xdr:rowOff>
    </xdr:from>
    <xdr:to>
      <xdr:col>20</xdr:col>
      <xdr:colOff>353892</xdr:colOff>
      <xdr:row>48</xdr:row>
      <xdr:rowOff>152400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9101000" y="1933575"/>
          <a:ext cx="4645042" cy="6353175"/>
        </a:xfrm>
        <a:prstGeom prst="rect">
          <a:avLst/>
        </a:prstGeom>
      </xdr:spPr>
    </xdr:pic>
    <xdr:clientData/>
  </xdr:twoCellAnchor>
  <xdr:twoCellAnchor editAs="oneCell">
    <xdr:from>
      <xdr:col>13</xdr:col>
      <xdr:colOff>17264</xdr:colOff>
      <xdr:row>1</xdr:row>
      <xdr:rowOff>11241</xdr:rowOff>
    </xdr:from>
    <xdr:to>
      <xdr:col>20</xdr:col>
      <xdr:colOff>381000</xdr:colOff>
      <xdr:row>9</xdr:row>
      <xdr:rowOff>153544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9075539" y="249366"/>
          <a:ext cx="4697611" cy="16091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606784</xdr:colOff>
      <xdr:row>0</xdr:row>
      <xdr:rowOff>226945</xdr:rowOff>
    </xdr:from>
    <xdr:to>
      <xdr:col>24</xdr:col>
      <xdr:colOff>122427</xdr:colOff>
      <xdr:row>15</xdr:row>
      <xdr:rowOff>829</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8981164" y="226945"/>
          <a:ext cx="6994673" cy="25361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674687</xdr:colOff>
      <xdr:row>1</xdr:row>
      <xdr:rowOff>10796</xdr:rowOff>
    </xdr:from>
    <xdr:to>
      <xdr:col>27</xdr:col>
      <xdr:colOff>15222</xdr:colOff>
      <xdr:row>14</xdr:row>
      <xdr:rowOff>150814</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9056687" y="250992"/>
          <a:ext cx="8724731" cy="2517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243203</xdr:colOff>
      <xdr:row>0</xdr:row>
      <xdr:rowOff>140970</xdr:rowOff>
    </xdr:from>
    <xdr:to>
      <xdr:col>19</xdr:col>
      <xdr:colOff>241934</xdr:colOff>
      <xdr:row>13</xdr:row>
      <xdr:rowOff>59271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529703" y="140970"/>
          <a:ext cx="5656581" cy="2023326"/>
        </a:xfrm>
        <a:prstGeom prst="rect">
          <a:avLst/>
        </a:prstGeom>
      </xdr:spPr>
    </xdr:pic>
    <xdr:clientData/>
  </xdr:twoCellAnchor>
  <xdr:twoCellAnchor editAs="oneCell">
    <xdr:from>
      <xdr:col>0</xdr:col>
      <xdr:colOff>189231</xdr:colOff>
      <xdr:row>0</xdr:row>
      <xdr:rowOff>128270</xdr:rowOff>
    </xdr:from>
    <xdr:to>
      <xdr:col>9</xdr:col>
      <xdr:colOff>416746</xdr:colOff>
      <xdr:row>37</xdr:row>
      <xdr:rowOff>109808</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89231" y="128270"/>
          <a:ext cx="5885365" cy="59727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1631950</xdr:colOff>
          <xdr:row>1</xdr:row>
          <xdr:rowOff>152400</xdr:rowOff>
        </xdr:from>
        <xdr:to>
          <xdr:col>1</xdr:col>
          <xdr:colOff>2813050</xdr:colOff>
          <xdr:row>1</xdr:row>
          <xdr:rowOff>1250950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13</xdr:col>
      <xdr:colOff>6350</xdr:colOff>
      <xdr:row>25</xdr:row>
      <xdr:rowOff>114301</xdr:rowOff>
    </xdr:from>
    <xdr:to>
      <xdr:col>21</xdr:col>
      <xdr:colOff>467293</xdr:colOff>
      <xdr:row>42</xdr:row>
      <xdr:rowOff>6350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112250" y="4524376"/>
          <a:ext cx="5490143" cy="2482849"/>
        </a:xfrm>
        <a:prstGeom prst="rect">
          <a:avLst/>
        </a:prstGeom>
      </xdr:spPr>
    </xdr:pic>
    <xdr:clientData/>
  </xdr:twoCellAnchor>
  <xdr:twoCellAnchor editAs="oneCell">
    <xdr:from>
      <xdr:col>13</xdr:col>
      <xdr:colOff>25401</xdr:colOff>
      <xdr:row>1</xdr:row>
      <xdr:rowOff>25400</xdr:rowOff>
    </xdr:from>
    <xdr:to>
      <xdr:col>21</xdr:col>
      <xdr:colOff>470033</xdr:colOff>
      <xdr:row>23</xdr:row>
      <xdr:rowOff>97652</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9131301" y="263525"/>
          <a:ext cx="5473832" cy="39203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604838</xdr:colOff>
      <xdr:row>1</xdr:row>
      <xdr:rowOff>28575</xdr:rowOff>
    </xdr:from>
    <xdr:to>
      <xdr:col>24</xdr:col>
      <xdr:colOff>88096</xdr:colOff>
      <xdr:row>15</xdr:row>
      <xdr:rowOff>44394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8998744" y="266700"/>
          <a:ext cx="7115165" cy="25399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png"/><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3.png"/><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999"/>
  </sheetPr>
  <dimension ref="A1"/>
  <sheetViews>
    <sheetView tabSelected="1" topLeftCell="A6" zoomScale="80" zoomScaleNormal="80" workbookViewId="0">
      <selection activeCell="M28" sqref="M28"/>
    </sheetView>
  </sheetViews>
  <sheetFormatPr defaultColWidth="9.26953125" defaultRowHeight="12.5" x14ac:dyDescent="0.25"/>
  <cols>
    <col min="1" max="16384" width="9.26953125" style="22"/>
  </cols>
  <sheetData/>
  <sheetProtection algorithmName="SHA-512" hashValue="rtXoEay2n2l0Z6f3+xIxYufMRe/zFsXx0NLfaLFvSnolt9Oy/PxrLnUIH9T1eC0A7TOhZOWXCjswwMPrD1EYeA==" saltValue="+Rw9aeNMKrhgYirvQAH5aQ==" spinCount="100000" sheet="1" objects="1" scenarios="1" selectLockedCells="1" selectUnlockedCell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32659-5004-4974-BBA0-E8A899D01653}">
  <sheetPr>
    <tabColor rgb="FF38DC8E"/>
    <pageSetUpPr fitToPage="1"/>
  </sheetPr>
  <dimension ref="B1:P1300"/>
  <sheetViews>
    <sheetView showGridLines="0" zoomScale="80" zoomScaleNormal="80" zoomScaleSheetLayoutView="100" workbookViewId="0">
      <selection activeCell="N2" sqref="N2"/>
    </sheetView>
  </sheetViews>
  <sheetFormatPr defaultColWidth="9.453125" defaultRowHeight="12.5" outlineLevelRow="1" x14ac:dyDescent="0.25"/>
  <cols>
    <col min="1" max="1" width="2.453125" style="36" customWidth="1"/>
    <col min="2" max="2" width="64.453125" style="139" bestFit="1" customWidth="1"/>
    <col min="3" max="3" width="17.54296875" style="36" customWidth="1"/>
    <col min="4" max="4" width="10.453125" style="36" bestFit="1" customWidth="1"/>
    <col min="5" max="5" width="10.453125" style="36" hidden="1" customWidth="1"/>
    <col min="6" max="8" width="10.453125" style="36" customWidth="1"/>
    <col min="9" max="12" width="10.453125" style="36" hidden="1" customWidth="1"/>
    <col min="13" max="13" width="10.453125" style="36" customWidth="1"/>
    <col min="14" max="15" width="9.453125" style="36" customWidth="1"/>
    <col min="16" max="16384" width="9.453125" style="36"/>
  </cols>
  <sheetData>
    <row r="1" spans="2:16" s="26" customFormat="1" ht="18.5" thickBot="1" x14ac:dyDescent="0.3">
      <c r="B1" s="24"/>
      <c r="C1" s="25"/>
      <c r="D1" s="25"/>
      <c r="I1" s="27"/>
      <c r="J1" s="27"/>
      <c r="N1" s="160"/>
      <c r="O1" s="160"/>
      <c r="P1" s="160"/>
    </row>
    <row r="2" spans="2:16" ht="21" thickTop="1" thickBot="1" x14ac:dyDescent="0.3">
      <c r="B2" s="28" t="s">
        <v>75</v>
      </c>
      <c r="C2" s="29"/>
      <c r="D2" s="30" t="s">
        <v>145</v>
      </c>
      <c r="E2" s="31"/>
      <c r="F2" s="32" t="s">
        <v>27</v>
      </c>
      <c r="G2" s="33"/>
      <c r="H2" s="33"/>
      <c r="I2" s="34"/>
      <c r="J2" s="35"/>
      <c r="K2" s="34"/>
      <c r="L2" s="35"/>
      <c r="N2" s="283" t="s">
        <v>146</v>
      </c>
      <c r="O2" s="60"/>
      <c r="P2" s="60"/>
    </row>
    <row r="3" spans="2:16" ht="14.5" thickBot="1" x14ac:dyDescent="0.3">
      <c r="B3" s="37"/>
      <c r="C3" s="38" t="s">
        <v>0</v>
      </c>
      <c r="D3" s="39" t="s">
        <v>1</v>
      </c>
      <c r="E3" s="40"/>
      <c r="F3" s="41" t="s">
        <v>28</v>
      </c>
      <c r="G3" s="41" t="s">
        <v>21</v>
      </c>
      <c r="H3" s="41" t="s">
        <v>8</v>
      </c>
      <c r="I3" s="42"/>
      <c r="J3" s="42"/>
      <c r="K3" s="34"/>
    </row>
    <row r="4" spans="2:16" ht="13" x14ac:dyDescent="0.25">
      <c r="B4" s="43" t="s">
        <v>65</v>
      </c>
      <c r="C4" s="161">
        <f>1.638*1.6</f>
        <v>2.6208</v>
      </c>
      <c r="D4" s="45" t="s">
        <v>22</v>
      </c>
      <c r="E4" s="46"/>
      <c r="F4" s="47"/>
      <c r="G4" s="47"/>
      <c r="H4" s="47"/>
      <c r="I4" s="48"/>
      <c r="J4" s="48"/>
      <c r="K4" s="34"/>
      <c r="N4" s="60"/>
      <c r="O4" s="60"/>
      <c r="P4" s="60"/>
    </row>
    <row r="5" spans="2:16" ht="13" x14ac:dyDescent="0.25">
      <c r="B5" s="43" t="s">
        <v>64</v>
      </c>
      <c r="C5" s="162">
        <v>1</v>
      </c>
      <c r="D5" s="45" t="s">
        <v>3</v>
      </c>
      <c r="E5" s="46"/>
      <c r="F5" s="47"/>
      <c r="G5" s="47"/>
      <c r="H5" s="47"/>
      <c r="I5" s="50"/>
      <c r="J5" s="50"/>
      <c r="N5" s="60"/>
      <c r="O5" s="60"/>
      <c r="P5" s="60"/>
    </row>
    <row r="6" spans="2:16" ht="13" x14ac:dyDescent="0.25">
      <c r="B6" s="51" t="s">
        <v>63</v>
      </c>
      <c r="C6" s="163">
        <f>C4*C5</f>
        <v>2.6208</v>
      </c>
      <c r="D6" s="45" t="str">
        <f>D4</f>
        <v>g</v>
      </c>
      <c r="E6" s="46"/>
      <c r="F6" s="47"/>
      <c r="G6" s="47"/>
      <c r="H6" s="47"/>
      <c r="I6" s="53"/>
      <c r="J6" s="53"/>
      <c r="N6" s="60"/>
      <c r="O6" s="60"/>
      <c r="P6" s="60"/>
    </row>
    <row r="7" spans="2:16" ht="14" x14ac:dyDescent="0.25">
      <c r="B7" s="54" t="s">
        <v>4</v>
      </c>
      <c r="C7" s="164">
        <v>0.59</v>
      </c>
      <c r="D7" s="56"/>
      <c r="E7" s="57"/>
      <c r="F7" s="58"/>
      <c r="G7" s="58"/>
      <c r="H7" s="58"/>
      <c r="I7" s="34"/>
      <c r="J7" s="53"/>
      <c r="L7" s="53"/>
      <c r="N7" s="60"/>
      <c r="O7" s="60"/>
      <c r="P7" s="60"/>
    </row>
    <row r="8" spans="2:16" ht="13" x14ac:dyDescent="0.25">
      <c r="B8" s="43" t="s">
        <v>66</v>
      </c>
      <c r="C8" s="161">
        <v>3.32</v>
      </c>
      <c r="D8" s="45" t="str">
        <f>D4</f>
        <v>g</v>
      </c>
      <c r="E8" s="46"/>
      <c r="F8" s="47"/>
      <c r="G8" s="47"/>
      <c r="H8" s="47"/>
      <c r="I8" s="34"/>
      <c r="J8" s="53"/>
      <c r="L8" s="53"/>
      <c r="N8" s="60"/>
      <c r="O8" s="60"/>
      <c r="P8" s="60"/>
    </row>
    <row r="9" spans="2:16" ht="13" x14ac:dyDescent="0.25">
      <c r="B9" s="43" t="s">
        <v>67</v>
      </c>
      <c r="C9" s="162">
        <v>1</v>
      </c>
      <c r="D9" s="45" t="s">
        <v>3</v>
      </c>
      <c r="E9" s="59"/>
      <c r="F9" s="47"/>
      <c r="G9" s="47"/>
      <c r="H9" s="47"/>
      <c r="I9" s="34"/>
      <c r="J9" s="53"/>
      <c r="L9" s="53"/>
      <c r="N9" s="60"/>
      <c r="O9" s="60"/>
      <c r="P9" s="60"/>
    </row>
    <row r="10" spans="2:16" ht="13.5" thickBot="1" x14ac:dyDescent="0.3">
      <c r="B10" s="51" t="s">
        <v>68</v>
      </c>
      <c r="C10" s="163">
        <f>C8*C9</f>
        <v>3.32</v>
      </c>
      <c r="D10" s="45" t="str">
        <f>D4</f>
        <v>g</v>
      </c>
      <c r="E10" s="46"/>
      <c r="F10" s="47"/>
      <c r="G10" s="47"/>
      <c r="H10" s="47"/>
      <c r="I10" s="53"/>
      <c r="J10" s="53"/>
      <c r="N10" s="60"/>
      <c r="O10" s="60"/>
      <c r="P10" s="60"/>
    </row>
    <row r="11" spans="2:16" ht="13.5" thickBot="1" x14ac:dyDescent="0.3">
      <c r="B11" s="61"/>
      <c r="C11" s="62"/>
      <c r="D11" s="63"/>
      <c r="F11" s="64"/>
      <c r="G11" s="64"/>
      <c r="H11" s="64"/>
      <c r="N11" s="60"/>
      <c r="O11" s="60"/>
      <c r="P11" s="60"/>
    </row>
    <row r="12" spans="2:16" ht="14.5" thickBot="1" x14ac:dyDescent="0.3">
      <c r="B12" s="65" t="s">
        <v>5</v>
      </c>
      <c r="C12" s="66" t="s">
        <v>6</v>
      </c>
      <c r="D12" s="67" t="s">
        <v>1</v>
      </c>
      <c r="E12" s="68"/>
      <c r="F12" s="69"/>
      <c r="G12" s="69"/>
      <c r="H12" s="69"/>
      <c r="N12" s="60"/>
      <c r="O12" s="60"/>
      <c r="P12" s="60"/>
    </row>
    <row r="13" spans="2:16" ht="13.5" thickBot="1" x14ac:dyDescent="0.3">
      <c r="B13" s="70" t="s">
        <v>91</v>
      </c>
      <c r="C13" s="71"/>
      <c r="D13" s="72"/>
      <c r="E13" s="73"/>
      <c r="F13" s="69"/>
      <c r="G13" s="69"/>
      <c r="H13" s="69"/>
      <c r="K13" s="34"/>
      <c r="N13" s="60"/>
      <c r="O13" s="60"/>
      <c r="P13" s="60"/>
    </row>
    <row r="14" spans="2:16" ht="13.5" thickBot="1" x14ac:dyDescent="0.3">
      <c r="B14" s="74" t="s">
        <v>147</v>
      </c>
      <c r="C14" s="75">
        <f>C6</f>
        <v>2.6208</v>
      </c>
      <c r="D14" s="76" t="str">
        <f>D4</f>
        <v>g</v>
      </c>
      <c r="E14" s="77"/>
      <c r="F14" s="78"/>
      <c r="G14" s="78"/>
      <c r="H14" s="78"/>
      <c r="N14" s="60"/>
      <c r="O14" s="60"/>
      <c r="P14" s="60"/>
    </row>
    <row r="15" spans="2:16" ht="13.5" thickBot="1" x14ac:dyDescent="0.3">
      <c r="B15" s="74" t="s">
        <v>148</v>
      </c>
      <c r="C15" s="75">
        <f>2*1.055</f>
        <v>2.11</v>
      </c>
      <c r="D15" s="76" t="str">
        <f>D4</f>
        <v>g</v>
      </c>
      <c r="E15" s="77"/>
      <c r="F15" s="78"/>
      <c r="G15" s="78"/>
      <c r="H15" s="78"/>
      <c r="N15" s="60"/>
      <c r="O15" s="60"/>
      <c r="P15" s="60"/>
    </row>
    <row r="16" spans="2:16" ht="12.75" customHeight="1" thickBot="1" x14ac:dyDescent="0.3">
      <c r="B16" s="79" t="s">
        <v>69</v>
      </c>
      <c r="C16" s="80"/>
      <c r="D16" s="81"/>
      <c r="E16" s="77"/>
      <c r="F16" s="82"/>
      <c r="G16" s="82"/>
      <c r="H16" s="82"/>
      <c r="N16" s="60"/>
      <c r="O16" s="60"/>
      <c r="P16" s="60"/>
    </row>
    <row r="17" spans="2:16" ht="13" x14ac:dyDescent="0.25">
      <c r="B17" s="74" t="s">
        <v>101</v>
      </c>
      <c r="C17" s="83">
        <f>6.2*0.693*0.231</f>
        <v>0.99251460000000002</v>
      </c>
      <c r="D17" s="76" t="str">
        <f>D4</f>
        <v>g</v>
      </c>
      <c r="E17" s="77"/>
      <c r="F17" s="82"/>
      <c r="G17" s="82"/>
      <c r="H17" s="82"/>
      <c r="N17" s="432"/>
      <c r="O17" s="445"/>
      <c r="P17" s="446"/>
    </row>
    <row r="18" spans="2:16" ht="13" x14ac:dyDescent="0.25">
      <c r="B18" s="74" t="s">
        <v>101</v>
      </c>
      <c r="C18" s="83">
        <f>C17</f>
        <v>0.99251460000000002</v>
      </c>
      <c r="D18" s="76" t="str">
        <f>D4</f>
        <v>g</v>
      </c>
      <c r="E18" s="77"/>
      <c r="F18" s="82"/>
      <c r="G18" s="82"/>
      <c r="H18" s="82"/>
      <c r="N18" s="447"/>
      <c r="O18" s="448"/>
      <c r="P18" s="449"/>
    </row>
    <row r="19" spans="2:16" ht="13" x14ac:dyDescent="0.25">
      <c r="B19" s="74" t="s">
        <v>149</v>
      </c>
      <c r="C19" s="83">
        <f>3.03*1.054</f>
        <v>3.1936200000000001</v>
      </c>
      <c r="D19" s="76" t="str">
        <f>D4</f>
        <v>g</v>
      </c>
      <c r="E19" s="77"/>
      <c r="F19" s="82"/>
      <c r="G19" s="82"/>
      <c r="H19" s="82"/>
      <c r="N19" s="447"/>
      <c r="O19" s="448"/>
      <c r="P19" s="449"/>
    </row>
    <row r="20" spans="2:16" ht="13" x14ac:dyDescent="0.25">
      <c r="B20" s="74"/>
      <c r="C20" s="83"/>
      <c r="D20" s="76" t="str">
        <f>D4</f>
        <v>g</v>
      </c>
      <c r="E20" s="77"/>
      <c r="F20" s="82"/>
      <c r="G20" s="82"/>
      <c r="H20" s="82"/>
      <c r="N20" s="447"/>
      <c r="O20" s="448"/>
      <c r="P20" s="449"/>
    </row>
    <row r="21" spans="2:16" ht="13" x14ac:dyDescent="0.25">
      <c r="B21" s="165"/>
      <c r="C21" s="83"/>
      <c r="D21" s="76" t="str">
        <f>D4</f>
        <v>g</v>
      </c>
      <c r="E21" s="77"/>
      <c r="F21" s="82"/>
      <c r="G21" s="82"/>
      <c r="H21" s="82"/>
      <c r="N21" s="447"/>
      <c r="O21" s="448"/>
      <c r="P21" s="449"/>
    </row>
    <row r="22" spans="2:16" ht="13.5" thickBot="1" x14ac:dyDescent="0.3">
      <c r="B22" s="166" t="s">
        <v>150</v>
      </c>
      <c r="C22" s="83">
        <f>0.3*13.7</f>
        <v>4.1099999999999994</v>
      </c>
      <c r="D22" s="76" t="str">
        <f>D4</f>
        <v>g</v>
      </c>
      <c r="E22" s="77"/>
      <c r="F22" s="82"/>
      <c r="G22" s="82"/>
      <c r="H22" s="82"/>
      <c r="N22" s="450"/>
      <c r="O22" s="451"/>
      <c r="P22" s="452"/>
    </row>
    <row r="23" spans="2:16" ht="13" x14ac:dyDescent="0.25">
      <c r="B23" s="166" t="s">
        <v>151</v>
      </c>
      <c r="C23" s="83">
        <f>C22*0.1</f>
        <v>0.41099999999999998</v>
      </c>
      <c r="D23" s="76" t="str">
        <f>D4</f>
        <v>g</v>
      </c>
      <c r="E23" s="77"/>
      <c r="F23" s="82"/>
      <c r="G23" s="82"/>
      <c r="H23" s="82"/>
      <c r="N23" s="60"/>
      <c r="O23" s="60"/>
      <c r="P23" s="60"/>
    </row>
    <row r="24" spans="2:16" ht="13" x14ac:dyDescent="0.25">
      <c r="B24" s="74"/>
      <c r="C24" s="83"/>
      <c r="D24" s="76" t="str">
        <f>D4</f>
        <v>g</v>
      </c>
      <c r="E24" s="77"/>
      <c r="F24" s="82"/>
      <c r="G24" s="82"/>
      <c r="H24" s="82"/>
      <c r="N24" s="60"/>
      <c r="O24" s="60"/>
      <c r="P24" s="60"/>
    </row>
    <row r="25" spans="2:16" ht="12.75" customHeight="1" x14ac:dyDescent="0.25">
      <c r="B25" s="74"/>
      <c r="C25" s="83"/>
      <c r="D25" s="76" t="str">
        <f>D4</f>
        <v>g</v>
      </c>
      <c r="E25" s="77"/>
      <c r="F25" s="82"/>
      <c r="G25" s="82"/>
      <c r="H25" s="82"/>
      <c r="N25" s="60"/>
      <c r="O25" s="60"/>
      <c r="P25" s="60"/>
    </row>
    <row r="26" spans="2:16" ht="12.75" customHeight="1" x14ac:dyDescent="0.25">
      <c r="B26" s="74"/>
      <c r="C26" s="83"/>
      <c r="D26" s="76" t="str">
        <f>D4</f>
        <v>g</v>
      </c>
      <c r="E26" s="77"/>
      <c r="F26" s="82"/>
      <c r="G26" s="82"/>
      <c r="H26" s="82"/>
      <c r="N26" s="60"/>
      <c r="O26" s="60"/>
      <c r="P26" s="60"/>
    </row>
    <row r="27" spans="2:16" ht="12.75" customHeight="1" x14ac:dyDescent="0.25">
      <c r="B27" s="84"/>
      <c r="C27" s="85"/>
      <c r="D27" s="76" t="str">
        <f>D4</f>
        <v>g</v>
      </c>
      <c r="E27" s="77"/>
      <c r="F27" s="82"/>
      <c r="G27" s="82"/>
      <c r="H27" s="82"/>
      <c r="N27" s="60"/>
      <c r="O27" s="60"/>
      <c r="P27" s="60"/>
    </row>
    <row r="28" spans="2:16" ht="12.75" customHeight="1" x14ac:dyDescent="0.25">
      <c r="B28" s="86" t="s">
        <v>7</v>
      </c>
      <c r="C28" s="87">
        <f>SUM(C14:C27)</f>
        <v>14.4304492</v>
      </c>
      <c r="D28" s="88" t="str">
        <f>D4</f>
        <v>g</v>
      </c>
      <c r="E28" s="77"/>
      <c r="F28" s="82"/>
      <c r="G28" s="82"/>
      <c r="H28" s="82"/>
      <c r="K28" s="34"/>
      <c r="N28" s="60"/>
      <c r="O28" s="60"/>
      <c r="P28" s="60"/>
    </row>
    <row r="29" spans="2:16" ht="12.75" customHeight="1" x14ac:dyDescent="0.25">
      <c r="B29" s="79" t="s">
        <v>71</v>
      </c>
      <c r="C29" s="89"/>
      <c r="D29" s="81"/>
      <c r="E29" s="77"/>
      <c r="F29" s="82"/>
      <c r="G29" s="82"/>
      <c r="H29" s="82"/>
      <c r="N29" s="60"/>
      <c r="O29" s="60"/>
      <c r="P29" s="60"/>
    </row>
    <row r="30" spans="2:16" ht="12.75" customHeight="1" x14ac:dyDescent="0.25">
      <c r="B30" s="74" t="s">
        <v>152</v>
      </c>
      <c r="C30" s="83">
        <f>0.888*35</f>
        <v>31.080000000000002</v>
      </c>
      <c r="D30" s="76" t="str">
        <f>D4</f>
        <v>g</v>
      </c>
      <c r="E30" s="77"/>
      <c r="F30" s="82"/>
      <c r="G30" s="82"/>
      <c r="H30" s="82"/>
      <c r="N30" s="60"/>
      <c r="O30" s="60"/>
      <c r="P30" s="60"/>
    </row>
    <row r="31" spans="2:16" ht="12.75" customHeight="1" x14ac:dyDescent="0.25">
      <c r="B31" s="74" t="s">
        <v>102</v>
      </c>
      <c r="C31" s="83">
        <f>6.2*0.693*0.769</f>
        <v>3.3040854</v>
      </c>
      <c r="D31" s="76" t="str">
        <f>D4</f>
        <v>g</v>
      </c>
      <c r="E31" s="77"/>
      <c r="F31" s="82"/>
      <c r="G31" s="82"/>
      <c r="H31" s="82"/>
      <c r="N31" s="60"/>
      <c r="O31" s="60"/>
      <c r="P31" s="60"/>
    </row>
    <row r="32" spans="2:16" ht="12.75" customHeight="1" x14ac:dyDescent="0.25">
      <c r="B32" s="74" t="s">
        <v>102</v>
      </c>
      <c r="C32" s="83">
        <f>C31</f>
        <v>3.3040854</v>
      </c>
      <c r="D32" s="76" t="str">
        <f>D4</f>
        <v>g</v>
      </c>
      <c r="E32" s="77"/>
      <c r="F32" s="82"/>
      <c r="G32" s="82"/>
      <c r="H32" s="82"/>
      <c r="N32" s="60"/>
      <c r="O32" s="60"/>
      <c r="P32" s="60"/>
    </row>
    <row r="33" spans="2:16" ht="12.75" customHeight="1" x14ac:dyDescent="0.25">
      <c r="B33" s="165"/>
      <c r="C33" s="83"/>
      <c r="D33" s="76" t="str">
        <f>D4</f>
        <v>g</v>
      </c>
      <c r="E33" s="77"/>
      <c r="F33" s="82"/>
      <c r="G33" s="82"/>
      <c r="H33" s="82"/>
      <c r="N33" s="60"/>
      <c r="O33" s="60"/>
      <c r="P33" s="60"/>
    </row>
    <row r="34" spans="2:16" ht="12.75" customHeight="1" x14ac:dyDescent="0.25">
      <c r="B34" s="74" t="s">
        <v>153</v>
      </c>
      <c r="C34" s="83">
        <f>400*0.902*0.5</f>
        <v>180.4</v>
      </c>
      <c r="D34" s="76" t="str">
        <f>D4</f>
        <v>g</v>
      </c>
      <c r="E34" s="77"/>
      <c r="F34" s="82"/>
      <c r="G34" s="82"/>
      <c r="H34" s="82"/>
      <c r="N34" s="60"/>
      <c r="O34" s="60"/>
      <c r="P34" s="60"/>
    </row>
    <row r="35" spans="2:16" ht="12.75" customHeight="1" x14ac:dyDescent="0.25">
      <c r="B35" s="165"/>
      <c r="C35" s="83"/>
      <c r="D35" s="76" t="str">
        <f>D4</f>
        <v>g</v>
      </c>
      <c r="E35" s="77"/>
      <c r="F35" s="82"/>
      <c r="G35" s="82"/>
      <c r="H35" s="82"/>
      <c r="N35" s="60"/>
      <c r="O35" s="60"/>
      <c r="P35" s="60"/>
    </row>
    <row r="36" spans="2:16" ht="12.75" customHeight="1" x14ac:dyDescent="0.25">
      <c r="B36" s="74" t="s">
        <v>154</v>
      </c>
      <c r="C36" s="83">
        <f>50*0.8</f>
        <v>40</v>
      </c>
      <c r="D36" s="76" t="str">
        <f>D4</f>
        <v>g</v>
      </c>
      <c r="E36" s="77"/>
      <c r="F36" s="82"/>
      <c r="G36" s="82"/>
      <c r="H36" s="82"/>
      <c r="N36" s="60"/>
      <c r="O36" s="60"/>
      <c r="P36" s="60"/>
    </row>
    <row r="37" spans="2:16" ht="12.75" customHeight="1" x14ac:dyDescent="0.25">
      <c r="B37" s="74" t="s">
        <v>155</v>
      </c>
      <c r="C37" s="83">
        <f>5*0.8</f>
        <v>4</v>
      </c>
      <c r="D37" s="76" t="str">
        <f>D4</f>
        <v>g</v>
      </c>
      <c r="E37" s="77"/>
      <c r="F37" s="82"/>
      <c r="G37" s="82"/>
      <c r="H37" s="82"/>
      <c r="N37" s="60"/>
      <c r="O37" s="60"/>
      <c r="P37" s="60"/>
    </row>
    <row r="38" spans="2:16" ht="12.75" customHeight="1" x14ac:dyDescent="0.25">
      <c r="B38" s="79" t="s">
        <v>70</v>
      </c>
      <c r="C38" s="80"/>
      <c r="D38" s="81"/>
      <c r="E38" s="90"/>
      <c r="F38" s="82"/>
      <c r="G38" s="82"/>
      <c r="H38" s="82"/>
      <c r="N38" s="60"/>
      <c r="O38" s="60"/>
      <c r="P38" s="60"/>
    </row>
    <row r="39" spans="2:16" ht="12.75" customHeight="1" x14ac:dyDescent="0.25">
      <c r="B39" s="74"/>
      <c r="C39" s="83"/>
      <c r="D39" s="76" t="str">
        <f>D4</f>
        <v>g</v>
      </c>
      <c r="E39" s="77"/>
      <c r="F39" s="82"/>
      <c r="G39" s="82"/>
      <c r="H39" s="82"/>
      <c r="N39" s="60"/>
      <c r="O39" s="60"/>
      <c r="P39" s="60"/>
    </row>
    <row r="40" spans="2:16" ht="12.75" customHeight="1" x14ac:dyDescent="0.25">
      <c r="B40" s="74"/>
      <c r="C40" s="83"/>
      <c r="D40" s="76" t="str">
        <f>D4</f>
        <v>g</v>
      </c>
      <c r="E40" s="77"/>
      <c r="F40" s="82"/>
      <c r="G40" s="82"/>
      <c r="H40" s="82"/>
      <c r="N40" s="60"/>
      <c r="O40" s="60"/>
      <c r="P40" s="60"/>
    </row>
    <row r="41" spans="2:16" ht="12.75" customHeight="1" x14ac:dyDescent="0.25">
      <c r="B41" s="74"/>
      <c r="C41" s="83"/>
      <c r="D41" s="76" t="str">
        <f>D4</f>
        <v>g</v>
      </c>
      <c r="E41" s="77"/>
      <c r="F41" s="82"/>
      <c r="G41" s="82"/>
      <c r="H41" s="82"/>
      <c r="N41" s="60"/>
      <c r="O41" s="60"/>
      <c r="P41" s="60"/>
    </row>
    <row r="42" spans="2:16" ht="12.75" customHeight="1" x14ac:dyDescent="0.25">
      <c r="B42" s="74"/>
      <c r="C42" s="83"/>
      <c r="D42" s="76" t="str">
        <f>D4</f>
        <v>g</v>
      </c>
      <c r="E42" s="77"/>
      <c r="F42" s="82"/>
      <c r="G42" s="82"/>
      <c r="H42" s="82"/>
      <c r="N42" s="60"/>
      <c r="O42" s="60"/>
      <c r="P42" s="60"/>
    </row>
    <row r="43" spans="2:16" ht="12.75" customHeight="1" x14ac:dyDescent="0.25">
      <c r="B43" s="74"/>
      <c r="C43" s="83"/>
      <c r="D43" s="76" t="str">
        <f>D4</f>
        <v>g</v>
      </c>
      <c r="E43" s="77"/>
      <c r="F43" s="82"/>
      <c r="G43" s="82"/>
      <c r="H43" s="82"/>
      <c r="N43" s="60"/>
      <c r="O43" s="60"/>
      <c r="P43" s="60"/>
    </row>
    <row r="44" spans="2:16" ht="12.75" customHeight="1" x14ac:dyDescent="0.25">
      <c r="B44" s="74"/>
      <c r="C44" s="83"/>
      <c r="D44" s="76" t="str">
        <f>D4</f>
        <v>g</v>
      </c>
      <c r="E44" s="77"/>
      <c r="F44" s="82"/>
      <c r="G44" s="82"/>
      <c r="H44" s="82"/>
      <c r="N44" s="60"/>
      <c r="O44" s="60"/>
      <c r="P44" s="60"/>
    </row>
    <row r="45" spans="2:16" ht="12.75" customHeight="1" x14ac:dyDescent="0.25">
      <c r="B45" s="74"/>
      <c r="C45" s="83"/>
      <c r="D45" s="76" t="str">
        <f>D4</f>
        <v>g</v>
      </c>
      <c r="E45" s="77"/>
      <c r="F45" s="82"/>
      <c r="G45" s="82"/>
      <c r="H45" s="82"/>
      <c r="K45" s="34"/>
      <c r="N45" s="60"/>
      <c r="O45" s="60"/>
      <c r="P45" s="60"/>
    </row>
    <row r="46" spans="2:16" ht="12.75" customHeight="1" x14ac:dyDescent="0.25">
      <c r="B46" s="84"/>
      <c r="C46" s="85"/>
      <c r="D46" s="76" t="str">
        <f>D4</f>
        <v>g</v>
      </c>
      <c r="E46" s="77"/>
      <c r="F46" s="82"/>
      <c r="G46" s="82"/>
      <c r="H46" s="82"/>
      <c r="K46" s="34"/>
      <c r="N46" s="60"/>
      <c r="O46" s="60"/>
      <c r="P46" s="60"/>
    </row>
    <row r="47" spans="2:16" ht="12.75" customHeight="1" x14ac:dyDescent="0.25">
      <c r="B47" s="86" t="s">
        <v>9</v>
      </c>
      <c r="C47" s="87">
        <f>SUM(C28:C46)</f>
        <v>276.51862</v>
      </c>
      <c r="D47" s="91" t="str">
        <f>D4</f>
        <v>g</v>
      </c>
      <c r="E47" s="77"/>
      <c r="F47" s="82"/>
      <c r="G47" s="82"/>
      <c r="H47" s="82"/>
      <c r="N47" s="60"/>
      <c r="O47" s="60"/>
      <c r="P47" s="60"/>
    </row>
    <row r="48" spans="2:16" ht="13.5" thickBot="1" x14ac:dyDescent="0.3">
      <c r="B48" s="92"/>
      <c r="C48" s="93"/>
      <c r="D48" s="94"/>
      <c r="E48" s="77"/>
      <c r="F48" s="82"/>
      <c r="G48" s="82"/>
      <c r="H48" s="82"/>
      <c r="N48" s="60"/>
      <c r="O48" s="60"/>
      <c r="P48" s="60"/>
    </row>
    <row r="49" spans="2:16" ht="20.5" thickBot="1" x14ac:dyDescent="0.3">
      <c r="B49" s="426" t="s">
        <v>10</v>
      </c>
      <c r="C49" s="427"/>
      <c r="D49" s="428"/>
      <c r="E49" s="77"/>
      <c r="F49" s="82"/>
      <c r="G49" s="82"/>
      <c r="H49" s="82"/>
      <c r="N49" s="60"/>
      <c r="O49" s="60"/>
      <c r="P49" s="60"/>
    </row>
    <row r="50" spans="2:16" ht="13" x14ac:dyDescent="0.25">
      <c r="B50" s="95" t="s">
        <v>23</v>
      </c>
      <c r="C50" s="96"/>
      <c r="D50" s="97">
        <f>SUM(C14:C15)</f>
        <v>4.7308000000000003</v>
      </c>
      <c r="E50" s="98"/>
      <c r="F50" s="82"/>
      <c r="G50" s="82"/>
      <c r="H50" s="82"/>
      <c r="N50" s="60"/>
      <c r="O50" s="60"/>
      <c r="P50" s="60"/>
    </row>
    <row r="51" spans="2:16" ht="13" x14ac:dyDescent="0.25">
      <c r="B51" s="99" t="s">
        <v>24</v>
      </c>
      <c r="C51" s="100"/>
      <c r="D51" s="101">
        <f>SUM(C17:C27)</f>
        <v>9.6996491999999996</v>
      </c>
      <c r="E51" s="98"/>
      <c r="F51" s="82"/>
      <c r="G51" s="82"/>
      <c r="H51" s="82"/>
      <c r="N51" s="60"/>
      <c r="O51" s="60"/>
      <c r="P51" s="60"/>
    </row>
    <row r="52" spans="2:16" ht="13" x14ac:dyDescent="0.25">
      <c r="B52" s="99" t="s">
        <v>25</v>
      </c>
      <c r="C52" s="100"/>
      <c r="D52" s="101">
        <f>SUM(C30:C38)</f>
        <v>262.0881708</v>
      </c>
      <c r="E52" s="98"/>
      <c r="F52" s="82"/>
      <c r="G52" s="82"/>
      <c r="H52" s="82"/>
      <c r="N52" s="60"/>
      <c r="O52" s="60"/>
      <c r="P52" s="60"/>
    </row>
    <row r="53" spans="2:16" ht="13.5" thickBot="1" x14ac:dyDescent="0.3">
      <c r="B53" s="102" t="s">
        <v>26</v>
      </c>
      <c r="C53" s="103"/>
      <c r="D53" s="104">
        <f>SUM(C39:C46)</f>
        <v>0</v>
      </c>
      <c r="E53" s="98"/>
      <c r="F53" s="82"/>
      <c r="G53" s="82"/>
      <c r="H53" s="82"/>
      <c r="N53" s="60"/>
      <c r="O53" s="60"/>
      <c r="P53" s="60"/>
    </row>
    <row r="54" spans="2:16" ht="18.5" thickTop="1" x14ac:dyDescent="0.25">
      <c r="B54" s="105" t="s">
        <v>11</v>
      </c>
      <c r="C54" s="106"/>
      <c r="D54" s="107">
        <f>C28/C10</f>
        <v>4.3465208433734945</v>
      </c>
      <c r="E54" s="77"/>
      <c r="F54" s="82"/>
      <c r="G54" s="82"/>
      <c r="H54" s="82"/>
      <c r="N54" s="60"/>
      <c r="O54" s="60"/>
      <c r="P54" s="60"/>
    </row>
    <row r="55" spans="2:16" ht="18" x14ac:dyDescent="0.25">
      <c r="B55" s="111" t="s">
        <v>12</v>
      </c>
      <c r="C55" s="112"/>
      <c r="D55" s="113">
        <f>(D50+D51+D52)/C10</f>
        <v>83.288740963855432</v>
      </c>
      <c r="E55" s="77"/>
      <c r="F55" s="82"/>
      <c r="G55" s="82"/>
      <c r="H55" s="82"/>
      <c r="N55" s="60"/>
      <c r="O55" s="60"/>
      <c r="P55" s="60"/>
    </row>
    <row r="56" spans="2:16" ht="18" x14ac:dyDescent="0.25">
      <c r="B56" s="111" t="s">
        <v>13</v>
      </c>
      <c r="C56" s="112"/>
      <c r="D56" s="113">
        <f>D52/C10</f>
        <v>78.942220120481934</v>
      </c>
      <c r="E56" s="90"/>
      <c r="F56" s="82"/>
      <c r="G56" s="82"/>
      <c r="H56" s="82"/>
      <c r="N56" s="60"/>
      <c r="O56" s="60"/>
      <c r="P56" s="60"/>
    </row>
    <row r="57" spans="2:16" ht="18" x14ac:dyDescent="0.25">
      <c r="B57" s="114" t="s">
        <v>14</v>
      </c>
      <c r="C57" s="115"/>
      <c r="D57" s="116">
        <f>D53/C10</f>
        <v>0</v>
      </c>
      <c r="E57" s="90"/>
      <c r="F57" s="82"/>
      <c r="G57" s="82"/>
      <c r="H57" s="82"/>
      <c r="N57" s="60"/>
      <c r="O57" s="60"/>
      <c r="P57" s="60"/>
    </row>
    <row r="58" spans="2:16" ht="18.5" thickBot="1" x14ac:dyDescent="0.3">
      <c r="B58" s="114" t="s">
        <v>15</v>
      </c>
      <c r="C58" s="119"/>
      <c r="D58" s="116">
        <f>SUM(D50:D53)/C10</f>
        <v>83.288740963855432</v>
      </c>
      <c r="E58" s="90"/>
      <c r="F58" s="82"/>
      <c r="G58" s="82"/>
      <c r="H58" s="82"/>
      <c r="N58" s="60"/>
      <c r="O58" s="60"/>
      <c r="P58" s="60"/>
    </row>
    <row r="59" spans="2:16" ht="18.5" thickTop="1" x14ac:dyDescent="0.25">
      <c r="B59" s="120" t="s">
        <v>16</v>
      </c>
      <c r="C59" s="121"/>
      <c r="D59" s="122">
        <f>(D51+C14*MAX(1,F14)+C15*MAX(1,F15))/C10</f>
        <v>4.3465208433734936</v>
      </c>
      <c r="E59" s="77"/>
      <c r="F59" s="82"/>
      <c r="G59" s="82"/>
      <c r="H59" s="82"/>
      <c r="N59" s="60"/>
      <c r="O59" s="60"/>
      <c r="P59" s="60"/>
    </row>
    <row r="60" spans="2:16" ht="18" x14ac:dyDescent="0.25">
      <c r="B60" s="123" t="s">
        <v>17</v>
      </c>
      <c r="C60" s="124"/>
      <c r="D60" s="125">
        <f>(D51+D52+C14*MAX(1,F14)+C15*MAX(1,F15)+SUMPRODUCT(C14:C15,G14:G15))/C10</f>
        <v>83.288740963855432</v>
      </c>
      <c r="E60" s="77"/>
      <c r="F60" s="82"/>
      <c r="G60" s="82"/>
      <c r="H60" s="82"/>
      <c r="N60" s="60"/>
      <c r="O60" s="60"/>
      <c r="P60" s="60"/>
    </row>
    <row r="61" spans="2:16" ht="18" customHeight="1" x14ac:dyDescent="0.25">
      <c r="B61" s="123" t="s">
        <v>18</v>
      </c>
      <c r="C61" s="124"/>
      <c r="D61" s="125">
        <f>(D52+SUMPRODUCT(C14:C15,G14:G15))/C10</f>
        <v>78.942220120481934</v>
      </c>
      <c r="E61" s="77"/>
      <c r="F61" s="82"/>
      <c r="G61" s="82"/>
      <c r="H61" s="82"/>
      <c r="N61" s="60"/>
      <c r="O61" s="60"/>
      <c r="P61" s="60"/>
    </row>
    <row r="62" spans="2:16" ht="18" x14ac:dyDescent="0.25">
      <c r="B62" s="126" t="s">
        <v>19</v>
      </c>
      <c r="C62" s="127"/>
      <c r="D62" s="128">
        <f>(D53+SUMPRODUCT(C14:C15,H14:H15))/C10</f>
        <v>0</v>
      </c>
      <c r="E62" s="77"/>
      <c r="F62" s="82"/>
      <c r="G62" s="82"/>
      <c r="H62" s="82"/>
      <c r="K62" s="34"/>
      <c r="N62" s="60"/>
      <c r="O62" s="60"/>
      <c r="P62" s="60"/>
    </row>
    <row r="63" spans="2:16" ht="18.5" thickBot="1" x14ac:dyDescent="0.3">
      <c r="B63" s="129" t="s">
        <v>20</v>
      </c>
      <c r="C63" s="130"/>
      <c r="D63" s="131">
        <f>(SUM(D51:D53)+C14*MAX(1,F14)+C15*MAX(1,F15)+SUMPRODUCT(C14:C15,G14:G15)+SUMPRODUCT(C14:C15,H14:H15))/C10</f>
        <v>83.288740963855432</v>
      </c>
      <c r="E63" s="77"/>
      <c r="F63" s="82"/>
      <c r="G63" s="82"/>
      <c r="H63" s="82"/>
      <c r="I63" s="132"/>
      <c r="N63" s="60"/>
      <c r="O63" s="60"/>
      <c r="P63" s="60"/>
    </row>
    <row r="64" spans="2:16" ht="13" thickTop="1" x14ac:dyDescent="0.25">
      <c r="B64" s="256"/>
      <c r="C64" s="256"/>
      <c r="D64" s="256"/>
      <c r="E64" s="256"/>
      <c r="F64" s="256"/>
      <c r="G64" s="256"/>
      <c r="H64" s="256"/>
      <c r="N64" s="60"/>
      <c r="O64" s="60"/>
      <c r="P64" s="60"/>
    </row>
    <row r="65" spans="2:16" x14ac:dyDescent="0.25">
      <c r="B65" s="256"/>
      <c r="C65" s="256"/>
      <c r="D65" s="256"/>
      <c r="E65" s="256"/>
      <c r="F65" s="256"/>
      <c r="G65" s="256"/>
      <c r="H65" s="256"/>
      <c r="N65" s="60"/>
      <c r="O65" s="60"/>
      <c r="P65" s="60"/>
    </row>
    <row r="66" spans="2:16" x14ac:dyDescent="0.25">
      <c r="B66" s="256"/>
      <c r="C66" s="256"/>
      <c r="D66" s="256"/>
      <c r="E66" s="256"/>
      <c r="F66" s="256"/>
      <c r="G66" s="256"/>
      <c r="H66" s="256"/>
      <c r="N66" s="60"/>
      <c r="O66" s="60"/>
      <c r="P66" s="60"/>
    </row>
    <row r="67" spans="2:16" ht="13.5" thickBot="1" x14ac:dyDescent="0.3">
      <c r="E67" s="46"/>
      <c r="F67" s="34"/>
      <c r="G67" s="34"/>
      <c r="H67" s="34"/>
      <c r="N67" s="60"/>
      <c r="O67" s="60"/>
      <c r="P67" s="60"/>
    </row>
    <row r="68" spans="2:16" ht="21" thickTop="1" thickBot="1" x14ac:dyDescent="0.3">
      <c r="B68" s="140" t="s">
        <v>73</v>
      </c>
      <c r="C68" s="29"/>
      <c r="D68" s="30" t="s">
        <v>156</v>
      </c>
      <c r="E68" s="31"/>
      <c r="F68" s="32" t="s">
        <v>27</v>
      </c>
      <c r="G68" s="33"/>
      <c r="H68" s="33"/>
      <c r="I68" s="34"/>
      <c r="N68" s="34" t="s">
        <v>187</v>
      </c>
      <c r="O68" s="60"/>
      <c r="P68" s="60"/>
    </row>
    <row r="69" spans="2:16" ht="14.5" thickBot="1" x14ac:dyDescent="0.3">
      <c r="B69" s="37"/>
      <c r="C69" s="38" t="s">
        <v>0</v>
      </c>
      <c r="D69" s="39" t="s">
        <v>1</v>
      </c>
      <c r="E69" s="40"/>
      <c r="F69" s="41" t="s">
        <v>28</v>
      </c>
      <c r="G69" s="41" t="s">
        <v>21</v>
      </c>
      <c r="H69" s="41" t="s">
        <v>8</v>
      </c>
      <c r="K69" s="34"/>
      <c r="N69" s="60"/>
      <c r="O69" s="60"/>
      <c r="P69" s="60"/>
    </row>
    <row r="70" spans="2:16" ht="13" x14ac:dyDescent="0.25">
      <c r="B70" s="43" t="s">
        <v>65</v>
      </c>
      <c r="C70" s="161">
        <v>1.0149999999999999</v>
      </c>
      <c r="D70" s="45" t="s">
        <v>22</v>
      </c>
      <c r="E70" s="46"/>
      <c r="F70" s="47"/>
      <c r="G70" s="47"/>
      <c r="H70" s="47"/>
      <c r="N70" s="60"/>
      <c r="O70" s="60"/>
      <c r="P70" s="60"/>
    </row>
    <row r="71" spans="2:16" ht="13" x14ac:dyDescent="0.25">
      <c r="B71" s="43" t="s">
        <v>64</v>
      </c>
      <c r="C71" s="162">
        <v>1</v>
      </c>
      <c r="D71" s="45" t="s">
        <v>3</v>
      </c>
      <c r="E71" s="46"/>
      <c r="F71" s="47"/>
      <c r="G71" s="47"/>
      <c r="H71" s="47"/>
      <c r="N71" s="60"/>
      <c r="O71" s="60"/>
      <c r="P71" s="60"/>
    </row>
    <row r="72" spans="2:16" ht="13" x14ac:dyDescent="0.25">
      <c r="B72" s="51" t="s">
        <v>63</v>
      </c>
      <c r="C72" s="163">
        <f>C70*C71</f>
        <v>1.0149999999999999</v>
      </c>
      <c r="D72" s="45" t="str">
        <f>D70</f>
        <v>g</v>
      </c>
      <c r="E72" s="46"/>
      <c r="F72" s="47"/>
      <c r="G72" s="47"/>
      <c r="H72" s="47"/>
      <c r="N72" s="60"/>
      <c r="O72" s="60"/>
      <c r="P72" s="60"/>
    </row>
    <row r="73" spans="2:16" ht="14" x14ac:dyDescent="0.25">
      <c r="B73" s="54" t="s">
        <v>37</v>
      </c>
      <c r="C73" s="164">
        <v>1</v>
      </c>
      <c r="D73" s="56"/>
      <c r="E73" s="57"/>
      <c r="F73" s="58"/>
      <c r="G73" s="58"/>
      <c r="H73" s="58"/>
      <c r="N73" s="60"/>
      <c r="O73" s="60"/>
      <c r="P73" s="60"/>
    </row>
    <row r="74" spans="2:16" ht="13" x14ac:dyDescent="0.25">
      <c r="B74" s="43" t="s">
        <v>66</v>
      </c>
      <c r="C74" s="161">
        <v>2.7</v>
      </c>
      <c r="D74" s="45" t="str">
        <f>D70</f>
        <v>g</v>
      </c>
      <c r="E74" s="46"/>
      <c r="F74" s="47"/>
      <c r="G74" s="47"/>
      <c r="H74" s="47"/>
      <c r="K74" s="34"/>
      <c r="N74" s="60"/>
      <c r="O74" s="60"/>
      <c r="P74" s="60"/>
    </row>
    <row r="75" spans="2:16" ht="13" x14ac:dyDescent="0.25">
      <c r="B75" s="43" t="s">
        <v>67</v>
      </c>
      <c r="C75" s="162">
        <v>1</v>
      </c>
      <c r="D75" s="45" t="s">
        <v>3</v>
      </c>
      <c r="E75" s="59"/>
      <c r="F75" s="47"/>
      <c r="G75" s="47"/>
      <c r="H75" s="47"/>
      <c r="N75" s="60"/>
      <c r="O75" s="60"/>
      <c r="P75" s="60"/>
    </row>
    <row r="76" spans="2:16" ht="13.5" thickBot="1" x14ac:dyDescent="0.3">
      <c r="B76" s="51" t="s">
        <v>68</v>
      </c>
      <c r="C76" s="163">
        <f>C74*C75</f>
        <v>2.7</v>
      </c>
      <c r="D76" s="45" t="str">
        <f>D70</f>
        <v>g</v>
      </c>
      <c r="E76" s="46"/>
      <c r="F76" s="47"/>
      <c r="G76" s="47"/>
      <c r="H76" s="47"/>
      <c r="N76" s="60"/>
      <c r="O76" s="60"/>
      <c r="P76" s="60"/>
    </row>
    <row r="77" spans="2:16" ht="13.5" thickBot="1" x14ac:dyDescent="0.3">
      <c r="B77" s="61"/>
      <c r="C77" s="62"/>
      <c r="D77" s="63"/>
      <c r="F77" s="64"/>
      <c r="G77" s="64"/>
      <c r="H77" s="64"/>
      <c r="N77" s="60"/>
      <c r="O77" s="60"/>
      <c r="P77" s="60"/>
    </row>
    <row r="78" spans="2:16" ht="14.5" thickBot="1" x14ac:dyDescent="0.3">
      <c r="B78" s="65" t="s">
        <v>5</v>
      </c>
      <c r="C78" s="66" t="s">
        <v>6</v>
      </c>
      <c r="D78" s="67" t="s">
        <v>1</v>
      </c>
      <c r="E78" s="68"/>
      <c r="F78" s="69"/>
      <c r="G78" s="69"/>
      <c r="H78" s="69"/>
      <c r="N78" s="60"/>
      <c r="O78" s="60"/>
      <c r="P78" s="60"/>
    </row>
    <row r="79" spans="2:16" ht="13" x14ac:dyDescent="0.25">
      <c r="B79" s="70" t="s">
        <v>91</v>
      </c>
      <c r="C79" s="71"/>
      <c r="D79" s="72"/>
      <c r="E79" s="73"/>
      <c r="F79" s="69"/>
      <c r="G79" s="69"/>
      <c r="H79" s="69"/>
      <c r="N79" s="60"/>
      <c r="O79" s="60"/>
      <c r="P79" s="60"/>
    </row>
    <row r="80" spans="2:16" ht="13.5" thickBot="1" x14ac:dyDescent="0.3">
      <c r="B80" s="74" t="s">
        <v>145</v>
      </c>
      <c r="C80" s="75">
        <f>C72</f>
        <v>1.0149999999999999</v>
      </c>
      <c r="D80" s="76" t="str">
        <f>D70</f>
        <v>g</v>
      </c>
      <c r="E80" s="98"/>
      <c r="F80" s="69"/>
      <c r="G80" s="69"/>
      <c r="H80" s="69"/>
      <c r="N80" s="60"/>
      <c r="O80" s="60"/>
      <c r="P80" s="60"/>
    </row>
    <row r="81" spans="2:16" ht="12.75" customHeight="1" thickBot="1" x14ac:dyDescent="0.3">
      <c r="B81" s="74"/>
      <c r="C81" s="75"/>
      <c r="D81" s="76" t="str">
        <f>D70</f>
        <v>g</v>
      </c>
      <c r="E81" s="77"/>
      <c r="F81" s="78"/>
      <c r="G81" s="78"/>
      <c r="H81" s="78"/>
      <c r="N81" s="60"/>
      <c r="O81" s="60"/>
      <c r="P81" s="60"/>
    </row>
    <row r="82" spans="2:16" ht="12.75" customHeight="1" x14ac:dyDescent="0.25">
      <c r="B82" s="79" t="s">
        <v>69</v>
      </c>
      <c r="C82" s="80"/>
      <c r="D82" s="81"/>
      <c r="E82" s="77"/>
      <c r="F82" s="82"/>
      <c r="G82" s="82"/>
      <c r="H82" s="82"/>
      <c r="N82" s="60"/>
      <c r="O82" s="60"/>
      <c r="P82" s="60"/>
    </row>
    <row r="83" spans="2:16" ht="12.75" customHeight="1" x14ac:dyDescent="0.25">
      <c r="B83" s="74" t="s">
        <v>157</v>
      </c>
      <c r="C83" s="83">
        <v>0.5</v>
      </c>
      <c r="D83" s="76" t="str">
        <f>D70</f>
        <v>g</v>
      </c>
      <c r="E83" s="77"/>
      <c r="F83" s="82"/>
      <c r="G83" s="82"/>
      <c r="H83" s="82"/>
    </row>
    <row r="84" spans="2:16" ht="12.75" customHeight="1" x14ac:dyDescent="0.25">
      <c r="B84" s="74" t="s">
        <v>158</v>
      </c>
      <c r="C84" s="83">
        <v>6.0000000000000001E-3</v>
      </c>
      <c r="D84" s="76" t="str">
        <f>D70</f>
        <v>g</v>
      </c>
      <c r="E84" s="77"/>
      <c r="F84" s="82"/>
      <c r="G84" s="82"/>
      <c r="H84" s="82"/>
    </row>
    <row r="85" spans="2:16" ht="12.75" customHeight="1" x14ac:dyDescent="0.25">
      <c r="B85" s="74" t="s">
        <v>159</v>
      </c>
      <c r="C85" s="83">
        <f>6.18*74.79/1000</f>
        <v>0.46220220000000001</v>
      </c>
      <c r="D85" s="76" t="str">
        <f>D70</f>
        <v>g</v>
      </c>
      <c r="E85" s="77"/>
      <c r="F85" s="82"/>
      <c r="G85" s="82"/>
      <c r="H85" s="82"/>
    </row>
    <row r="86" spans="2:16" ht="12.75" customHeight="1" x14ac:dyDescent="0.25">
      <c r="B86" s="74"/>
      <c r="C86" s="83"/>
      <c r="D86" s="76" t="str">
        <f>D70</f>
        <v>g</v>
      </c>
      <c r="E86" s="77"/>
      <c r="F86" s="82"/>
      <c r="G86" s="82"/>
      <c r="H86" s="82"/>
    </row>
    <row r="87" spans="2:16" ht="12.75" customHeight="1" x14ac:dyDescent="0.25">
      <c r="B87" s="74"/>
      <c r="C87" s="83"/>
      <c r="D87" s="76" t="str">
        <f>D70</f>
        <v>g</v>
      </c>
      <c r="E87" s="77"/>
      <c r="F87" s="82"/>
      <c r="G87" s="82"/>
      <c r="H87" s="82"/>
    </row>
    <row r="88" spans="2:16" ht="12.75" customHeight="1" x14ac:dyDescent="0.25">
      <c r="B88" s="74"/>
      <c r="C88" s="83"/>
      <c r="D88" s="76" t="str">
        <f>D70</f>
        <v>g</v>
      </c>
      <c r="E88" s="77"/>
      <c r="F88" s="82"/>
      <c r="G88" s="82"/>
      <c r="H88" s="82"/>
    </row>
    <row r="89" spans="2:16" ht="12.75" customHeight="1" x14ac:dyDescent="0.25">
      <c r="B89" s="74"/>
      <c r="C89" s="83"/>
      <c r="D89" s="76" t="str">
        <f>D70</f>
        <v>g</v>
      </c>
      <c r="E89" s="77"/>
      <c r="F89" s="82"/>
      <c r="G89" s="82"/>
      <c r="H89" s="82"/>
      <c r="N89" s="60"/>
      <c r="O89" s="60"/>
      <c r="P89" s="60"/>
    </row>
    <row r="90" spans="2:16" ht="12.75" customHeight="1" x14ac:dyDescent="0.25">
      <c r="B90" s="74"/>
      <c r="C90" s="83"/>
      <c r="D90" s="76" t="str">
        <f>D70</f>
        <v>g</v>
      </c>
      <c r="E90" s="77"/>
      <c r="F90" s="82"/>
      <c r="G90" s="82"/>
      <c r="H90" s="82"/>
      <c r="N90" s="60"/>
      <c r="O90" s="60"/>
      <c r="P90" s="60"/>
    </row>
    <row r="91" spans="2:16" ht="12.75" customHeight="1" thickBot="1" x14ac:dyDescent="0.3">
      <c r="B91" s="74"/>
      <c r="C91" s="83"/>
      <c r="D91" s="76" t="str">
        <f>D70</f>
        <v>g</v>
      </c>
      <c r="E91" s="77"/>
      <c r="F91" s="82"/>
      <c r="G91" s="82"/>
      <c r="H91" s="82"/>
      <c r="N91" s="60"/>
      <c r="O91" s="60"/>
      <c r="P91" s="60"/>
    </row>
    <row r="92" spans="2:16" ht="12.75" customHeight="1" x14ac:dyDescent="0.25">
      <c r="B92" s="74"/>
      <c r="C92" s="83"/>
      <c r="D92" s="76" t="str">
        <f>D70</f>
        <v>g</v>
      </c>
      <c r="E92" s="77"/>
      <c r="F92" s="82"/>
      <c r="G92" s="82"/>
      <c r="H92" s="82"/>
      <c r="N92" s="432" t="s">
        <v>103</v>
      </c>
      <c r="O92" s="445"/>
      <c r="P92" s="446"/>
    </row>
    <row r="93" spans="2:16" ht="12.75" customHeight="1" x14ac:dyDescent="0.25">
      <c r="B93" s="84"/>
      <c r="C93" s="85"/>
      <c r="D93" s="76" t="str">
        <f>D70</f>
        <v>g</v>
      </c>
      <c r="E93" s="77"/>
      <c r="F93" s="82"/>
      <c r="G93" s="82"/>
      <c r="H93" s="82"/>
      <c r="K93" s="34"/>
      <c r="N93" s="447"/>
      <c r="O93" s="448"/>
      <c r="P93" s="449"/>
    </row>
    <row r="94" spans="2:16" ht="12.75" customHeight="1" x14ac:dyDescent="0.25">
      <c r="B94" s="86" t="s">
        <v>7</v>
      </c>
      <c r="C94" s="87">
        <f>SUM(C79:C93)</f>
        <v>1.9832022</v>
      </c>
      <c r="D94" s="88" t="str">
        <f>D70</f>
        <v>g</v>
      </c>
      <c r="E94" s="77"/>
      <c r="F94" s="82"/>
      <c r="G94" s="82"/>
      <c r="H94" s="82"/>
      <c r="N94" s="447"/>
      <c r="O94" s="448"/>
      <c r="P94" s="449"/>
    </row>
    <row r="95" spans="2:16" ht="12.75" customHeight="1" x14ac:dyDescent="0.25">
      <c r="B95" s="79" t="s">
        <v>71</v>
      </c>
      <c r="C95" s="89"/>
      <c r="D95" s="81"/>
      <c r="E95" s="77"/>
      <c r="F95" s="82"/>
      <c r="G95" s="82"/>
      <c r="H95" s="82"/>
      <c r="I95" s="34"/>
      <c r="J95" s="53"/>
      <c r="L95" s="53"/>
      <c r="N95" s="447"/>
      <c r="O95" s="448"/>
      <c r="P95" s="449"/>
    </row>
    <row r="96" spans="2:16" ht="12.75" customHeight="1" x14ac:dyDescent="0.25">
      <c r="B96" s="74" t="s">
        <v>100</v>
      </c>
      <c r="C96" s="83">
        <f>8*0.889</f>
        <v>7.1120000000000001</v>
      </c>
      <c r="D96" s="76" t="str">
        <f>D70</f>
        <v>g</v>
      </c>
      <c r="E96" s="77"/>
      <c r="F96" s="82"/>
      <c r="G96" s="82"/>
      <c r="H96" s="82"/>
      <c r="N96" s="447"/>
      <c r="O96" s="448"/>
      <c r="P96" s="449"/>
    </row>
    <row r="97" spans="2:16" ht="12.75" customHeight="1" thickBot="1" x14ac:dyDescent="0.3">
      <c r="B97" s="74" t="s">
        <v>160</v>
      </c>
      <c r="C97" s="83">
        <f>12.36*0.889</f>
        <v>10.98804</v>
      </c>
      <c r="D97" s="76" t="str">
        <f>D70</f>
        <v>g</v>
      </c>
      <c r="E97" s="77"/>
      <c r="F97" s="82"/>
      <c r="G97" s="82"/>
      <c r="H97" s="82"/>
      <c r="N97" s="450"/>
      <c r="O97" s="451"/>
      <c r="P97" s="452"/>
    </row>
    <row r="98" spans="2:16" ht="12.75" customHeight="1" x14ac:dyDescent="0.25">
      <c r="B98" s="74"/>
      <c r="C98" s="83"/>
      <c r="D98" s="76" t="str">
        <f>D70</f>
        <v>g</v>
      </c>
      <c r="E98" s="77"/>
      <c r="F98" s="82"/>
      <c r="G98" s="82"/>
      <c r="H98" s="82"/>
      <c r="N98" s="60"/>
      <c r="O98" s="60"/>
      <c r="P98" s="60"/>
    </row>
    <row r="99" spans="2:16" ht="12.75" customHeight="1" x14ac:dyDescent="0.25">
      <c r="B99" s="166" t="s">
        <v>161</v>
      </c>
      <c r="C99" s="83">
        <f>10*C76</f>
        <v>27</v>
      </c>
      <c r="D99" s="76" t="str">
        <f>D70</f>
        <v>g</v>
      </c>
      <c r="E99" s="77"/>
      <c r="F99" s="82"/>
      <c r="G99" s="82"/>
      <c r="H99" s="82"/>
      <c r="N99" s="60"/>
      <c r="O99" s="60"/>
      <c r="P99" s="60"/>
    </row>
    <row r="100" spans="2:16" ht="12.75" customHeight="1" x14ac:dyDescent="0.25">
      <c r="B100" s="74"/>
      <c r="C100" s="83"/>
      <c r="D100" s="76" t="str">
        <f>D70</f>
        <v>g</v>
      </c>
      <c r="E100" s="77"/>
      <c r="F100" s="82"/>
      <c r="G100" s="82"/>
      <c r="H100" s="82"/>
      <c r="N100" s="60"/>
      <c r="O100" s="60"/>
      <c r="P100" s="60"/>
    </row>
    <row r="101" spans="2:16" ht="12.75" customHeight="1" x14ac:dyDescent="0.25">
      <c r="B101" s="74"/>
      <c r="C101" s="83"/>
      <c r="D101" s="76" t="str">
        <f>D70</f>
        <v>g</v>
      </c>
      <c r="E101" s="77"/>
      <c r="F101" s="82"/>
      <c r="G101" s="82"/>
      <c r="H101" s="82"/>
      <c r="N101" s="60"/>
      <c r="O101" s="60"/>
      <c r="P101" s="60"/>
    </row>
    <row r="102" spans="2:16" ht="12.75" customHeight="1" x14ac:dyDescent="0.25">
      <c r="B102" s="74"/>
      <c r="C102" s="83"/>
      <c r="D102" s="76" t="str">
        <f>D70</f>
        <v>g</v>
      </c>
      <c r="E102" s="77"/>
      <c r="F102" s="82"/>
      <c r="G102" s="82"/>
      <c r="H102" s="82"/>
      <c r="N102" s="60"/>
      <c r="O102" s="60"/>
      <c r="P102" s="60"/>
    </row>
    <row r="103" spans="2:16" ht="12.75" customHeight="1" x14ac:dyDescent="0.25">
      <c r="B103" s="74"/>
      <c r="C103" s="83"/>
      <c r="D103" s="76" t="str">
        <f>D70</f>
        <v>g</v>
      </c>
      <c r="E103" s="77"/>
      <c r="F103" s="82"/>
      <c r="G103" s="82"/>
      <c r="H103" s="82"/>
      <c r="N103" s="60"/>
      <c r="O103" s="60"/>
      <c r="P103" s="60"/>
    </row>
    <row r="104" spans="2:16" ht="12.75" customHeight="1" x14ac:dyDescent="0.25">
      <c r="B104" s="79" t="s">
        <v>70</v>
      </c>
      <c r="C104" s="80"/>
      <c r="D104" s="81"/>
      <c r="E104" s="90"/>
      <c r="F104" s="82"/>
      <c r="G104" s="82"/>
      <c r="H104" s="82"/>
      <c r="N104" s="60"/>
      <c r="O104" s="60"/>
      <c r="P104" s="60"/>
    </row>
    <row r="105" spans="2:16" ht="12.75" customHeight="1" x14ac:dyDescent="0.25">
      <c r="B105" s="74" t="s">
        <v>162</v>
      </c>
      <c r="C105" s="83">
        <v>0.1</v>
      </c>
      <c r="D105" s="76" t="str">
        <f>D70</f>
        <v>g</v>
      </c>
      <c r="E105" s="77"/>
      <c r="F105" s="82"/>
      <c r="G105" s="82"/>
      <c r="H105" s="82"/>
      <c r="N105" s="60"/>
      <c r="O105" s="60"/>
      <c r="P105" s="60"/>
    </row>
    <row r="106" spans="2:16" ht="12.75" customHeight="1" x14ac:dyDescent="0.25">
      <c r="B106" s="74"/>
      <c r="C106" s="83"/>
      <c r="D106" s="76" t="str">
        <f>D70</f>
        <v>g</v>
      </c>
      <c r="E106" s="77"/>
      <c r="F106" s="82"/>
      <c r="G106" s="82"/>
      <c r="H106" s="82"/>
      <c r="N106" s="60"/>
      <c r="O106" s="60"/>
      <c r="P106" s="60"/>
    </row>
    <row r="107" spans="2:16" ht="12.75" customHeight="1" x14ac:dyDescent="0.25">
      <c r="B107" s="74"/>
      <c r="C107" s="83"/>
      <c r="D107" s="76" t="str">
        <f>D70</f>
        <v>g</v>
      </c>
      <c r="E107" s="77"/>
      <c r="F107" s="82"/>
      <c r="G107" s="82"/>
      <c r="H107" s="82"/>
      <c r="N107" s="60"/>
      <c r="O107" s="60"/>
      <c r="P107" s="60"/>
    </row>
    <row r="108" spans="2:16" ht="12.75" customHeight="1" x14ac:dyDescent="0.25">
      <c r="B108" s="74"/>
      <c r="C108" s="83"/>
      <c r="D108" s="76" t="str">
        <f>D70</f>
        <v>g</v>
      </c>
      <c r="E108" s="77"/>
      <c r="F108" s="82"/>
      <c r="G108" s="82"/>
      <c r="H108" s="82"/>
      <c r="N108" s="60"/>
      <c r="O108" s="60"/>
      <c r="P108" s="60"/>
    </row>
    <row r="109" spans="2:16" ht="12.75" customHeight="1" x14ac:dyDescent="0.25">
      <c r="B109" s="74"/>
      <c r="C109" s="83"/>
      <c r="D109" s="76" t="str">
        <f>D70</f>
        <v>g</v>
      </c>
      <c r="E109" s="77"/>
      <c r="F109" s="82"/>
      <c r="G109" s="82"/>
      <c r="H109" s="82"/>
      <c r="N109" s="60"/>
      <c r="O109" s="60"/>
      <c r="P109" s="60"/>
    </row>
    <row r="110" spans="2:16" ht="12.75" customHeight="1" x14ac:dyDescent="0.25">
      <c r="B110" s="74"/>
      <c r="C110" s="83"/>
      <c r="D110" s="76" t="str">
        <f>D70</f>
        <v>g</v>
      </c>
      <c r="E110" s="77"/>
      <c r="F110" s="82"/>
      <c r="G110" s="82"/>
      <c r="H110" s="82"/>
      <c r="N110" s="60"/>
      <c r="O110" s="60"/>
      <c r="P110" s="60"/>
    </row>
    <row r="111" spans="2:16" ht="12.75" customHeight="1" x14ac:dyDescent="0.25">
      <c r="B111" s="74"/>
      <c r="C111" s="83"/>
      <c r="D111" s="76" t="str">
        <f>D70</f>
        <v>g</v>
      </c>
      <c r="E111" s="77"/>
      <c r="F111" s="82"/>
      <c r="G111" s="82"/>
      <c r="H111" s="82"/>
      <c r="N111" s="60"/>
      <c r="O111" s="60"/>
      <c r="P111" s="60"/>
    </row>
    <row r="112" spans="2:16" ht="12.75" customHeight="1" x14ac:dyDescent="0.25">
      <c r="B112" s="84"/>
      <c r="C112" s="85"/>
      <c r="D112" s="76" t="str">
        <f>D70</f>
        <v>g</v>
      </c>
      <c r="E112" s="77"/>
      <c r="F112" s="82"/>
      <c r="G112" s="82"/>
      <c r="H112" s="82"/>
      <c r="K112" s="34"/>
      <c r="N112" s="60"/>
      <c r="O112" s="60"/>
      <c r="P112" s="60"/>
    </row>
    <row r="113" spans="2:16" ht="12.75" customHeight="1" x14ac:dyDescent="0.25">
      <c r="B113" s="86" t="s">
        <v>9</v>
      </c>
      <c r="C113" s="87">
        <f>SUM(C94:C112)</f>
        <v>47.183242200000002</v>
      </c>
      <c r="D113" s="91" t="str">
        <f>D70</f>
        <v>g</v>
      </c>
      <c r="E113" s="77"/>
      <c r="F113" s="82"/>
      <c r="G113" s="82"/>
      <c r="H113" s="82"/>
      <c r="N113" s="60"/>
      <c r="O113" s="60"/>
      <c r="P113" s="60"/>
    </row>
    <row r="114" spans="2:16" ht="13.5" thickBot="1" x14ac:dyDescent="0.3">
      <c r="B114" s="92"/>
      <c r="C114" s="93"/>
      <c r="D114" s="94"/>
      <c r="E114" s="77"/>
      <c r="F114" s="82"/>
      <c r="G114" s="82"/>
      <c r="H114" s="82"/>
      <c r="N114" s="60"/>
      <c r="O114" s="60"/>
      <c r="P114" s="60"/>
    </row>
    <row r="115" spans="2:16" ht="20.5" thickBot="1" x14ac:dyDescent="0.3">
      <c r="B115" s="426" t="s">
        <v>10</v>
      </c>
      <c r="C115" s="427"/>
      <c r="D115" s="428"/>
      <c r="E115" s="77"/>
      <c r="F115" s="82"/>
      <c r="G115" s="82"/>
      <c r="H115" s="82"/>
      <c r="N115" s="60"/>
      <c r="O115" s="60"/>
      <c r="P115" s="60"/>
    </row>
    <row r="116" spans="2:16" ht="13" x14ac:dyDescent="0.25">
      <c r="B116" s="95" t="s">
        <v>23</v>
      </c>
      <c r="C116" s="96"/>
      <c r="D116" s="97">
        <f>SUM(C80:C81)</f>
        <v>1.0149999999999999</v>
      </c>
      <c r="E116" s="98"/>
      <c r="F116" s="82"/>
      <c r="G116" s="82"/>
      <c r="H116" s="82"/>
      <c r="N116" s="60"/>
      <c r="O116" s="60"/>
      <c r="P116" s="60"/>
    </row>
    <row r="117" spans="2:16" ht="13" x14ac:dyDescent="0.25">
      <c r="B117" s="99" t="s">
        <v>24</v>
      </c>
      <c r="C117" s="100"/>
      <c r="D117" s="101">
        <f>SUM(C83:C93)</f>
        <v>0.96820220000000001</v>
      </c>
      <c r="E117" s="98"/>
      <c r="F117" s="82"/>
      <c r="G117" s="82"/>
      <c r="H117" s="82"/>
      <c r="N117" s="60"/>
      <c r="O117" s="60"/>
      <c r="P117" s="60"/>
    </row>
    <row r="118" spans="2:16" ht="13" x14ac:dyDescent="0.25">
      <c r="B118" s="99" t="s">
        <v>25</v>
      </c>
      <c r="C118" s="100"/>
      <c r="D118" s="101">
        <f>SUM(C96:C104)</f>
        <v>45.10004</v>
      </c>
      <c r="E118" s="98"/>
      <c r="F118" s="82"/>
      <c r="G118" s="82"/>
      <c r="H118" s="82"/>
      <c r="N118" s="60"/>
      <c r="O118" s="60"/>
      <c r="P118" s="60"/>
    </row>
    <row r="119" spans="2:16" ht="13.5" thickBot="1" x14ac:dyDescent="0.3">
      <c r="B119" s="102" t="s">
        <v>26</v>
      </c>
      <c r="C119" s="103"/>
      <c r="D119" s="104">
        <f>SUM(C105:C112)</f>
        <v>0.1</v>
      </c>
      <c r="E119" s="98"/>
      <c r="F119" s="82"/>
      <c r="G119" s="82"/>
      <c r="H119" s="82"/>
      <c r="N119" s="60"/>
      <c r="O119" s="60"/>
      <c r="P119" s="60"/>
    </row>
    <row r="120" spans="2:16" ht="18.5" thickTop="1" x14ac:dyDescent="0.25">
      <c r="B120" s="105" t="s">
        <v>11</v>
      </c>
      <c r="C120" s="106"/>
      <c r="D120" s="107">
        <f>C94/C76</f>
        <v>0.7345193333333333</v>
      </c>
      <c r="E120" s="77"/>
      <c r="F120" s="82"/>
      <c r="G120" s="82"/>
      <c r="H120" s="82"/>
      <c r="N120" s="60"/>
      <c r="O120" s="60"/>
      <c r="P120" s="60"/>
    </row>
    <row r="121" spans="2:16" ht="18" x14ac:dyDescent="0.25">
      <c r="B121" s="111" t="s">
        <v>12</v>
      </c>
      <c r="C121" s="112"/>
      <c r="D121" s="113">
        <f>(D116+D117+D118)/C76</f>
        <v>17.438237851851852</v>
      </c>
      <c r="E121" s="77"/>
      <c r="F121" s="82"/>
      <c r="G121" s="82"/>
      <c r="H121" s="82"/>
      <c r="N121" s="60"/>
      <c r="O121" s="60"/>
      <c r="P121" s="60"/>
    </row>
    <row r="122" spans="2:16" ht="18" x14ac:dyDescent="0.25">
      <c r="B122" s="111" t="s">
        <v>13</v>
      </c>
      <c r="C122" s="112"/>
      <c r="D122" s="113">
        <f>D118/C76</f>
        <v>16.703718518518517</v>
      </c>
      <c r="E122" s="90"/>
      <c r="F122" s="82"/>
      <c r="G122" s="82"/>
      <c r="H122" s="82"/>
      <c r="N122" s="60"/>
      <c r="O122" s="60"/>
      <c r="P122" s="60"/>
    </row>
    <row r="123" spans="2:16" ht="18" x14ac:dyDescent="0.25">
      <c r="B123" s="114" t="s">
        <v>14</v>
      </c>
      <c r="C123" s="115"/>
      <c r="D123" s="116">
        <f>D119/C76</f>
        <v>3.7037037037037035E-2</v>
      </c>
      <c r="E123" s="90"/>
      <c r="F123" s="82"/>
      <c r="G123" s="82"/>
      <c r="H123" s="82"/>
      <c r="N123" s="60"/>
      <c r="O123" s="60"/>
      <c r="P123" s="60"/>
    </row>
    <row r="124" spans="2:16" ht="18.5" thickBot="1" x14ac:dyDescent="0.3">
      <c r="B124" s="114" t="s">
        <v>15</v>
      </c>
      <c r="C124" s="119"/>
      <c r="D124" s="116">
        <f>SUM(D116:D119)/C76</f>
        <v>17.47527488888889</v>
      </c>
      <c r="E124" s="90"/>
      <c r="F124" s="82"/>
      <c r="G124" s="82"/>
      <c r="H124" s="82"/>
      <c r="N124" s="60"/>
      <c r="O124" s="60"/>
      <c r="P124" s="60"/>
    </row>
    <row r="125" spans="2:16" ht="18.5" thickTop="1" x14ac:dyDescent="0.25">
      <c r="B125" s="120" t="s">
        <v>16</v>
      </c>
      <c r="C125" s="121"/>
      <c r="D125" s="122">
        <f>((C80*D59)+D117+C81*MAX(1,F81))/C76</f>
        <v>1.9925632800089244</v>
      </c>
      <c r="E125" s="77"/>
      <c r="F125" s="82"/>
      <c r="G125" s="82"/>
      <c r="H125" s="82"/>
      <c r="N125" s="60"/>
      <c r="O125" s="60"/>
      <c r="P125" s="60"/>
    </row>
    <row r="126" spans="2:16" ht="18" x14ac:dyDescent="0.25">
      <c r="B126" s="123" t="s">
        <v>17</v>
      </c>
      <c r="C126" s="124"/>
      <c r="D126" s="125">
        <f>(C80*D60+D117+D118+C81*(MAX(1,F81)+G81))/C76</f>
        <v>48.372708991967869</v>
      </c>
      <c r="E126" s="77"/>
      <c r="F126" s="82"/>
      <c r="G126" s="82"/>
      <c r="H126" s="82"/>
      <c r="N126" s="60"/>
      <c r="O126" s="60"/>
      <c r="P126" s="60"/>
    </row>
    <row r="127" spans="2:16" ht="18" customHeight="1" x14ac:dyDescent="0.25">
      <c r="B127" s="123" t="s">
        <v>18</v>
      </c>
      <c r="C127" s="124"/>
      <c r="D127" s="125">
        <f>((C80*D61)+D118+C81*G81)/C76</f>
        <v>46.380145711958946</v>
      </c>
      <c r="E127" s="77"/>
      <c r="F127" s="82"/>
      <c r="G127" s="82"/>
      <c r="H127" s="82"/>
      <c r="N127" s="60"/>
      <c r="O127" s="60"/>
      <c r="P127" s="60"/>
    </row>
    <row r="128" spans="2:16" ht="18" x14ac:dyDescent="0.25">
      <c r="B128" s="126" t="s">
        <v>19</v>
      </c>
      <c r="C128" s="127"/>
      <c r="D128" s="128">
        <f>(C80*D62+D119+C81*H81)/C76</f>
        <v>3.7037037037037035E-2</v>
      </c>
      <c r="E128" s="77"/>
      <c r="F128" s="82"/>
      <c r="G128" s="82"/>
      <c r="H128" s="82"/>
      <c r="N128" s="60"/>
      <c r="O128" s="60"/>
      <c r="P128" s="60"/>
    </row>
    <row r="129" spans="2:16" ht="18.5" thickBot="1" x14ac:dyDescent="0.3">
      <c r="B129" s="129" t="s">
        <v>20</v>
      </c>
      <c r="C129" s="130"/>
      <c r="D129" s="131">
        <f>((C80*D63)+SUM(D117:D119)+C81*(MAX(1,F81)+G81+H81))/C76</f>
        <v>48.4097460290049</v>
      </c>
      <c r="E129" s="77"/>
      <c r="F129" s="82"/>
      <c r="G129" s="82"/>
      <c r="H129" s="82"/>
      <c r="N129" s="60"/>
      <c r="O129" s="60"/>
      <c r="P129" s="60"/>
    </row>
    <row r="130" spans="2:16" ht="13" thickTop="1" x14ac:dyDescent="0.25">
      <c r="B130" s="256"/>
      <c r="C130" s="256"/>
      <c r="D130" s="256"/>
      <c r="E130" s="256"/>
      <c r="F130" s="256"/>
      <c r="G130" s="256"/>
      <c r="H130" s="256"/>
      <c r="N130" s="60"/>
      <c r="O130" s="60"/>
      <c r="P130" s="60"/>
    </row>
    <row r="131" spans="2:16" x14ac:dyDescent="0.25">
      <c r="B131" s="256"/>
      <c r="C131" s="256"/>
      <c r="D131" s="256"/>
      <c r="E131" s="256"/>
      <c r="F131" s="256"/>
      <c r="G131" s="256"/>
      <c r="H131" s="256"/>
      <c r="N131" s="60"/>
      <c r="O131" s="60"/>
      <c r="P131" s="60"/>
    </row>
    <row r="132" spans="2:16" x14ac:dyDescent="0.25">
      <c r="B132" s="256"/>
      <c r="C132" s="256"/>
      <c r="D132" s="256"/>
      <c r="E132" s="256"/>
      <c r="F132" s="256"/>
      <c r="G132" s="256"/>
      <c r="H132" s="256"/>
      <c r="N132" s="60"/>
      <c r="O132" s="60"/>
      <c r="P132" s="60"/>
    </row>
    <row r="133" spans="2:16" ht="13" x14ac:dyDescent="0.25">
      <c r="E133" s="46"/>
      <c r="F133" s="34"/>
      <c r="G133" s="34"/>
      <c r="H133" s="34"/>
      <c r="N133" s="60"/>
      <c r="O133" s="60"/>
      <c r="P133" s="60"/>
    </row>
    <row r="134" spans="2:16" ht="13" hidden="1" outlineLevel="1" x14ac:dyDescent="0.25">
      <c r="C134" s="25" t="s">
        <v>44</v>
      </c>
      <c r="D134" s="25" t="s">
        <v>42</v>
      </c>
      <c r="E134" s="46"/>
      <c r="F134" s="34"/>
      <c r="G134" s="34"/>
      <c r="H134" s="34"/>
      <c r="N134" s="60"/>
      <c r="O134" s="60"/>
      <c r="P134" s="60"/>
    </row>
    <row r="135" spans="2:16" ht="21" hidden="1" outlineLevel="1" thickTop="1" thickBot="1" x14ac:dyDescent="0.3">
      <c r="B135" s="140" t="s">
        <v>73</v>
      </c>
      <c r="C135" s="29"/>
      <c r="D135" s="141"/>
      <c r="E135" s="31"/>
      <c r="F135" s="32" t="s">
        <v>27</v>
      </c>
      <c r="G135" s="33"/>
      <c r="H135" s="33"/>
      <c r="I135" s="34"/>
    </row>
    <row r="136" spans="2:16" ht="14.5" hidden="1" outlineLevel="1" thickBot="1" x14ac:dyDescent="0.3">
      <c r="B136" s="37"/>
      <c r="C136" s="38" t="s">
        <v>0</v>
      </c>
      <c r="D136" s="39" t="s">
        <v>1</v>
      </c>
      <c r="E136" s="40"/>
      <c r="F136" s="41" t="s">
        <v>28</v>
      </c>
      <c r="G136" s="41" t="s">
        <v>21</v>
      </c>
      <c r="H136" s="41" t="s">
        <v>8</v>
      </c>
    </row>
    <row r="137" spans="2:16" ht="13" hidden="1" outlineLevel="1" x14ac:dyDescent="0.25">
      <c r="B137" s="43" t="s">
        <v>65</v>
      </c>
      <c r="C137" s="142"/>
      <c r="D137" s="45" t="s">
        <v>2</v>
      </c>
      <c r="E137" s="46"/>
      <c r="F137" s="47"/>
      <c r="G137" s="47"/>
      <c r="H137" s="47"/>
      <c r="N137" s="60"/>
      <c r="O137" s="60"/>
      <c r="P137" s="60"/>
    </row>
    <row r="138" spans="2:16" ht="13" hidden="1" outlineLevel="1" x14ac:dyDescent="0.25">
      <c r="B138" s="43" t="s">
        <v>64</v>
      </c>
      <c r="C138" s="143"/>
      <c r="D138" s="45" t="s">
        <v>3</v>
      </c>
      <c r="E138" s="46"/>
      <c r="F138" s="47"/>
      <c r="G138" s="47"/>
      <c r="H138" s="47"/>
      <c r="N138" s="60"/>
      <c r="O138" s="60"/>
      <c r="P138" s="60"/>
    </row>
    <row r="139" spans="2:16" ht="13" hidden="1" outlineLevel="1" x14ac:dyDescent="0.25">
      <c r="B139" s="51" t="s">
        <v>63</v>
      </c>
      <c r="C139" s="144">
        <f>C137*C138</f>
        <v>0</v>
      </c>
      <c r="D139" s="45" t="str">
        <f>D137</f>
        <v>kg</v>
      </c>
      <c r="E139" s="46"/>
      <c r="F139" s="47"/>
      <c r="G139" s="47"/>
      <c r="H139" s="47"/>
      <c r="N139" s="60"/>
      <c r="O139" s="60"/>
      <c r="P139" s="60"/>
    </row>
    <row r="140" spans="2:16" ht="14" hidden="1" outlineLevel="1" x14ac:dyDescent="0.25">
      <c r="B140" s="54" t="s">
        <v>37</v>
      </c>
      <c r="C140" s="145">
        <v>1</v>
      </c>
      <c r="D140" s="56"/>
      <c r="E140" s="57"/>
      <c r="F140" s="58"/>
      <c r="G140" s="58"/>
      <c r="H140" s="58"/>
      <c r="N140" s="60"/>
      <c r="O140" s="60"/>
      <c r="P140" s="60"/>
    </row>
    <row r="141" spans="2:16" ht="13" hidden="1" outlineLevel="1" x14ac:dyDescent="0.25">
      <c r="B141" s="43" t="s">
        <v>66</v>
      </c>
      <c r="C141" s="142"/>
      <c r="D141" s="45" t="str">
        <f>D137</f>
        <v>kg</v>
      </c>
      <c r="E141" s="46"/>
      <c r="F141" s="47"/>
      <c r="G141" s="47"/>
      <c r="H141" s="47"/>
      <c r="N141" s="60"/>
      <c r="O141" s="60"/>
      <c r="P141" s="60"/>
    </row>
    <row r="142" spans="2:16" ht="13" hidden="1" outlineLevel="1" x14ac:dyDescent="0.25">
      <c r="B142" s="43" t="s">
        <v>67</v>
      </c>
      <c r="C142" s="143"/>
      <c r="D142" s="45" t="s">
        <v>3</v>
      </c>
      <c r="E142" s="59"/>
      <c r="F142" s="47"/>
      <c r="G142" s="47"/>
      <c r="H142" s="47"/>
      <c r="N142" s="60"/>
      <c r="O142" s="60"/>
      <c r="P142" s="60"/>
    </row>
    <row r="143" spans="2:16" ht="13" hidden="1" outlineLevel="1" x14ac:dyDescent="0.25">
      <c r="B143" s="51" t="s">
        <v>68</v>
      </c>
      <c r="C143" s="144">
        <f>C141*C142</f>
        <v>0</v>
      </c>
      <c r="D143" s="45" t="str">
        <f>D137</f>
        <v>kg</v>
      </c>
      <c r="E143" s="46"/>
      <c r="F143" s="47"/>
      <c r="G143" s="47"/>
      <c r="H143" s="47"/>
      <c r="N143" s="60"/>
      <c r="O143" s="60"/>
      <c r="P143" s="60"/>
    </row>
    <row r="144" spans="2:16" ht="13.5" hidden="1" outlineLevel="1" thickBot="1" x14ac:dyDescent="0.3">
      <c r="B144" s="61"/>
      <c r="C144" s="62"/>
      <c r="D144" s="63"/>
      <c r="F144" s="64"/>
      <c r="G144" s="64"/>
      <c r="H144" s="64"/>
      <c r="N144" s="60"/>
      <c r="O144" s="60"/>
      <c r="P144" s="60"/>
    </row>
    <row r="145" spans="2:16" ht="14.5" hidden="1" outlineLevel="1" thickBot="1" x14ac:dyDescent="0.3">
      <c r="B145" s="65" t="s">
        <v>5</v>
      </c>
      <c r="C145" s="66" t="s">
        <v>6</v>
      </c>
      <c r="D145" s="67" t="s">
        <v>1</v>
      </c>
      <c r="E145" s="68"/>
      <c r="F145" s="69"/>
      <c r="G145" s="69"/>
      <c r="H145" s="69"/>
      <c r="N145" s="60"/>
      <c r="O145" s="60"/>
      <c r="P145" s="60"/>
    </row>
    <row r="146" spans="2:16" ht="13" hidden="1" outlineLevel="1" x14ac:dyDescent="0.25">
      <c r="B146" s="70" t="s">
        <v>43</v>
      </c>
      <c r="C146" s="71"/>
      <c r="D146" s="72"/>
      <c r="E146" s="73"/>
      <c r="F146" s="69"/>
      <c r="G146" s="69"/>
      <c r="H146" s="69"/>
      <c r="N146" s="60"/>
      <c r="O146" s="60"/>
      <c r="P146" s="60"/>
    </row>
    <row r="147" spans="2:16" ht="13" hidden="1" outlineLevel="1" x14ac:dyDescent="0.25">
      <c r="B147" s="74"/>
      <c r="C147" s="146">
        <f>C139</f>
        <v>0</v>
      </c>
      <c r="D147" s="76" t="str">
        <f>D137</f>
        <v>kg</v>
      </c>
      <c r="E147" s="98"/>
      <c r="F147" s="69"/>
      <c r="G147" s="69"/>
      <c r="H147" s="69"/>
      <c r="N147" s="60"/>
      <c r="O147" s="60"/>
      <c r="P147" s="60"/>
    </row>
    <row r="148" spans="2:16" ht="13.5" hidden="1" outlineLevel="1" thickBot="1" x14ac:dyDescent="0.3">
      <c r="B148" s="74"/>
      <c r="C148" s="146"/>
      <c r="D148" s="76" t="str">
        <f>D137</f>
        <v>kg</v>
      </c>
      <c r="E148" s="77"/>
      <c r="F148" s="78"/>
      <c r="G148" s="78"/>
      <c r="H148" s="78"/>
      <c r="N148" s="60"/>
      <c r="O148" s="60"/>
      <c r="P148" s="60"/>
    </row>
    <row r="149" spans="2:16" ht="13" hidden="1" outlineLevel="1" x14ac:dyDescent="0.25">
      <c r="B149" s="79" t="s">
        <v>69</v>
      </c>
      <c r="C149" s="147"/>
      <c r="D149" s="81"/>
      <c r="E149" s="77"/>
      <c r="F149" s="82"/>
      <c r="G149" s="82"/>
      <c r="H149" s="82"/>
      <c r="N149" s="60"/>
      <c r="O149" s="60"/>
      <c r="P149" s="60"/>
    </row>
    <row r="150" spans="2:16" ht="13" hidden="1" outlineLevel="1" x14ac:dyDescent="0.25">
      <c r="B150" s="74"/>
      <c r="C150" s="148"/>
      <c r="D150" s="76" t="str">
        <f>D137</f>
        <v>kg</v>
      </c>
      <c r="E150" s="77"/>
      <c r="F150" s="82"/>
      <c r="G150" s="82"/>
      <c r="H150" s="82"/>
      <c r="N150" s="60"/>
      <c r="O150" s="60"/>
      <c r="P150" s="60"/>
    </row>
    <row r="151" spans="2:16" ht="13" hidden="1" outlineLevel="1" x14ac:dyDescent="0.25">
      <c r="B151" s="74"/>
      <c r="C151" s="148"/>
      <c r="D151" s="76" t="str">
        <f>D137</f>
        <v>kg</v>
      </c>
      <c r="E151" s="77"/>
      <c r="F151" s="82"/>
      <c r="G151" s="82"/>
      <c r="H151" s="82"/>
      <c r="N151" s="60"/>
      <c r="O151" s="60"/>
      <c r="P151" s="60"/>
    </row>
    <row r="152" spans="2:16" ht="13" hidden="1" outlineLevel="1" x14ac:dyDescent="0.25">
      <c r="B152" s="74"/>
      <c r="C152" s="148"/>
      <c r="D152" s="76" t="str">
        <f>D137</f>
        <v>kg</v>
      </c>
      <c r="E152" s="77"/>
      <c r="F152" s="82"/>
      <c r="G152" s="82"/>
      <c r="H152" s="82"/>
      <c r="N152" s="60"/>
      <c r="O152" s="60"/>
      <c r="P152" s="60"/>
    </row>
    <row r="153" spans="2:16" ht="13" hidden="1" outlineLevel="1" x14ac:dyDescent="0.25">
      <c r="B153" s="74"/>
      <c r="C153" s="148"/>
      <c r="D153" s="76" t="str">
        <f>D137</f>
        <v>kg</v>
      </c>
      <c r="E153" s="77"/>
      <c r="F153" s="82"/>
      <c r="G153" s="82"/>
      <c r="H153" s="82"/>
      <c r="N153" s="60"/>
      <c r="O153" s="60"/>
      <c r="P153" s="60"/>
    </row>
    <row r="154" spans="2:16" ht="13" hidden="1" outlineLevel="1" x14ac:dyDescent="0.25">
      <c r="B154" s="74"/>
      <c r="C154" s="148"/>
      <c r="D154" s="76" t="str">
        <f>D137</f>
        <v>kg</v>
      </c>
      <c r="E154" s="77"/>
      <c r="F154" s="82"/>
      <c r="G154" s="82"/>
      <c r="H154" s="82"/>
      <c r="N154" s="60"/>
      <c r="O154" s="60"/>
      <c r="P154" s="60"/>
    </row>
    <row r="155" spans="2:16" ht="13" hidden="1" outlineLevel="1" x14ac:dyDescent="0.25">
      <c r="B155" s="74"/>
      <c r="C155" s="148"/>
      <c r="D155" s="76" t="str">
        <f>D137</f>
        <v>kg</v>
      </c>
      <c r="E155" s="77"/>
      <c r="F155" s="82"/>
      <c r="G155" s="82"/>
      <c r="H155" s="82"/>
      <c r="N155" s="60"/>
      <c r="O155" s="60"/>
      <c r="P155" s="60"/>
    </row>
    <row r="156" spans="2:16" ht="13" hidden="1" outlineLevel="1" x14ac:dyDescent="0.25">
      <c r="B156" s="74"/>
      <c r="C156" s="148"/>
      <c r="D156" s="76" t="str">
        <f>D137</f>
        <v>kg</v>
      </c>
      <c r="E156" s="77"/>
      <c r="F156" s="82"/>
      <c r="G156" s="82"/>
      <c r="H156" s="82"/>
      <c r="N156" s="60"/>
      <c r="O156" s="60"/>
      <c r="P156" s="60"/>
    </row>
    <row r="157" spans="2:16" ht="13" hidden="1" outlineLevel="1" x14ac:dyDescent="0.25">
      <c r="B157" s="74"/>
      <c r="C157" s="148"/>
      <c r="D157" s="76" t="str">
        <f>D137</f>
        <v>kg</v>
      </c>
      <c r="E157" s="77"/>
      <c r="F157" s="82"/>
      <c r="G157" s="82"/>
      <c r="H157" s="82"/>
      <c r="N157" s="60"/>
      <c r="O157" s="60"/>
      <c r="P157" s="60"/>
    </row>
    <row r="158" spans="2:16" ht="13" hidden="1" outlineLevel="1" x14ac:dyDescent="0.25">
      <c r="B158" s="74"/>
      <c r="C158" s="148"/>
      <c r="D158" s="76" t="str">
        <f>D137</f>
        <v>kg</v>
      </c>
      <c r="E158" s="77"/>
      <c r="F158" s="82"/>
      <c r="G158" s="82"/>
      <c r="H158" s="82"/>
      <c r="N158" s="60"/>
      <c r="O158" s="60"/>
      <c r="P158" s="60"/>
    </row>
    <row r="159" spans="2:16" ht="13" hidden="1" outlineLevel="1" x14ac:dyDescent="0.25">
      <c r="B159" s="74"/>
      <c r="C159" s="148"/>
      <c r="D159" s="76" t="str">
        <f>D137</f>
        <v>kg</v>
      </c>
      <c r="E159" s="77"/>
      <c r="F159" s="82"/>
      <c r="G159" s="82"/>
      <c r="H159" s="82"/>
      <c r="N159" s="60"/>
      <c r="O159" s="60"/>
      <c r="P159" s="60"/>
    </row>
    <row r="160" spans="2:16" ht="13.4" hidden="1" customHeight="1" outlineLevel="1" x14ac:dyDescent="0.25">
      <c r="B160" s="79"/>
      <c r="C160" s="147"/>
      <c r="D160" s="81"/>
      <c r="E160" s="77"/>
      <c r="F160" s="82"/>
      <c r="G160" s="82"/>
      <c r="H160" s="82"/>
      <c r="K160" s="34"/>
      <c r="N160" s="60"/>
      <c r="O160" s="60"/>
      <c r="P160" s="60"/>
    </row>
    <row r="161" spans="2:16" ht="13" hidden="1" outlineLevel="1" x14ac:dyDescent="0.25">
      <c r="B161" s="86" t="s">
        <v>7</v>
      </c>
      <c r="C161" s="149">
        <f>SUM(C146:C159)</f>
        <v>0</v>
      </c>
      <c r="D161" s="88" t="str">
        <f>D137</f>
        <v>kg</v>
      </c>
      <c r="E161" s="77"/>
      <c r="F161" s="82"/>
      <c r="G161" s="82"/>
      <c r="H161" s="82"/>
      <c r="N161" s="60"/>
      <c r="O161" s="60"/>
      <c r="P161" s="60"/>
    </row>
    <row r="162" spans="2:16" ht="13" hidden="1" outlineLevel="1" x14ac:dyDescent="0.25">
      <c r="B162" s="79" t="s">
        <v>71</v>
      </c>
      <c r="C162" s="150"/>
      <c r="D162" s="81"/>
      <c r="E162" s="77"/>
      <c r="F162" s="82"/>
      <c r="G162" s="82"/>
      <c r="H162" s="82"/>
      <c r="N162" s="60"/>
      <c r="O162" s="60"/>
      <c r="P162" s="60"/>
    </row>
    <row r="163" spans="2:16" ht="13" hidden="1" outlineLevel="1" x14ac:dyDescent="0.25">
      <c r="B163" s="74"/>
      <c r="C163" s="148"/>
      <c r="D163" s="76" t="str">
        <f>D137</f>
        <v>kg</v>
      </c>
      <c r="E163" s="77"/>
      <c r="F163" s="82"/>
      <c r="G163" s="82"/>
      <c r="H163" s="82"/>
      <c r="N163" s="60"/>
      <c r="O163" s="60"/>
      <c r="P163" s="60"/>
    </row>
    <row r="164" spans="2:16" ht="13" hidden="1" outlineLevel="1" x14ac:dyDescent="0.25">
      <c r="B164" s="74"/>
      <c r="C164" s="148"/>
      <c r="D164" s="76" t="str">
        <f>D137</f>
        <v>kg</v>
      </c>
      <c r="E164" s="77"/>
      <c r="F164" s="82"/>
      <c r="G164" s="82"/>
      <c r="H164" s="82"/>
      <c r="N164" s="60"/>
      <c r="O164" s="60"/>
      <c r="P164" s="60"/>
    </row>
    <row r="165" spans="2:16" ht="13" hidden="1" outlineLevel="1" x14ac:dyDescent="0.25">
      <c r="B165" s="74"/>
      <c r="C165" s="148"/>
      <c r="D165" s="76" t="str">
        <f>D137</f>
        <v>kg</v>
      </c>
      <c r="E165" s="77"/>
      <c r="F165" s="82"/>
      <c r="G165" s="82"/>
      <c r="H165" s="82"/>
      <c r="N165" s="60"/>
      <c r="O165" s="60"/>
      <c r="P165" s="60"/>
    </row>
    <row r="166" spans="2:16" ht="13" hidden="1" outlineLevel="1" x14ac:dyDescent="0.25">
      <c r="B166" s="74"/>
      <c r="C166" s="148"/>
      <c r="D166" s="76" t="str">
        <f>D137</f>
        <v>kg</v>
      </c>
      <c r="E166" s="77"/>
      <c r="F166" s="82"/>
      <c r="G166" s="82"/>
      <c r="H166" s="82"/>
      <c r="N166" s="60"/>
      <c r="O166" s="60"/>
      <c r="P166" s="60"/>
    </row>
    <row r="167" spans="2:16" ht="13" hidden="1" outlineLevel="1" x14ac:dyDescent="0.25">
      <c r="B167" s="74"/>
      <c r="C167" s="148"/>
      <c r="D167" s="76" t="str">
        <f>D137</f>
        <v>kg</v>
      </c>
      <c r="E167" s="77"/>
      <c r="F167" s="82"/>
      <c r="G167" s="82"/>
      <c r="H167" s="82"/>
      <c r="N167" s="60"/>
      <c r="O167" s="60"/>
      <c r="P167" s="60"/>
    </row>
    <row r="168" spans="2:16" ht="13" hidden="1" outlineLevel="1" x14ac:dyDescent="0.25">
      <c r="B168" s="74"/>
      <c r="C168" s="148"/>
      <c r="D168" s="76" t="str">
        <f>D137</f>
        <v>kg</v>
      </c>
      <c r="E168" s="77"/>
      <c r="F168" s="82"/>
      <c r="G168" s="82"/>
      <c r="H168" s="82"/>
      <c r="N168" s="60"/>
      <c r="O168" s="60"/>
      <c r="P168" s="60"/>
    </row>
    <row r="169" spans="2:16" ht="13" hidden="1" outlineLevel="1" x14ac:dyDescent="0.25">
      <c r="B169" s="74"/>
      <c r="C169" s="148"/>
      <c r="D169" s="76" t="str">
        <f>D137</f>
        <v>kg</v>
      </c>
      <c r="E169" s="77"/>
      <c r="F169" s="82"/>
      <c r="G169" s="82"/>
      <c r="H169" s="82"/>
      <c r="N169" s="60"/>
      <c r="O169" s="60"/>
      <c r="P169" s="60"/>
    </row>
    <row r="170" spans="2:16" ht="13" hidden="1" outlineLevel="1" x14ac:dyDescent="0.25">
      <c r="B170" s="74"/>
      <c r="C170" s="148"/>
      <c r="D170" s="76" t="str">
        <f>D137</f>
        <v>kg</v>
      </c>
      <c r="E170" s="77"/>
      <c r="F170" s="82"/>
      <c r="G170" s="82"/>
      <c r="H170" s="82"/>
      <c r="N170" s="60"/>
      <c r="O170" s="60"/>
      <c r="P170" s="60"/>
    </row>
    <row r="171" spans="2:16" ht="13" hidden="1" outlineLevel="1" x14ac:dyDescent="0.25">
      <c r="B171" s="79" t="s">
        <v>70</v>
      </c>
      <c r="C171" s="147"/>
      <c r="D171" s="81"/>
      <c r="E171" s="90"/>
      <c r="F171" s="82"/>
      <c r="G171" s="82"/>
      <c r="H171" s="82"/>
      <c r="N171" s="60"/>
      <c r="O171" s="60"/>
      <c r="P171" s="60"/>
    </row>
    <row r="172" spans="2:16" ht="13" hidden="1" outlineLevel="1" x14ac:dyDescent="0.25">
      <c r="B172" s="74"/>
      <c r="C172" s="148"/>
      <c r="D172" s="76" t="str">
        <f>D137</f>
        <v>kg</v>
      </c>
      <c r="E172" s="77"/>
      <c r="F172" s="82"/>
      <c r="G172" s="82"/>
      <c r="H172" s="82"/>
      <c r="N172" s="60"/>
      <c r="O172" s="60"/>
      <c r="P172" s="60"/>
    </row>
    <row r="173" spans="2:16" ht="13" hidden="1" outlineLevel="1" x14ac:dyDescent="0.25">
      <c r="B173" s="74"/>
      <c r="C173" s="148"/>
      <c r="D173" s="76" t="str">
        <f>D137</f>
        <v>kg</v>
      </c>
      <c r="E173" s="77"/>
      <c r="F173" s="82"/>
      <c r="G173" s="82"/>
      <c r="H173" s="82"/>
      <c r="N173" s="60"/>
      <c r="O173" s="60"/>
      <c r="P173" s="60"/>
    </row>
    <row r="174" spans="2:16" ht="13" hidden="1" outlineLevel="1" x14ac:dyDescent="0.25">
      <c r="B174" s="74"/>
      <c r="C174" s="148"/>
      <c r="D174" s="76" t="str">
        <f>D137</f>
        <v>kg</v>
      </c>
      <c r="E174" s="77"/>
      <c r="F174" s="82"/>
      <c r="G174" s="82"/>
      <c r="H174" s="82"/>
      <c r="N174" s="60"/>
      <c r="O174" s="60"/>
      <c r="P174" s="60"/>
    </row>
    <row r="175" spans="2:16" ht="13" hidden="1" outlineLevel="1" x14ac:dyDescent="0.25">
      <c r="B175" s="74"/>
      <c r="C175" s="148"/>
      <c r="D175" s="76" t="str">
        <f>D137</f>
        <v>kg</v>
      </c>
      <c r="E175" s="77"/>
      <c r="F175" s="82"/>
      <c r="G175" s="82"/>
      <c r="H175" s="82"/>
      <c r="N175" s="60"/>
      <c r="O175" s="60"/>
      <c r="P175" s="60"/>
    </row>
    <row r="176" spans="2:16" ht="13" hidden="1" outlineLevel="1" x14ac:dyDescent="0.25">
      <c r="B176" s="74"/>
      <c r="C176" s="148"/>
      <c r="D176" s="76" t="str">
        <f>D137</f>
        <v>kg</v>
      </c>
      <c r="E176" s="77"/>
      <c r="F176" s="82"/>
      <c r="G176" s="82"/>
      <c r="H176" s="82"/>
      <c r="N176" s="60"/>
      <c r="O176" s="60"/>
      <c r="P176" s="60"/>
    </row>
    <row r="177" spans="2:16" ht="13" hidden="1" outlineLevel="1" x14ac:dyDescent="0.25">
      <c r="B177" s="74"/>
      <c r="C177" s="148"/>
      <c r="D177" s="76" t="str">
        <f>D137</f>
        <v>kg</v>
      </c>
      <c r="E177" s="77"/>
      <c r="F177" s="82"/>
      <c r="G177" s="82"/>
      <c r="H177" s="82"/>
      <c r="N177" s="60"/>
      <c r="O177" s="60"/>
      <c r="P177" s="60"/>
    </row>
    <row r="178" spans="2:16" ht="13" hidden="1" outlineLevel="1" x14ac:dyDescent="0.25">
      <c r="B178" s="74"/>
      <c r="C178" s="148"/>
      <c r="D178" s="76" t="str">
        <f>D137</f>
        <v>kg</v>
      </c>
      <c r="E178" s="77"/>
      <c r="F178" s="82"/>
      <c r="G178" s="82"/>
      <c r="H178" s="82"/>
      <c r="N178" s="60"/>
      <c r="O178" s="60"/>
      <c r="P178" s="60"/>
    </row>
    <row r="179" spans="2:16" ht="13.4" hidden="1" customHeight="1" outlineLevel="1" x14ac:dyDescent="0.25">
      <c r="B179" s="79"/>
      <c r="C179" s="147"/>
      <c r="D179" s="81"/>
      <c r="E179" s="77"/>
      <c r="F179" s="82"/>
      <c r="G179" s="82"/>
      <c r="H179" s="82"/>
      <c r="K179" s="34"/>
      <c r="N179" s="60"/>
      <c r="O179" s="60"/>
      <c r="P179" s="60"/>
    </row>
    <row r="180" spans="2:16" ht="13" hidden="1" outlineLevel="1" x14ac:dyDescent="0.25">
      <c r="B180" s="86" t="s">
        <v>9</v>
      </c>
      <c r="C180" s="149">
        <f>SUM(C161:C178)</f>
        <v>0</v>
      </c>
      <c r="D180" s="91" t="str">
        <f>D137</f>
        <v>kg</v>
      </c>
      <c r="E180" s="77"/>
      <c r="F180" s="82"/>
      <c r="G180" s="82"/>
      <c r="H180" s="82"/>
      <c r="N180" s="60"/>
      <c r="O180" s="60"/>
      <c r="P180" s="60"/>
    </row>
    <row r="181" spans="2:16" ht="13" hidden="1" outlineLevel="1" x14ac:dyDescent="0.25">
      <c r="B181" s="92"/>
      <c r="C181" s="93"/>
      <c r="D181" s="94"/>
      <c r="E181" s="77"/>
      <c r="F181" s="82"/>
      <c r="G181" s="82"/>
      <c r="H181" s="82"/>
      <c r="N181" s="60"/>
      <c r="O181" s="60"/>
      <c r="P181" s="60"/>
    </row>
    <row r="182" spans="2:16" ht="20.5" hidden="1" outlineLevel="1" thickBot="1" x14ac:dyDescent="0.3">
      <c r="B182" s="426" t="s">
        <v>10</v>
      </c>
      <c r="C182" s="427"/>
      <c r="D182" s="428"/>
      <c r="E182" s="77"/>
      <c r="F182" s="82"/>
      <c r="G182" s="82"/>
      <c r="H182" s="82"/>
      <c r="N182" s="60"/>
      <c r="O182" s="60"/>
      <c r="P182" s="60"/>
    </row>
    <row r="183" spans="2:16" ht="13" hidden="1" outlineLevel="1" x14ac:dyDescent="0.25">
      <c r="B183" s="95" t="s">
        <v>23</v>
      </c>
      <c r="C183" s="96"/>
      <c r="D183" s="151">
        <f>SUM(C147:C148)</f>
        <v>0</v>
      </c>
      <c r="E183" s="98"/>
      <c r="F183" s="82"/>
      <c r="G183" s="82"/>
      <c r="H183" s="82"/>
      <c r="N183" s="60"/>
      <c r="O183" s="60"/>
      <c r="P183" s="60"/>
    </row>
    <row r="184" spans="2:16" ht="13" hidden="1" outlineLevel="1" x14ac:dyDescent="0.25">
      <c r="B184" s="99" t="s">
        <v>24</v>
      </c>
      <c r="C184" s="100"/>
      <c r="D184" s="152">
        <f>SUM(C150:C160)</f>
        <v>0</v>
      </c>
      <c r="E184" s="98"/>
      <c r="F184" s="82"/>
      <c r="G184" s="82"/>
      <c r="H184" s="82"/>
      <c r="N184" s="60"/>
      <c r="O184" s="60"/>
      <c r="P184" s="60"/>
    </row>
    <row r="185" spans="2:16" ht="13" hidden="1" outlineLevel="1" x14ac:dyDescent="0.25">
      <c r="B185" s="99" t="s">
        <v>25</v>
      </c>
      <c r="C185" s="100"/>
      <c r="D185" s="152">
        <f>SUM(C163:C171)</f>
        <v>0</v>
      </c>
      <c r="E185" s="98"/>
      <c r="F185" s="82"/>
      <c r="G185" s="82"/>
      <c r="H185" s="82"/>
      <c r="N185" s="60"/>
      <c r="O185" s="60"/>
      <c r="P185" s="60"/>
    </row>
    <row r="186" spans="2:16" ht="13" hidden="1" outlineLevel="1" x14ac:dyDescent="0.25">
      <c r="B186" s="102" t="s">
        <v>26</v>
      </c>
      <c r="C186" s="103"/>
      <c r="D186" s="153">
        <f>SUM(C172:C179)</f>
        <v>0</v>
      </c>
      <c r="E186" s="98"/>
      <c r="F186" s="82"/>
      <c r="G186" s="82"/>
      <c r="H186" s="82"/>
      <c r="N186" s="60"/>
      <c r="O186" s="60"/>
      <c r="P186" s="60"/>
    </row>
    <row r="187" spans="2:16" ht="18.5" hidden="1" outlineLevel="1" thickTop="1" x14ac:dyDescent="0.25">
      <c r="B187" s="105" t="s">
        <v>11</v>
      </c>
      <c r="C187" s="106"/>
      <c r="D187" s="107" t="e">
        <f>C161/C143</f>
        <v>#DIV/0!</v>
      </c>
      <c r="E187" s="77"/>
      <c r="F187" s="110" t="s">
        <v>86</v>
      </c>
      <c r="G187" s="109" t="s">
        <v>85</v>
      </c>
      <c r="H187" s="110"/>
      <c r="N187" s="60"/>
      <c r="O187" s="60"/>
      <c r="P187" s="60"/>
    </row>
    <row r="188" spans="2:16" ht="18.5" hidden="1" outlineLevel="1" thickBot="1" x14ac:dyDescent="0.3">
      <c r="B188" s="111" t="s">
        <v>12</v>
      </c>
      <c r="C188" s="112"/>
      <c r="D188" s="113" t="e">
        <f>(D183+D184+D185)/C143</f>
        <v>#DIV/0!</v>
      </c>
      <c r="E188" s="77"/>
      <c r="F188" s="154"/>
      <c r="G188" s="413"/>
      <c r="H188" s="414"/>
      <c r="N188" s="60"/>
      <c r="O188" s="60"/>
      <c r="P188" s="60"/>
    </row>
    <row r="189" spans="2:16" ht="18" hidden="1" customHeight="1" outlineLevel="1" x14ac:dyDescent="0.25">
      <c r="B189" s="111" t="s">
        <v>13</v>
      </c>
      <c r="C189" s="112"/>
      <c r="D189" s="113" t="e">
        <f>D185/C143</f>
        <v>#DIV/0!</v>
      </c>
      <c r="E189" s="90"/>
      <c r="F189" s="64" t="s">
        <v>45</v>
      </c>
      <c r="G189" s="64" t="s">
        <v>45</v>
      </c>
      <c r="H189" s="155"/>
      <c r="N189" s="60"/>
      <c r="O189" s="60"/>
      <c r="P189" s="60"/>
    </row>
    <row r="190" spans="2:16" ht="18" hidden="1" customHeight="1" outlineLevel="1" thickBot="1" x14ac:dyDescent="0.3">
      <c r="B190" s="114" t="s">
        <v>14</v>
      </c>
      <c r="C190" s="115"/>
      <c r="D190" s="116" t="e">
        <f>D186/C143</f>
        <v>#DIV/0!</v>
      </c>
      <c r="E190" s="90"/>
      <c r="F190" s="110"/>
      <c r="G190" s="117" t="s">
        <v>46</v>
      </c>
      <c r="H190" s="110"/>
      <c r="N190" s="60"/>
      <c r="O190" s="60"/>
      <c r="P190" s="60"/>
    </row>
    <row r="191" spans="2:16" ht="18.5" hidden="1" outlineLevel="1" thickBot="1" x14ac:dyDescent="0.3">
      <c r="B191" s="114" t="s">
        <v>15</v>
      </c>
      <c r="C191" s="119"/>
      <c r="D191" s="116" t="e">
        <f>SUM(D183:D186)/C143</f>
        <v>#DIV/0!</v>
      </c>
      <c r="E191" s="90"/>
      <c r="F191" s="429"/>
      <c r="G191" s="430"/>
      <c r="H191" s="431"/>
      <c r="N191" s="60"/>
      <c r="O191" s="60"/>
      <c r="P191" s="60"/>
    </row>
    <row r="192" spans="2:16" ht="18.5" hidden="1" outlineLevel="1" thickTop="1" x14ac:dyDescent="0.25">
      <c r="B192" s="120" t="s">
        <v>16</v>
      </c>
      <c r="C192" s="121"/>
      <c r="D192" s="122" t="e">
        <f>((C147*D125)+D184+C148*MAX(1,F148))/C143</f>
        <v>#DIV/0!</v>
      </c>
      <c r="E192" s="77"/>
      <c r="F192" s="64" t="s">
        <v>45</v>
      </c>
      <c r="G192" s="64"/>
      <c r="H192" s="82"/>
      <c r="N192" s="60"/>
      <c r="O192" s="60"/>
      <c r="P192" s="60"/>
    </row>
    <row r="193" spans="2:16" ht="18" hidden="1" outlineLevel="1" x14ac:dyDescent="0.25">
      <c r="B193" s="123" t="s">
        <v>17</v>
      </c>
      <c r="C193" s="124"/>
      <c r="D193" s="125" t="e">
        <f>(C147*D126+D184+D185+C148*(MAX(1,F148)+G148))/C143</f>
        <v>#DIV/0!</v>
      </c>
      <c r="E193" s="77"/>
      <c r="F193" s="82"/>
      <c r="G193" s="82"/>
      <c r="H193" s="82"/>
      <c r="N193" s="60"/>
      <c r="O193" s="60"/>
      <c r="P193" s="60"/>
    </row>
    <row r="194" spans="2:16" ht="18" hidden="1" customHeight="1" outlineLevel="1" x14ac:dyDescent="0.25">
      <c r="B194" s="123" t="s">
        <v>18</v>
      </c>
      <c r="C194" s="124"/>
      <c r="D194" s="125" t="e">
        <f>((C147*D127)+D185+C148*G148)/C143</f>
        <v>#DIV/0!</v>
      </c>
      <c r="E194" s="77"/>
      <c r="F194" s="415" t="s">
        <v>61</v>
      </c>
      <c r="G194" s="416"/>
      <c r="H194" s="416"/>
      <c r="N194" s="60"/>
      <c r="O194" s="60"/>
      <c r="P194" s="60"/>
    </row>
    <row r="195" spans="2:16" ht="18" hidden="1" outlineLevel="1" x14ac:dyDescent="0.25">
      <c r="B195" s="126" t="s">
        <v>19</v>
      </c>
      <c r="C195" s="127"/>
      <c r="D195" s="128" t="e">
        <f>(C147*D128+D186+C148*H148)/C143</f>
        <v>#DIV/0!</v>
      </c>
      <c r="E195" s="77"/>
      <c r="F195" s="416"/>
      <c r="G195" s="416"/>
      <c r="H195" s="416"/>
      <c r="N195" s="60"/>
      <c r="O195" s="60"/>
      <c r="P195" s="60"/>
    </row>
    <row r="196" spans="2:16" ht="18.5" hidden="1" outlineLevel="1" thickBot="1" x14ac:dyDescent="0.3">
      <c r="B196" s="129" t="s">
        <v>20</v>
      </c>
      <c r="C196" s="130"/>
      <c r="D196" s="131" t="e">
        <f>((C147*D129)+SUM(D184:D186)+C148*(MAX(1,F148)+G148+H148))/C143</f>
        <v>#DIV/0!</v>
      </c>
      <c r="E196" s="77"/>
      <c r="F196" s="416"/>
      <c r="G196" s="416"/>
      <c r="H196" s="416"/>
      <c r="N196" s="60"/>
      <c r="O196" s="60"/>
      <c r="P196" s="60"/>
    </row>
    <row r="197" spans="2:16" ht="13" hidden="1" outlineLevel="1" thickTop="1" x14ac:dyDescent="0.25">
      <c r="B197" s="156" t="s">
        <v>76</v>
      </c>
      <c r="C197" s="424"/>
      <c r="D197" s="425"/>
      <c r="E197" s="46"/>
      <c r="F197" s="416"/>
      <c r="G197" s="416"/>
      <c r="H197" s="416"/>
      <c r="N197" s="60"/>
      <c r="O197" s="60"/>
      <c r="P197" s="60"/>
    </row>
    <row r="198" spans="2:16" hidden="1" outlineLevel="1" x14ac:dyDescent="0.25">
      <c r="B198" s="157" t="s">
        <v>58</v>
      </c>
      <c r="C198" s="422"/>
      <c r="D198" s="423"/>
      <c r="E198" s="46"/>
      <c r="F198" s="416"/>
      <c r="G198" s="416"/>
      <c r="H198" s="416"/>
      <c r="N198" s="60"/>
      <c r="O198" s="60"/>
      <c r="P198" s="60"/>
    </row>
    <row r="199" spans="2:16" ht="13" hidden="1" outlineLevel="1" thickBot="1" x14ac:dyDescent="0.3">
      <c r="B199" s="158" t="s">
        <v>59</v>
      </c>
      <c r="C199" s="420"/>
      <c r="D199" s="421"/>
      <c r="E199" s="46"/>
      <c r="F199" s="416"/>
      <c r="G199" s="416"/>
      <c r="H199" s="416"/>
      <c r="N199" s="60"/>
      <c r="O199" s="60"/>
      <c r="P199" s="60"/>
    </row>
    <row r="200" spans="2:16" ht="13" hidden="1" outlineLevel="1" x14ac:dyDescent="0.25">
      <c r="E200" s="46"/>
      <c r="F200" s="34"/>
      <c r="G200" s="34"/>
      <c r="H200" s="34"/>
      <c r="N200" s="60"/>
      <c r="O200" s="60"/>
      <c r="P200" s="60"/>
    </row>
    <row r="201" spans="2:16" ht="13" hidden="1" outlineLevel="1" x14ac:dyDescent="0.25">
      <c r="C201" s="25" t="s">
        <v>44</v>
      </c>
      <c r="D201" s="25" t="s">
        <v>42</v>
      </c>
      <c r="E201" s="46"/>
      <c r="F201" s="34"/>
      <c r="G201" s="34"/>
      <c r="H201" s="34"/>
      <c r="N201" s="60"/>
      <c r="O201" s="60"/>
      <c r="P201" s="60"/>
    </row>
    <row r="202" spans="2:16" ht="23.25" hidden="1" customHeight="1" outlineLevel="1" thickTop="1" thickBot="1" x14ac:dyDescent="0.3">
      <c r="B202" s="140" t="s">
        <v>73</v>
      </c>
      <c r="C202" s="29"/>
      <c r="D202" s="141"/>
      <c r="E202" s="31"/>
      <c r="F202" s="32" t="s">
        <v>27</v>
      </c>
      <c r="G202" s="33"/>
      <c r="H202" s="33"/>
      <c r="I202" s="34"/>
    </row>
    <row r="203" spans="2:16" ht="14.5" hidden="1" outlineLevel="1" thickBot="1" x14ac:dyDescent="0.3">
      <c r="B203" s="37"/>
      <c r="C203" s="38" t="s">
        <v>0</v>
      </c>
      <c r="D203" s="39" t="s">
        <v>1</v>
      </c>
      <c r="E203" s="40"/>
      <c r="F203" s="41" t="s">
        <v>28</v>
      </c>
      <c r="G203" s="41" t="s">
        <v>21</v>
      </c>
      <c r="H203" s="41" t="s">
        <v>8</v>
      </c>
    </row>
    <row r="204" spans="2:16" ht="13" hidden="1" outlineLevel="1" x14ac:dyDescent="0.25">
      <c r="B204" s="43" t="s">
        <v>65</v>
      </c>
      <c r="C204" s="142"/>
      <c r="D204" s="45" t="s">
        <v>2</v>
      </c>
      <c r="E204" s="46"/>
      <c r="F204" s="47"/>
      <c r="G204" s="47"/>
      <c r="H204" s="47"/>
      <c r="N204" s="60"/>
      <c r="O204" s="60"/>
      <c r="P204" s="60"/>
    </row>
    <row r="205" spans="2:16" ht="13" hidden="1" outlineLevel="1" x14ac:dyDescent="0.25">
      <c r="B205" s="43" t="s">
        <v>64</v>
      </c>
      <c r="C205" s="143"/>
      <c r="D205" s="45" t="s">
        <v>3</v>
      </c>
      <c r="E205" s="46"/>
      <c r="F205" s="47"/>
      <c r="G205" s="47"/>
      <c r="H205" s="47"/>
      <c r="N205" s="60"/>
      <c r="O205" s="60"/>
      <c r="P205" s="60"/>
    </row>
    <row r="206" spans="2:16" ht="13" hidden="1" outlineLevel="1" x14ac:dyDescent="0.25">
      <c r="B206" s="51" t="s">
        <v>63</v>
      </c>
      <c r="C206" s="144">
        <f>C204*C205</f>
        <v>0</v>
      </c>
      <c r="D206" s="45" t="str">
        <f>D204</f>
        <v>kg</v>
      </c>
      <c r="E206" s="46"/>
      <c r="F206" s="47"/>
      <c r="G206" s="47"/>
      <c r="H206" s="47"/>
      <c r="N206" s="60"/>
      <c r="O206" s="60"/>
      <c r="P206" s="60"/>
    </row>
    <row r="207" spans="2:16" ht="14" hidden="1" outlineLevel="1" x14ac:dyDescent="0.25">
      <c r="B207" s="54" t="s">
        <v>37</v>
      </c>
      <c r="C207" s="145">
        <v>1</v>
      </c>
      <c r="D207" s="56"/>
      <c r="E207" s="57"/>
      <c r="F207" s="58"/>
      <c r="G207" s="58"/>
      <c r="H207" s="58"/>
      <c r="N207" s="60"/>
      <c r="O207" s="60"/>
      <c r="P207" s="60"/>
    </row>
    <row r="208" spans="2:16" ht="13" hidden="1" outlineLevel="1" x14ac:dyDescent="0.25">
      <c r="B208" s="43" t="s">
        <v>66</v>
      </c>
      <c r="C208" s="142"/>
      <c r="D208" s="45" t="str">
        <f>D204</f>
        <v>kg</v>
      </c>
      <c r="E208" s="46"/>
      <c r="F208" s="47"/>
      <c r="G208" s="47"/>
      <c r="H208" s="47"/>
      <c r="N208" s="60"/>
      <c r="O208" s="60"/>
      <c r="P208" s="60"/>
    </row>
    <row r="209" spans="2:16" ht="13" hidden="1" outlineLevel="1" x14ac:dyDescent="0.25">
      <c r="B209" s="43" t="s">
        <v>67</v>
      </c>
      <c r="C209" s="143"/>
      <c r="D209" s="45" t="s">
        <v>3</v>
      </c>
      <c r="E209" s="59"/>
      <c r="F209" s="47"/>
      <c r="G209" s="47"/>
      <c r="H209" s="47"/>
      <c r="N209" s="60"/>
      <c r="O209" s="60"/>
      <c r="P209" s="60"/>
    </row>
    <row r="210" spans="2:16" ht="13" hidden="1" outlineLevel="1" x14ac:dyDescent="0.25">
      <c r="B210" s="51" t="s">
        <v>68</v>
      </c>
      <c r="C210" s="144">
        <f>C208*C209</f>
        <v>0</v>
      </c>
      <c r="D210" s="45" t="str">
        <f>D204</f>
        <v>kg</v>
      </c>
      <c r="E210" s="46"/>
      <c r="F210" s="47"/>
      <c r="G210" s="47"/>
      <c r="H210" s="47"/>
      <c r="N210" s="60"/>
      <c r="O210" s="60"/>
      <c r="P210" s="60"/>
    </row>
    <row r="211" spans="2:16" ht="13.5" hidden="1" outlineLevel="1" thickBot="1" x14ac:dyDescent="0.3">
      <c r="B211" s="61"/>
      <c r="C211" s="62"/>
      <c r="D211" s="63"/>
      <c r="F211" s="64"/>
      <c r="G211" s="64"/>
      <c r="H211" s="64"/>
      <c r="N211" s="60"/>
      <c r="O211" s="60"/>
      <c r="P211" s="60"/>
    </row>
    <row r="212" spans="2:16" ht="14.5" hidden="1" outlineLevel="1" thickBot="1" x14ac:dyDescent="0.3">
      <c r="B212" s="65" t="s">
        <v>5</v>
      </c>
      <c r="C212" s="66" t="s">
        <v>6</v>
      </c>
      <c r="D212" s="67" t="s">
        <v>1</v>
      </c>
      <c r="E212" s="68"/>
      <c r="F212" s="69"/>
      <c r="G212" s="69"/>
      <c r="H212" s="69"/>
      <c r="N212" s="60"/>
      <c r="O212" s="60"/>
      <c r="P212" s="60"/>
    </row>
    <row r="213" spans="2:16" ht="13" hidden="1" outlineLevel="1" x14ac:dyDescent="0.25">
      <c r="B213" s="70" t="s">
        <v>43</v>
      </c>
      <c r="C213" s="71"/>
      <c r="D213" s="72"/>
      <c r="E213" s="73"/>
      <c r="F213" s="69"/>
      <c r="G213" s="69"/>
      <c r="H213" s="69"/>
      <c r="N213" s="60"/>
      <c r="O213" s="60"/>
      <c r="P213" s="60"/>
    </row>
    <row r="214" spans="2:16" ht="13" hidden="1" outlineLevel="1" x14ac:dyDescent="0.25">
      <c r="B214" s="74"/>
      <c r="C214" s="146">
        <f>C206</f>
        <v>0</v>
      </c>
      <c r="D214" s="76" t="str">
        <f>D204</f>
        <v>kg</v>
      </c>
      <c r="E214" s="98"/>
      <c r="F214" s="69"/>
      <c r="G214" s="69"/>
      <c r="H214" s="69"/>
      <c r="N214" s="60"/>
      <c r="O214" s="60"/>
      <c r="P214" s="60"/>
    </row>
    <row r="215" spans="2:16" ht="13.5" hidden="1" outlineLevel="1" thickBot="1" x14ac:dyDescent="0.3">
      <c r="B215" s="74"/>
      <c r="C215" s="146"/>
      <c r="D215" s="76" t="str">
        <f>D204</f>
        <v>kg</v>
      </c>
      <c r="E215" s="77"/>
      <c r="F215" s="78"/>
      <c r="G215" s="78"/>
      <c r="H215" s="78"/>
      <c r="N215" s="60"/>
      <c r="O215" s="60"/>
      <c r="P215" s="60"/>
    </row>
    <row r="216" spans="2:16" ht="13" hidden="1" outlineLevel="1" x14ac:dyDescent="0.25">
      <c r="B216" s="79" t="s">
        <v>69</v>
      </c>
      <c r="C216" s="147"/>
      <c r="D216" s="81"/>
      <c r="E216" s="77"/>
      <c r="F216" s="82"/>
      <c r="G216" s="82"/>
      <c r="H216" s="82"/>
      <c r="N216" s="60"/>
      <c r="O216" s="60"/>
      <c r="P216" s="60"/>
    </row>
    <row r="217" spans="2:16" ht="13" hidden="1" outlineLevel="1" x14ac:dyDescent="0.25">
      <c r="B217" s="74"/>
      <c r="C217" s="148"/>
      <c r="D217" s="76" t="str">
        <f>D204</f>
        <v>kg</v>
      </c>
      <c r="E217" s="77"/>
      <c r="F217" s="82"/>
      <c r="G217" s="82"/>
      <c r="H217" s="82"/>
      <c r="N217" s="60"/>
      <c r="O217" s="60"/>
      <c r="P217" s="60"/>
    </row>
    <row r="218" spans="2:16" ht="13" hidden="1" outlineLevel="1" x14ac:dyDescent="0.25">
      <c r="B218" s="74"/>
      <c r="C218" s="148"/>
      <c r="D218" s="76" t="str">
        <f>D204</f>
        <v>kg</v>
      </c>
      <c r="E218" s="77"/>
      <c r="F218" s="82"/>
      <c r="G218" s="82"/>
      <c r="H218" s="82"/>
      <c r="N218" s="60"/>
      <c r="O218" s="60"/>
      <c r="P218" s="60"/>
    </row>
    <row r="219" spans="2:16" ht="13" hidden="1" outlineLevel="1" x14ac:dyDescent="0.25">
      <c r="B219" s="74"/>
      <c r="C219" s="148"/>
      <c r="D219" s="76" t="str">
        <f>D204</f>
        <v>kg</v>
      </c>
      <c r="E219" s="77"/>
      <c r="F219" s="82"/>
      <c r="G219" s="82"/>
      <c r="H219" s="82"/>
      <c r="N219" s="60"/>
      <c r="O219" s="60"/>
      <c r="P219" s="60"/>
    </row>
    <row r="220" spans="2:16" ht="13" hidden="1" outlineLevel="1" x14ac:dyDescent="0.25">
      <c r="B220" s="74"/>
      <c r="C220" s="148"/>
      <c r="D220" s="76" t="str">
        <f>D204</f>
        <v>kg</v>
      </c>
      <c r="E220" s="77"/>
      <c r="F220" s="82"/>
      <c r="G220" s="82"/>
      <c r="H220" s="82"/>
      <c r="N220" s="60"/>
      <c r="O220" s="60"/>
      <c r="P220" s="60"/>
    </row>
    <row r="221" spans="2:16" ht="13" hidden="1" outlineLevel="1" x14ac:dyDescent="0.25">
      <c r="B221" s="74"/>
      <c r="C221" s="148"/>
      <c r="D221" s="76" t="str">
        <f>D204</f>
        <v>kg</v>
      </c>
      <c r="E221" s="77"/>
      <c r="F221" s="82"/>
      <c r="G221" s="82"/>
      <c r="H221" s="82"/>
      <c r="N221" s="60"/>
      <c r="O221" s="60"/>
      <c r="P221" s="60"/>
    </row>
    <row r="222" spans="2:16" ht="13" hidden="1" outlineLevel="1" x14ac:dyDescent="0.25">
      <c r="B222" s="74"/>
      <c r="C222" s="148"/>
      <c r="D222" s="76" t="str">
        <f>D204</f>
        <v>kg</v>
      </c>
      <c r="E222" s="77"/>
      <c r="F222" s="82"/>
      <c r="G222" s="82"/>
      <c r="H222" s="82"/>
      <c r="N222" s="60"/>
      <c r="O222" s="60"/>
      <c r="P222" s="60"/>
    </row>
    <row r="223" spans="2:16" ht="13" hidden="1" outlineLevel="1" x14ac:dyDescent="0.25">
      <c r="B223" s="74"/>
      <c r="C223" s="148"/>
      <c r="D223" s="76" t="str">
        <f>D204</f>
        <v>kg</v>
      </c>
      <c r="E223" s="77"/>
      <c r="F223" s="82"/>
      <c r="G223" s="82"/>
      <c r="H223" s="82"/>
      <c r="N223" s="60"/>
      <c r="O223" s="60"/>
      <c r="P223" s="60"/>
    </row>
    <row r="224" spans="2:16" ht="13" hidden="1" outlineLevel="1" x14ac:dyDescent="0.25">
      <c r="B224" s="74"/>
      <c r="C224" s="148"/>
      <c r="D224" s="76" t="str">
        <f>D204</f>
        <v>kg</v>
      </c>
      <c r="E224" s="77"/>
      <c r="F224" s="82"/>
      <c r="G224" s="82"/>
      <c r="H224" s="82"/>
      <c r="J224" s="159"/>
      <c r="N224" s="60"/>
      <c r="O224" s="60"/>
      <c r="P224" s="60"/>
    </row>
    <row r="225" spans="2:16" ht="13" hidden="1" outlineLevel="1" x14ac:dyDescent="0.25">
      <c r="B225" s="74"/>
      <c r="C225" s="148"/>
      <c r="D225" s="76" t="str">
        <f>D204</f>
        <v>kg</v>
      </c>
      <c r="E225" s="77"/>
      <c r="F225" s="82"/>
      <c r="G225" s="82"/>
      <c r="H225" s="82"/>
      <c r="N225" s="60"/>
      <c r="O225" s="60"/>
      <c r="P225" s="60"/>
    </row>
    <row r="226" spans="2:16" ht="13" hidden="1" outlineLevel="1" x14ac:dyDescent="0.25">
      <c r="B226" s="74"/>
      <c r="C226" s="148"/>
      <c r="D226" s="76" t="str">
        <f>D204</f>
        <v>kg</v>
      </c>
      <c r="E226" s="77"/>
      <c r="F226" s="82"/>
      <c r="G226" s="82"/>
      <c r="H226" s="82"/>
      <c r="N226" s="60"/>
      <c r="O226" s="60"/>
      <c r="P226" s="60"/>
    </row>
    <row r="227" spans="2:16" ht="13.4" hidden="1" customHeight="1" outlineLevel="1" x14ac:dyDescent="0.25">
      <c r="B227" s="79"/>
      <c r="C227" s="147"/>
      <c r="D227" s="81"/>
      <c r="E227" s="77"/>
      <c r="F227" s="82"/>
      <c r="G227" s="82"/>
      <c r="H227" s="82"/>
      <c r="K227" s="34"/>
      <c r="N227" s="60"/>
      <c r="O227" s="60"/>
      <c r="P227" s="60"/>
    </row>
    <row r="228" spans="2:16" ht="13" hidden="1" outlineLevel="1" x14ac:dyDescent="0.25">
      <c r="B228" s="86" t="s">
        <v>7</v>
      </c>
      <c r="C228" s="149">
        <f>SUM(C213:C226)</f>
        <v>0</v>
      </c>
      <c r="D228" s="88" t="str">
        <f>D204</f>
        <v>kg</v>
      </c>
      <c r="E228" s="77"/>
      <c r="F228" s="82"/>
      <c r="G228" s="82"/>
      <c r="H228" s="82"/>
      <c r="N228" s="60"/>
      <c r="O228" s="60"/>
      <c r="P228" s="60"/>
    </row>
    <row r="229" spans="2:16" ht="13" hidden="1" outlineLevel="1" x14ac:dyDescent="0.25">
      <c r="B229" s="79" t="s">
        <v>71</v>
      </c>
      <c r="C229" s="150"/>
      <c r="D229" s="81"/>
      <c r="E229" s="77"/>
      <c r="F229" s="82"/>
      <c r="G229" s="82"/>
      <c r="H229" s="82"/>
      <c r="N229" s="60"/>
      <c r="O229" s="60"/>
      <c r="P229" s="60"/>
    </row>
    <row r="230" spans="2:16" ht="13" hidden="1" outlineLevel="1" x14ac:dyDescent="0.25">
      <c r="B230" s="74"/>
      <c r="C230" s="148"/>
      <c r="D230" s="76" t="str">
        <f>D204</f>
        <v>kg</v>
      </c>
      <c r="E230" s="77"/>
      <c r="F230" s="82"/>
      <c r="G230" s="82"/>
      <c r="H230" s="82"/>
      <c r="J230" s="159"/>
      <c r="N230" s="60"/>
      <c r="O230" s="60"/>
      <c r="P230" s="60"/>
    </row>
    <row r="231" spans="2:16" ht="13" hidden="1" outlineLevel="1" x14ac:dyDescent="0.25">
      <c r="B231" s="74"/>
      <c r="C231" s="148"/>
      <c r="D231" s="76" t="str">
        <f>D204</f>
        <v>kg</v>
      </c>
      <c r="E231" s="77"/>
      <c r="F231" s="82"/>
      <c r="G231" s="82"/>
      <c r="H231" s="82"/>
      <c r="N231" s="60"/>
      <c r="O231" s="60"/>
      <c r="P231" s="60"/>
    </row>
    <row r="232" spans="2:16" ht="13" hidden="1" outlineLevel="1" x14ac:dyDescent="0.25">
      <c r="B232" s="74"/>
      <c r="C232" s="148"/>
      <c r="D232" s="76" t="str">
        <f>D204</f>
        <v>kg</v>
      </c>
      <c r="E232" s="77"/>
      <c r="F232" s="82"/>
      <c r="G232" s="82"/>
      <c r="H232" s="82"/>
      <c r="N232" s="60"/>
      <c r="O232" s="60"/>
      <c r="P232" s="60"/>
    </row>
    <row r="233" spans="2:16" ht="13" hidden="1" outlineLevel="1" x14ac:dyDescent="0.25">
      <c r="B233" s="74"/>
      <c r="C233" s="148"/>
      <c r="D233" s="76" t="str">
        <f>D204</f>
        <v>kg</v>
      </c>
      <c r="E233" s="77"/>
      <c r="F233" s="82"/>
      <c r="G233" s="82"/>
      <c r="H233" s="82"/>
      <c r="N233" s="60"/>
      <c r="O233" s="60"/>
      <c r="P233" s="60"/>
    </row>
    <row r="234" spans="2:16" ht="13" hidden="1" outlineLevel="1" x14ac:dyDescent="0.25">
      <c r="B234" s="74"/>
      <c r="C234" s="148"/>
      <c r="D234" s="76" t="str">
        <f>D204</f>
        <v>kg</v>
      </c>
      <c r="E234" s="77"/>
      <c r="F234" s="82"/>
      <c r="G234" s="82"/>
      <c r="H234" s="82"/>
      <c r="N234" s="60"/>
      <c r="O234" s="60"/>
      <c r="P234" s="60"/>
    </row>
    <row r="235" spans="2:16" ht="13" hidden="1" outlineLevel="1" x14ac:dyDescent="0.25">
      <c r="B235" s="74"/>
      <c r="C235" s="148"/>
      <c r="D235" s="76" t="str">
        <f>D204</f>
        <v>kg</v>
      </c>
      <c r="E235" s="77"/>
      <c r="F235" s="82"/>
      <c r="G235" s="82"/>
      <c r="H235" s="82"/>
      <c r="N235" s="60"/>
      <c r="O235" s="60"/>
      <c r="P235" s="60"/>
    </row>
    <row r="236" spans="2:16" ht="13" hidden="1" outlineLevel="1" x14ac:dyDescent="0.25">
      <c r="B236" s="74"/>
      <c r="C236" s="148"/>
      <c r="D236" s="76" t="str">
        <f>D204</f>
        <v>kg</v>
      </c>
      <c r="E236" s="77"/>
      <c r="F236" s="82"/>
      <c r="G236" s="82"/>
      <c r="H236" s="82"/>
      <c r="N236" s="60"/>
      <c r="O236" s="60"/>
      <c r="P236" s="60"/>
    </row>
    <row r="237" spans="2:16" ht="13" hidden="1" outlineLevel="1" x14ac:dyDescent="0.25">
      <c r="B237" s="74"/>
      <c r="C237" s="148"/>
      <c r="D237" s="76" t="str">
        <f>D204</f>
        <v>kg</v>
      </c>
      <c r="E237" s="77"/>
      <c r="F237" s="82"/>
      <c r="G237" s="82"/>
      <c r="H237" s="82"/>
      <c r="N237" s="60"/>
      <c r="O237" s="60"/>
      <c r="P237" s="60"/>
    </row>
    <row r="238" spans="2:16" ht="13" hidden="1" outlineLevel="1" x14ac:dyDescent="0.25">
      <c r="B238" s="79" t="s">
        <v>70</v>
      </c>
      <c r="C238" s="147"/>
      <c r="D238" s="81"/>
      <c r="E238" s="90"/>
      <c r="F238" s="82"/>
      <c r="G238" s="82"/>
      <c r="H238" s="82"/>
      <c r="N238" s="60"/>
      <c r="O238" s="60"/>
      <c r="P238" s="60"/>
    </row>
    <row r="239" spans="2:16" ht="13" hidden="1" outlineLevel="1" x14ac:dyDescent="0.25">
      <c r="B239" s="74"/>
      <c r="C239" s="148"/>
      <c r="D239" s="76" t="str">
        <f>D204</f>
        <v>kg</v>
      </c>
      <c r="E239" s="77"/>
      <c r="F239" s="82"/>
      <c r="G239" s="82"/>
      <c r="H239" s="82"/>
      <c r="N239" s="60"/>
      <c r="O239" s="60"/>
      <c r="P239" s="60"/>
    </row>
    <row r="240" spans="2:16" ht="13" hidden="1" outlineLevel="1" x14ac:dyDescent="0.25">
      <c r="B240" s="74"/>
      <c r="C240" s="148"/>
      <c r="D240" s="76" t="str">
        <f>D204</f>
        <v>kg</v>
      </c>
      <c r="E240" s="77"/>
      <c r="F240" s="82"/>
      <c r="G240" s="82"/>
      <c r="H240" s="82"/>
      <c r="N240" s="60"/>
      <c r="O240" s="60"/>
      <c r="P240" s="60"/>
    </row>
    <row r="241" spans="2:16" ht="13" hidden="1" outlineLevel="1" x14ac:dyDescent="0.25">
      <c r="B241" s="74"/>
      <c r="C241" s="148"/>
      <c r="D241" s="76" t="str">
        <f>D204</f>
        <v>kg</v>
      </c>
      <c r="E241" s="77"/>
      <c r="F241" s="82"/>
      <c r="G241" s="82"/>
      <c r="H241" s="82"/>
      <c r="N241" s="60"/>
      <c r="O241" s="60"/>
      <c r="P241" s="60"/>
    </row>
    <row r="242" spans="2:16" ht="13" hidden="1" outlineLevel="1" x14ac:dyDescent="0.25">
      <c r="B242" s="74"/>
      <c r="C242" s="148"/>
      <c r="D242" s="76" t="str">
        <f>D204</f>
        <v>kg</v>
      </c>
      <c r="E242" s="77"/>
      <c r="F242" s="82"/>
      <c r="G242" s="82"/>
      <c r="H242" s="82"/>
      <c r="N242" s="60"/>
      <c r="O242" s="60"/>
      <c r="P242" s="60"/>
    </row>
    <row r="243" spans="2:16" ht="13" hidden="1" outlineLevel="1" x14ac:dyDescent="0.25">
      <c r="B243" s="74"/>
      <c r="C243" s="148"/>
      <c r="D243" s="76" t="str">
        <f>D204</f>
        <v>kg</v>
      </c>
      <c r="E243" s="77"/>
      <c r="F243" s="82"/>
      <c r="G243" s="82"/>
      <c r="H243" s="82"/>
      <c r="N243" s="60"/>
      <c r="O243" s="60"/>
      <c r="P243" s="60"/>
    </row>
    <row r="244" spans="2:16" ht="13" hidden="1" outlineLevel="1" x14ac:dyDescent="0.25">
      <c r="B244" s="74"/>
      <c r="C244" s="148"/>
      <c r="D244" s="76" t="str">
        <f>D204</f>
        <v>kg</v>
      </c>
      <c r="E244" s="77"/>
      <c r="F244" s="82"/>
      <c r="G244" s="82"/>
      <c r="H244" s="82"/>
      <c r="N244" s="60"/>
      <c r="O244" s="60"/>
      <c r="P244" s="60"/>
    </row>
    <row r="245" spans="2:16" ht="13" hidden="1" outlineLevel="1" x14ac:dyDescent="0.25">
      <c r="B245" s="74"/>
      <c r="C245" s="148"/>
      <c r="D245" s="76" t="str">
        <f>D204</f>
        <v>kg</v>
      </c>
      <c r="E245" s="77"/>
      <c r="F245" s="82"/>
      <c r="G245" s="82"/>
      <c r="H245" s="82"/>
      <c r="N245" s="60"/>
      <c r="O245" s="60"/>
      <c r="P245" s="60"/>
    </row>
    <row r="246" spans="2:16" ht="13.4" hidden="1" customHeight="1" outlineLevel="1" x14ac:dyDescent="0.25">
      <c r="B246" s="79"/>
      <c r="C246" s="147"/>
      <c r="D246" s="81"/>
      <c r="E246" s="77"/>
      <c r="F246" s="82"/>
      <c r="G246" s="82"/>
      <c r="H246" s="82"/>
      <c r="K246" s="34"/>
      <c r="N246" s="60"/>
      <c r="O246" s="60"/>
      <c r="P246" s="60"/>
    </row>
    <row r="247" spans="2:16" ht="13" hidden="1" outlineLevel="1" x14ac:dyDescent="0.25">
      <c r="B247" s="86" t="s">
        <v>9</v>
      </c>
      <c r="C247" s="149">
        <f>SUM(C228:C245)</f>
        <v>0</v>
      </c>
      <c r="D247" s="91" t="str">
        <f>D204</f>
        <v>kg</v>
      </c>
      <c r="E247" s="77"/>
      <c r="F247" s="82"/>
      <c r="G247" s="82"/>
      <c r="H247" s="82"/>
      <c r="N247" s="60"/>
      <c r="O247" s="60"/>
      <c r="P247" s="60"/>
    </row>
    <row r="248" spans="2:16" ht="13" hidden="1" outlineLevel="1" x14ac:dyDescent="0.25">
      <c r="B248" s="92"/>
      <c r="C248" s="93"/>
      <c r="D248" s="94"/>
      <c r="E248" s="77"/>
      <c r="F248" s="82"/>
      <c r="G248" s="82"/>
      <c r="H248" s="82"/>
      <c r="N248" s="60"/>
      <c r="O248" s="60"/>
      <c r="P248" s="60"/>
    </row>
    <row r="249" spans="2:16" ht="20.5" hidden="1" outlineLevel="1" thickBot="1" x14ac:dyDescent="0.3">
      <c r="B249" s="426" t="s">
        <v>10</v>
      </c>
      <c r="C249" s="427"/>
      <c r="D249" s="428"/>
      <c r="E249" s="77"/>
      <c r="F249" s="82"/>
      <c r="G249" s="82"/>
      <c r="H249" s="82"/>
      <c r="N249" s="60"/>
      <c r="O249" s="60"/>
      <c r="P249" s="60"/>
    </row>
    <row r="250" spans="2:16" ht="13" hidden="1" outlineLevel="1" x14ac:dyDescent="0.25">
      <c r="B250" s="95" t="s">
        <v>23</v>
      </c>
      <c r="C250" s="96"/>
      <c r="D250" s="151">
        <f>SUM(C214:C215)</f>
        <v>0</v>
      </c>
      <c r="E250" s="98"/>
      <c r="F250" s="82"/>
      <c r="G250" s="82"/>
      <c r="H250" s="82"/>
      <c r="N250" s="60"/>
      <c r="O250" s="60"/>
      <c r="P250" s="60"/>
    </row>
    <row r="251" spans="2:16" ht="13" hidden="1" outlineLevel="1" x14ac:dyDescent="0.25">
      <c r="B251" s="99" t="s">
        <v>24</v>
      </c>
      <c r="C251" s="100"/>
      <c r="D251" s="152">
        <f>SUM(C217:C227)</f>
        <v>0</v>
      </c>
      <c r="E251" s="98"/>
      <c r="F251" s="82"/>
      <c r="G251" s="82"/>
      <c r="H251" s="82"/>
      <c r="N251" s="60"/>
      <c r="O251" s="60"/>
      <c r="P251" s="60"/>
    </row>
    <row r="252" spans="2:16" ht="13" hidden="1" outlineLevel="1" x14ac:dyDescent="0.25">
      <c r="B252" s="99" t="s">
        <v>25</v>
      </c>
      <c r="C252" s="100"/>
      <c r="D252" s="152">
        <f>SUM(C230:C238)</f>
        <v>0</v>
      </c>
      <c r="E252" s="98"/>
      <c r="F252" s="82"/>
      <c r="G252" s="82"/>
      <c r="H252" s="82"/>
      <c r="N252" s="60"/>
      <c r="O252" s="60"/>
      <c r="P252" s="60"/>
    </row>
    <row r="253" spans="2:16" ht="13" hidden="1" outlineLevel="1" x14ac:dyDescent="0.25">
      <c r="B253" s="102" t="s">
        <v>26</v>
      </c>
      <c r="C253" s="103"/>
      <c r="D253" s="153">
        <f>SUM(C239:C246)</f>
        <v>0</v>
      </c>
      <c r="E253" s="98"/>
      <c r="F253" s="82"/>
      <c r="G253" s="82"/>
      <c r="H253" s="82"/>
      <c r="N253" s="60"/>
      <c r="O253" s="60"/>
      <c r="P253" s="60"/>
    </row>
    <row r="254" spans="2:16" ht="18.5" hidden="1" outlineLevel="1" thickTop="1" x14ac:dyDescent="0.25">
      <c r="B254" s="105" t="s">
        <v>11</v>
      </c>
      <c r="C254" s="106"/>
      <c r="D254" s="107" t="e">
        <f>C228/C210</f>
        <v>#DIV/0!</v>
      </c>
      <c r="E254" s="77"/>
      <c r="F254" s="110" t="s">
        <v>86</v>
      </c>
      <c r="G254" s="109" t="s">
        <v>85</v>
      </c>
      <c r="H254" s="110"/>
      <c r="N254" s="60"/>
      <c r="O254" s="60"/>
      <c r="P254" s="60"/>
    </row>
    <row r="255" spans="2:16" ht="18.5" hidden="1" outlineLevel="1" thickBot="1" x14ac:dyDescent="0.3">
      <c r="B255" s="111" t="s">
        <v>12</v>
      </c>
      <c r="C255" s="112"/>
      <c r="D255" s="113" t="e">
        <f>(D250+D251+D252)/C210</f>
        <v>#DIV/0!</v>
      </c>
      <c r="E255" s="77"/>
      <c r="F255" s="154"/>
      <c r="G255" s="413"/>
      <c r="H255" s="414"/>
      <c r="N255" s="60"/>
      <c r="O255" s="60"/>
      <c r="P255" s="60"/>
    </row>
    <row r="256" spans="2:16" ht="18" hidden="1" outlineLevel="1" x14ac:dyDescent="0.25">
      <c r="B256" s="111" t="s">
        <v>13</v>
      </c>
      <c r="C256" s="112"/>
      <c r="D256" s="113" t="e">
        <f>D252/C210</f>
        <v>#DIV/0!</v>
      </c>
      <c r="E256" s="90"/>
      <c r="F256" s="64" t="s">
        <v>45</v>
      </c>
      <c r="G256" s="64" t="s">
        <v>45</v>
      </c>
      <c r="H256" s="155"/>
      <c r="N256" s="60"/>
      <c r="O256" s="60"/>
      <c r="P256" s="60"/>
    </row>
    <row r="257" spans="2:16" ht="18" hidden="1" outlineLevel="1" x14ac:dyDescent="0.25">
      <c r="B257" s="114" t="s">
        <v>14</v>
      </c>
      <c r="C257" s="115"/>
      <c r="D257" s="116" t="e">
        <f>D253/C210</f>
        <v>#DIV/0!</v>
      </c>
      <c r="E257" s="90"/>
      <c r="F257" s="110"/>
      <c r="G257" s="117" t="s">
        <v>46</v>
      </c>
      <c r="H257" s="110"/>
      <c r="N257" s="60"/>
      <c r="O257" s="60"/>
      <c r="P257" s="60"/>
    </row>
    <row r="258" spans="2:16" ht="18.5" hidden="1" outlineLevel="1" thickBot="1" x14ac:dyDescent="0.3">
      <c r="B258" s="114" t="s">
        <v>15</v>
      </c>
      <c r="C258" s="119"/>
      <c r="D258" s="116" t="e">
        <f>SUM(D250:D253)/C210</f>
        <v>#DIV/0!</v>
      </c>
      <c r="E258" s="90"/>
      <c r="F258" s="429"/>
      <c r="G258" s="430"/>
      <c r="H258" s="431"/>
      <c r="N258" s="60"/>
      <c r="O258" s="60"/>
      <c r="P258" s="60"/>
    </row>
    <row r="259" spans="2:16" ht="18.5" hidden="1" outlineLevel="1" thickTop="1" x14ac:dyDescent="0.25">
      <c r="B259" s="120" t="s">
        <v>16</v>
      </c>
      <c r="C259" s="121"/>
      <c r="D259" s="122" t="e">
        <f>((C214*D192)+D251+C215*MAX(1,F215))/C210</f>
        <v>#DIV/0!</v>
      </c>
      <c r="E259" s="77"/>
      <c r="F259" s="64" t="s">
        <v>45</v>
      </c>
      <c r="G259" s="64"/>
      <c r="H259" s="82"/>
      <c r="N259" s="60"/>
      <c r="O259" s="60"/>
      <c r="P259" s="60"/>
    </row>
    <row r="260" spans="2:16" ht="18" hidden="1" outlineLevel="1" x14ac:dyDescent="0.25">
      <c r="B260" s="123" t="s">
        <v>17</v>
      </c>
      <c r="C260" s="124"/>
      <c r="D260" s="125" t="e">
        <f>(C214*D193+D251+D252+C215*(MAX(1,F215)+G215))/C210</f>
        <v>#DIV/0!</v>
      </c>
      <c r="E260" s="77"/>
      <c r="F260" s="82"/>
      <c r="G260" s="82"/>
      <c r="H260" s="82"/>
      <c r="N260" s="60"/>
      <c r="O260" s="60"/>
      <c r="P260" s="60"/>
    </row>
    <row r="261" spans="2:16" ht="18" hidden="1" customHeight="1" outlineLevel="1" x14ac:dyDescent="0.25">
      <c r="B261" s="123" t="s">
        <v>18</v>
      </c>
      <c r="C261" s="124"/>
      <c r="D261" s="125" t="e">
        <f>((C214*D194)+D252+C215*G215)/C210</f>
        <v>#DIV/0!</v>
      </c>
      <c r="E261" s="77"/>
      <c r="F261" s="415" t="s">
        <v>61</v>
      </c>
      <c r="G261" s="416"/>
      <c r="H261" s="416"/>
      <c r="N261" s="60"/>
      <c r="O261" s="60"/>
      <c r="P261" s="60"/>
    </row>
    <row r="262" spans="2:16" ht="18" hidden="1" outlineLevel="1" x14ac:dyDescent="0.25">
      <c r="B262" s="126" t="s">
        <v>19</v>
      </c>
      <c r="C262" s="127"/>
      <c r="D262" s="128" t="e">
        <f>(C214*D195+D253+C215*H215)/C210</f>
        <v>#DIV/0!</v>
      </c>
      <c r="E262" s="77"/>
      <c r="F262" s="416"/>
      <c r="G262" s="416"/>
      <c r="H262" s="416"/>
      <c r="N262" s="60"/>
      <c r="O262" s="60"/>
      <c r="P262" s="60"/>
    </row>
    <row r="263" spans="2:16" ht="18.5" hidden="1" outlineLevel="1" thickBot="1" x14ac:dyDescent="0.3">
      <c r="B263" s="129" t="s">
        <v>20</v>
      </c>
      <c r="C263" s="130"/>
      <c r="D263" s="131" t="e">
        <f>((C214*D196)+SUM(D251:D253)+C215*(MAX(1,F215)+G215+H215))/C210</f>
        <v>#DIV/0!</v>
      </c>
      <c r="E263" s="77"/>
      <c r="F263" s="416"/>
      <c r="G263" s="416"/>
      <c r="H263" s="416"/>
      <c r="N263" s="60"/>
      <c r="O263" s="60"/>
      <c r="P263" s="60"/>
    </row>
    <row r="264" spans="2:16" ht="13" hidden="1" outlineLevel="1" thickTop="1" x14ac:dyDescent="0.25">
      <c r="B264" s="156" t="s">
        <v>76</v>
      </c>
      <c r="C264" s="424"/>
      <c r="D264" s="425"/>
      <c r="E264" s="46"/>
      <c r="F264" s="416"/>
      <c r="G264" s="416"/>
      <c r="H264" s="416"/>
      <c r="N264" s="60"/>
      <c r="O264" s="60"/>
      <c r="P264" s="60"/>
    </row>
    <row r="265" spans="2:16" hidden="1" outlineLevel="1" x14ac:dyDescent="0.25">
      <c r="B265" s="157" t="s">
        <v>58</v>
      </c>
      <c r="C265" s="422"/>
      <c r="D265" s="423"/>
      <c r="E265" s="46"/>
      <c r="F265" s="416"/>
      <c r="G265" s="416"/>
      <c r="H265" s="416"/>
      <c r="N265" s="60"/>
      <c r="O265" s="60"/>
      <c r="P265" s="60"/>
    </row>
    <row r="266" spans="2:16" ht="13" hidden="1" outlineLevel="1" thickBot="1" x14ac:dyDescent="0.3">
      <c r="B266" s="158" t="s">
        <v>59</v>
      </c>
      <c r="C266" s="420"/>
      <c r="D266" s="421"/>
      <c r="E266" s="46"/>
      <c r="F266" s="416"/>
      <c r="G266" s="416"/>
      <c r="H266" s="416"/>
      <c r="N266" s="60"/>
      <c r="O266" s="60"/>
      <c r="P266" s="60"/>
    </row>
    <row r="267" spans="2:16" ht="13" hidden="1" outlineLevel="1" x14ac:dyDescent="0.25">
      <c r="E267" s="46"/>
      <c r="F267" s="34"/>
      <c r="G267" s="34"/>
      <c r="H267" s="34"/>
      <c r="N267" s="60"/>
      <c r="O267" s="60"/>
      <c r="P267" s="60"/>
    </row>
    <row r="268" spans="2:16" ht="13" hidden="1" outlineLevel="1" x14ac:dyDescent="0.25">
      <c r="C268" s="25" t="s">
        <v>44</v>
      </c>
      <c r="D268" s="25" t="s">
        <v>42</v>
      </c>
      <c r="E268" s="46"/>
      <c r="F268" s="34"/>
      <c r="G268" s="34"/>
      <c r="H268" s="34"/>
      <c r="N268" s="60"/>
      <c r="O268" s="60"/>
      <c r="P268" s="60"/>
    </row>
    <row r="269" spans="2:16" ht="21" hidden="1" outlineLevel="1" thickTop="1" thickBot="1" x14ac:dyDescent="0.3">
      <c r="B269" s="140" t="s">
        <v>73</v>
      </c>
      <c r="C269" s="29"/>
      <c r="D269" s="141"/>
      <c r="E269" s="31"/>
      <c r="F269" s="32" t="s">
        <v>27</v>
      </c>
      <c r="G269" s="33"/>
      <c r="H269" s="33"/>
      <c r="I269" s="34"/>
    </row>
    <row r="270" spans="2:16" ht="14.5" hidden="1" outlineLevel="1" thickBot="1" x14ac:dyDescent="0.3">
      <c r="B270" s="37"/>
      <c r="C270" s="38" t="s">
        <v>0</v>
      </c>
      <c r="D270" s="39" t="s">
        <v>1</v>
      </c>
      <c r="E270" s="40"/>
      <c r="F270" s="41" t="s">
        <v>28</v>
      </c>
      <c r="G270" s="41" t="s">
        <v>21</v>
      </c>
      <c r="H270" s="41" t="s">
        <v>8</v>
      </c>
    </row>
    <row r="271" spans="2:16" ht="13" hidden="1" outlineLevel="1" x14ac:dyDescent="0.25">
      <c r="B271" s="43" t="s">
        <v>65</v>
      </c>
      <c r="C271" s="142"/>
      <c r="D271" s="45" t="s">
        <v>2</v>
      </c>
      <c r="E271" s="46"/>
      <c r="F271" s="47"/>
      <c r="G271" s="47"/>
      <c r="H271" s="47"/>
      <c r="N271" s="60"/>
      <c r="O271" s="60"/>
      <c r="P271" s="60"/>
    </row>
    <row r="272" spans="2:16" ht="13" hidden="1" outlineLevel="1" x14ac:dyDescent="0.25">
      <c r="B272" s="43" t="s">
        <v>64</v>
      </c>
      <c r="C272" s="143"/>
      <c r="D272" s="45" t="s">
        <v>3</v>
      </c>
      <c r="E272" s="46"/>
      <c r="F272" s="47"/>
      <c r="G272" s="47"/>
      <c r="H272" s="47"/>
      <c r="N272" s="60"/>
      <c r="O272" s="60"/>
      <c r="P272" s="60"/>
    </row>
    <row r="273" spans="2:16" ht="13" hidden="1" outlineLevel="1" x14ac:dyDescent="0.25">
      <c r="B273" s="51" t="s">
        <v>63</v>
      </c>
      <c r="C273" s="144">
        <f>C271*C272</f>
        <v>0</v>
      </c>
      <c r="D273" s="45" t="str">
        <f>D271</f>
        <v>kg</v>
      </c>
      <c r="E273" s="46"/>
      <c r="F273" s="47"/>
      <c r="G273" s="47"/>
      <c r="H273" s="47"/>
      <c r="N273" s="60"/>
      <c r="O273" s="60"/>
      <c r="P273" s="60"/>
    </row>
    <row r="274" spans="2:16" ht="14" hidden="1" outlineLevel="1" x14ac:dyDescent="0.25">
      <c r="B274" s="54" t="s">
        <v>37</v>
      </c>
      <c r="C274" s="145">
        <v>1</v>
      </c>
      <c r="D274" s="56"/>
      <c r="E274" s="57"/>
      <c r="F274" s="58"/>
      <c r="G274" s="58"/>
      <c r="H274" s="58"/>
      <c r="N274" s="60"/>
      <c r="O274" s="60"/>
      <c r="P274" s="60"/>
    </row>
    <row r="275" spans="2:16" ht="13" hidden="1" outlineLevel="1" x14ac:dyDescent="0.25">
      <c r="B275" s="43" t="s">
        <v>66</v>
      </c>
      <c r="C275" s="142"/>
      <c r="D275" s="45" t="str">
        <f>D271</f>
        <v>kg</v>
      </c>
      <c r="E275" s="46"/>
      <c r="F275" s="47"/>
      <c r="G275" s="47"/>
      <c r="H275" s="47"/>
      <c r="J275" s="159"/>
      <c r="N275" s="60"/>
      <c r="O275" s="60"/>
      <c r="P275" s="60"/>
    </row>
    <row r="276" spans="2:16" ht="13" hidden="1" outlineLevel="1" x14ac:dyDescent="0.25">
      <c r="B276" s="43" t="s">
        <v>67</v>
      </c>
      <c r="C276" s="143"/>
      <c r="D276" s="45" t="s">
        <v>3</v>
      </c>
      <c r="E276" s="59"/>
      <c r="F276" s="47"/>
      <c r="G276" s="47"/>
      <c r="H276" s="47"/>
      <c r="N276" s="60"/>
      <c r="O276" s="60"/>
      <c r="P276" s="60"/>
    </row>
    <row r="277" spans="2:16" ht="13" hidden="1" outlineLevel="1" x14ac:dyDescent="0.25">
      <c r="B277" s="51" t="s">
        <v>68</v>
      </c>
      <c r="C277" s="144">
        <f>C275*C276</f>
        <v>0</v>
      </c>
      <c r="D277" s="45" t="str">
        <f>D271</f>
        <v>kg</v>
      </c>
      <c r="E277" s="46"/>
      <c r="F277" s="47"/>
      <c r="G277" s="47"/>
      <c r="H277" s="47"/>
      <c r="N277" s="60"/>
      <c r="O277" s="60"/>
      <c r="P277" s="60"/>
    </row>
    <row r="278" spans="2:16" ht="13.5" hidden="1" outlineLevel="1" thickBot="1" x14ac:dyDescent="0.3">
      <c r="B278" s="61"/>
      <c r="C278" s="62"/>
      <c r="D278" s="63"/>
      <c r="F278" s="64"/>
      <c r="G278" s="64"/>
      <c r="H278" s="64"/>
      <c r="N278" s="60"/>
      <c r="O278" s="60"/>
      <c r="P278" s="60"/>
    </row>
    <row r="279" spans="2:16" ht="14.5" hidden="1" outlineLevel="1" thickBot="1" x14ac:dyDescent="0.3">
      <c r="B279" s="65" t="s">
        <v>5</v>
      </c>
      <c r="C279" s="66" t="s">
        <v>6</v>
      </c>
      <c r="D279" s="67" t="s">
        <v>1</v>
      </c>
      <c r="E279" s="68"/>
      <c r="F279" s="69"/>
      <c r="G279" s="69"/>
      <c r="H279" s="69"/>
      <c r="N279" s="60"/>
      <c r="O279" s="60"/>
      <c r="P279" s="60"/>
    </row>
    <row r="280" spans="2:16" ht="13" hidden="1" outlineLevel="1" x14ac:dyDescent="0.25">
      <c r="B280" s="70" t="s">
        <v>43</v>
      </c>
      <c r="C280" s="71"/>
      <c r="D280" s="72"/>
      <c r="E280" s="73"/>
      <c r="F280" s="69"/>
      <c r="G280" s="69"/>
      <c r="H280" s="69"/>
      <c r="N280" s="60"/>
      <c r="O280" s="60"/>
      <c r="P280" s="60"/>
    </row>
    <row r="281" spans="2:16" ht="13" hidden="1" outlineLevel="1" x14ac:dyDescent="0.25">
      <c r="B281" s="74"/>
      <c r="C281" s="146">
        <f>C273</f>
        <v>0</v>
      </c>
      <c r="D281" s="76" t="str">
        <f>D271</f>
        <v>kg</v>
      </c>
      <c r="E281" s="98"/>
      <c r="F281" s="69"/>
      <c r="G281" s="69"/>
      <c r="H281" s="69"/>
      <c r="N281" s="60"/>
      <c r="O281" s="60"/>
      <c r="P281" s="60"/>
    </row>
    <row r="282" spans="2:16" ht="13.5" hidden="1" outlineLevel="1" thickBot="1" x14ac:dyDescent="0.3">
      <c r="B282" s="74"/>
      <c r="C282" s="146"/>
      <c r="D282" s="76" t="str">
        <f>D271</f>
        <v>kg</v>
      </c>
      <c r="E282" s="77"/>
      <c r="F282" s="78"/>
      <c r="G282" s="78"/>
      <c r="H282" s="78"/>
      <c r="N282" s="60"/>
      <c r="O282" s="60"/>
      <c r="P282" s="60"/>
    </row>
    <row r="283" spans="2:16" ht="13" hidden="1" outlineLevel="1" x14ac:dyDescent="0.25">
      <c r="B283" s="79" t="s">
        <v>69</v>
      </c>
      <c r="C283" s="147"/>
      <c r="D283" s="81"/>
      <c r="E283" s="77"/>
      <c r="F283" s="82"/>
      <c r="G283" s="82"/>
      <c r="H283" s="82"/>
      <c r="N283" s="60"/>
      <c r="O283" s="60"/>
      <c r="P283" s="60"/>
    </row>
    <row r="284" spans="2:16" ht="13" hidden="1" outlineLevel="1" x14ac:dyDescent="0.25">
      <c r="B284" s="74"/>
      <c r="C284" s="148"/>
      <c r="D284" s="76" t="str">
        <f>D271</f>
        <v>kg</v>
      </c>
      <c r="E284" s="77"/>
      <c r="F284" s="82"/>
      <c r="G284" s="82"/>
      <c r="H284" s="82"/>
      <c r="N284" s="60"/>
      <c r="O284" s="60"/>
      <c r="P284" s="60"/>
    </row>
    <row r="285" spans="2:16" ht="13" hidden="1" outlineLevel="1" x14ac:dyDescent="0.25">
      <c r="B285" s="74"/>
      <c r="C285" s="148"/>
      <c r="D285" s="76" t="str">
        <f>D271</f>
        <v>kg</v>
      </c>
      <c r="E285" s="77"/>
      <c r="F285" s="82"/>
      <c r="G285" s="82"/>
      <c r="H285" s="82"/>
      <c r="N285" s="60"/>
      <c r="O285" s="60"/>
      <c r="P285" s="60"/>
    </row>
    <row r="286" spans="2:16" ht="13" hidden="1" outlineLevel="1" x14ac:dyDescent="0.25">
      <c r="B286" s="74"/>
      <c r="C286" s="148"/>
      <c r="D286" s="76" t="str">
        <f>D271</f>
        <v>kg</v>
      </c>
      <c r="E286" s="77"/>
      <c r="F286" s="82"/>
      <c r="G286" s="82"/>
      <c r="H286" s="82"/>
      <c r="N286" s="60"/>
      <c r="O286" s="60"/>
      <c r="P286" s="60"/>
    </row>
    <row r="287" spans="2:16" ht="13" hidden="1" outlineLevel="1" x14ac:dyDescent="0.25">
      <c r="B287" s="74"/>
      <c r="C287" s="148"/>
      <c r="D287" s="76" t="str">
        <f>D271</f>
        <v>kg</v>
      </c>
      <c r="E287" s="77"/>
      <c r="F287" s="82"/>
      <c r="G287" s="82"/>
      <c r="H287" s="82"/>
      <c r="N287" s="60"/>
      <c r="O287" s="60"/>
      <c r="P287" s="60"/>
    </row>
    <row r="288" spans="2:16" ht="13" hidden="1" outlineLevel="1" x14ac:dyDescent="0.25">
      <c r="B288" s="74"/>
      <c r="C288" s="148"/>
      <c r="D288" s="76" t="str">
        <f>D271</f>
        <v>kg</v>
      </c>
      <c r="E288" s="77"/>
      <c r="F288" s="82"/>
      <c r="G288" s="82"/>
      <c r="H288" s="82"/>
      <c r="N288" s="60"/>
      <c r="O288" s="60"/>
      <c r="P288" s="60"/>
    </row>
    <row r="289" spans="2:16" ht="13" hidden="1" outlineLevel="1" x14ac:dyDescent="0.25">
      <c r="B289" s="74"/>
      <c r="C289" s="148"/>
      <c r="D289" s="76" t="str">
        <f>D271</f>
        <v>kg</v>
      </c>
      <c r="E289" s="77"/>
      <c r="F289" s="82"/>
      <c r="G289" s="82"/>
      <c r="H289" s="82"/>
      <c r="N289" s="60"/>
      <c r="O289" s="60"/>
      <c r="P289" s="60"/>
    </row>
    <row r="290" spans="2:16" ht="13" hidden="1" outlineLevel="1" x14ac:dyDescent="0.25">
      <c r="B290" s="74"/>
      <c r="C290" s="148"/>
      <c r="D290" s="76" t="str">
        <f>D271</f>
        <v>kg</v>
      </c>
      <c r="E290" s="77"/>
      <c r="F290" s="82"/>
      <c r="G290" s="82"/>
      <c r="H290" s="82"/>
      <c r="N290" s="60"/>
      <c r="O290" s="60"/>
      <c r="P290" s="60"/>
    </row>
    <row r="291" spans="2:16" ht="13" hidden="1" outlineLevel="1" x14ac:dyDescent="0.25">
      <c r="B291" s="74"/>
      <c r="C291" s="148"/>
      <c r="D291" s="76" t="str">
        <f>D271</f>
        <v>kg</v>
      </c>
      <c r="E291" s="77"/>
      <c r="F291" s="82"/>
      <c r="G291" s="82"/>
      <c r="H291" s="82"/>
      <c r="N291" s="60"/>
      <c r="O291" s="60"/>
      <c r="P291" s="60"/>
    </row>
    <row r="292" spans="2:16" ht="13" hidden="1" outlineLevel="1" x14ac:dyDescent="0.25">
      <c r="B292" s="74"/>
      <c r="C292" s="148"/>
      <c r="D292" s="76" t="str">
        <f>D271</f>
        <v>kg</v>
      </c>
      <c r="E292" s="77"/>
      <c r="F292" s="82"/>
      <c r="G292" s="82"/>
      <c r="H292" s="82"/>
      <c r="N292" s="60"/>
      <c r="O292" s="60"/>
      <c r="P292" s="60"/>
    </row>
    <row r="293" spans="2:16" ht="13" hidden="1" outlineLevel="1" x14ac:dyDescent="0.25">
      <c r="B293" s="74"/>
      <c r="C293" s="148"/>
      <c r="D293" s="76" t="str">
        <f>D271</f>
        <v>kg</v>
      </c>
      <c r="E293" s="77"/>
      <c r="F293" s="82"/>
      <c r="G293" s="82"/>
      <c r="H293" s="82"/>
      <c r="N293" s="60"/>
      <c r="O293" s="60"/>
      <c r="P293" s="60"/>
    </row>
    <row r="294" spans="2:16" ht="13.4" hidden="1" customHeight="1" outlineLevel="1" x14ac:dyDescent="0.25">
      <c r="B294" s="79"/>
      <c r="C294" s="147"/>
      <c r="D294" s="81"/>
      <c r="E294" s="77"/>
      <c r="F294" s="82"/>
      <c r="G294" s="82"/>
      <c r="H294" s="82"/>
      <c r="K294" s="34"/>
      <c r="N294" s="60"/>
      <c r="O294" s="60"/>
      <c r="P294" s="60"/>
    </row>
    <row r="295" spans="2:16" ht="13" hidden="1" outlineLevel="1" x14ac:dyDescent="0.25">
      <c r="B295" s="86" t="s">
        <v>7</v>
      </c>
      <c r="C295" s="149">
        <f>SUM(C280:C293)</f>
        <v>0</v>
      </c>
      <c r="D295" s="88" t="str">
        <f>D271</f>
        <v>kg</v>
      </c>
      <c r="E295" s="77"/>
      <c r="F295" s="82"/>
      <c r="G295" s="82"/>
      <c r="H295" s="82"/>
      <c r="N295" s="60"/>
      <c r="O295" s="60"/>
      <c r="P295" s="60"/>
    </row>
    <row r="296" spans="2:16" ht="13" hidden="1" outlineLevel="1" x14ac:dyDescent="0.25">
      <c r="B296" s="79" t="s">
        <v>71</v>
      </c>
      <c r="C296" s="150"/>
      <c r="D296" s="81"/>
      <c r="E296" s="77"/>
      <c r="F296" s="82"/>
      <c r="G296" s="82"/>
      <c r="H296" s="82"/>
      <c r="N296" s="60"/>
      <c r="O296" s="60"/>
      <c r="P296" s="60"/>
    </row>
    <row r="297" spans="2:16" ht="13" hidden="1" outlineLevel="1" x14ac:dyDescent="0.25">
      <c r="B297" s="74"/>
      <c r="C297" s="148"/>
      <c r="D297" s="76" t="str">
        <f>D271</f>
        <v>kg</v>
      </c>
      <c r="E297" s="77"/>
      <c r="F297" s="82"/>
      <c r="G297" s="82"/>
      <c r="H297" s="82"/>
      <c r="N297" s="60"/>
      <c r="O297" s="60"/>
      <c r="P297" s="60"/>
    </row>
    <row r="298" spans="2:16" ht="13" hidden="1" outlineLevel="1" x14ac:dyDescent="0.25">
      <c r="B298" s="74"/>
      <c r="C298" s="148"/>
      <c r="D298" s="76" t="str">
        <f>D271</f>
        <v>kg</v>
      </c>
      <c r="E298" s="77"/>
      <c r="F298" s="82"/>
      <c r="G298" s="82"/>
      <c r="H298" s="82"/>
      <c r="N298" s="60"/>
      <c r="O298" s="60"/>
      <c r="P298" s="60"/>
    </row>
    <row r="299" spans="2:16" ht="13" hidden="1" outlineLevel="1" x14ac:dyDescent="0.25">
      <c r="B299" s="74"/>
      <c r="C299" s="148"/>
      <c r="D299" s="76" t="str">
        <f>D271</f>
        <v>kg</v>
      </c>
      <c r="E299" s="77"/>
      <c r="F299" s="82"/>
      <c r="G299" s="82"/>
      <c r="H299" s="82"/>
      <c r="N299" s="60"/>
      <c r="O299" s="60"/>
      <c r="P299" s="60"/>
    </row>
    <row r="300" spans="2:16" ht="13" hidden="1" outlineLevel="1" x14ac:dyDescent="0.25">
      <c r="B300" s="74"/>
      <c r="C300" s="148"/>
      <c r="D300" s="76" t="str">
        <f>D271</f>
        <v>kg</v>
      </c>
      <c r="E300" s="77"/>
      <c r="F300" s="82"/>
      <c r="G300" s="82"/>
      <c r="H300" s="82"/>
      <c r="N300" s="60"/>
      <c r="O300" s="60"/>
      <c r="P300" s="60"/>
    </row>
    <row r="301" spans="2:16" ht="13" hidden="1" outlineLevel="1" x14ac:dyDescent="0.25">
      <c r="B301" s="74"/>
      <c r="C301" s="148"/>
      <c r="D301" s="76" t="str">
        <f>D271</f>
        <v>kg</v>
      </c>
      <c r="E301" s="77"/>
      <c r="F301" s="82"/>
      <c r="G301" s="82"/>
      <c r="H301" s="82"/>
      <c r="N301" s="60"/>
      <c r="O301" s="60"/>
      <c r="P301" s="60"/>
    </row>
    <row r="302" spans="2:16" ht="13" hidden="1" outlineLevel="1" x14ac:dyDescent="0.25">
      <c r="B302" s="74"/>
      <c r="C302" s="148"/>
      <c r="D302" s="76" t="str">
        <f>D271</f>
        <v>kg</v>
      </c>
      <c r="E302" s="77"/>
      <c r="F302" s="82"/>
      <c r="G302" s="82"/>
      <c r="H302" s="82"/>
      <c r="N302" s="60"/>
      <c r="O302" s="60"/>
      <c r="P302" s="60"/>
    </row>
    <row r="303" spans="2:16" ht="13" hidden="1" outlineLevel="1" x14ac:dyDescent="0.25">
      <c r="B303" s="74"/>
      <c r="C303" s="148"/>
      <c r="D303" s="76" t="str">
        <f>D271</f>
        <v>kg</v>
      </c>
      <c r="E303" s="77"/>
      <c r="F303" s="82"/>
      <c r="G303" s="82"/>
      <c r="H303" s="82"/>
      <c r="N303" s="60"/>
      <c r="O303" s="60"/>
      <c r="P303" s="60"/>
    </row>
    <row r="304" spans="2:16" ht="13" hidden="1" outlineLevel="1" x14ac:dyDescent="0.25">
      <c r="B304" s="74"/>
      <c r="C304" s="148"/>
      <c r="D304" s="76" t="str">
        <f>D271</f>
        <v>kg</v>
      </c>
      <c r="E304" s="77"/>
      <c r="F304" s="82"/>
      <c r="G304" s="82"/>
      <c r="H304" s="82"/>
      <c r="N304" s="60"/>
      <c r="O304" s="60"/>
      <c r="P304" s="60"/>
    </row>
    <row r="305" spans="2:16" ht="13" hidden="1" outlineLevel="1" x14ac:dyDescent="0.25">
      <c r="B305" s="79" t="s">
        <v>70</v>
      </c>
      <c r="C305" s="147"/>
      <c r="D305" s="81"/>
      <c r="E305" s="90"/>
      <c r="F305" s="82"/>
      <c r="G305" s="82"/>
      <c r="H305" s="82"/>
      <c r="N305" s="60"/>
      <c r="O305" s="60"/>
      <c r="P305" s="60"/>
    </row>
    <row r="306" spans="2:16" ht="13" hidden="1" outlineLevel="1" x14ac:dyDescent="0.25">
      <c r="B306" s="74"/>
      <c r="C306" s="148"/>
      <c r="D306" s="76" t="str">
        <f>D271</f>
        <v>kg</v>
      </c>
      <c r="E306" s="77"/>
      <c r="F306" s="82"/>
      <c r="G306" s="82"/>
      <c r="H306" s="82"/>
      <c r="N306" s="60"/>
      <c r="O306" s="60"/>
      <c r="P306" s="60"/>
    </row>
    <row r="307" spans="2:16" ht="13" hidden="1" outlineLevel="1" x14ac:dyDescent="0.25">
      <c r="B307" s="74"/>
      <c r="C307" s="148"/>
      <c r="D307" s="76" t="str">
        <f>D271</f>
        <v>kg</v>
      </c>
      <c r="E307" s="77"/>
      <c r="F307" s="82"/>
      <c r="G307" s="82"/>
      <c r="H307" s="82"/>
      <c r="N307" s="60"/>
      <c r="O307" s="60"/>
      <c r="P307" s="60"/>
    </row>
    <row r="308" spans="2:16" ht="13" hidden="1" outlineLevel="1" x14ac:dyDescent="0.25">
      <c r="B308" s="74"/>
      <c r="C308" s="148"/>
      <c r="D308" s="76" t="str">
        <f>D271</f>
        <v>kg</v>
      </c>
      <c r="E308" s="77"/>
      <c r="F308" s="82"/>
      <c r="G308" s="82"/>
      <c r="H308" s="82"/>
      <c r="N308" s="60"/>
      <c r="O308" s="60"/>
      <c r="P308" s="60"/>
    </row>
    <row r="309" spans="2:16" ht="13" hidden="1" outlineLevel="1" x14ac:dyDescent="0.25">
      <c r="B309" s="74"/>
      <c r="C309" s="148"/>
      <c r="D309" s="76" t="str">
        <f>D271</f>
        <v>kg</v>
      </c>
      <c r="E309" s="77"/>
      <c r="F309" s="82"/>
      <c r="G309" s="82"/>
      <c r="H309" s="82"/>
      <c r="N309" s="60"/>
      <c r="O309" s="60"/>
      <c r="P309" s="60"/>
    </row>
    <row r="310" spans="2:16" ht="13" hidden="1" outlineLevel="1" x14ac:dyDescent="0.25">
      <c r="B310" s="74"/>
      <c r="C310" s="148"/>
      <c r="D310" s="76" t="str">
        <f>D271</f>
        <v>kg</v>
      </c>
      <c r="E310" s="77"/>
      <c r="F310" s="82"/>
      <c r="G310" s="82"/>
      <c r="H310" s="82"/>
      <c r="N310" s="60"/>
      <c r="O310" s="60"/>
      <c r="P310" s="60"/>
    </row>
    <row r="311" spans="2:16" ht="13" hidden="1" outlineLevel="1" x14ac:dyDescent="0.25">
      <c r="B311" s="74"/>
      <c r="C311" s="148"/>
      <c r="D311" s="76" t="str">
        <f>D271</f>
        <v>kg</v>
      </c>
      <c r="E311" s="77"/>
      <c r="F311" s="82"/>
      <c r="G311" s="82"/>
      <c r="H311" s="82"/>
      <c r="N311" s="60"/>
      <c r="O311" s="60"/>
      <c r="P311" s="60"/>
    </row>
    <row r="312" spans="2:16" ht="13" hidden="1" outlineLevel="1" x14ac:dyDescent="0.25">
      <c r="B312" s="74"/>
      <c r="C312" s="148"/>
      <c r="D312" s="76" t="str">
        <f>D271</f>
        <v>kg</v>
      </c>
      <c r="E312" s="77"/>
      <c r="F312" s="82"/>
      <c r="G312" s="82"/>
      <c r="H312" s="82"/>
      <c r="N312" s="60"/>
      <c r="O312" s="60"/>
      <c r="P312" s="60"/>
    </row>
    <row r="313" spans="2:16" ht="13.4" hidden="1" customHeight="1" outlineLevel="1" x14ac:dyDescent="0.25">
      <c r="B313" s="79"/>
      <c r="C313" s="147"/>
      <c r="D313" s="81"/>
      <c r="E313" s="77"/>
      <c r="F313" s="82"/>
      <c r="G313" s="82"/>
      <c r="H313" s="82"/>
      <c r="K313" s="34"/>
      <c r="N313" s="60"/>
      <c r="O313" s="60"/>
      <c r="P313" s="60"/>
    </row>
    <row r="314" spans="2:16" ht="13" hidden="1" outlineLevel="1" x14ac:dyDescent="0.25">
      <c r="B314" s="86" t="s">
        <v>9</v>
      </c>
      <c r="C314" s="149">
        <f>SUM(C295:C312)</f>
        <v>0</v>
      </c>
      <c r="D314" s="91" t="str">
        <f>D271</f>
        <v>kg</v>
      </c>
      <c r="E314" s="77"/>
      <c r="F314" s="82"/>
      <c r="G314" s="82"/>
      <c r="H314" s="82"/>
      <c r="N314" s="60"/>
      <c r="O314" s="60"/>
      <c r="P314" s="60"/>
    </row>
    <row r="315" spans="2:16" ht="13" hidden="1" outlineLevel="1" x14ac:dyDescent="0.25">
      <c r="B315" s="92"/>
      <c r="C315" s="93"/>
      <c r="D315" s="94"/>
      <c r="E315" s="77"/>
      <c r="F315" s="82"/>
      <c r="G315" s="82"/>
      <c r="H315" s="82"/>
      <c r="N315" s="60"/>
      <c r="O315" s="60"/>
      <c r="P315" s="60"/>
    </row>
    <row r="316" spans="2:16" ht="20.5" hidden="1" outlineLevel="1" thickBot="1" x14ac:dyDescent="0.3">
      <c r="B316" s="426" t="s">
        <v>10</v>
      </c>
      <c r="C316" s="427"/>
      <c r="D316" s="428"/>
      <c r="E316" s="77"/>
      <c r="F316" s="82"/>
      <c r="G316" s="82"/>
      <c r="H316" s="82"/>
      <c r="N316" s="60"/>
      <c r="O316" s="60"/>
      <c r="P316" s="60"/>
    </row>
    <row r="317" spans="2:16" ht="13" hidden="1" outlineLevel="1" x14ac:dyDescent="0.25">
      <c r="B317" s="95" t="s">
        <v>23</v>
      </c>
      <c r="C317" s="96"/>
      <c r="D317" s="151">
        <f>SUM(C281:C282)</f>
        <v>0</v>
      </c>
      <c r="E317" s="98"/>
      <c r="F317" s="82"/>
      <c r="G317" s="82"/>
      <c r="H317" s="82"/>
      <c r="N317" s="60"/>
      <c r="O317" s="60"/>
      <c r="P317" s="60"/>
    </row>
    <row r="318" spans="2:16" ht="13" hidden="1" outlineLevel="1" x14ac:dyDescent="0.25">
      <c r="B318" s="99" t="s">
        <v>24</v>
      </c>
      <c r="C318" s="100"/>
      <c r="D318" s="152">
        <f>SUM(C284:C294)</f>
        <v>0</v>
      </c>
      <c r="E318" s="98"/>
      <c r="F318" s="82"/>
      <c r="G318" s="82"/>
      <c r="H318" s="82"/>
      <c r="N318" s="60"/>
      <c r="O318" s="60"/>
      <c r="P318" s="60"/>
    </row>
    <row r="319" spans="2:16" ht="13" hidden="1" outlineLevel="1" x14ac:dyDescent="0.25">
      <c r="B319" s="99" t="s">
        <v>25</v>
      </c>
      <c r="C319" s="100"/>
      <c r="D319" s="152">
        <f>SUM(C297:C305)</f>
        <v>0</v>
      </c>
      <c r="E319" s="98"/>
      <c r="F319" s="82"/>
      <c r="G319" s="82"/>
      <c r="H319" s="82"/>
      <c r="N319" s="60"/>
      <c r="O319" s="60"/>
      <c r="P319" s="60"/>
    </row>
    <row r="320" spans="2:16" ht="13" hidden="1" outlineLevel="1" x14ac:dyDescent="0.25">
      <c r="B320" s="102" t="s">
        <v>26</v>
      </c>
      <c r="C320" s="103"/>
      <c r="D320" s="153">
        <f>SUM(C306:C313)</f>
        <v>0</v>
      </c>
      <c r="E320" s="98"/>
      <c r="F320" s="82"/>
      <c r="G320" s="82"/>
      <c r="H320" s="82"/>
      <c r="N320" s="60"/>
      <c r="O320" s="60"/>
      <c r="P320" s="60"/>
    </row>
    <row r="321" spans="2:16" ht="18.5" hidden="1" outlineLevel="1" thickTop="1" x14ac:dyDescent="0.25">
      <c r="B321" s="105" t="s">
        <v>11</v>
      </c>
      <c r="C321" s="106"/>
      <c r="D321" s="107" t="e">
        <f>C295/C277</f>
        <v>#DIV/0!</v>
      </c>
      <c r="E321" s="77"/>
      <c r="F321" s="110" t="s">
        <v>86</v>
      </c>
      <c r="G321" s="109" t="s">
        <v>85</v>
      </c>
      <c r="H321" s="110"/>
      <c r="N321" s="60"/>
      <c r="O321" s="60"/>
      <c r="P321" s="60"/>
    </row>
    <row r="322" spans="2:16" ht="18.5" hidden="1" outlineLevel="1" thickBot="1" x14ac:dyDescent="0.3">
      <c r="B322" s="111" t="s">
        <v>12</v>
      </c>
      <c r="C322" s="112"/>
      <c r="D322" s="113" t="e">
        <f>(D317+D318+D319)/C277</f>
        <v>#DIV/0!</v>
      </c>
      <c r="E322" s="77"/>
      <c r="F322" s="154"/>
      <c r="G322" s="413"/>
      <c r="H322" s="414"/>
      <c r="N322" s="60"/>
      <c r="O322" s="60"/>
      <c r="P322" s="60"/>
    </row>
    <row r="323" spans="2:16" ht="18" hidden="1" outlineLevel="1" x14ac:dyDescent="0.25">
      <c r="B323" s="111" t="s">
        <v>13</v>
      </c>
      <c r="C323" s="112"/>
      <c r="D323" s="113" t="e">
        <f>D319/C277</f>
        <v>#DIV/0!</v>
      </c>
      <c r="E323" s="90"/>
      <c r="F323" s="64" t="s">
        <v>45</v>
      </c>
      <c r="G323" s="64" t="s">
        <v>45</v>
      </c>
      <c r="H323" s="155"/>
      <c r="N323" s="60"/>
      <c r="O323" s="60"/>
      <c r="P323" s="60"/>
    </row>
    <row r="324" spans="2:16" ht="18" hidden="1" outlineLevel="1" x14ac:dyDescent="0.25">
      <c r="B324" s="114" t="s">
        <v>14</v>
      </c>
      <c r="C324" s="115"/>
      <c r="D324" s="116" t="e">
        <f>D320/C277</f>
        <v>#DIV/0!</v>
      </c>
      <c r="E324" s="90"/>
      <c r="F324" s="110"/>
      <c r="G324" s="117" t="s">
        <v>46</v>
      </c>
      <c r="H324" s="110"/>
      <c r="N324" s="60"/>
      <c r="O324" s="60"/>
      <c r="P324" s="60"/>
    </row>
    <row r="325" spans="2:16" ht="18.5" hidden="1" outlineLevel="1" thickBot="1" x14ac:dyDescent="0.3">
      <c r="B325" s="114" t="s">
        <v>15</v>
      </c>
      <c r="C325" s="119"/>
      <c r="D325" s="116" t="e">
        <f>SUM(D317:D320)/C277</f>
        <v>#DIV/0!</v>
      </c>
      <c r="E325" s="90"/>
      <c r="F325" s="429"/>
      <c r="G325" s="430"/>
      <c r="H325" s="431"/>
      <c r="N325" s="60"/>
      <c r="O325" s="60"/>
      <c r="P325" s="60"/>
    </row>
    <row r="326" spans="2:16" ht="18.5" hidden="1" outlineLevel="1" thickTop="1" x14ac:dyDescent="0.25">
      <c r="B326" s="120" t="s">
        <v>16</v>
      </c>
      <c r="C326" s="121"/>
      <c r="D326" s="122" t="e">
        <f>((C281*D259)+D318+C282*MAX(1,F282))/C277</f>
        <v>#DIV/0!</v>
      </c>
      <c r="E326" s="77"/>
      <c r="F326" s="64" t="s">
        <v>45</v>
      </c>
      <c r="G326" s="64"/>
      <c r="H326" s="82"/>
      <c r="N326" s="60"/>
      <c r="O326" s="60"/>
      <c r="P326" s="60"/>
    </row>
    <row r="327" spans="2:16" ht="18" hidden="1" outlineLevel="1" x14ac:dyDescent="0.25">
      <c r="B327" s="123" t="s">
        <v>17</v>
      </c>
      <c r="C327" s="124"/>
      <c r="D327" s="125" t="e">
        <f>(C281*D260+D318+D319+C282*(MAX(1,F282)+G282))/C277</f>
        <v>#DIV/0!</v>
      </c>
      <c r="E327" s="77"/>
      <c r="F327" s="82"/>
      <c r="G327" s="82"/>
      <c r="H327" s="82"/>
      <c r="N327" s="60"/>
      <c r="O327" s="60"/>
      <c r="P327" s="60"/>
    </row>
    <row r="328" spans="2:16" ht="18" hidden="1" customHeight="1" outlineLevel="1" x14ac:dyDescent="0.25">
      <c r="B328" s="123" t="s">
        <v>18</v>
      </c>
      <c r="C328" s="124"/>
      <c r="D328" s="125" t="e">
        <f>((C281*D261)+D319+C282*G282)/C277</f>
        <v>#DIV/0!</v>
      </c>
      <c r="E328" s="77"/>
      <c r="F328" s="415" t="s">
        <v>61</v>
      </c>
      <c r="G328" s="416"/>
      <c r="H328" s="416"/>
      <c r="N328" s="60"/>
      <c r="O328" s="60"/>
      <c r="P328" s="60"/>
    </row>
    <row r="329" spans="2:16" ht="18" hidden="1" outlineLevel="1" x14ac:dyDescent="0.25">
      <c r="B329" s="126" t="s">
        <v>19</v>
      </c>
      <c r="C329" s="127"/>
      <c r="D329" s="128" t="e">
        <f>(C281*D262+D320+C282*H282)/C277</f>
        <v>#DIV/0!</v>
      </c>
      <c r="E329" s="77"/>
      <c r="F329" s="416"/>
      <c r="G329" s="416"/>
      <c r="H329" s="416"/>
      <c r="N329" s="60"/>
      <c r="O329" s="60"/>
      <c r="P329" s="60"/>
    </row>
    <row r="330" spans="2:16" ht="18.5" hidden="1" outlineLevel="1" thickBot="1" x14ac:dyDescent="0.3">
      <c r="B330" s="129" t="s">
        <v>20</v>
      </c>
      <c r="C330" s="130"/>
      <c r="D330" s="131" t="e">
        <f>((C281*D263)+SUM(D318:D320)+C282*(MAX(1,F282)+G282+H282))/C277</f>
        <v>#DIV/0!</v>
      </c>
      <c r="E330" s="77"/>
      <c r="F330" s="416"/>
      <c r="G330" s="416"/>
      <c r="H330" s="416"/>
      <c r="N330" s="60"/>
      <c r="O330" s="60"/>
      <c r="P330" s="60"/>
    </row>
    <row r="331" spans="2:16" ht="13" hidden="1" outlineLevel="1" thickTop="1" x14ac:dyDescent="0.25">
      <c r="B331" s="156" t="s">
        <v>76</v>
      </c>
      <c r="C331" s="424"/>
      <c r="D331" s="425"/>
      <c r="E331" s="46"/>
      <c r="F331" s="416"/>
      <c r="G331" s="416"/>
      <c r="H331" s="416"/>
      <c r="N331" s="60"/>
      <c r="O331" s="60"/>
      <c r="P331" s="60"/>
    </row>
    <row r="332" spans="2:16" hidden="1" outlineLevel="1" x14ac:dyDescent="0.25">
      <c r="B332" s="157" t="s">
        <v>58</v>
      </c>
      <c r="C332" s="422"/>
      <c r="D332" s="423"/>
      <c r="E332" s="46"/>
      <c r="F332" s="416"/>
      <c r="G332" s="416"/>
      <c r="H332" s="416"/>
      <c r="N332" s="60"/>
      <c r="O332" s="60"/>
      <c r="P332" s="60"/>
    </row>
    <row r="333" spans="2:16" ht="13" hidden="1" outlineLevel="1" thickBot="1" x14ac:dyDescent="0.3">
      <c r="B333" s="158" t="s">
        <v>59</v>
      </c>
      <c r="C333" s="420"/>
      <c r="D333" s="421"/>
      <c r="E333" s="46"/>
      <c r="F333" s="416"/>
      <c r="G333" s="416"/>
      <c r="H333" s="416"/>
      <c r="N333" s="60"/>
      <c r="O333" s="60"/>
      <c r="P333" s="60"/>
    </row>
    <row r="334" spans="2:16" ht="13" hidden="1" outlineLevel="1" x14ac:dyDescent="0.25">
      <c r="E334" s="46"/>
      <c r="F334" s="34"/>
      <c r="G334" s="34"/>
      <c r="H334" s="34"/>
      <c r="N334" s="60"/>
      <c r="O334" s="60"/>
      <c r="P334" s="60"/>
    </row>
    <row r="335" spans="2:16" ht="13" hidden="1" outlineLevel="1" x14ac:dyDescent="0.25">
      <c r="C335" s="25" t="s">
        <v>44</v>
      </c>
      <c r="D335" s="25" t="s">
        <v>42</v>
      </c>
      <c r="E335" s="46"/>
      <c r="F335" s="34"/>
      <c r="G335" s="34"/>
      <c r="H335" s="34"/>
      <c r="N335" s="60"/>
      <c r="O335" s="60"/>
      <c r="P335" s="60"/>
    </row>
    <row r="336" spans="2:16" ht="21" hidden="1" outlineLevel="1" thickTop="1" thickBot="1" x14ac:dyDescent="0.3">
      <c r="B336" s="140" t="s">
        <v>73</v>
      </c>
      <c r="C336" s="29"/>
      <c r="D336" s="141"/>
      <c r="E336" s="31"/>
      <c r="F336" s="32" t="s">
        <v>27</v>
      </c>
      <c r="G336" s="33"/>
      <c r="H336" s="33"/>
      <c r="I336" s="34"/>
    </row>
    <row r="337" spans="2:16" ht="14.5" hidden="1" outlineLevel="1" thickBot="1" x14ac:dyDescent="0.3">
      <c r="B337" s="37"/>
      <c r="C337" s="38" t="s">
        <v>0</v>
      </c>
      <c r="D337" s="39" t="s">
        <v>1</v>
      </c>
      <c r="E337" s="40"/>
      <c r="F337" s="41" t="s">
        <v>28</v>
      </c>
      <c r="G337" s="41" t="s">
        <v>21</v>
      </c>
      <c r="H337" s="41" t="s">
        <v>8</v>
      </c>
    </row>
    <row r="338" spans="2:16" ht="13" hidden="1" outlineLevel="1" x14ac:dyDescent="0.25">
      <c r="B338" s="43" t="s">
        <v>65</v>
      </c>
      <c r="C338" s="142"/>
      <c r="D338" s="45" t="s">
        <v>2</v>
      </c>
      <c r="E338" s="46"/>
      <c r="F338" s="47"/>
      <c r="G338" s="47"/>
      <c r="H338" s="47"/>
      <c r="N338" s="60"/>
      <c r="O338" s="60"/>
      <c r="P338" s="60"/>
    </row>
    <row r="339" spans="2:16" ht="13" hidden="1" outlineLevel="1" x14ac:dyDescent="0.25">
      <c r="B339" s="43" t="s">
        <v>64</v>
      </c>
      <c r="C339" s="143"/>
      <c r="D339" s="45" t="s">
        <v>3</v>
      </c>
      <c r="E339" s="46"/>
      <c r="F339" s="47"/>
      <c r="G339" s="47"/>
      <c r="H339" s="47"/>
      <c r="J339" s="159"/>
      <c r="N339" s="60"/>
      <c r="O339" s="60"/>
      <c r="P339" s="60"/>
    </row>
    <row r="340" spans="2:16" ht="13" hidden="1" outlineLevel="1" x14ac:dyDescent="0.25">
      <c r="B340" s="51" t="s">
        <v>63</v>
      </c>
      <c r="C340" s="144">
        <f>C338*C339</f>
        <v>0</v>
      </c>
      <c r="D340" s="45" t="str">
        <f>D338</f>
        <v>kg</v>
      </c>
      <c r="E340" s="46"/>
      <c r="F340" s="47"/>
      <c r="G340" s="47"/>
      <c r="H340" s="47"/>
      <c r="N340" s="60"/>
      <c r="O340" s="60"/>
      <c r="P340" s="60"/>
    </row>
    <row r="341" spans="2:16" ht="14" hidden="1" outlineLevel="1" x14ac:dyDescent="0.25">
      <c r="B341" s="54" t="s">
        <v>37</v>
      </c>
      <c r="C341" s="145">
        <v>1</v>
      </c>
      <c r="D341" s="56"/>
      <c r="E341" s="57"/>
      <c r="F341" s="58"/>
      <c r="G341" s="58"/>
      <c r="H341" s="58"/>
      <c r="N341" s="60"/>
      <c r="O341" s="60"/>
      <c r="P341" s="60"/>
    </row>
    <row r="342" spans="2:16" ht="13" hidden="1" outlineLevel="1" x14ac:dyDescent="0.25">
      <c r="B342" s="43" t="s">
        <v>66</v>
      </c>
      <c r="C342" s="142"/>
      <c r="D342" s="45" t="str">
        <f>D338</f>
        <v>kg</v>
      </c>
      <c r="E342" s="46"/>
      <c r="F342" s="47"/>
      <c r="G342" s="47"/>
      <c r="H342" s="47"/>
      <c r="N342" s="60"/>
      <c r="O342" s="60"/>
      <c r="P342" s="60"/>
    </row>
    <row r="343" spans="2:16" ht="13" hidden="1" outlineLevel="1" x14ac:dyDescent="0.25">
      <c r="B343" s="43" t="s">
        <v>67</v>
      </c>
      <c r="C343" s="143"/>
      <c r="D343" s="45" t="s">
        <v>3</v>
      </c>
      <c r="E343" s="59"/>
      <c r="F343" s="47"/>
      <c r="G343" s="47"/>
      <c r="H343" s="47"/>
      <c r="N343" s="60"/>
      <c r="O343" s="60"/>
      <c r="P343" s="60"/>
    </row>
    <row r="344" spans="2:16" ht="13" hidden="1" outlineLevel="1" x14ac:dyDescent="0.25">
      <c r="B344" s="51" t="s">
        <v>68</v>
      </c>
      <c r="C344" s="144">
        <f>C342*C343</f>
        <v>0</v>
      </c>
      <c r="D344" s="45" t="str">
        <f>D338</f>
        <v>kg</v>
      </c>
      <c r="E344" s="46"/>
      <c r="F344" s="47"/>
      <c r="G344" s="47"/>
      <c r="H344" s="47"/>
      <c r="N344" s="60"/>
      <c r="O344" s="60"/>
      <c r="P344" s="60"/>
    </row>
    <row r="345" spans="2:16" ht="13.5" hidden="1" outlineLevel="1" thickBot="1" x14ac:dyDescent="0.3">
      <c r="B345" s="61"/>
      <c r="C345" s="62"/>
      <c r="D345" s="63"/>
      <c r="F345" s="64"/>
      <c r="G345" s="64"/>
      <c r="H345" s="64"/>
      <c r="N345" s="60"/>
      <c r="O345" s="60"/>
      <c r="P345" s="60"/>
    </row>
    <row r="346" spans="2:16" ht="14.5" hidden="1" outlineLevel="1" thickBot="1" x14ac:dyDescent="0.3">
      <c r="B346" s="65" t="s">
        <v>5</v>
      </c>
      <c r="C346" s="66" t="s">
        <v>6</v>
      </c>
      <c r="D346" s="67" t="s">
        <v>1</v>
      </c>
      <c r="E346" s="68"/>
      <c r="F346" s="69"/>
      <c r="G346" s="69"/>
      <c r="H346" s="69"/>
      <c r="N346" s="60"/>
      <c r="O346" s="60"/>
      <c r="P346" s="60"/>
    </row>
    <row r="347" spans="2:16" ht="13" hidden="1" outlineLevel="1" x14ac:dyDescent="0.25">
      <c r="B347" s="70" t="s">
        <v>43</v>
      </c>
      <c r="C347" s="71"/>
      <c r="D347" s="72"/>
      <c r="E347" s="73"/>
      <c r="F347" s="69"/>
      <c r="G347" s="69"/>
      <c r="H347" s="69"/>
      <c r="N347" s="60"/>
      <c r="O347" s="60"/>
      <c r="P347" s="60"/>
    </row>
    <row r="348" spans="2:16" ht="13" hidden="1" outlineLevel="1" x14ac:dyDescent="0.25">
      <c r="B348" s="74"/>
      <c r="C348" s="146">
        <f>C340</f>
        <v>0</v>
      </c>
      <c r="D348" s="76" t="str">
        <f>D338</f>
        <v>kg</v>
      </c>
      <c r="E348" s="98"/>
      <c r="F348" s="69"/>
      <c r="G348" s="69"/>
      <c r="H348" s="69"/>
      <c r="N348" s="60"/>
      <c r="O348" s="60"/>
      <c r="P348" s="60"/>
    </row>
    <row r="349" spans="2:16" ht="13.5" hidden="1" outlineLevel="1" thickBot="1" x14ac:dyDescent="0.3">
      <c r="B349" s="74"/>
      <c r="C349" s="146"/>
      <c r="D349" s="76" t="str">
        <f>D338</f>
        <v>kg</v>
      </c>
      <c r="E349" s="77"/>
      <c r="F349" s="78"/>
      <c r="G349" s="78"/>
      <c r="H349" s="78"/>
      <c r="N349" s="60"/>
      <c r="O349" s="60"/>
      <c r="P349" s="60"/>
    </row>
    <row r="350" spans="2:16" ht="13" hidden="1" outlineLevel="1" x14ac:dyDescent="0.25">
      <c r="B350" s="79" t="s">
        <v>69</v>
      </c>
      <c r="C350" s="147"/>
      <c r="D350" s="81"/>
      <c r="E350" s="77"/>
      <c r="F350" s="82"/>
      <c r="G350" s="82"/>
      <c r="H350" s="82"/>
      <c r="N350" s="60"/>
      <c r="O350" s="60"/>
      <c r="P350" s="60"/>
    </row>
    <row r="351" spans="2:16" ht="13" hidden="1" outlineLevel="1" x14ac:dyDescent="0.25">
      <c r="B351" s="74"/>
      <c r="C351" s="148"/>
      <c r="D351" s="76" t="str">
        <f>D338</f>
        <v>kg</v>
      </c>
      <c r="E351" s="77"/>
      <c r="F351" s="82"/>
      <c r="G351" s="82"/>
      <c r="H351" s="82"/>
      <c r="N351" s="60"/>
      <c r="O351" s="60"/>
      <c r="P351" s="60"/>
    </row>
    <row r="352" spans="2:16" ht="13" hidden="1" outlineLevel="1" x14ac:dyDescent="0.25">
      <c r="B352" s="74"/>
      <c r="C352" s="148"/>
      <c r="D352" s="76" t="str">
        <f>D338</f>
        <v>kg</v>
      </c>
      <c r="E352" s="77"/>
      <c r="F352" s="82"/>
      <c r="G352" s="82"/>
      <c r="H352" s="82"/>
      <c r="N352" s="60"/>
      <c r="O352" s="60"/>
      <c r="P352" s="60"/>
    </row>
    <row r="353" spans="2:16" ht="13" hidden="1" outlineLevel="1" x14ac:dyDescent="0.25">
      <c r="B353" s="74"/>
      <c r="C353" s="148"/>
      <c r="D353" s="76" t="str">
        <f>D338</f>
        <v>kg</v>
      </c>
      <c r="E353" s="77"/>
      <c r="F353" s="82"/>
      <c r="G353" s="82"/>
      <c r="H353" s="82"/>
      <c r="N353" s="60"/>
      <c r="O353" s="60"/>
      <c r="P353" s="60"/>
    </row>
    <row r="354" spans="2:16" ht="13" hidden="1" outlineLevel="1" x14ac:dyDescent="0.25">
      <c r="B354" s="74"/>
      <c r="C354" s="148"/>
      <c r="D354" s="76" t="str">
        <f>D338</f>
        <v>kg</v>
      </c>
      <c r="E354" s="77"/>
      <c r="F354" s="82"/>
      <c r="G354" s="82"/>
      <c r="H354" s="82"/>
      <c r="N354" s="60"/>
      <c r="O354" s="60"/>
      <c r="P354" s="60"/>
    </row>
    <row r="355" spans="2:16" ht="13" hidden="1" outlineLevel="1" x14ac:dyDescent="0.25">
      <c r="B355" s="74"/>
      <c r="C355" s="148"/>
      <c r="D355" s="76" t="str">
        <f>D338</f>
        <v>kg</v>
      </c>
      <c r="E355" s="77"/>
      <c r="F355" s="82"/>
      <c r="G355" s="82"/>
      <c r="H355" s="82"/>
      <c r="N355" s="60"/>
      <c r="O355" s="60"/>
      <c r="P355" s="60"/>
    </row>
    <row r="356" spans="2:16" ht="13" hidden="1" outlineLevel="1" x14ac:dyDescent="0.25">
      <c r="B356" s="74"/>
      <c r="C356" s="148"/>
      <c r="D356" s="76" t="str">
        <f>D338</f>
        <v>kg</v>
      </c>
      <c r="E356" s="77"/>
      <c r="F356" s="82"/>
      <c r="G356" s="82"/>
      <c r="H356" s="82"/>
      <c r="N356" s="60"/>
      <c r="O356" s="60"/>
      <c r="P356" s="60"/>
    </row>
    <row r="357" spans="2:16" ht="13" hidden="1" outlineLevel="1" x14ac:dyDescent="0.25">
      <c r="B357" s="74"/>
      <c r="C357" s="148"/>
      <c r="D357" s="76" t="str">
        <f>D338</f>
        <v>kg</v>
      </c>
      <c r="E357" s="77"/>
      <c r="F357" s="82"/>
      <c r="G357" s="82"/>
      <c r="H357" s="82"/>
      <c r="N357" s="60"/>
      <c r="O357" s="60"/>
      <c r="P357" s="60"/>
    </row>
    <row r="358" spans="2:16" ht="13" hidden="1" outlineLevel="1" x14ac:dyDescent="0.25">
      <c r="B358" s="74"/>
      <c r="C358" s="148"/>
      <c r="D358" s="76" t="str">
        <f>D338</f>
        <v>kg</v>
      </c>
      <c r="E358" s="77"/>
      <c r="F358" s="82"/>
      <c r="G358" s="82"/>
      <c r="H358" s="82"/>
      <c r="N358" s="60"/>
      <c r="O358" s="60"/>
      <c r="P358" s="60"/>
    </row>
    <row r="359" spans="2:16" ht="13" hidden="1" outlineLevel="1" x14ac:dyDescent="0.25">
      <c r="B359" s="74"/>
      <c r="C359" s="148"/>
      <c r="D359" s="76" t="str">
        <f>D338</f>
        <v>kg</v>
      </c>
      <c r="E359" s="77"/>
      <c r="F359" s="82"/>
      <c r="G359" s="82"/>
      <c r="H359" s="82"/>
      <c r="N359" s="60"/>
      <c r="O359" s="60"/>
      <c r="P359" s="60"/>
    </row>
    <row r="360" spans="2:16" ht="13" hidden="1" outlineLevel="1" x14ac:dyDescent="0.25">
      <c r="B360" s="74"/>
      <c r="C360" s="148"/>
      <c r="D360" s="76" t="str">
        <f>D338</f>
        <v>kg</v>
      </c>
      <c r="E360" s="77"/>
      <c r="F360" s="82"/>
      <c r="G360" s="82"/>
      <c r="H360" s="82"/>
      <c r="N360" s="60"/>
      <c r="O360" s="60"/>
      <c r="P360" s="60"/>
    </row>
    <row r="361" spans="2:16" ht="13.4" hidden="1" customHeight="1" outlineLevel="1" x14ac:dyDescent="0.25">
      <c r="B361" s="79"/>
      <c r="C361" s="147"/>
      <c r="D361" s="81"/>
      <c r="E361" s="77"/>
      <c r="F361" s="82"/>
      <c r="G361" s="82"/>
      <c r="H361" s="82"/>
      <c r="K361" s="34"/>
      <c r="N361" s="60"/>
      <c r="O361" s="60"/>
      <c r="P361" s="60"/>
    </row>
    <row r="362" spans="2:16" ht="13" hidden="1" outlineLevel="1" x14ac:dyDescent="0.25">
      <c r="B362" s="86" t="s">
        <v>7</v>
      </c>
      <c r="C362" s="149">
        <f>SUM(C347:C360)</f>
        <v>0</v>
      </c>
      <c r="D362" s="88" t="str">
        <f>D338</f>
        <v>kg</v>
      </c>
      <c r="E362" s="77"/>
      <c r="F362" s="82"/>
      <c r="G362" s="82"/>
      <c r="H362" s="82"/>
      <c r="N362" s="60"/>
      <c r="O362" s="60"/>
      <c r="P362" s="60"/>
    </row>
    <row r="363" spans="2:16" ht="13" hidden="1" outlineLevel="1" x14ac:dyDescent="0.25">
      <c r="B363" s="79" t="s">
        <v>71</v>
      </c>
      <c r="C363" s="150"/>
      <c r="D363" s="81"/>
      <c r="E363" s="77"/>
      <c r="F363" s="82"/>
      <c r="G363" s="82"/>
      <c r="H363" s="82"/>
      <c r="N363" s="60"/>
      <c r="O363" s="60"/>
      <c r="P363" s="60"/>
    </row>
    <row r="364" spans="2:16" ht="13" hidden="1" outlineLevel="1" x14ac:dyDescent="0.25">
      <c r="B364" s="74"/>
      <c r="C364" s="148"/>
      <c r="D364" s="76" t="str">
        <f>D338</f>
        <v>kg</v>
      </c>
      <c r="E364" s="77"/>
      <c r="F364" s="82"/>
      <c r="G364" s="82"/>
      <c r="H364" s="82"/>
      <c r="N364" s="60"/>
      <c r="O364" s="60"/>
      <c r="P364" s="60"/>
    </row>
    <row r="365" spans="2:16" ht="13" hidden="1" outlineLevel="1" x14ac:dyDescent="0.25">
      <c r="B365" s="74"/>
      <c r="C365" s="148"/>
      <c r="D365" s="76" t="str">
        <f>D338</f>
        <v>kg</v>
      </c>
      <c r="E365" s="77"/>
      <c r="F365" s="82"/>
      <c r="G365" s="82"/>
      <c r="H365" s="82"/>
      <c r="N365" s="60"/>
      <c r="O365" s="60"/>
      <c r="P365" s="60"/>
    </row>
    <row r="366" spans="2:16" ht="13" hidden="1" outlineLevel="1" x14ac:dyDescent="0.25">
      <c r="B366" s="74"/>
      <c r="C366" s="148"/>
      <c r="D366" s="76" t="str">
        <f>D338</f>
        <v>kg</v>
      </c>
      <c r="E366" s="77"/>
      <c r="F366" s="82"/>
      <c r="G366" s="82"/>
      <c r="H366" s="82"/>
      <c r="N366" s="60"/>
      <c r="O366" s="60"/>
      <c r="P366" s="60"/>
    </row>
    <row r="367" spans="2:16" ht="13" hidden="1" outlineLevel="1" x14ac:dyDescent="0.25">
      <c r="B367" s="74"/>
      <c r="C367" s="148"/>
      <c r="D367" s="76" t="str">
        <f>D338</f>
        <v>kg</v>
      </c>
      <c r="E367" s="77"/>
      <c r="F367" s="82"/>
      <c r="G367" s="82"/>
      <c r="H367" s="82"/>
      <c r="N367" s="60"/>
      <c r="O367" s="60"/>
      <c r="P367" s="60"/>
    </row>
    <row r="368" spans="2:16" ht="13" hidden="1" outlineLevel="1" x14ac:dyDescent="0.25">
      <c r="B368" s="74"/>
      <c r="C368" s="148"/>
      <c r="D368" s="76" t="str">
        <f>D338</f>
        <v>kg</v>
      </c>
      <c r="E368" s="77"/>
      <c r="F368" s="82"/>
      <c r="G368" s="82"/>
      <c r="H368" s="82"/>
      <c r="N368" s="60"/>
      <c r="O368" s="60"/>
      <c r="P368" s="60"/>
    </row>
    <row r="369" spans="2:16" ht="13" hidden="1" outlineLevel="1" x14ac:dyDescent="0.25">
      <c r="B369" s="74"/>
      <c r="C369" s="148"/>
      <c r="D369" s="76" t="str">
        <f>D338</f>
        <v>kg</v>
      </c>
      <c r="E369" s="77"/>
      <c r="F369" s="82"/>
      <c r="G369" s="82"/>
      <c r="H369" s="82"/>
      <c r="N369" s="60"/>
      <c r="O369" s="60"/>
      <c r="P369" s="60"/>
    </row>
    <row r="370" spans="2:16" ht="13" hidden="1" outlineLevel="1" x14ac:dyDescent="0.25">
      <c r="B370" s="74"/>
      <c r="C370" s="148"/>
      <c r="D370" s="76" t="str">
        <f>D338</f>
        <v>kg</v>
      </c>
      <c r="E370" s="77"/>
      <c r="F370" s="82"/>
      <c r="G370" s="82"/>
      <c r="H370" s="82"/>
      <c r="N370" s="60"/>
      <c r="O370" s="60"/>
      <c r="P370" s="60"/>
    </row>
    <row r="371" spans="2:16" ht="13" hidden="1" outlineLevel="1" x14ac:dyDescent="0.25">
      <c r="B371" s="74"/>
      <c r="C371" s="148"/>
      <c r="D371" s="76" t="str">
        <f>D338</f>
        <v>kg</v>
      </c>
      <c r="E371" s="77"/>
      <c r="F371" s="82"/>
      <c r="G371" s="82"/>
      <c r="H371" s="82"/>
      <c r="N371" s="60"/>
      <c r="O371" s="60"/>
      <c r="P371" s="60"/>
    </row>
    <row r="372" spans="2:16" ht="13" hidden="1" outlineLevel="1" x14ac:dyDescent="0.25">
      <c r="B372" s="79" t="s">
        <v>70</v>
      </c>
      <c r="C372" s="147"/>
      <c r="D372" s="81"/>
      <c r="E372" s="90"/>
      <c r="F372" s="82"/>
      <c r="G372" s="82"/>
      <c r="H372" s="82"/>
      <c r="N372" s="60"/>
      <c r="O372" s="60"/>
      <c r="P372" s="60"/>
    </row>
    <row r="373" spans="2:16" ht="13" hidden="1" outlineLevel="1" x14ac:dyDescent="0.25">
      <c r="B373" s="74"/>
      <c r="C373" s="148"/>
      <c r="D373" s="76" t="str">
        <f>D338</f>
        <v>kg</v>
      </c>
      <c r="E373" s="77"/>
      <c r="F373" s="82"/>
      <c r="G373" s="82"/>
      <c r="H373" s="82"/>
      <c r="N373" s="60"/>
      <c r="O373" s="60"/>
      <c r="P373" s="60"/>
    </row>
    <row r="374" spans="2:16" ht="13" hidden="1" outlineLevel="1" x14ac:dyDescent="0.25">
      <c r="B374" s="74"/>
      <c r="C374" s="148"/>
      <c r="D374" s="76" t="str">
        <f>D338</f>
        <v>kg</v>
      </c>
      <c r="E374" s="77"/>
      <c r="F374" s="82"/>
      <c r="G374" s="82"/>
      <c r="H374" s="82"/>
      <c r="N374" s="60"/>
      <c r="O374" s="60"/>
      <c r="P374" s="60"/>
    </row>
    <row r="375" spans="2:16" ht="13" hidden="1" outlineLevel="1" x14ac:dyDescent="0.25">
      <c r="B375" s="74"/>
      <c r="C375" s="148"/>
      <c r="D375" s="76" t="str">
        <f>D338</f>
        <v>kg</v>
      </c>
      <c r="E375" s="77"/>
      <c r="F375" s="82"/>
      <c r="G375" s="82"/>
      <c r="H375" s="82"/>
      <c r="N375" s="60"/>
      <c r="O375" s="60"/>
      <c r="P375" s="60"/>
    </row>
    <row r="376" spans="2:16" ht="13" hidden="1" outlineLevel="1" x14ac:dyDescent="0.25">
      <c r="B376" s="74"/>
      <c r="C376" s="148"/>
      <c r="D376" s="76" t="str">
        <f>D338</f>
        <v>kg</v>
      </c>
      <c r="E376" s="77"/>
      <c r="F376" s="82"/>
      <c r="G376" s="82"/>
      <c r="H376" s="82"/>
      <c r="N376" s="60"/>
      <c r="O376" s="60"/>
      <c r="P376" s="60"/>
    </row>
    <row r="377" spans="2:16" ht="13" hidden="1" outlineLevel="1" x14ac:dyDescent="0.25">
      <c r="B377" s="74"/>
      <c r="C377" s="148"/>
      <c r="D377" s="76" t="str">
        <f>D338</f>
        <v>kg</v>
      </c>
      <c r="E377" s="77"/>
      <c r="F377" s="82"/>
      <c r="G377" s="82"/>
      <c r="H377" s="82"/>
      <c r="N377" s="60"/>
      <c r="O377" s="60"/>
      <c r="P377" s="60"/>
    </row>
    <row r="378" spans="2:16" ht="14.25" hidden="1" customHeight="1" outlineLevel="1" x14ac:dyDescent="0.25">
      <c r="B378" s="74"/>
      <c r="C378" s="148"/>
      <c r="D378" s="76" t="str">
        <f>D338</f>
        <v>kg</v>
      </c>
      <c r="E378" s="77"/>
      <c r="F378" s="82"/>
      <c r="G378" s="82"/>
      <c r="H378" s="82"/>
      <c r="N378" s="60"/>
      <c r="O378" s="60"/>
      <c r="P378" s="60"/>
    </row>
    <row r="379" spans="2:16" ht="13" hidden="1" outlineLevel="1" x14ac:dyDescent="0.25">
      <c r="B379" s="74"/>
      <c r="C379" s="148"/>
      <c r="D379" s="76" t="str">
        <f>D338</f>
        <v>kg</v>
      </c>
      <c r="E379" s="77"/>
      <c r="F379" s="82"/>
      <c r="G379" s="82"/>
      <c r="H379" s="82"/>
      <c r="N379" s="60"/>
      <c r="O379" s="60"/>
      <c r="P379" s="60"/>
    </row>
    <row r="380" spans="2:16" ht="13.4" hidden="1" customHeight="1" outlineLevel="1" x14ac:dyDescent="0.25">
      <c r="B380" s="79"/>
      <c r="C380" s="147"/>
      <c r="D380" s="81"/>
      <c r="E380" s="77"/>
      <c r="F380" s="82"/>
      <c r="G380" s="82"/>
      <c r="H380" s="82"/>
      <c r="K380" s="34"/>
      <c r="N380" s="60"/>
      <c r="O380" s="60"/>
      <c r="P380" s="60"/>
    </row>
    <row r="381" spans="2:16" ht="13" hidden="1" outlineLevel="1" x14ac:dyDescent="0.25">
      <c r="B381" s="86" t="s">
        <v>9</v>
      </c>
      <c r="C381" s="149">
        <f>SUM(C362:C379)</f>
        <v>0</v>
      </c>
      <c r="D381" s="91" t="str">
        <f>D338</f>
        <v>kg</v>
      </c>
      <c r="E381" s="77"/>
      <c r="F381" s="82"/>
      <c r="G381" s="82"/>
      <c r="H381" s="82"/>
      <c r="N381" s="60"/>
      <c r="O381" s="60"/>
      <c r="P381" s="60"/>
    </row>
    <row r="382" spans="2:16" ht="13" hidden="1" outlineLevel="1" x14ac:dyDescent="0.25">
      <c r="B382" s="92"/>
      <c r="C382" s="93"/>
      <c r="D382" s="94"/>
      <c r="E382" s="77"/>
      <c r="F382" s="82"/>
      <c r="G382" s="82"/>
      <c r="H382" s="82"/>
      <c r="N382" s="60"/>
      <c r="O382" s="60"/>
      <c r="P382" s="60"/>
    </row>
    <row r="383" spans="2:16" ht="20.5" hidden="1" outlineLevel="1" thickBot="1" x14ac:dyDescent="0.3">
      <c r="B383" s="426" t="s">
        <v>10</v>
      </c>
      <c r="C383" s="427"/>
      <c r="D383" s="428"/>
      <c r="E383" s="77"/>
      <c r="F383" s="82"/>
      <c r="G383" s="82"/>
      <c r="H383" s="82"/>
      <c r="N383" s="60"/>
      <c r="O383" s="60"/>
      <c r="P383" s="60"/>
    </row>
    <row r="384" spans="2:16" ht="13" hidden="1" outlineLevel="1" x14ac:dyDescent="0.25">
      <c r="B384" s="95" t="s">
        <v>23</v>
      </c>
      <c r="C384" s="96"/>
      <c r="D384" s="151">
        <f>SUM(C348:C349)</f>
        <v>0</v>
      </c>
      <c r="E384" s="98"/>
      <c r="F384" s="82"/>
      <c r="G384" s="82"/>
      <c r="H384" s="82"/>
      <c r="N384" s="60"/>
      <c r="O384" s="60"/>
      <c r="P384" s="60"/>
    </row>
    <row r="385" spans="2:16" ht="13" hidden="1" outlineLevel="1" x14ac:dyDescent="0.25">
      <c r="B385" s="99" t="s">
        <v>24</v>
      </c>
      <c r="C385" s="100"/>
      <c r="D385" s="152">
        <f>SUM(C351:C361)</f>
        <v>0</v>
      </c>
      <c r="E385" s="98"/>
      <c r="F385" s="82"/>
      <c r="G385" s="82"/>
      <c r="H385" s="82"/>
      <c r="N385" s="60"/>
      <c r="O385" s="60"/>
      <c r="P385" s="60"/>
    </row>
    <row r="386" spans="2:16" ht="13" hidden="1" outlineLevel="1" x14ac:dyDescent="0.25">
      <c r="B386" s="99" t="s">
        <v>25</v>
      </c>
      <c r="C386" s="100"/>
      <c r="D386" s="152">
        <f>SUM(C364:C372)</f>
        <v>0</v>
      </c>
      <c r="E386" s="98"/>
      <c r="F386" s="82"/>
      <c r="G386" s="82"/>
      <c r="H386" s="82"/>
      <c r="N386" s="60"/>
      <c r="O386" s="60"/>
      <c r="P386" s="60"/>
    </row>
    <row r="387" spans="2:16" ht="13" hidden="1" outlineLevel="1" x14ac:dyDescent="0.25">
      <c r="B387" s="102" t="s">
        <v>26</v>
      </c>
      <c r="C387" s="103"/>
      <c r="D387" s="153">
        <f>SUM(C373:C380)</f>
        <v>0</v>
      </c>
      <c r="E387" s="98"/>
      <c r="F387" s="82"/>
      <c r="G387" s="82"/>
      <c r="H387" s="82"/>
      <c r="N387" s="60"/>
      <c r="O387" s="60"/>
      <c r="P387" s="60"/>
    </row>
    <row r="388" spans="2:16" ht="18.5" hidden="1" outlineLevel="1" thickTop="1" x14ac:dyDescent="0.25">
      <c r="B388" s="105" t="s">
        <v>11</v>
      </c>
      <c r="C388" s="106"/>
      <c r="D388" s="107" t="e">
        <f>C362/C344</f>
        <v>#DIV/0!</v>
      </c>
      <c r="E388" s="77"/>
      <c r="F388" s="110" t="s">
        <v>86</v>
      </c>
      <c r="G388" s="109" t="s">
        <v>85</v>
      </c>
      <c r="H388" s="110"/>
      <c r="N388" s="60"/>
      <c r="O388" s="60"/>
      <c r="P388" s="60"/>
    </row>
    <row r="389" spans="2:16" ht="18.5" hidden="1" outlineLevel="1" thickBot="1" x14ac:dyDescent="0.3">
      <c r="B389" s="111" t="s">
        <v>12</v>
      </c>
      <c r="C389" s="112"/>
      <c r="D389" s="113" t="e">
        <f>(D384+D385+D386)/C344</f>
        <v>#DIV/0!</v>
      </c>
      <c r="E389" s="77"/>
      <c r="F389" s="154"/>
      <c r="G389" s="413"/>
      <c r="H389" s="414"/>
      <c r="N389" s="60"/>
      <c r="O389" s="60"/>
      <c r="P389" s="60"/>
    </row>
    <row r="390" spans="2:16" ht="18" hidden="1" outlineLevel="1" x14ac:dyDescent="0.25">
      <c r="B390" s="111" t="s">
        <v>13</v>
      </c>
      <c r="C390" s="112"/>
      <c r="D390" s="113" t="e">
        <f>D386/C344</f>
        <v>#DIV/0!</v>
      </c>
      <c r="E390" s="90"/>
      <c r="F390" s="64" t="s">
        <v>45</v>
      </c>
      <c r="G390" s="64" t="s">
        <v>45</v>
      </c>
      <c r="H390" s="155"/>
      <c r="N390" s="60"/>
      <c r="O390" s="60"/>
      <c r="P390" s="60"/>
    </row>
    <row r="391" spans="2:16" ht="18" hidden="1" outlineLevel="1" x14ac:dyDescent="0.25">
      <c r="B391" s="114" t="s">
        <v>14</v>
      </c>
      <c r="C391" s="115"/>
      <c r="D391" s="116" t="e">
        <f>D387/C344</f>
        <v>#DIV/0!</v>
      </c>
      <c r="E391" s="90"/>
      <c r="F391" s="110"/>
      <c r="G391" s="117" t="s">
        <v>46</v>
      </c>
      <c r="H391" s="110"/>
      <c r="N391" s="60"/>
      <c r="O391" s="60"/>
      <c r="P391" s="60"/>
    </row>
    <row r="392" spans="2:16" ht="18.5" hidden="1" outlineLevel="1" thickBot="1" x14ac:dyDescent="0.3">
      <c r="B392" s="114" t="s">
        <v>15</v>
      </c>
      <c r="C392" s="119"/>
      <c r="D392" s="116" t="e">
        <f>SUM(D384:D387)/C344</f>
        <v>#DIV/0!</v>
      </c>
      <c r="E392" s="90"/>
      <c r="F392" s="429"/>
      <c r="G392" s="430"/>
      <c r="H392" s="431"/>
      <c r="N392" s="60"/>
      <c r="O392" s="60"/>
      <c r="P392" s="60"/>
    </row>
    <row r="393" spans="2:16" ht="18.5" hidden="1" outlineLevel="1" thickTop="1" x14ac:dyDescent="0.25">
      <c r="B393" s="120" t="s">
        <v>16</v>
      </c>
      <c r="C393" s="121"/>
      <c r="D393" s="122" t="e">
        <f>((C348*D326)+D385+C349*MAX(1,F349))/C344</f>
        <v>#DIV/0!</v>
      </c>
      <c r="E393" s="77"/>
      <c r="F393" s="64" t="s">
        <v>45</v>
      </c>
      <c r="G393" s="64"/>
      <c r="H393" s="82"/>
      <c r="N393" s="60"/>
      <c r="O393" s="60"/>
      <c r="P393" s="60"/>
    </row>
    <row r="394" spans="2:16" ht="18" hidden="1" outlineLevel="1" x14ac:dyDescent="0.25">
      <c r="B394" s="123" t="s">
        <v>17</v>
      </c>
      <c r="C394" s="124"/>
      <c r="D394" s="125" t="e">
        <f>(C348*D327+D385+D386+C349*(MAX(1,F349)+G349))/C344</f>
        <v>#DIV/0!</v>
      </c>
      <c r="E394" s="77"/>
      <c r="F394" s="82"/>
      <c r="G394" s="82"/>
      <c r="H394" s="82"/>
      <c r="N394" s="60"/>
      <c r="O394" s="60"/>
      <c r="P394" s="60"/>
    </row>
    <row r="395" spans="2:16" ht="18" hidden="1" customHeight="1" outlineLevel="1" x14ac:dyDescent="0.25">
      <c r="B395" s="123" t="s">
        <v>18</v>
      </c>
      <c r="C395" s="124"/>
      <c r="D395" s="125" t="e">
        <f>((C348*D328)+D386+C349*G349)/C344</f>
        <v>#DIV/0!</v>
      </c>
      <c r="E395" s="77"/>
      <c r="F395" s="415" t="s">
        <v>61</v>
      </c>
      <c r="G395" s="416"/>
      <c r="H395" s="416"/>
      <c r="N395" s="60"/>
      <c r="O395" s="60"/>
      <c r="P395" s="60"/>
    </row>
    <row r="396" spans="2:16" ht="18" hidden="1" outlineLevel="1" x14ac:dyDescent="0.25">
      <c r="B396" s="126" t="s">
        <v>19</v>
      </c>
      <c r="C396" s="127"/>
      <c r="D396" s="128" t="e">
        <f>(C348*D329+D387+C349*H349)/C344</f>
        <v>#DIV/0!</v>
      </c>
      <c r="E396" s="77"/>
      <c r="F396" s="416"/>
      <c r="G396" s="416"/>
      <c r="H396" s="416"/>
      <c r="N396" s="60"/>
      <c r="O396" s="60"/>
      <c r="P396" s="60"/>
    </row>
    <row r="397" spans="2:16" ht="18.5" hidden="1" outlineLevel="1" thickBot="1" x14ac:dyDescent="0.3">
      <c r="B397" s="129" t="s">
        <v>20</v>
      </c>
      <c r="C397" s="130"/>
      <c r="D397" s="131" t="e">
        <f>((C348*D330)+SUM(D385:D387)+C349*(MAX(1,F349)+G349+H349))/C344</f>
        <v>#DIV/0!</v>
      </c>
      <c r="E397" s="77"/>
      <c r="F397" s="416"/>
      <c r="G397" s="416"/>
      <c r="H397" s="416"/>
      <c r="N397" s="60"/>
      <c r="O397" s="60"/>
      <c r="P397" s="60"/>
    </row>
    <row r="398" spans="2:16" ht="13" hidden="1" outlineLevel="1" thickTop="1" x14ac:dyDescent="0.25">
      <c r="B398" s="156" t="s">
        <v>76</v>
      </c>
      <c r="C398" s="424"/>
      <c r="D398" s="425"/>
      <c r="E398" s="46"/>
      <c r="F398" s="416"/>
      <c r="G398" s="416"/>
      <c r="H398" s="416"/>
      <c r="N398" s="60"/>
      <c r="O398" s="60"/>
      <c r="P398" s="60"/>
    </row>
    <row r="399" spans="2:16" hidden="1" outlineLevel="1" x14ac:dyDescent="0.25">
      <c r="B399" s="157" t="s">
        <v>58</v>
      </c>
      <c r="C399" s="422"/>
      <c r="D399" s="423"/>
      <c r="E399" s="46"/>
      <c r="F399" s="416"/>
      <c r="G399" s="416"/>
      <c r="H399" s="416"/>
      <c r="N399" s="60"/>
      <c r="O399" s="60"/>
      <c r="P399" s="60"/>
    </row>
    <row r="400" spans="2:16" ht="13" hidden="1" outlineLevel="1" thickBot="1" x14ac:dyDescent="0.3">
      <c r="B400" s="158" t="s">
        <v>59</v>
      </c>
      <c r="C400" s="420"/>
      <c r="D400" s="421"/>
      <c r="E400" s="46"/>
      <c r="F400" s="416"/>
      <c r="G400" s="416"/>
      <c r="H400" s="416"/>
      <c r="N400" s="60"/>
      <c r="O400" s="60"/>
      <c r="P400" s="60"/>
    </row>
    <row r="401" spans="2:16" ht="13" hidden="1" outlineLevel="1" x14ac:dyDescent="0.25">
      <c r="E401" s="46"/>
      <c r="F401" s="34"/>
      <c r="G401" s="34"/>
      <c r="H401" s="34"/>
      <c r="N401" s="60"/>
      <c r="O401" s="60"/>
      <c r="P401" s="60"/>
    </row>
    <row r="402" spans="2:16" ht="13" hidden="1" outlineLevel="1" x14ac:dyDescent="0.25">
      <c r="C402" s="25" t="s">
        <v>44</v>
      </c>
      <c r="D402" s="25" t="s">
        <v>42</v>
      </c>
      <c r="E402" s="46"/>
      <c r="F402" s="34"/>
      <c r="G402" s="34"/>
      <c r="H402" s="34"/>
      <c r="N402" s="60"/>
      <c r="O402" s="60"/>
      <c r="P402" s="60"/>
    </row>
    <row r="403" spans="2:16" ht="21" hidden="1" outlineLevel="1" thickTop="1" thickBot="1" x14ac:dyDescent="0.3">
      <c r="B403" s="140" t="s">
        <v>73</v>
      </c>
      <c r="C403" s="29"/>
      <c r="D403" s="141"/>
      <c r="E403" s="31"/>
      <c r="F403" s="32" t="s">
        <v>27</v>
      </c>
      <c r="G403" s="33"/>
      <c r="H403" s="33"/>
      <c r="I403" s="34"/>
    </row>
    <row r="404" spans="2:16" ht="14.9" hidden="1" customHeight="1" outlineLevel="1" thickBot="1" x14ac:dyDescent="0.3">
      <c r="B404" s="37"/>
      <c r="C404" s="38" t="s">
        <v>0</v>
      </c>
      <c r="D404" s="39" t="s">
        <v>1</v>
      </c>
      <c r="E404" s="40"/>
      <c r="F404" s="41" t="s">
        <v>28</v>
      </c>
      <c r="G404" s="41" t="s">
        <v>21</v>
      </c>
      <c r="H404" s="41" t="s">
        <v>8</v>
      </c>
    </row>
    <row r="405" spans="2:16" ht="13" hidden="1" outlineLevel="1" x14ac:dyDescent="0.25">
      <c r="B405" s="43" t="s">
        <v>65</v>
      </c>
      <c r="C405" s="142"/>
      <c r="D405" s="45" t="s">
        <v>2</v>
      </c>
      <c r="E405" s="46"/>
      <c r="F405" s="47"/>
      <c r="G405" s="47"/>
      <c r="H405" s="47"/>
      <c r="N405" s="60"/>
      <c r="O405" s="60"/>
      <c r="P405" s="60"/>
    </row>
    <row r="406" spans="2:16" ht="13" hidden="1" outlineLevel="1" x14ac:dyDescent="0.25">
      <c r="B406" s="43" t="s">
        <v>64</v>
      </c>
      <c r="C406" s="143"/>
      <c r="D406" s="45" t="s">
        <v>3</v>
      </c>
      <c r="E406" s="46"/>
      <c r="F406" s="47"/>
      <c r="G406" s="47"/>
      <c r="H406" s="47"/>
      <c r="N406" s="60"/>
      <c r="O406" s="60"/>
      <c r="P406" s="60"/>
    </row>
    <row r="407" spans="2:16" ht="13" hidden="1" outlineLevel="1" x14ac:dyDescent="0.25">
      <c r="B407" s="51" t="s">
        <v>63</v>
      </c>
      <c r="C407" s="144">
        <f>C405*C406</f>
        <v>0</v>
      </c>
      <c r="D407" s="45" t="str">
        <f>D405</f>
        <v>kg</v>
      </c>
      <c r="E407" s="46"/>
      <c r="F407" s="47"/>
      <c r="G407" s="47"/>
      <c r="H407" s="47"/>
      <c r="N407" s="60"/>
      <c r="O407" s="60"/>
      <c r="P407" s="60"/>
    </row>
    <row r="408" spans="2:16" ht="14" hidden="1" outlineLevel="1" x14ac:dyDescent="0.25">
      <c r="B408" s="54" t="s">
        <v>37</v>
      </c>
      <c r="C408" s="145">
        <v>1</v>
      </c>
      <c r="D408" s="56"/>
      <c r="E408" s="57"/>
      <c r="F408" s="58"/>
      <c r="G408" s="58"/>
      <c r="H408" s="58"/>
      <c r="N408" s="60"/>
      <c r="O408" s="60"/>
      <c r="P408" s="60"/>
    </row>
    <row r="409" spans="2:16" ht="13" hidden="1" outlineLevel="1" x14ac:dyDescent="0.25">
      <c r="B409" s="43" t="s">
        <v>66</v>
      </c>
      <c r="C409" s="142"/>
      <c r="D409" s="45" t="str">
        <f>D405</f>
        <v>kg</v>
      </c>
      <c r="E409" s="46"/>
      <c r="F409" s="47"/>
      <c r="G409" s="47"/>
      <c r="H409" s="47"/>
      <c r="N409" s="60"/>
      <c r="O409" s="60"/>
      <c r="P409" s="60"/>
    </row>
    <row r="410" spans="2:16" ht="13" hidden="1" outlineLevel="1" x14ac:dyDescent="0.25">
      <c r="B410" s="43" t="s">
        <v>67</v>
      </c>
      <c r="C410" s="143"/>
      <c r="D410" s="45" t="s">
        <v>3</v>
      </c>
      <c r="E410" s="59"/>
      <c r="F410" s="47"/>
      <c r="G410" s="47"/>
      <c r="H410" s="47"/>
      <c r="N410" s="60"/>
      <c r="O410" s="60"/>
      <c r="P410" s="60"/>
    </row>
    <row r="411" spans="2:16" ht="13" hidden="1" outlineLevel="1" x14ac:dyDescent="0.25">
      <c r="B411" s="51" t="s">
        <v>68</v>
      </c>
      <c r="C411" s="144">
        <f>C409*C410</f>
        <v>0</v>
      </c>
      <c r="D411" s="45" t="str">
        <f>D405</f>
        <v>kg</v>
      </c>
      <c r="E411" s="46"/>
      <c r="F411" s="47"/>
      <c r="G411" s="47"/>
      <c r="H411" s="47"/>
      <c r="N411" s="60"/>
      <c r="O411" s="60"/>
      <c r="P411" s="60"/>
    </row>
    <row r="412" spans="2:16" ht="13.5" hidden="1" outlineLevel="1" thickBot="1" x14ac:dyDescent="0.3">
      <c r="B412" s="61"/>
      <c r="C412" s="62"/>
      <c r="D412" s="63"/>
      <c r="F412" s="64"/>
      <c r="G412" s="64"/>
      <c r="H412" s="64"/>
      <c r="N412" s="60"/>
      <c r="O412" s="60"/>
      <c r="P412" s="60"/>
    </row>
    <row r="413" spans="2:16" ht="14.5" hidden="1" outlineLevel="1" thickBot="1" x14ac:dyDescent="0.3">
      <c r="B413" s="65" t="s">
        <v>5</v>
      </c>
      <c r="C413" s="66" t="s">
        <v>6</v>
      </c>
      <c r="D413" s="67" t="s">
        <v>1</v>
      </c>
      <c r="E413" s="68"/>
      <c r="F413" s="69"/>
      <c r="G413" s="69"/>
      <c r="H413" s="69"/>
      <c r="N413" s="60"/>
      <c r="O413" s="60"/>
      <c r="P413" s="60"/>
    </row>
    <row r="414" spans="2:16" ht="13" hidden="1" outlineLevel="1" x14ac:dyDescent="0.25">
      <c r="B414" s="70" t="s">
        <v>43</v>
      </c>
      <c r="C414" s="71"/>
      <c r="D414" s="72"/>
      <c r="E414" s="73"/>
      <c r="F414" s="69"/>
      <c r="G414" s="69"/>
      <c r="H414" s="69"/>
      <c r="N414" s="60"/>
      <c r="O414" s="60"/>
      <c r="P414" s="60"/>
    </row>
    <row r="415" spans="2:16" ht="13" hidden="1" outlineLevel="1" x14ac:dyDescent="0.25">
      <c r="B415" s="74"/>
      <c r="C415" s="146">
        <f>C407</f>
        <v>0</v>
      </c>
      <c r="D415" s="76" t="str">
        <f>D405</f>
        <v>kg</v>
      </c>
      <c r="E415" s="98"/>
      <c r="F415" s="69"/>
      <c r="G415" s="69"/>
      <c r="H415" s="69"/>
      <c r="N415" s="60"/>
      <c r="O415" s="60"/>
      <c r="P415" s="60"/>
    </row>
    <row r="416" spans="2:16" ht="13.5" hidden="1" outlineLevel="1" thickBot="1" x14ac:dyDescent="0.3">
      <c r="B416" s="74"/>
      <c r="C416" s="146"/>
      <c r="D416" s="76" t="str">
        <f>D405</f>
        <v>kg</v>
      </c>
      <c r="E416" s="77"/>
      <c r="F416" s="78"/>
      <c r="G416" s="78"/>
      <c r="H416" s="78"/>
      <c r="N416" s="60"/>
      <c r="O416" s="60"/>
      <c r="P416" s="60"/>
    </row>
    <row r="417" spans="2:16" ht="13" hidden="1" outlineLevel="1" x14ac:dyDescent="0.25">
      <c r="B417" s="79" t="s">
        <v>69</v>
      </c>
      <c r="C417" s="147"/>
      <c r="D417" s="81"/>
      <c r="E417" s="77"/>
      <c r="F417" s="82"/>
      <c r="G417" s="82"/>
      <c r="H417" s="82"/>
      <c r="N417" s="60"/>
      <c r="O417" s="60"/>
      <c r="P417" s="60"/>
    </row>
    <row r="418" spans="2:16" ht="13" hidden="1" outlineLevel="1" x14ac:dyDescent="0.25">
      <c r="B418" s="74"/>
      <c r="C418" s="148"/>
      <c r="D418" s="76" t="str">
        <f>D405</f>
        <v>kg</v>
      </c>
      <c r="E418" s="77"/>
      <c r="F418" s="82"/>
      <c r="G418" s="82"/>
      <c r="H418" s="82"/>
      <c r="N418" s="60"/>
      <c r="O418" s="60"/>
      <c r="P418" s="60"/>
    </row>
    <row r="419" spans="2:16" ht="13" hidden="1" outlineLevel="1" x14ac:dyDescent="0.25">
      <c r="B419" s="74"/>
      <c r="C419" s="148"/>
      <c r="D419" s="76" t="str">
        <f>D405</f>
        <v>kg</v>
      </c>
      <c r="E419" s="77"/>
      <c r="F419" s="82"/>
      <c r="G419" s="82"/>
      <c r="H419" s="82"/>
      <c r="N419" s="60"/>
      <c r="O419" s="60"/>
      <c r="P419" s="60"/>
    </row>
    <row r="420" spans="2:16" ht="13" hidden="1" outlineLevel="1" x14ac:dyDescent="0.25">
      <c r="B420" s="74"/>
      <c r="C420" s="148"/>
      <c r="D420" s="76" t="str">
        <f>D405</f>
        <v>kg</v>
      </c>
      <c r="E420" s="77"/>
      <c r="F420" s="82"/>
      <c r="G420" s="82"/>
      <c r="H420" s="82"/>
      <c r="N420" s="60"/>
      <c r="O420" s="60"/>
      <c r="P420" s="60"/>
    </row>
    <row r="421" spans="2:16" ht="13" hidden="1" outlineLevel="1" x14ac:dyDescent="0.25">
      <c r="B421" s="74"/>
      <c r="C421" s="148"/>
      <c r="D421" s="76" t="str">
        <f>D405</f>
        <v>kg</v>
      </c>
      <c r="E421" s="77"/>
      <c r="F421" s="82"/>
      <c r="G421" s="82"/>
      <c r="H421" s="82"/>
      <c r="N421" s="60"/>
      <c r="O421" s="60"/>
      <c r="P421" s="60"/>
    </row>
    <row r="422" spans="2:16" ht="13" hidden="1" outlineLevel="1" x14ac:dyDescent="0.25">
      <c r="B422" s="74"/>
      <c r="C422" s="148"/>
      <c r="D422" s="76" t="str">
        <f>D405</f>
        <v>kg</v>
      </c>
      <c r="E422" s="77"/>
      <c r="F422" s="82"/>
      <c r="G422" s="82"/>
      <c r="H422" s="82"/>
      <c r="N422" s="60"/>
      <c r="O422" s="60"/>
      <c r="P422" s="60"/>
    </row>
    <row r="423" spans="2:16" ht="13" hidden="1" outlineLevel="1" x14ac:dyDescent="0.25">
      <c r="B423" s="74"/>
      <c r="C423" s="148"/>
      <c r="D423" s="76" t="str">
        <f>D405</f>
        <v>kg</v>
      </c>
      <c r="E423" s="77"/>
      <c r="F423" s="82"/>
      <c r="G423" s="82"/>
      <c r="H423" s="82"/>
      <c r="N423" s="60"/>
      <c r="O423" s="60"/>
      <c r="P423" s="60"/>
    </row>
    <row r="424" spans="2:16" ht="13" hidden="1" outlineLevel="1" x14ac:dyDescent="0.25">
      <c r="B424" s="74"/>
      <c r="C424" s="148"/>
      <c r="D424" s="76" t="str">
        <f>D405</f>
        <v>kg</v>
      </c>
      <c r="E424" s="77"/>
      <c r="F424" s="82"/>
      <c r="G424" s="82"/>
      <c r="H424" s="82"/>
      <c r="N424" s="60"/>
      <c r="O424" s="60"/>
      <c r="P424" s="60"/>
    </row>
    <row r="425" spans="2:16" ht="13" hidden="1" outlineLevel="1" x14ac:dyDescent="0.25">
      <c r="B425" s="74"/>
      <c r="C425" s="148"/>
      <c r="D425" s="76" t="str">
        <f>D405</f>
        <v>kg</v>
      </c>
      <c r="E425" s="77"/>
      <c r="F425" s="82"/>
      <c r="G425" s="82"/>
      <c r="H425" s="82"/>
      <c r="N425" s="60"/>
      <c r="O425" s="60"/>
      <c r="P425" s="60"/>
    </row>
    <row r="426" spans="2:16" ht="13" hidden="1" outlineLevel="1" x14ac:dyDescent="0.25">
      <c r="B426" s="74"/>
      <c r="C426" s="148"/>
      <c r="D426" s="76" t="str">
        <f>D405</f>
        <v>kg</v>
      </c>
      <c r="E426" s="77"/>
      <c r="F426" s="82"/>
      <c r="G426" s="82"/>
      <c r="H426" s="82"/>
      <c r="N426" s="60"/>
      <c r="O426" s="60"/>
      <c r="P426" s="60"/>
    </row>
    <row r="427" spans="2:16" ht="13" hidden="1" outlineLevel="1" x14ac:dyDescent="0.25">
      <c r="B427" s="74"/>
      <c r="C427" s="148"/>
      <c r="D427" s="76" t="str">
        <f>D405</f>
        <v>kg</v>
      </c>
      <c r="E427" s="77"/>
      <c r="F427" s="82"/>
      <c r="G427" s="82"/>
      <c r="H427" s="82"/>
      <c r="N427" s="60"/>
      <c r="O427" s="60"/>
      <c r="P427" s="60"/>
    </row>
    <row r="428" spans="2:16" ht="13.4" hidden="1" customHeight="1" outlineLevel="1" x14ac:dyDescent="0.25">
      <c r="B428" s="79"/>
      <c r="C428" s="147"/>
      <c r="D428" s="81"/>
      <c r="E428" s="77"/>
      <c r="F428" s="82"/>
      <c r="G428" s="82"/>
      <c r="H428" s="82"/>
      <c r="K428" s="34"/>
      <c r="N428" s="60"/>
      <c r="O428" s="60"/>
      <c r="P428" s="60"/>
    </row>
    <row r="429" spans="2:16" ht="13" hidden="1" outlineLevel="1" x14ac:dyDescent="0.25">
      <c r="B429" s="86" t="s">
        <v>7</v>
      </c>
      <c r="C429" s="149">
        <f>SUM(C414:C427)</f>
        <v>0</v>
      </c>
      <c r="D429" s="88" t="str">
        <f>D405</f>
        <v>kg</v>
      </c>
      <c r="E429" s="77"/>
      <c r="F429" s="82"/>
      <c r="G429" s="82"/>
      <c r="H429" s="82"/>
      <c r="N429" s="60"/>
      <c r="O429" s="60"/>
      <c r="P429" s="60"/>
    </row>
    <row r="430" spans="2:16" ht="13" hidden="1" outlineLevel="1" x14ac:dyDescent="0.25">
      <c r="B430" s="79" t="s">
        <v>71</v>
      </c>
      <c r="C430" s="150"/>
      <c r="D430" s="81"/>
      <c r="E430" s="77"/>
      <c r="F430" s="82"/>
      <c r="G430" s="82"/>
      <c r="H430" s="82"/>
      <c r="N430" s="60"/>
      <c r="O430" s="60"/>
      <c r="P430" s="60"/>
    </row>
    <row r="431" spans="2:16" ht="13" hidden="1" outlineLevel="1" x14ac:dyDescent="0.25">
      <c r="B431" s="74"/>
      <c r="C431" s="148"/>
      <c r="D431" s="76" t="str">
        <f>D405</f>
        <v>kg</v>
      </c>
      <c r="E431" s="77"/>
      <c r="F431" s="82"/>
      <c r="G431" s="82"/>
      <c r="H431" s="82"/>
      <c r="N431" s="60"/>
      <c r="O431" s="60"/>
      <c r="P431" s="60"/>
    </row>
    <row r="432" spans="2:16" ht="13" hidden="1" outlineLevel="1" x14ac:dyDescent="0.25">
      <c r="B432" s="74"/>
      <c r="C432" s="148"/>
      <c r="D432" s="76" t="str">
        <f>D405</f>
        <v>kg</v>
      </c>
      <c r="E432" s="77"/>
      <c r="F432" s="82"/>
      <c r="G432" s="82"/>
      <c r="H432" s="82"/>
      <c r="N432" s="60"/>
      <c r="O432" s="60"/>
      <c r="P432" s="60"/>
    </row>
    <row r="433" spans="2:16" ht="13" hidden="1" outlineLevel="1" x14ac:dyDescent="0.25">
      <c r="B433" s="74"/>
      <c r="C433" s="148"/>
      <c r="D433" s="76" t="str">
        <f>D405</f>
        <v>kg</v>
      </c>
      <c r="E433" s="77"/>
      <c r="F433" s="82"/>
      <c r="G433" s="82"/>
      <c r="H433" s="82"/>
      <c r="N433" s="60"/>
      <c r="O433" s="60"/>
      <c r="P433" s="60"/>
    </row>
    <row r="434" spans="2:16" ht="13" hidden="1" outlineLevel="1" x14ac:dyDescent="0.25">
      <c r="B434" s="74"/>
      <c r="C434" s="148"/>
      <c r="D434" s="76" t="str">
        <f>D405</f>
        <v>kg</v>
      </c>
      <c r="E434" s="77"/>
      <c r="F434" s="82"/>
      <c r="G434" s="82"/>
      <c r="H434" s="82"/>
      <c r="N434" s="60"/>
      <c r="O434" s="60"/>
      <c r="P434" s="60"/>
    </row>
    <row r="435" spans="2:16" ht="13" hidden="1" outlineLevel="1" x14ac:dyDescent="0.25">
      <c r="B435" s="74"/>
      <c r="C435" s="148"/>
      <c r="D435" s="76" t="str">
        <f>D405</f>
        <v>kg</v>
      </c>
      <c r="E435" s="77"/>
      <c r="F435" s="82"/>
      <c r="G435" s="82"/>
      <c r="H435" s="82"/>
      <c r="N435" s="60"/>
      <c r="O435" s="60"/>
      <c r="P435" s="60"/>
    </row>
    <row r="436" spans="2:16" ht="13" hidden="1" outlineLevel="1" x14ac:dyDescent="0.25">
      <c r="B436" s="74"/>
      <c r="C436" s="148"/>
      <c r="D436" s="76" t="str">
        <f>D405</f>
        <v>kg</v>
      </c>
      <c r="E436" s="77"/>
      <c r="F436" s="82"/>
      <c r="G436" s="82"/>
      <c r="H436" s="82"/>
      <c r="N436" s="60"/>
      <c r="O436" s="60"/>
      <c r="P436" s="60"/>
    </row>
    <row r="437" spans="2:16" ht="13" hidden="1" outlineLevel="1" x14ac:dyDescent="0.25">
      <c r="B437" s="74"/>
      <c r="C437" s="148"/>
      <c r="D437" s="76" t="str">
        <f>D405</f>
        <v>kg</v>
      </c>
      <c r="E437" s="77"/>
      <c r="F437" s="82"/>
      <c r="G437" s="82"/>
      <c r="H437" s="82"/>
      <c r="N437" s="60"/>
      <c r="O437" s="60"/>
      <c r="P437" s="60"/>
    </row>
    <row r="438" spans="2:16" ht="13" hidden="1" outlineLevel="1" x14ac:dyDescent="0.25">
      <c r="B438" s="74"/>
      <c r="C438" s="148"/>
      <c r="D438" s="76" t="str">
        <f>D405</f>
        <v>kg</v>
      </c>
      <c r="E438" s="77"/>
      <c r="F438" s="82"/>
      <c r="G438" s="82"/>
      <c r="H438" s="82"/>
      <c r="N438" s="60"/>
      <c r="O438" s="60"/>
      <c r="P438" s="60"/>
    </row>
    <row r="439" spans="2:16" ht="13" hidden="1" outlineLevel="1" x14ac:dyDescent="0.25">
      <c r="B439" s="79" t="s">
        <v>70</v>
      </c>
      <c r="C439" s="147"/>
      <c r="D439" s="81"/>
      <c r="E439" s="90"/>
      <c r="F439" s="82"/>
      <c r="G439" s="82"/>
      <c r="H439" s="82"/>
      <c r="N439" s="60"/>
      <c r="O439" s="60"/>
      <c r="P439" s="60"/>
    </row>
    <row r="440" spans="2:16" ht="13" hidden="1" outlineLevel="1" x14ac:dyDescent="0.25">
      <c r="B440" s="74"/>
      <c r="C440" s="148"/>
      <c r="D440" s="76" t="str">
        <f>D405</f>
        <v>kg</v>
      </c>
      <c r="E440" s="77"/>
      <c r="F440" s="82"/>
      <c r="G440" s="82"/>
      <c r="H440" s="82"/>
      <c r="N440" s="60"/>
      <c r="O440" s="60"/>
      <c r="P440" s="60"/>
    </row>
    <row r="441" spans="2:16" ht="13" hidden="1" outlineLevel="1" x14ac:dyDescent="0.25">
      <c r="B441" s="74"/>
      <c r="C441" s="148"/>
      <c r="D441" s="76" t="str">
        <f>D405</f>
        <v>kg</v>
      </c>
      <c r="E441" s="77"/>
      <c r="F441" s="82"/>
      <c r="G441" s="82"/>
      <c r="H441" s="82"/>
      <c r="N441" s="60"/>
      <c r="O441" s="60"/>
      <c r="P441" s="60"/>
    </row>
    <row r="442" spans="2:16" ht="13" hidden="1" outlineLevel="1" x14ac:dyDescent="0.25">
      <c r="B442" s="74"/>
      <c r="C442" s="148"/>
      <c r="D442" s="76" t="str">
        <f>D405</f>
        <v>kg</v>
      </c>
      <c r="E442" s="77"/>
      <c r="F442" s="82"/>
      <c r="G442" s="82"/>
      <c r="H442" s="82"/>
      <c r="N442" s="60"/>
      <c r="O442" s="60"/>
      <c r="P442" s="60"/>
    </row>
    <row r="443" spans="2:16" ht="13" hidden="1" outlineLevel="1" x14ac:dyDescent="0.25">
      <c r="B443" s="74"/>
      <c r="C443" s="148"/>
      <c r="D443" s="76" t="str">
        <f>D405</f>
        <v>kg</v>
      </c>
      <c r="E443" s="77"/>
      <c r="F443" s="82"/>
      <c r="G443" s="82"/>
      <c r="H443" s="82"/>
      <c r="N443" s="60"/>
      <c r="O443" s="60"/>
      <c r="P443" s="60"/>
    </row>
    <row r="444" spans="2:16" ht="13" hidden="1" outlineLevel="1" x14ac:dyDescent="0.25">
      <c r="B444" s="74"/>
      <c r="C444" s="148"/>
      <c r="D444" s="76" t="str">
        <f>D405</f>
        <v>kg</v>
      </c>
      <c r="E444" s="77"/>
      <c r="F444" s="82"/>
      <c r="G444" s="82"/>
      <c r="H444" s="82"/>
      <c r="N444" s="60"/>
      <c r="O444" s="60"/>
      <c r="P444" s="60"/>
    </row>
    <row r="445" spans="2:16" ht="14.25" hidden="1" customHeight="1" outlineLevel="1" x14ac:dyDescent="0.25">
      <c r="B445" s="74"/>
      <c r="C445" s="148"/>
      <c r="D445" s="76" t="str">
        <f>D405</f>
        <v>kg</v>
      </c>
      <c r="E445" s="77"/>
      <c r="F445" s="82"/>
      <c r="G445" s="82"/>
      <c r="H445" s="82"/>
      <c r="N445" s="60"/>
      <c r="O445" s="60"/>
      <c r="P445" s="60"/>
    </row>
    <row r="446" spans="2:16" ht="13" hidden="1" outlineLevel="1" x14ac:dyDescent="0.25">
      <c r="B446" s="74"/>
      <c r="C446" s="148"/>
      <c r="D446" s="76" t="str">
        <f>D405</f>
        <v>kg</v>
      </c>
      <c r="E446" s="77"/>
      <c r="F446" s="82"/>
      <c r="G446" s="82"/>
      <c r="H446" s="82"/>
      <c r="N446" s="60"/>
      <c r="O446" s="60"/>
      <c r="P446" s="60"/>
    </row>
    <row r="447" spans="2:16" ht="13.4" hidden="1" customHeight="1" outlineLevel="1" x14ac:dyDescent="0.25">
      <c r="B447" s="79"/>
      <c r="C447" s="147"/>
      <c r="D447" s="81"/>
      <c r="E447" s="77"/>
      <c r="F447" s="82"/>
      <c r="G447" s="82"/>
      <c r="H447" s="82"/>
      <c r="K447" s="34"/>
      <c r="N447" s="60"/>
      <c r="O447" s="60"/>
      <c r="P447" s="60"/>
    </row>
    <row r="448" spans="2:16" ht="13" hidden="1" outlineLevel="1" x14ac:dyDescent="0.25">
      <c r="B448" s="86" t="s">
        <v>9</v>
      </c>
      <c r="C448" s="149">
        <f>SUM(C429:C446)</f>
        <v>0</v>
      </c>
      <c r="D448" s="91" t="str">
        <f>D405</f>
        <v>kg</v>
      </c>
      <c r="E448" s="77"/>
      <c r="F448" s="82"/>
      <c r="G448" s="82"/>
      <c r="H448" s="82"/>
      <c r="N448" s="60"/>
      <c r="O448" s="60"/>
      <c r="P448" s="60"/>
    </row>
    <row r="449" spans="2:16" ht="13" hidden="1" outlineLevel="1" x14ac:dyDescent="0.25">
      <c r="B449" s="92"/>
      <c r="C449" s="93"/>
      <c r="D449" s="94"/>
      <c r="E449" s="77"/>
      <c r="F449" s="82"/>
      <c r="G449" s="82"/>
      <c r="H449" s="82"/>
      <c r="N449" s="60"/>
      <c r="O449" s="60"/>
      <c r="P449" s="60"/>
    </row>
    <row r="450" spans="2:16" ht="20.5" hidden="1" outlineLevel="1" thickBot="1" x14ac:dyDescent="0.3">
      <c r="B450" s="426" t="s">
        <v>10</v>
      </c>
      <c r="C450" s="427"/>
      <c r="D450" s="428"/>
      <c r="E450" s="77"/>
      <c r="F450" s="82"/>
      <c r="G450" s="82"/>
      <c r="H450" s="82"/>
      <c r="N450" s="60"/>
      <c r="O450" s="60"/>
      <c r="P450" s="60"/>
    </row>
    <row r="451" spans="2:16" ht="13" hidden="1" outlineLevel="1" x14ac:dyDescent="0.25">
      <c r="B451" s="95" t="s">
        <v>23</v>
      </c>
      <c r="C451" s="96"/>
      <c r="D451" s="151">
        <f>SUM(C415:C416)</f>
        <v>0</v>
      </c>
      <c r="E451" s="98"/>
      <c r="F451" s="82"/>
      <c r="G451" s="82"/>
      <c r="H451" s="82"/>
      <c r="N451" s="60"/>
      <c r="O451" s="60"/>
      <c r="P451" s="60"/>
    </row>
    <row r="452" spans="2:16" ht="13" hidden="1" outlineLevel="1" x14ac:dyDescent="0.25">
      <c r="B452" s="99" t="s">
        <v>24</v>
      </c>
      <c r="C452" s="100"/>
      <c r="D452" s="152">
        <f>SUM(C418:C428)</f>
        <v>0</v>
      </c>
      <c r="E452" s="98"/>
      <c r="F452" s="82"/>
      <c r="G452" s="82"/>
      <c r="H452" s="82"/>
      <c r="N452" s="60"/>
      <c r="O452" s="60"/>
      <c r="P452" s="60"/>
    </row>
    <row r="453" spans="2:16" ht="13" hidden="1" outlineLevel="1" x14ac:dyDescent="0.25">
      <c r="B453" s="99" t="s">
        <v>25</v>
      </c>
      <c r="C453" s="100"/>
      <c r="D453" s="152">
        <f>SUM(C431:C439)</f>
        <v>0</v>
      </c>
      <c r="E453" s="98"/>
      <c r="F453" s="82"/>
      <c r="G453" s="82"/>
      <c r="H453" s="82"/>
      <c r="N453" s="60"/>
      <c r="O453" s="60"/>
      <c r="P453" s="60"/>
    </row>
    <row r="454" spans="2:16" ht="13" hidden="1" outlineLevel="1" x14ac:dyDescent="0.25">
      <c r="B454" s="102" t="s">
        <v>26</v>
      </c>
      <c r="C454" s="103"/>
      <c r="D454" s="153">
        <f>SUM(C440:C447)</f>
        <v>0</v>
      </c>
      <c r="E454" s="98"/>
      <c r="F454" s="82"/>
      <c r="G454" s="82"/>
      <c r="H454" s="82"/>
      <c r="N454" s="60"/>
      <c r="O454" s="60"/>
      <c r="P454" s="60"/>
    </row>
    <row r="455" spans="2:16" ht="18.5" hidden="1" outlineLevel="1" thickTop="1" x14ac:dyDescent="0.25">
      <c r="B455" s="105" t="s">
        <v>11</v>
      </c>
      <c r="C455" s="106"/>
      <c r="D455" s="107" t="e">
        <f>C429/C411</f>
        <v>#DIV/0!</v>
      </c>
      <c r="E455" s="77"/>
      <c r="F455" s="110" t="s">
        <v>86</v>
      </c>
      <c r="G455" s="109" t="s">
        <v>85</v>
      </c>
      <c r="H455" s="110"/>
      <c r="N455" s="60"/>
      <c r="O455" s="60"/>
      <c r="P455" s="60"/>
    </row>
    <row r="456" spans="2:16" ht="18.5" hidden="1" outlineLevel="1" thickBot="1" x14ac:dyDescent="0.3">
      <c r="B456" s="111" t="s">
        <v>12</v>
      </c>
      <c r="C456" s="112"/>
      <c r="D456" s="113" t="e">
        <f>(D451+D452+D453)/C411</f>
        <v>#DIV/0!</v>
      </c>
      <c r="E456" s="77"/>
      <c r="F456" s="154"/>
      <c r="G456" s="413"/>
      <c r="H456" s="414"/>
      <c r="N456" s="60"/>
      <c r="O456" s="60"/>
      <c r="P456" s="60"/>
    </row>
    <row r="457" spans="2:16" ht="18" hidden="1" outlineLevel="1" x14ac:dyDescent="0.25">
      <c r="B457" s="111" t="s">
        <v>13</v>
      </c>
      <c r="C457" s="112"/>
      <c r="D457" s="113" t="e">
        <f>D453/C411</f>
        <v>#DIV/0!</v>
      </c>
      <c r="E457" s="90"/>
      <c r="F457" s="64" t="s">
        <v>45</v>
      </c>
      <c r="G457" s="64" t="s">
        <v>45</v>
      </c>
      <c r="H457" s="155"/>
      <c r="N457" s="60"/>
      <c r="O457" s="60"/>
      <c r="P457" s="60"/>
    </row>
    <row r="458" spans="2:16" ht="18" hidden="1" outlineLevel="1" x14ac:dyDescent="0.25">
      <c r="B458" s="114" t="s">
        <v>14</v>
      </c>
      <c r="C458" s="115"/>
      <c r="D458" s="116" t="e">
        <f>D454/C411</f>
        <v>#DIV/0!</v>
      </c>
      <c r="E458" s="90"/>
      <c r="F458" s="110"/>
      <c r="G458" s="117" t="s">
        <v>46</v>
      </c>
      <c r="H458" s="110"/>
      <c r="N458" s="60"/>
      <c r="O458" s="60"/>
      <c r="P458" s="60"/>
    </row>
    <row r="459" spans="2:16" ht="18.5" hidden="1" outlineLevel="1" thickBot="1" x14ac:dyDescent="0.3">
      <c r="B459" s="114" t="s">
        <v>15</v>
      </c>
      <c r="C459" s="119"/>
      <c r="D459" s="116" t="e">
        <f>SUM(D451:D454)/C411</f>
        <v>#DIV/0!</v>
      </c>
      <c r="E459" s="90"/>
      <c r="F459" s="429"/>
      <c r="G459" s="430"/>
      <c r="H459" s="431"/>
      <c r="N459" s="60"/>
      <c r="O459" s="60"/>
      <c r="P459" s="60"/>
    </row>
    <row r="460" spans="2:16" ht="18.5" hidden="1" outlineLevel="1" thickTop="1" x14ac:dyDescent="0.25">
      <c r="B460" s="120" t="s">
        <v>16</v>
      </c>
      <c r="C460" s="121"/>
      <c r="D460" s="122" t="e">
        <f>((C415*D393)+D452+C416*MAX(1,F416))/C411</f>
        <v>#DIV/0!</v>
      </c>
      <c r="E460" s="77"/>
      <c r="F460" s="64" t="s">
        <v>45</v>
      </c>
      <c r="G460" s="64"/>
      <c r="H460" s="82"/>
      <c r="N460" s="60"/>
      <c r="O460" s="60"/>
      <c r="P460" s="60"/>
    </row>
    <row r="461" spans="2:16" ht="18" hidden="1" outlineLevel="1" x14ac:dyDescent="0.25">
      <c r="B461" s="123" t="s">
        <v>17</v>
      </c>
      <c r="C461" s="124"/>
      <c r="D461" s="125" t="e">
        <f>(C415*D394+D452+D453+C416*(MAX(1,F416)+G416))/C411</f>
        <v>#DIV/0!</v>
      </c>
      <c r="E461" s="77"/>
      <c r="F461" s="82"/>
      <c r="G461" s="82"/>
      <c r="H461" s="82"/>
      <c r="N461" s="60"/>
      <c r="O461" s="60"/>
      <c r="P461" s="60"/>
    </row>
    <row r="462" spans="2:16" ht="18" hidden="1" customHeight="1" outlineLevel="1" x14ac:dyDescent="0.25">
      <c r="B462" s="123" t="s">
        <v>18</v>
      </c>
      <c r="C462" s="124"/>
      <c r="D462" s="125" t="e">
        <f>((C415*D395)+D453+C416*G416)/C411</f>
        <v>#DIV/0!</v>
      </c>
      <c r="E462" s="77"/>
      <c r="F462" s="415" t="s">
        <v>61</v>
      </c>
      <c r="G462" s="416"/>
      <c r="H462" s="416"/>
      <c r="N462" s="60"/>
      <c r="O462" s="60"/>
      <c r="P462" s="60"/>
    </row>
    <row r="463" spans="2:16" ht="18" hidden="1" outlineLevel="1" x14ac:dyDescent="0.25">
      <c r="B463" s="126" t="s">
        <v>19</v>
      </c>
      <c r="C463" s="127"/>
      <c r="D463" s="128" t="e">
        <f>(C415*D396+D454+C416*H416)/C411</f>
        <v>#DIV/0!</v>
      </c>
      <c r="E463" s="77"/>
      <c r="F463" s="416"/>
      <c r="G463" s="416"/>
      <c r="H463" s="416"/>
      <c r="N463" s="60"/>
      <c r="O463" s="60"/>
      <c r="P463" s="60"/>
    </row>
    <row r="464" spans="2:16" ht="18.5" hidden="1" outlineLevel="1" thickBot="1" x14ac:dyDescent="0.3">
      <c r="B464" s="129" t="s">
        <v>20</v>
      </c>
      <c r="C464" s="130"/>
      <c r="D464" s="131" t="e">
        <f>((C415*D397)+SUM(D452:D454)+C416*(MAX(1,F416)+G416+H416))/C411</f>
        <v>#DIV/0!</v>
      </c>
      <c r="E464" s="77"/>
      <c r="F464" s="416"/>
      <c r="G464" s="416"/>
      <c r="H464" s="416"/>
      <c r="N464" s="60"/>
      <c r="O464" s="60"/>
      <c r="P464" s="60"/>
    </row>
    <row r="465" spans="2:16" ht="13" hidden="1" outlineLevel="1" thickTop="1" x14ac:dyDescent="0.25">
      <c r="B465" s="156" t="s">
        <v>76</v>
      </c>
      <c r="C465" s="424"/>
      <c r="D465" s="425"/>
      <c r="F465" s="416"/>
      <c r="G465" s="416"/>
      <c r="H465" s="416"/>
      <c r="N465" s="60"/>
      <c r="O465" s="60"/>
      <c r="P465" s="60"/>
    </row>
    <row r="466" spans="2:16" hidden="1" outlineLevel="1" x14ac:dyDescent="0.25">
      <c r="B466" s="157" t="s">
        <v>58</v>
      </c>
      <c r="C466" s="422"/>
      <c r="D466" s="423"/>
      <c r="F466" s="416"/>
      <c r="G466" s="416"/>
      <c r="H466" s="416"/>
      <c r="N466" s="60"/>
      <c r="O466" s="60"/>
      <c r="P466" s="60"/>
    </row>
    <row r="467" spans="2:16" ht="13" hidden="1" outlineLevel="1" thickBot="1" x14ac:dyDescent="0.3">
      <c r="B467" s="158" t="s">
        <v>59</v>
      </c>
      <c r="C467" s="420"/>
      <c r="D467" s="421"/>
      <c r="F467" s="416"/>
      <c r="G467" s="416"/>
      <c r="H467" s="416"/>
      <c r="N467" s="60"/>
      <c r="O467" s="60"/>
      <c r="P467" s="60"/>
    </row>
    <row r="468" spans="2:16" ht="13" hidden="1" outlineLevel="1" x14ac:dyDescent="0.25">
      <c r="F468" s="34"/>
      <c r="G468" s="34"/>
      <c r="H468" s="34"/>
      <c r="N468" s="60"/>
      <c r="O468" s="60"/>
      <c r="P468" s="60"/>
    </row>
    <row r="469" spans="2:16" ht="13" hidden="1" outlineLevel="1" x14ac:dyDescent="0.25">
      <c r="C469" s="25" t="s">
        <v>44</v>
      </c>
      <c r="D469" s="25" t="s">
        <v>42</v>
      </c>
      <c r="F469" s="34"/>
      <c r="G469" s="34"/>
      <c r="H469" s="34"/>
      <c r="N469" s="60"/>
      <c r="O469" s="60"/>
      <c r="P469" s="60"/>
    </row>
    <row r="470" spans="2:16" ht="21" hidden="1" outlineLevel="1" thickTop="1" thickBot="1" x14ac:dyDescent="0.3">
      <c r="B470" s="140" t="s">
        <v>73</v>
      </c>
      <c r="C470" s="29"/>
      <c r="D470" s="141"/>
      <c r="E470" s="31"/>
      <c r="F470" s="32" t="s">
        <v>27</v>
      </c>
      <c r="G470" s="33"/>
      <c r="H470" s="33"/>
    </row>
    <row r="471" spans="2:16" ht="14.5" hidden="1" outlineLevel="1" thickBot="1" x14ac:dyDescent="0.3">
      <c r="B471" s="37"/>
      <c r="C471" s="38" t="s">
        <v>0</v>
      </c>
      <c r="D471" s="39" t="s">
        <v>1</v>
      </c>
      <c r="E471" s="40"/>
      <c r="F471" s="41" t="s">
        <v>28</v>
      </c>
      <c r="G471" s="41" t="s">
        <v>21</v>
      </c>
      <c r="H471" s="41" t="s">
        <v>8</v>
      </c>
    </row>
    <row r="472" spans="2:16" ht="13" hidden="1" outlineLevel="1" x14ac:dyDescent="0.25">
      <c r="B472" s="43" t="s">
        <v>65</v>
      </c>
      <c r="C472" s="142"/>
      <c r="D472" s="45" t="s">
        <v>2</v>
      </c>
      <c r="E472" s="46"/>
      <c r="F472" s="47"/>
      <c r="G472" s="47"/>
      <c r="H472" s="47"/>
      <c r="N472" s="60"/>
      <c r="O472" s="60"/>
      <c r="P472" s="60"/>
    </row>
    <row r="473" spans="2:16" ht="13" hidden="1" outlineLevel="1" x14ac:dyDescent="0.25">
      <c r="B473" s="43" t="s">
        <v>64</v>
      </c>
      <c r="C473" s="143"/>
      <c r="D473" s="45" t="s">
        <v>3</v>
      </c>
      <c r="E473" s="46"/>
      <c r="F473" s="47"/>
      <c r="G473" s="47"/>
      <c r="H473" s="47"/>
      <c r="N473" s="60"/>
      <c r="O473" s="60"/>
      <c r="P473" s="60"/>
    </row>
    <row r="474" spans="2:16" ht="13" hidden="1" outlineLevel="1" x14ac:dyDescent="0.25">
      <c r="B474" s="51" t="s">
        <v>63</v>
      </c>
      <c r="C474" s="144">
        <f>C472*C473</f>
        <v>0</v>
      </c>
      <c r="D474" s="45" t="str">
        <f>D472</f>
        <v>kg</v>
      </c>
      <c r="E474" s="46"/>
      <c r="F474" s="47"/>
      <c r="G474" s="47"/>
      <c r="H474" s="47"/>
      <c r="N474" s="60"/>
      <c r="O474" s="60"/>
      <c r="P474" s="60"/>
    </row>
    <row r="475" spans="2:16" ht="14" hidden="1" outlineLevel="1" x14ac:dyDescent="0.25">
      <c r="B475" s="54" t="s">
        <v>37</v>
      </c>
      <c r="C475" s="145">
        <v>1</v>
      </c>
      <c r="D475" s="56"/>
      <c r="E475" s="57"/>
      <c r="F475" s="58"/>
      <c r="G475" s="58"/>
      <c r="H475" s="58"/>
      <c r="N475" s="60"/>
      <c r="O475" s="60"/>
      <c r="P475" s="60"/>
    </row>
    <row r="476" spans="2:16" ht="13" hidden="1" outlineLevel="1" x14ac:dyDescent="0.25">
      <c r="B476" s="43" t="s">
        <v>66</v>
      </c>
      <c r="C476" s="142"/>
      <c r="D476" s="45" t="str">
        <f>D472</f>
        <v>kg</v>
      </c>
      <c r="E476" s="46"/>
      <c r="F476" s="47"/>
      <c r="G476" s="47"/>
      <c r="H476" s="47"/>
      <c r="N476" s="60"/>
      <c r="O476" s="60"/>
      <c r="P476" s="60"/>
    </row>
    <row r="477" spans="2:16" ht="13" hidden="1" outlineLevel="1" x14ac:dyDescent="0.25">
      <c r="B477" s="43" t="s">
        <v>67</v>
      </c>
      <c r="C477" s="143"/>
      <c r="D477" s="45" t="s">
        <v>3</v>
      </c>
      <c r="E477" s="59"/>
      <c r="F477" s="47"/>
      <c r="G477" s="47"/>
      <c r="H477" s="47"/>
      <c r="N477" s="60"/>
      <c r="O477" s="60"/>
      <c r="P477" s="60"/>
    </row>
    <row r="478" spans="2:16" ht="13" hidden="1" outlineLevel="1" x14ac:dyDescent="0.25">
      <c r="B478" s="51" t="s">
        <v>68</v>
      </c>
      <c r="C478" s="144">
        <f>C476*C477</f>
        <v>0</v>
      </c>
      <c r="D478" s="45" t="str">
        <f>D472</f>
        <v>kg</v>
      </c>
      <c r="E478" s="46"/>
      <c r="F478" s="47"/>
      <c r="G478" s="47"/>
      <c r="H478" s="47"/>
      <c r="N478" s="60"/>
      <c r="O478" s="60"/>
      <c r="P478" s="60"/>
    </row>
    <row r="479" spans="2:16" ht="13.5" hidden="1" outlineLevel="1" thickBot="1" x14ac:dyDescent="0.3">
      <c r="B479" s="61"/>
      <c r="C479" s="62"/>
      <c r="D479" s="63"/>
      <c r="F479" s="64"/>
      <c r="G479" s="64"/>
      <c r="H479" s="64"/>
      <c r="N479" s="60"/>
      <c r="O479" s="60"/>
      <c r="P479" s="60"/>
    </row>
    <row r="480" spans="2:16" ht="14.5" hidden="1" outlineLevel="1" thickBot="1" x14ac:dyDescent="0.3">
      <c r="B480" s="65" t="s">
        <v>5</v>
      </c>
      <c r="C480" s="66" t="s">
        <v>6</v>
      </c>
      <c r="D480" s="67" t="s">
        <v>1</v>
      </c>
      <c r="E480" s="68"/>
      <c r="F480" s="69"/>
      <c r="G480" s="69"/>
      <c r="H480" s="69"/>
      <c r="N480" s="60"/>
      <c r="O480" s="60"/>
      <c r="P480" s="60"/>
    </row>
    <row r="481" spans="2:16" ht="13" hidden="1" outlineLevel="1" x14ac:dyDescent="0.25">
      <c r="B481" s="70" t="s">
        <v>43</v>
      </c>
      <c r="C481" s="71"/>
      <c r="D481" s="72"/>
      <c r="E481" s="73"/>
      <c r="F481" s="69"/>
      <c r="G481" s="69"/>
      <c r="H481" s="69"/>
      <c r="N481" s="60"/>
      <c r="O481" s="60"/>
      <c r="P481" s="60"/>
    </row>
    <row r="482" spans="2:16" ht="13" hidden="1" outlineLevel="1" x14ac:dyDescent="0.25">
      <c r="B482" s="74"/>
      <c r="C482" s="146">
        <f>C474</f>
        <v>0</v>
      </c>
      <c r="D482" s="76" t="str">
        <f>D$472</f>
        <v>kg</v>
      </c>
      <c r="E482" s="98"/>
      <c r="F482" s="69"/>
      <c r="G482" s="69"/>
      <c r="H482" s="69"/>
      <c r="N482" s="60"/>
      <c r="O482" s="60"/>
      <c r="P482" s="60"/>
    </row>
    <row r="483" spans="2:16" ht="13.5" hidden="1" outlineLevel="1" thickBot="1" x14ac:dyDescent="0.3">
      <c r="B483" s="74"/>
      <c r="C483" s="146"/>
      <c r="D483" s="76" t="str">
        <f>D$472</f>
        <v>kg</v>
      </c>
      <c r="E483" s="77"/>
      <c r="F483" s="78"/>
      <c r="G483" s="78"/>
      <c r="H483" s="78"/>
      <c r="N483" s="60"/>
      <c r="O483" s="60"/>
      <c r="P483" s="60"/>
    </row>
    <row r="484" spans="2:16" ht="13" hidden="1" outlineLevel="1" x14ac:dyDescent="0.25">
      <c r="B484" s="79" t="s">
        <v>69</v>
      </c>
      <c r="C484" s="147"/>
      <c r="D484" s="81"/>
      <c r="E484" s="77"/>
      <c r="F484" s="82"/>
      <c r="G484" s="82"/>
      <c r="H484" s="82"/>
      <c r="N484" s="60"/>
      <c r="O484" s="60"/>
      <c r="P484" s="60"/>
    </row>
    <row r="485" spans="2:16" ht="13" hidden="1" outlineLevel="1" x14ac:dyDescent="0.25">
      <c r="B485" s="74"/>
      <c r="C485" s="148"/>
      <c r="D485" s="76" t="str">
        <f t="shared" ref="D485:D494" si="0">D$472</f>
        <v>kg</v>
      </c>
      <c r="E485" s="77"/>
      <c r="F485" s="82"/>
      <c r="G485" s="82"/>
      <c r="H485" s="82"/>
      <c r="N485" s="60"/>
      <c r="O485" s="60"/>
      <c r="P485" s="60"/>
    </row>
    <row r="486" spans="2:16" ht="13" hidden="1" outlineLevel="1" x14ac:dyDescent="0.25">
      <c r="B486" s="74"/>
      <c r="C486" s="148"/>
      <c r="D486" s="76" t="str">
        <f t="shared" si="0"/>
        <v>kg</v>
      </c>
      <c r="E486" s="77"/>
      <c r="F486" s="82"/>
      <c r="G486" s="82"/>
      <c r="H486" s="82"/>
      <c r="N486" s="60"/>
      <c r="O486" s="60"/>
      <c r="P486" s="60"/>
    </row>
    <row r="487" spans="2:16" ht="13" hidden="1" outlineLevel="1" x14ac:dyDescent="0.25">
      <c r="B487" s="74"/>
      <c r="C487" s="148"/>
      <c r="D487" s="76" t="str">
        <f t="shared" si="0"/>
        <v>kg</v>
      </c>
      <c r="E487" s="77"/>
      <c r="F487" s="82"/>
      <c r="G487" s="82"/>
      <c r="H487" s="82"/>
      <c r="N487" s="60"/>
      <c r="O487" s="60"/>
      <c r="P487" s="60"/>
    </row>
    <row r="488" spans="2:16" ht="13" hidden="1" outlineLevel="1" x14ac:dyDescent="0.25">
      <c r="B488" s="74"/>
      <c r="C488" s="148"/>
      <c r="D488" s="76" t="str">
        <f t="shared" si="0"/>
        <v>kg</v>
      </c>
      <c r="E488" s="77"/>
      <c r="F488" s="82"/>
      <c r="G488" s="82"/>
      <c r="H488" s="82"/>
      <c r="N488" s="60"/>
      <c r="O488" s="60"/>
      <c r="P488" s="60"/>
    </row>
    <row r="489" spans="2:16" ht="13" hidden="1" outlineLevel="1" x14ac:dyDescent="0.25">
      <c r="B489" s="74"/>
      <c r="C489" s="148"/>
      <c r="D489" s="76" t="str">
        <f t="shared" si="0"/>
        <v>kg</v>
      </c>
      <c r="E489" s="77"/>
      <c r="F489" s="82"/>
      <c r="G489" s="82"/>
      <c r="H489" s="82"/>
      <c r="N489" s="60"/>
      <c r="O489" s="60"/>
      <c r="P489" s="60"/>
    </row>
    <row r="490" spans="2:16" ht="13" hidden="1" outlineLevel="1" x14ac:dyDescent="0.25">
      <c r="B490" s="74"/>
      <c r="C490" s="148"/>
      <c r="D490" s="76" t="str">
        <f t="shared" si="0"/>
        <v>kg</v>
      </c>
      <c r="E490" s="77"/>
      <c r="F490" s="82"/>
      <c r="G490" s="82"/>
      <c r="H490" s="82"/>
      <c r="N490" s="60"/>
      <c r="O490" s="60"/>
      <c r="P490" s="60"/>
    </row>
    <row r="491" spans="2:16" ht="13" hidden="1" outlineLevel="1" x14ac:dyDescent="0.25">
      <c r="B491" s="74"/>
      <c r="C491" s="148"/>
      <c r="D491" s="76" t="str">
        <f t="shared" si="0"/>
        <v>kg</v>
      </c>
      <c r="E491" s="77"/>
      <c r="F491" s="82"/>
      <c r="G491" s="82"/>
      <c r="H491" s="82"/>
      <c r="N491" s="60"/>
      <c r="O491" s="60"/>
      <c r="P491" s="60"/>
    </row>
    <row r="492" spans="2:16" ht="13" hidden="1" outlineLevel="1" x14ac:dyDescent="0.25">
      <c r="B492" s="74"/>
      <c r="C492" s="148"/>
      <c r="D492" s="76" t="str">
        <f t="shared" si="0"/>
        <v>kg</v>
      </c>
      <c r="E492" s="77"/>
      <c r="F492" s="82"/>
      <c r="G492" s="82"/>
      <c r="H492" s="82"/>
      <c r="N492" s="60"/>
      <c r="O492" s="60"/>
      <c r="P492" s="60"/>
    </row>
    <row r="493" spans="2:16" ht="13" hidden="1" outlineLevel="1" x14ac:dyDescent="0.25">
      <c r="B493" s="74"/>
      <c r="C493" s="148"/>
      <c r="D493" s="76" t="str">
        <f t="shared" si="0"/>
        <v>kg</v>
      </c>
      <c r="E493" s="77"/>
      <c r="F493" s="82"/>
      <c r="G493" s="82"/>
      <c r="H493" s="82"/>
      <c r="N493" s="60"/>
      <c r="O493" s="60"/>
      <c r="P493" s="60"/>
    </row>
    <row r="494" spans="2:16" ht="13" hidden="1" outlineLevel="1" x14ac:dyDescent="0.25">
      <c r="B494" s="74"/>
      <c r="C494" s="148"/>
      <c r="D494" s="76" t="str">
        <f t="shared" si="0"/>
        <v>kg</v>
      </c>
      <c r="E494" s="77"/>
      <c r="F494" s="82"/>
      <c r="G494" s="82"/>
      <c r="H494" s="82"/>
      <c r="N494" s="60"/>
      <c r="O494" s="60"/>
      <c r="P494" s="60"/>
    </row>
    <row r="495" spans="2:16" ht="13.4" hidden="1" customHeight="1" outlineLevel="1" x14ac:dyDescent="0.25">
      <c r="B495" s="79"/>
      <c r="C495" s="147"/>
      <c r="D495" s="81"/>
      <c r="E495" s="77"/>
      <c r="F495" s="82"/>
      <c r="G495" s="82"/>
      <c r="H495" s="82"/>
      <c r="K495" s="34"/>
      <c r="N495" s="60"/>
      <c r="O495" s="60"/>
      <c r="P495" s="60"/>
    </row>
    <row r="496" spans="2:16" ht="13" hidden="1" outlineLevel="1" x14ac:dyDescent="0.25">
      <c r="B496" s="86" t="s">
        <v>7</v>
      </c>
      <c r="C496" s="149">
        <f>SUM(C481:C494)</f>
        <v>0</v>
      </c>
      <c r="D496" s="88" t="str">
        <f>D$472</f>
        <v>kg</v>
      </c>
      <c r="E496" s="77"/>
      <c r="F496" s="82"/>
      <c r="G496" s="82"/>
      <c r="H496" s="82"/>
      <c r="N496" s="60"/>
      <c r="O496" s="60"/>
      <c r="P496" s="60"/>
    </row>
    <row r="497" spans="2:16" ht="13" hidden="1" outlineLevel="1" x14ac:dyDescent="0.25">
      <c r="B497" s="79" t="s">
        <v>71</v>
      </c>
      <c r="C497" s="150"/>
      <c r="D497" s="81"/>
      <c r="E497" s="77"/>
      <c r="F497" s="82"/>
      <c r="G497" s="82"/>
      <c r="H497" s="82"/>
      <c r="N497" s="60"/>
      <c r="O497" s="60"/>
      <c r="P497" s="60"/>
    </row>
    <row r="498" spans="2:16" ht="13" hidden="1" outlineLevel="1" x14ac:dyDescent="0.25">
      <c r="B498" s="74"/>
      <c r="C498" s="148"/>
      <c r="D498" s="76" t="str">
        <f t="shared" ref="D498:D505" si="1">D$472</f>
        <v>kg</v>
      </c>
      <c r="E498" s="77"/>
      <c r="F498" s="82"/>
      <c r="G498" s="82"/>
      <c r="H498" s="82"/>
      <c r="N498" s="60"/>
      <c r="O498" s="60"/>
      <c r="P498" s="60"/>
    </row>
    <row r="499" spans="2:16" ht="13" hidden="1" outlineLevel="1" x14ac:dyDescent="0.25">
      <c r="B499" s="74"/>
      <c r="C499" s="148"/>
      <c r="D499" s="76" t="str">
        <f t="shared" si="1"/>
        <v>kg</v>
      </c>
      <c r="E499" s="77"/>
      <c r="F499" s="82"/>
      <c r="G499" s="82"/>
      <c r="H499" s="82"/>
      <c r="N499" s="60"/>
      <c r="O499" s="60"/>
      <c r="P499" s="60"/>
    </row>
    <row r="500" spans="2:16" ht="13" hidden="1" outlineLevel="1" x14ac:dyDescent="0.25">
      <c r="B500" s="74"/>
      <c r="C500" s="148"/>
      <c r="D500" s="76" t="str">
        <f>D$472</f>
        <v>kg</v>
      </c>
      <c r="E500" s="77"/>
      <c r="F500" s="82"/>
      <c r="G500" s="82"/>
      <c r="H500" s="82"/>
      <c r="N500" s="60"/>
      <c r="O500" s="60"/>
      <c r="P500" s="60"/>
    </row>
    <row r="501" spans="2:16" ht="13" hidden="1" outlineLevel="1" x14ac:dyDescent="0.25">
      <c r="B501" s="74"/>
      <c r="C501" s="148"/>
      <c r="D501" s="76" t="str">
        <f>D$472</f>
        <v>kg</v>
      </c>
      <c r="E501" s="77"/>
      <c r="F501" s="82"/>
      <c r="G501" s="82"/>
      <c r="H501" s="82"/>
      <c r="N501" s="60"/>
      <c r="O501" s="60"/>
      <c r="P501" s="60"/>
    </row>
    <row r="502" spans="2:16" ht="13" hidden="1" outlineLevel="1" x14ac:dyDescent="0.25">
      <c r="B502" s="74"/>
      <c r="C502" s="148"/>
      <c r="D502" s="76" t="str">
        <f t="shared" si="1"/>
        <v>kg</v>
      </c>
      <c r="E502" s="77"/>
      <c r="F502" s="82"/>
      <c r="G502" s="82"/>
      <c r="H502" s="82"/>
      <c r="N502" s="60"/>
      <c r="O502" s="60"/>
      <c r="P502" s="60"/>
    </row>
    <row r="503" spans="2:16" ht="13" hidden="1" outlineLevel="1" x14ac:dyDescent="0.25">
      <c r="B503" s="74"/>
      <c r="C503" s="148"/>
      <c r="D503" s="76" t="str">
        <f t="shared" si="1"/>
        <v>kg</v>
      </c>
      <c r="E503" s="77"/>
      <c r="F503" s="82"/>
      <c r="G503" s="82"/>
      <c r="H503" s="82"/>
      <c r="N503" s="60"/>
      <c r="O503" s="60"/>
      <c r="P503" s="60"/>
    </row>
    <row r="504" spans="2:16" ht="13" hidden="1" outlineLevel="1" x14ac:dyDescent="0.25">
      <c r="B504" s="74"/>
      <c r="C504" s="148"/>
      <c r="D504" s="76" t="str">
        <f t="shared" si="1"/>
        <v>kg</v>
      </c>
      <c r="E504" s="77"/>
      <c r="F504" s="82"/>
      <c r="G504" s="82"/>
      <c r="H504" s="82"/>
      <c r="N504" s="60"/>
      <c r="O504" s="60"/>
      <c r="P504" s="60"/>
    </row>
    <row r="505" spans="2:16" ht="13" hidden="1" outlineLevel="1" x14ac:dyDescent="0.25">
      <c r="B505" s="74"/>
      <c r="C505" s="148"/>
      <c r="D505" s="76" t="str">
        <f t="shared" si="1"/>
        <v>kg</v>
      </c>
      <c r="E505" s="77"/>
      <c r="F505" s="82"/>
      <c r="G505" s="82"/>
      <c r="H505" s="82"/>
      <c r="N505" s="60"/>
      <c r="O505" s="60"/>
      <c r="P505" s="60"/>
    </row>
    <row r="506" spans="2:16" ht="13" hidden="1" outlineLevel="1" x14ac:dyDescent="0.25">
      <c r="B506" s="79" t="s">
        <v>70</v>
      </c>
      <c r="C506" s="147"/>
      <c r="D506" s="81"/>
      <c r="E506" s="90"/>
      <c r="F506" s="82"/>
      <c r="G506" s="82"/>
      <c r="H506" s="82"/>
      <c r="N506" s="60"/>
      <c r="O506" s="60"/>
      <c r="P506" s="60"/>
    </row>
    <row r="507" spans="2:16" ht="13" hidden="1" outlineLevel="1" x14ac:dyDescent="0.25">
      <c r="B507" s="74"/>
      <c r="C507" s="148"/>
      <c r="D507" s="76" t="str">
        <f t="shared" ref="D507:D513" si="2">D$472</f>
        <v>kg</v>
      </c>
      <c r="E507" s="77"/>
      <c r="F507" s="82"/>
      <c r="G507" s="82"/>
      <c r="H507" s="82"/>
      <c r="N507" s="60"/>
      <c r="O507" s="60"/>
      <c r="P507" s="60"/>
    </row>
    <row r="508" spans="2:16" ht="13" hidden="1" outlineLevel="1" x14ac:dyDescent="0.25">
      <c r="B508" s="74"/>
      <c r="C508" s="148"/>
      <c r="D508" s="76" t="str">
        <f>D$472</f>
        <v>kg</v>
      </c>
      <c r="E508" s="77"/>
      <c r="F508" s="82"/>
      <c r="G508" s="82"/>
      <c r="H508" s="82"/>
      <c r="N508" s="60"/>
      <c r="O508" s="60"/>
      <c r="P508" s="60"/>
    </row>
    <row r="509" spans="2:16" ht="13" hidden="1" outlineLevel="1" x14ac:dyDescent="0.25">
      <c r="B509" s="74"/>
      <c r="C509" s="148"/>
      <c r="D509" s="76" t="str">
        <f>D$472</f>
        <v>kg</v>
      </c>
      <c r="E509" s="77"/>
      <c r="F509" s="82"/>
      <c r="G509" s="82"/>
      <c r="H509" s="82"/>
      <c r="N509" s="60"/>
      <c r="O509" s="60"/>
      <c r="P509" s="60"/>
    </row>
    <row r="510" spans="2:16" ht="13" hidden="1" outlineLevel="1" x14ac:dyDescent="0.25">
      <c r="B510" s="74"/>
      <c r="C510" s="148"/>
      <c r="D510" s="76" t="str">
        <f>D$472</f>
        <v>kg</v>
      </c>
      <c r="E510" s="77"/>
      <c r="F510" s="82"/>
      <c r="G510" s="82"/>
      <c r="H510" s="82"/>
      <c r="N510" s="60"/>
      <c r="O510" s="60"/>
      <c r="P510" s="60"/>
    </row>
    <row r="511" spans="2:16" ht="13" hidden="1" outlineLevel="1" x14ac:dyDescent="0.25">
      <c r="B511" s="74"/>
      <c r="C511" s="148"/>
      <c r="D511" s="76" t="str">
        <f t="shared" si="2"/>
        <v>kg</v>
      </c>
      <c r="E511" s="77"/>
      <c r="F511" s="82"/>
      <c r="G511" s="82"/>
      <c r="H511" s="82"/>
      <c r="N511" s="60"/>
      <c r="O511" s="60"/>
      <c r="P511" s="60"/>
    </row>
    <row r="512" spans="2:16" ht="13" hidden="1" outlineLevel="1" x14ac:dyDescent="0.25">
      <c r="B512" s="74"/>
      <c r="C512" s="148"/>
      <c r="D512" s="76" t="str">
        <f t="shared" si="2"/>
        <v>kg</v>
      </c>
      <c r="E512" s="77"/>
      <c r="F512" s="82"/>
      <c r="G512" s="82"/>
      <c r="H512" s="82"/>
      <c r="N512" s="60"/>
      <c r="O512" s="60"/>
      <c r="P512" s="60"/>
    </row>
    <row r="513" spans="2:16" ht="13" hidden="1" outlineLevel="1" x14ac:dyDescent="0.25">
      <c r="B513" s="74"/>
      <c r="C513" s="148"/>
      <c r="D513" s="76" t="str">
        <f t="shared" si="2"/>
        <v>kg</v>
      </c>
      <c r="E513" s="77"/>
      <c r="F513" s="82"/>
      <c r="G513" s="82"/>
      <c r="H513" s="82"/>
      <c r="N513" s="60"/>
      <c r="O513" s="60"/>
      <c r="P513" s="60"/>
    </row>
    <row r="514" spans="2:16" ht="13.4" hidden="1" customHeight="1" outlineLevel="1" x14ac:dyDescent="0.25">
      <c r="B514" s="79"/>
      <c r="C514" s="147"/>
      <c r="D514" s="81"/>
      <c r="E514" s="77"/>
      <c r="F514" s="82"/>
      <c r="G514" s="82"/>
      <c r="H514" s="82"/>
      <c r="K514" s="34"/>
      <c r="N514" s="60"/>
      <c r="O514" s="60"/>
      <c r="P514" s="60"/>
    </row>
    <row r="515" spans="2:16" ht="13" hidden="1" outlineLevel="1" x14ac:dyDescent="0.25">
      <c r="B515" s="86" t="s">
        <v>9</v>
      </c>
      <c r="C515" s="149">
        <f>SUM(C496:C513)</f>
        <v>0</v>
      </c>
      <c r="D515" s="91" t="str">
        <f>D$472</f>
        <v>kg</v>
      </c>
      <c r="E515" s="77"/>
      <c r="F515" s="82"/>
      <c r="G515" s="82"/>
      <c r="H515" s="82"/>
      <c r="N515" s="60"/>
      <c r="O515" s="60"/>
      <c r="P515" s="60"/>
    </row>
    <row r="516" spans="2:16" ht="13" hidden="1" outlineLevel="1" x14ac:dyDescent="0.25">
      <c r="B516" s="92"/>
      <c r="C516" s="93"/>
      <c r="D516" s="94"/>
      <c r="E516" s="77"/>
      <c r="F516" s="82"/>
      <c r="G516" s="82"/>
      <c r="H516" s="82"/>
      <c r="N516" s="60"/>
      <c r="O516" s="60"/>
      <c r="P516" s="60"/>
    </row>
    <row r="517" spans="2:16" ht="21.65" hidden="1" customHeight="1" outlineLevel="1" thickBot="1" x14ac:dyDescent="0.3">
      <c r="B517" s="426" t="s">
        <v>10</v>
      </c>
      <c r="C517" s="427"/>
      <c r="D517" s="428"/>
      <c r="E517" s="77"/>
      <c r="F517" s="82"/>
      <c r="G517" s="82"/>
      <c r="H517" s="82"/>
      <c r="N517" s="60"/>
      <c r="O517" s="60"/>
      <c r="P517" s="60"/>
    </row>
    <row r="518" spans="2:16" ht="13" hidden="1" outlineLevel="1" x14ac:dyDescent="0.25">
      <c r="B518" s="95" t="s">
        <v>23</v>
      </c>
      <c r="C518" s="96"/>
      <c r="D518" s="151">
        <f>SUM(C482:C483)</f>
        <v>0</v>
      </c>
      <c r="E518" s="98"/>
      <c r="F518" s="82"/>
      <c r="G518" s="82"/>
      <c r="H518" s="82"/>
      <c r="N518" s="60"/>
      <c r="O518" s="60"/>
      <c r="P518" s="60"/>
    </row>
    <row r="519" spans="2:16" ht="13" hidden="1" outlineLevel="1" x14ac:dyDescent="0.25">
      <c r="B519" s="99" t="s">
        <v>24</v>
      </c>
      <c r="C519" s="100"/>
      <c r="D519" s="152">
        <f>SUM(C485:C495)</f>
        <v>0</v>
      </c>
      <c r="E519" s="98"/>
      <c r="F519" s="82"/>
      <c r="G519" s="82"/>
      <c r="H519" s="82"/>
      <c r="N519" s="60"/>
      <c r="O519" s="60"/>
      <c r="P519" s="60"/>
    </row>
    <row r="520" spans="2:16" ht="13" hidden="1" outlineLevel="1" x14ac:dyDescent="0.25">
      <c r="B520" s="99" t="s">
        <v>25</v>
      </c>
      <c r="C520" s="100"/>
      <c r="D520" s="152">
        <f>SUM(C498:C506)</f>
        <v>0</v>
      </c>
      <c r="E520" s="98"/>
      <c r="F520" s="82"/>
      <c r="G520" s="82"/>
      <c r="H520" s="82"/>
      <c r="N520" s="60"/>
      <c r="O520" s="60"/>
      <c r="P520" s="60"/>
    </row>
    <row r="521" spans="2:16" ht="15" hidden="1" customHeight="1" outlineLevel="1" thickBot="1" x14ac:dyDescent="0.3">
      <c r="B521" s="102" t="s">
        <v>26</v>
      </c>
      <c r="C521" s="103"/>
      <c r="D521" s="153">
        <f>SUM(C507:C514)</f>
        <v>0</v>
      </c>
      <c r="E521" s="98"/>
      <c r="F521" s="82"/>
      <c r="G521" s="82"/>
      <c r="H521" s="82"/>
      <c r="N521" s="60"/>
      <c r="O521" s="60"/>
      <c r="P521" s="60"/>
    </row>
    <row r="522" spans="2:16" ht="18.5" hidden="1" outlineLevel="1" thickTop="1" x14ac:dyDescent="0.25">
      <c r="B522" s="105" t="s">
        <v>11</v>
      </c>
      <c r="C522" s="106"/>
      <c r="D522" s="107" t="e">
        <f>C496/C478</f>
        <v>#DIV/0!</v>
      </c>
      <c r="E522" s="77"/>
      <c r="F522" s="110" t="s">
        <v>86</v>
      </c>
      <c r="G522" s="109" t="s">
        <v>85</v>
      </c>
      <c r="H522" s="110"/>
      <c r="N522" s="60"/>
      <c r="O522" s="60"/>
      <c r="P522" s="60"/>
    </row>
    <row r="523" spans="2:16" ht="18.5" hidden="1" outlineLevel="1" thickBot="1" x14ac:dyDescent="0.3">
      <c r="B523" s="111" t="s">
        <v>12</v>
      </c>
      <c r="C523" s="112"/>
      <c r="D523" s="113" t="e">
        <f>(D518+D519+D520)/C478</f>
        <v>#DIV/0!</v>
      </c>
      <c r="E523" s="77"/>
      <c r="F523" s="154"/>
      <c r="G523" s="413"/>
      <c r="H523" s="414"/>
      <c r="N523" s="60"/>
      <c r="O523" s="60"/>
      <c r="P523" s="60"/>
    </row>
    <row r="524" spans="2:16" ht="18" hidden="1" outlineLevel="1" x14ac:dyDescent="0.25">
      <c r="B524" s="111" t="s">
        <v>13</v>
      </c>
      <c r="C524" s="112"/>
      <c r="D524" s="113" t="e">
        <f>D520/C478</f>
        <v>#DIV/0!</v>
      </c>
      <c r="E524" s="90"/>
      <c r="F524" s="64" t="s">
        <v>45</v>
      </c>
      <c r="G524" s="64" t="s">
        <v>45</v>
      </c>
      <c r="H524" s="155"/>
      <c r="N524" s="60"/>
      <c r="O524" s="60"/>
      <c r="P524" s="60"/>
    </row>
    <row r="525" spans="2:16" ht="18" hidden="1" outlineLevel="1" x14ac:dyDescent="0.25">
      <c r="B525" s="114" t="s">
        <v>14</v>
      </c>
      <c r="C525" s="115"/>
      <c r="D525" s="116" t="e">
        <f>D521/C478</f>
        <v>#DIV/0!</v>
      </c>
      <c r="E525" s="90"/>
      <c r="F525" s="110"/>
      <c r="G525" s="117" t="s">
        <v>46</v>
      </c>
      <c r="H525" s="110"/>
      <c r="N525" s="60"/>
      <c r="O525" s="60"/>
      <c r="P525" s="60"/>
    </row>
    <row r="526" spans="2:16" ht="18.5" hidden="1" outlineLevel="1" thickBot="1" x14ac:dyDescent="0.3">
      <c r="B526" s="114" t="s">
        <v>15</v>
      </c>
      <c r="C526" s="119"/>
      <c r="D526" s="116" t="e">
        <f>SUM(D518:D521)/C478</f>
        <v>#DIV/0!</v>
      </c>
      <c r="E526" s="90"/>
      <c r="F526" s="429"/>
      <c r="G526" s="430"/>
      <c r="H526" s="431"/>
      <c r="N526" s="60"/>
      <c r="O526" s="60"/>
      <c r="P526" s="60"/>
    </row>
    <row r="527" spans="2:16" ht="18.5" hidden="1" outlineLevel="1" thickTop="1" x14ac:dyDescent="0.25">
      <c r="B527" s="120" t="s">
        <v>16</v>
      </c>
      <c r="C527" s="121"/>
      <c r="D527" s="122" t="e">
        <f>((C482*D460)+D519+C483*MAX(1,F483))/C478</f>
        <v>#DIV/0!</v>
      </c>
      <c r="E527" s="77"/>
      <c r="F527" s="64" t="s">
        <v>45</v>
      </c>
      <c r="G527" s="64"/>
      <c r="H527" s="82"/>
      <c r="N527" s="60"/>
      <c r="O527" s="60"/>
      <c r="P527" s="60"/>
    </row>
    <row r="528" spans="2:16" ht="18" hidden="1" outlineLevel="1" x14ac:dyDescent="0.25">
      <c r="B528" s="123" t="s">
        <v>17</v>
      </c>
      <c r="C528" s="124"/>
      <c r="D528" s="125" t="e">
        <f>(C482*D461+D519+D520+C483*(MAX(1,F483)+G483))/C478</f>
        <v>#DIV/0!</v>
      </c>
      <c r="E528" s="77"/>
      <c r="F528" s="82"/>
      <c r="G528" s="82"/>
      <c r="H528" s="82"/>
      <c r="N528" s="60"/>
      <c r="O528" s="60"/>
      <c r="P528" s="60"/>
    </row>
    <row r="529" spans="2:16" ht="18" hidden="1" customHeight="1" outlineLevel="1" x14ac:dyDescent="0.25">
      <c r="B529" s="123" t="s">
        <v>18</v>
      </c>
      <c r="C529" s="124"/>
      <c r="D529" s="125" t="e">
        <f>((C482*D462)+D520+C483*G483)/C478</f>
        <v>#DIV/0!</v>
      </c>
      <c r="E529" s="77"/>
      <c r="F529" s="415" t="s">
        <v>61</v>
      </c>
      <c r="G529" s="416"/>
      <c r="H529" s="416"/>
      <c r="N529" s="60"/>
      <c r="O529" s="60"/>
      <c r="P529" s="60"/>
    </row>
    <row r="530" spans="2:16" ht="18" hidden="1" outlineLevel="1" x14ac:dyDescent="0.25">
      <c r="B530" s="126" t="s">
        <v>19</v>
      </c>
      <c r="C530" s="127"/>
      <c r="D530" s="128" t="e">
        <f>(C482*D463+D521+C483*H483)/C478</f>
        <v>#DIV/0!</v>
      </c>
      <c r="E530" s="77"/>
      <c r="F530" s="416"/>
      <c r="G530" s="416"/>
      <c r="H530" s="416"/>
      <c r="N530" s="60"/>
      <c r="O530" s="60"/>
      <c r="P530" s="60"/>
    </row>
    <row r="531" spans="2:16" ht="18.5" hidden="1" outlineLevel="1" thickBot="1" x14ac:dyDescent="0.3">
      <c r="B531" s="129" t="s">
        <v>20</v>
      </c>
      <c r="C531" s="130"/>
      <c r="D531" s="131" t="e">
        <f>((C482*D464)+SUM(D519:D521)+C483*(MAX(1,F483)+G483+H483))/C478</f>
        <v>#DIV/0!</v>
      </c>
      <c r="E531" s="77"/>
      <c r="F531" s="416"/>
      <c r="G531" s="416"/>
      <c r="H531" s="416"/>
      <c r="N531" s="60"/>
      <c r="O531" s="60"/>
      <c r="P531" s="60"/>
    </row>
    <row r="532" spans="2:16" ht="13" hidden="1" outlineLevel="1" thickTop="1" x14ac:dyDescent="0.25">
      <c r="B532" s="156" t="s">
        <v>76</v>
      </c>
      <c r="C532" s="424"/>
      <c r="D532" s="425"/>
      <c r="F532" s="416"/>
      <c r="G532" s="416"/>
      <c r="H532" s="416"/>
      <c r="N532" s="60"/>
      <c r="O532" s="60"/>
      <c r="P532" s="60"/>
    </row>
    <row r="533" spans="2:16" hidden="1" outlineLevel="1" x14ac:dyDescent="0.25">
      <c r="B533" s="157" t="s">
        <v>58</v>
      </c>
      <c r="C533" s="422"/>
      <c r="D533" s="423"/>
      <c r="F533" s="416"/>
      <c r="G533" s="416"/>
      <c r="H533" s="416"/>
      <c r="N533" s="60"/>
      <c r="O533" s="60"/>
      <c r="P533" s="60"/>
    </row>
    <row r="534" spans="2:16" ht="13" hidden="1" outlineLevel="1" thickBot="1" x14ac:dyDescent="0.3">
      <c r="B534" s="158" t="s">
        <v>59</v>
      </c>
      <c r="C534" s="420"/>
      <c r="D534" s="421"/>
      <c r="F534" s="416"/>
      <c r="G534" s="416"/>
      <c r="H534" s="416"/>
      <c r="N534" s="60"/>
      <c r="O534" s="60"/>
      <c r="P534" s="60"/>
    </row>
    <row r="535" spans="2:16" ht="13" hidden="1" outlineLevel="1" x14ac:dyDescent="0.25">
      <c r="F535" s="34"/>
      <c r="G535" s="34"/>
      <c r="H535" s="34"/>
      <c r="N535" s="60"/>
      <c r="O535" s="60"/>
      <c r="P535" s="60"/>
    </row>
    <row r="536" spans="2:16" ht="13" hidden="1" outlineLevel="1" x14ac:dyDescent="0.25">
      <c r="C536" s="25" t="s">
        <v>44</v>
      </c>
      <c r="D536" s="25" t="s">
        <v>42</v>
      </c>
      <c r="F536" s="34"/>
      <c r="G536" s="34"/>
      <c r="H536" s="34"/>
      <c r="N536" s="60"/>
      <c r="O536" s="60"/>
      <c r="P536" s="60"/>
    </row>
    <row r="537" spans="2:16" ht="21" hidden="1" outlineLevel="1" thickTop="1" thickBot="1" x14ac:dyDescent="0.3">
      <c r="B537" s="140" t="s">
        <v>73</v>
      </c>
      <c r="C537" s="29"/>
      <c r="D537" s="141"/>
      <c r="E537" s="31"/>
      <c r="F537" s="32" t="s">
        <v>27</v>
      </c>
      <c r="G537" s="33"/>
      <c r="H537" s="33"/>
    </row>
    <row r="538" spans="2:16" ht="14.5" hidden="1" outlineLevel="1" thickBot="1" x14ac:dyDescent="0.3">
      <c r="B538" s="37"/>
      <c r="C538" s="38" t="s">
        <v>0</v>
      </c>
      <c r="D538" s="39" t="s">
        <v>1</v>
      </c>
      <c r="E538" s="40"/>
      <c r="F538" s="41" t="s">
        <v>28</v>
      </c>
      <c r="G538" s="41" t="s">
        <v>21</v>
      </c>
      <c r="H538" s="41" t="s">
        <v>8</v>
      </c>
    </row>
    <row r="539" spans="2:16" ht="13" hidden="1" outlineLevel="1" x14ac:dyDescent="0.25">
      <c r="B539" s="43" t="s">
        <v>65</v>
      </c>
      <c r="C539" s="142"/>
      <c r="D539" s="45" t="s">
        <v>2</v>
      </c>
      <c r="E539" s="46"/>
      <c r="F539" s="47"/>
      <c r="G539" s="47"/>
      <c r="H539" s="47"/>
      <c r="N539" s="60"/>
      <c r="O539" s="60"/>
      <c r="P539" s="60"/>
    </row>
    <row r="540" spans="2:16" ht="13" hidden="1" outlineLevel="1" x14ac:dyDescent="0.25">
      <c r="B540" s="43" t="s">
        <v>64</v>
      </c>
      <c r="C540" s="143"/>
      <c r="D540" s="45" t="s">
        <v>3</v>
      </c>
      <c r="E540" s="46"/>
      <c r="F540" s="47"/>
      <c r="G540" s="47"/>
      <c r="H540" s="47"/>
      <c r="N540" s="60"/>
      <c r="O540" s="60"/>
      <c r="P540" s="60"/>
    </row>
    <row r="541" spans="2:16" ht="13" hidden="1" outlineLevel="1" x14ac:dyDescent="0.25">
      <c r="B541" s="51" t="s">
        <v>63</v>
      </c>
      <c r="C541" s="144">
        <f>C539*C540</f>
        <v>0</v>
      </c>
      <c r="D541" s="45" t="str">
        <f>D539</f>
        <v>kg</v>
      </c>
      <c r="E541" s="46"/>
      <c r="F541" s="47"/>
      <c r="G541" s="47"/>
      <c r="H541" s="47"/>
      <c r="N541" s="60"/>
      <c r="O541" s="60"/>
      <c r="P541" s="60"/>
    </row>
    <row r="542" spans="2:16" ht="14" hidden="1" outlineLevel="1" x14ac:dyDescent="0.25">
      <c r="B542" s="54" t="s">
        <v>37</v>
      </c>
      <c r="C542" s="145">
        <v>1</v>
      </c>
      <c r="D542" s="56"/>
      <c r="E542" s="57"/>
      <c r="F542" s="58"/>
      <c r="G542" s="58"/>
      <c r="H542" s="58"/>
      <c r="N542" s="60"/>
      <c r="O542" s="60"/>
      <c r="P542" s="60"/>
    </row>
    <row r="543" spans="2:16" ht="13" hidden="1" outlineLevel="1" x14ac:dyDescent="0.25">
      <c r="B543" s="43" t="s">
        <v>66</v>
      </c>
      <c r="C543" s="142"/>
      <c r="D543" s="45" t="str">
        <f>D539</f>
        <v>kg</v>
      </c>
      <c r="E543" s="46"/>
      <c r="F543" s="47"/>
      <c r="G543" s="47"/>
      <c r="H543" s="47"/>
      <c r="N543" s="60"/>
      <c r="O543" s="60"/>
      <c r="P543" s="60"/>
    </row>
    <row r="544" spans="2:16" ht="13" hidden="1" outlineLevel="1" x14ac:dyDescent="0.25">
      <c r="B544" s="43" t="s">
        <v>67</v>
      </c>
      <c r="C544" s="143"/>
      <c r="D544" s="45" t="s">
        <v>3</v>
      </c>
      <c r="E544" s="59"/>
      <c r="F544" s="47"/>
      <c r="G544" s="47"/>
      <c r="H544" s="47"/>
      <c r="N544" s="60"/>
      <c r="O544" s="60"/>
      <c r="P544" s="60"/>
    </row>
    <row r="545" spans="2:16" ht="13" hidden="1" outlineLevel="1" x14ac:dyDescent="0.25">
      <c r="B545" s="51" t="s">
        <v>68</v>
      </c>
      <c r="C545" s="144">
        <f>C543*C544</f>
        <v>0</v>
      </c>
      <c r="D545" s="45" t="str">
        <f>D539</f>
        <v>kg</v>
      </c>
      <c r="E545" s="46"/>
      <c r="F545" s="47"/>
      <c r="G545" s="47"/>
      <c r="H545" s="47"/>
      <c r="N545" s="60"/>
      <c r="O545" s="60"/>
      <c r="P545" s="60"/>
    </row>
    <row r="546" spans="2:16" ht="13.5" hidden="1" outlineLevel="1" thickBot="1" x14ac:dyDescent="0.3">
      <c r="B546" s="61"/>
      <c r="C546" s="62"/>
      <c r="D546" s="63"/>
      <c r="F546" s="64"/>
      <c r="G546" s="64"/>
      <c r="H546" s="64"/>
      <c r="N546" s="60"/>
      <c r="O546" s="60"/>
      <c r="P546" s="60"/>
    </row>
    <row r="547" spans="2:16" ht="14.5" hidden="1" outlineLevel="1" thickBot="1" x14ac:dyDescent="0.3">
      <c r="B547" s="65" t="s">
        <v>5</v>
      </c>
      <c r="C547" s="66" t="s">
        <v>6</v>
      </c>
      <c r="D547" s="67" t="s">
        <v>1</v>
      </c>
      <c r="E547" s="68"/>
      <c r="F547" s="69"/>
      <c r="G547" s="69"/>
      <c r="H547" s="69"/>
      <c r="N547" s="60"/>
      <c r="O547" s="60"/>
      <c r="P547" s="60"/>
    </row>
    <row r="548" spans="2:16" ht="13" hidden="1" outlineLevel="1" x14ac:dyDescent="0.25">
      <c r="B548" s="70" t="s">
        <v>43</v>
      </c>
      <c r="C548" s="71"/>
      <c r="D548" s="72"/>
      <c r="E548" s="73"/>
      <c r="F548" s="69"/>
      <c r="G548" s="69"/>
      <c r="H548" s="69"/>
      <c r="N548" s="60"/>
      <c r="O548" s="60"/>
      <c r="P548" s="60"/>
    </row>
    <row r="549" spans="2:16" ht="13" hidden="1" outlineLevel="1" x14ac:dyDescent="0.25">
      <c r="B549" s="74"/>
      <c r="C549" s="146">
        <f>C541</f>
        <v>0</v>
      </c>
      <c r="D549" s="76" t="str">
        <f>D539</f>
        <v>kg</v>
      </c>
      <c r="E549" s="98"/>
      <c r="F549" s="69"/>
      <c r="G549" s="69"/>
      <c r="H549" s="69"/>
      <c r="N549" s="60"/>
      <c r="O549" s="60"/>
      <c r="P549" s="60"/>
    </row>
    <row r="550" spans="2:16" ht="13.5" hidden="1" outlineLevel="1" thickBot="1" x14ac:dyDescent="0.3">
      <c r="B550" s="74"/>
      <c r="C550" s="146"/>
      <c r="D550" s="76" t="str">
        <f>D539</f>
        <v>kg</v>
      </c>
      <c r="E550" s="77"/>
      <c r="F550" s="78"/>
      <c r="G550" s="78"/>
      <c r="H550" s="78"/>
      <c r="N550" s="60"/>
      <c r="O550" s="60"/>
      <c r="P550" s="60"/>
    </row>
    <row r="551" spans="2:16" ht="13" hidden="1" outlineLevel="1" x14ac:dyDescent="0.25">
      <c r="B551" s="79" t="s">
        <v>69</v>
      </c>
      <c r="C551" s="147"/>
      <c r="D551" s="81"/>
      <c r="E551" s="77"/>
      <c r="F551" s="82"/>
      <c r="G551" s="82"/>
      <c r="H551" s="82"/>
      <c r="N551" s="60"/>
      <c r="O551" s="60"/>
      <c r="P551" s="60"/>
    </row>
    <row r="552" spans="2:16" ht="13" hidden="1" outlineLevel="1" x14ac:dyDescent="0.25">
      <c r="B552" s="74"/>
      <c r="C552" s="148"/>
      <c r="D552" s="76" t="str">
        <f>D539</f>
        <v>kg</v>
      </c>
      <c r="E552" s="77"/>
      <c r="F552" s="82"/>
      <c r="G552" s="82"/>
      <c r="H552" s="82"/>
      <c r="N552" s="60"/>
      <c r="O552" s="60"/>
      <c r="P552" s="60"/>
    </row>
    <row r="553" spans="2:16" ht="13" hidden="1" outlineLevel="1" x14ac:dyDescent="0.25">
      <c r="B553" s="74"/>
      <c r="C553" s="148"/>
      <c r="D553" s="76" t="str">
        <f>D539</f>
        <v>kg</v>
      </c>
      <c r="E553" s="77"/>
      <c r="F553" s="82"/>
      <c r="G553" s="82"/>
      <c r="H553" s="82"/>
      <c r="N553" s="60"/>
      <c r="O553" s="60"/>
      <c r="P553" s="60"/>
    </row>
    <row r="554" spans="2:16" ht="13" hidden="1" outlineLevel="1" x14ac:dyDescent="0.25">
      <c r="B554" s="74"/>
      <c r="C554" s="148"/>
      <c r="D554" s="76" t="str">
        <f>D539</f>
        <v>kg</v>
      </c>
      <c r="E554" s="77"/>
      <c r="F554" s="82"/>
      <c r="G554" s="82"/>
      <c r="H554" s="82"/>
      <c r="N554" s="60"/>
      <c r="O554" s="60"/>
      <c r="P554" s="60"/>
    </row>
    <row r="555" spans="2:16" ht="13" hidden="1" outlineLevel="1" x14ac:dyDescent="0.25">
      <c r="B555" s="74"/>
      <c r="C555" s="148"/>
      <c r="D555" s="76" t="str">
        <f>D539</f>
        <v>kg</v>
      </c>
      <c r="E555" s="77"/>
      <c r="F555" s="82"/>
      <c r="G555" s="82"/>
      <c r="H555" s="82"/>
      <c r="N555" s="60"/>
      <c r="O555" s="60"/>
      <c r="P555" s="60"/>
    </row>
    <row r="556" spans="2:16" ht="13" hidden="1" outlineLevel="1" x14ac:dyDescent="0.25">
      <c r="B556" s="74"/>
      <c r="C556" s="148"/>
      <c r="D556" s="76" t="str">
        <f>D539</f>
        <v>kg</v>
      </c>
      <c r="E556" s="77"/>
      <c r="F556" s="82"/>
      <c r="G556" s="82"/>
      <c r="H556" s="82"/>
      <c r="N556" s="60"/>
      <c r="O556" s="60"/>
      <c r="P556" s="60"/>
    </row>
    <row r="557" spans="2:16" ht="13" hidden="1" outlineLevel="1" x14ac:dyDescent="0.25">
      <c r="B557" s="74"/>
      <c r="C557" s="148"/>
      <c r="D557" s="76" t="str">
        <f>D539</f>
        <v>kg</v>
      </c>
      <c r="E557" s="77"/>
      <c r="F557" s="82"/>
      <c r="G557" s="82"/>
      <c r="H557" s="82"/>
      <c r="N557" s="60"/>
      <c r="O557" s="60"/>
      <c r="P557" s="60"/>
    </row>
    <row r="558" spans="2:16" ht="13" hidden="1" outlineLevel="1" x14ac:dyDescent="0.25">
      <c r="B558" s="74"/>
      <c r="C558" s="148"/>
      <c r="D558" s="76" t="str">
        <f>D539</f>
        <v>kg</v>
      </c>
      <c r="E558" s="77"/>
      <c r="F558" s="82"/>
      <c r="G558" s="82"/>
      <c r="H558" s="82"/>
      <c r="N558" s="60"/>
      <c r="O558" s="60"/>
      <c r="P558" s="60"/>
    </row>
    <row r="559" spans="2:16" ht="13" hidden="1" outlineLevel="1" x14ac:dyDescent="0.25">
      <c r="B559" s="74"/>
      <c r="C559" s="148"/>
      <c r="D559" s="76" t="str">
        <f>D539</f>
        <v>kg</v>
      </c>
      <c r="E559" s="77"/>
      <c r="F559" s="82"/>
      <c r="G559" s="82"/>
      <c r="H559" s="82"/>
      <c r="N559" s="60"/>
      <c r="O559" s="60"/>
      <c r="P559" s="60"/>
    </row>
    <row r="560" spans="2:16" ht="13" hidden="1" outlineLevel="1" x14ac:dyDescent="0.25">
      <c r="B560" s="74"/>
      <c r="C560" s="148"/>
      <c r="D560" s="76" t="str">
        <f>D539</f>
        <v>kg</v>
      </c>
      <c r="E560" s="77"/>
      <c r="F560" s="82"/>
      <c r="G560" s="82"/>
      <c r="H560" s="82"/>
      <c r="N560" s="60"/>
      <c r="O560" s="60"/>
      <c r="P560" s="60"/>
    </row>
    <row r="561" spans="2:16" ht="13" hidden="1" outlineLevel="1" x14ac:dyDescent="0.25">
      <c r="B561" s="74"/>
      <c r="C561" s="148"/>
      <c r="D561" s="76" t="str">
        <f>D539</f>
        <v>kg</v>
      </c>
      <c r="E561" s="77"/>
      <c r="F561" s="82"/>
      <c r="G561" s="82"/>
      <c r="H561" s="82"/>
      <c r="N561" s="60"/>
      <c r="O561" s="60"/>
      <c r="P561" s="60"/>
    </row>
    <row r="562" spans="2:16" ht="13.4" hidden="1" customHeight="1" outlineLevel="1" x14ac:dyDescent="0.25">
      <c r="B562" s="79"/>
      <c r="C562" s="147"/>
      <c r="D562" s="81"/>
      <c r="E562" s="77"/>
      <c r="F562" s="82"/>
      <c r="G562" s="82"/>
      <c r="H562" s="82"/>
      <c r="K562" s="34"/>
      <c r="N562" s="60"/>
      <c r="O562" s="60"/>
      <c r="P562" s="60"/>
    </row>
    <row r="563" spans="2:16" ht="13" hidden="1" outlineLevel="1" x14ac:dyDescent="0.25">
      <c r="B563" s="86" t="s">
        <v>7</v>
      </c>
      <c r="C563" s="149">
        <f>SUM(C548:C561)</f>
        <v>0</v>
      </c>
      <c r="D563" s="88" t="str">
        <f>D539</f>
        <v>kg</v>
      </c>
      <c r="E563" s="77"/>
      <c r="F563" s="82"/>
      <c r="G563" s="82"/>
      <c r="H563" s="82"/>
      <c r="N563" s="60"/>
      <c r="O563" s="60"/>
      <c r="P563" s="60"/>
    </row>
    <row r="564" spans="2:16" ht="13" hidden="1" outlineLevel="1" x14ac:dyDescent="0.25">
      <c r="B564" s="79" t="s">
        <v>71</v>
      </c>
      <c r="C564" s="150"/>
      <c r="D564" s="81"/>
      <c r="E564" s="77"/>
      <c r="F564" s="82"/>
      <c r="G564" s="82"/>
      <c r="H564" s="82"/>
      <c r="N564" s="60"/>
      <c r="O564" s="60"/>
      <c r="P564" s="60"/>
    </row>
    <row r="565" spans="2:16" ht="13" hidden="1" outlineLevel="1" x14ac:dyDescent="0.25">
      <c r="B565" s="74"/>
      <c r="C565" s="148"/>
      <c r="D565" s="76" t="str">
        <f>D539</f>
        <v>kg</v>
      </c>
      <c r="E565" s="77"/>
      <c r="F565" s="82"/>
      <c r="G565" s="82"/>
      <c r="H565" s="82"/>
      <c r="N565" s="60"/>
      <c r="O565" s="60"/>
      <c r="P565" s="60"/>
    </row>
    <row r="566" spans="2:16" ht="13" hidden="1" outlineLevel="1" x14ac:dyDescent="0.25">
      <c r="B566" s="74"/>
      <c r="C566" s="148"/>
      <c r="D566" s="76" t="str">
        <f>D539</f>
        <v>kg</v>
      </c>
      <c r="E566" s="77"/>
      <c r="F566" s="82"/>
      <c r="G566" s="82"/>
      <c r="H566" s="82"/>
      <c r="N566" s="60"/>
      <c r="O566" s="60"/>
      <c r="P566" s="60"/>
    </row>
    <row r="567" spans="2:16" ht="13" hidden="1" outlineLevel="1" x14ac:dyDescent="0.25">
      <c r="B567" s="74"/>
      <c r="C567" s="148"/>
      <c r="D567" s="76" t="str">
        <f>D539</f>
        <v>kg</v>
      </c>
      <c r="E567" s="77"/>
      <c r="F567" s="82"/>
      <c r="G567" s="82"/>
      <c r="H567" s="82"/>
      <c r="N567" s="60"/>
      <c r="O567" s="60"/>
      <c r="P567" s="60"/>
    </row>
    <row r="568" spans="2:16" ht="13" hidden="1" outlineLevel="1" x14ac:dyDescent="0.25">
      <c r="B568" s="74"/>
      <c r="C568" s="148"/>
      <c r="D568" s="76" t="str">
        <f>D539</f>
        <v>kg</v>
      </c>
      <c r="E568" s="77"/>
      <c r="F568" s="82"/>
      <c r="G568" s="82"/>
      <c r="H568" s="82"/>
      <c r="N568" s="60"/>
      <c r="O568" s="60"/>
      <c r="P568" s="60"/>
    </row>
    <row r="569" spans="2:16" ht="13" hidden="1" outlineLevel="1" x14ac:dyDescent="0.25">
      <c r="B569" s="74"/>
      <c r="C569" s="148"/>
      <c r="D569" s="76" t="str">
        <f>D539</f>
        <v>kg</v>
      </c>
      <c r="E569" s="77"/>
      <c r="F569" s="82"/>
      <c r="G569" s="82"/>
      <c r="H569" s="82"/>
      <c r="N569" s="60"/>
      <c r="O569" s="60"/>
      <c r="P569" s="60"/>
    </row>
    <row r="570" spans="2:16" ht="13" hidden="1" outlineLevel="1" x14ac:dyDescent="0.25">
      <c r="B570" s="74"/>
      <c r="C570" s="148"/>
      <c r="D570" s="76" t="str">
        <f>D539</f>
        <v>kg</v>
      </c>
      <c r="E570" s="77"/>
      <c r="F570" s="82"/>
      <c r="G570" s="82"/>
      <c r="H570" s="82"/>
      <c r="N570" s="60"/>
      <c r="O570" s="60"/>
      <c r="P570" s="60"/>
    </row>
    <row r="571" spans="2:16" ht="13" hidden="1" outlineLevel="1" x14ac:dyDescent="0.25">
      <c r="B571" s="74"/>
      <c r="C571" s="148"/>
      <c r="D571" s="76" t="str">
        <f>D539</f>
        <v>kg</v>
      </c>
      <c r="E571" s="77"/>
      <c r="F571" s="82"/>
      <c r="G571" s="82"/>
      <c r="H571" s="82"/>
      <c r="N571" s="60"/>
      <c r="O571" s="60"/>
      <c r="P571" s="60"/>
    </row>
    <row r="572" spans="2:16" ht="13" hidden="1" outlineLevel="1" x14ac:dyDescent="0.25">
      <c r="B572" s="74"/>
      <c r="C572" s="148"/>
      <c r="D572" s="76" t="str">
        <f>D539</f>
        <v>kg</v>
      </c>
      <c r="E572" s="77"/>
      <c r="F572" s="82"/>
      <c r="G572" s="82"/>
      <c r="H572" s="82"/>
      <c r="N572" s="60"/>
      <c r="O572" s="60"/>
      <c r="P572" s="60"/>
    </row>
    <row r="573" spans="2:16" ht="13" hidden="1" outlineLevel="1" x14ac:dyDescent="0.25">
      <c r="B573" s="79" t="s">
        <v>70</v>
      </c>
      <c r="C573" s="147"/>
      <c r="D573" s="81"/>
      <c r="E573" s="90"/>
      <c r="F573" s="82"/>
      <c r="G573" s="82"/>
      <c r="H573" s="82"/>
      <c r="N573" s="60"/>
      <c r="O573" s="60"/>
      <c r="P573" s="60"/>
    </row>
    <row r="574" spans="2:16" ht="13" hidden="1" outlineLevel="1" x14ac:dyDescent="0.25">
      <c r="B574" s="74"/>
      <c r="C574" s="148"/>
      <c r="D574" s="76" t="str">
        <f>D539</f>
        <v>kg</v>
      </c>
      <c r="E574" s="77"/>
      <c r="F574" s="82"/>
      <c r="G574" s="82"/>
      <c r="H574" s="82"/>
      <c r="N574" s="60"/>
      <c r="O574" s="60"/>
      <c r="P574" s="60"/>
    </row>
    <row r="575" spans="2:16" ht="13" hidden="1" outlineLevel="1" x14ac:dyDescent="0.25">
      <c r="B575" s="74"/>
      <c r="C575" s="148"/>
      <c r="D575" s="76" t="str">
        <f>D539</f>
        <v>kg</v>
      </c>
      <c r="E575" s="77"/>
      <c r="F575" s="82"/>
      <c r="G575" s="82"/>
      <c r="H575" s="82"/>
      <c r="N575" s="60"/>
      <c r="O575" s="60"/>
      <c r="P575" s="60"/>
    </row>
    <row r="576" spans="2:16" ht="13" hidden="1" outlineLevel="1" x14ac:dyDescent="0.25">
      <c r="B576" s="74"/>
      <c r="C576" s="148"/>
      <c r="D576" s="76" t="str">
        <f>D539</f>
        <v>kg</v>
      </c>
      <c r="E576" s="77"/>
      <c r="F576" s="82"/>
      <c r="G576" s="82"/>
      <c r="H576" s="82"/>
      <c r="N576" s="60"/>
      <c r="O576" s="60"/>
      <c r="P576" s="60"/>
    </row>
    <row r="577" spans="2:16" ht="13" hidden="1" outlineLevel="1" x14ac:dyDescent="0.25">
      <c r="B577" s="74"/>
      <c r="C577" s="148"/>
      <c r="D577" s="76" t="str">
        <f>D539</f>
        <v>kg</v>
      </c>
      <c r="E577" s="77"/>
      <c r="F577" s="82"/>
      <c r="G577" s="82"/>
      <c r="H577" s="82"/>
      <c r="N577" s="60"/>
      <c r="O577" s="60"/>
      <c r="P577" s="60"/>
    </row>
    <row r="578" spans="2:16" ht="13" hidden="1" outlineLevel="1" x14ac:dyDescent="0.25">
      <c r="B578" s="74"/>
      <c r="C578" s="148"/>
      <c r="D578" s="76" t="str">
        <f>D539</f>
        <v>kg</v>
      </c>
      <c r="E578" s="77"/>
      <c r="F578" s="82"/>
      <c r="G578" s="82"/>
      <c r="H578" s="82"/>
      <c r="N578" s="60"/>
      <c r="O578" s="60"/>
      <c r="P578" s="60"/>
    </row>
    <row r="579" spans="2:16" ht="13" hidden="1" outlineLevel="1" x14ac:dyDescent="0.25">
      <c r="B579" s="74"/>
      <c r="C579" s="148"/>
      <c r="D579" s="76" t="str">
        <f>D539</f>
        <v>kg</v>
      </c>
      <c r="E579" s="77"/>
      <c r="F579" s="82"/>
      <c r="G579" s="82"/>
      <c r="H579" s="82"/>
      <c r="N579" s="60"/>
      <c r="O579" s="60"/>
      <c r="P579" s="60"/>
    </row>
    <row r="580" spans="2:16" ht="13" hidden="1" outlineLevel="1" x14ac:dyDescent="0.25">
      <c r="B580" s="74"/>
      <c r="C580" s="148"/>
      <c r="D580" s="76" t="str">
        <f>D539</f>
        <v>kg</v>
      </c>
      <c r="E580" s="77"/>
      <c r="F580" s="82"/>
      <c r="G580" s="82"/>
      <c r="H580" s="82"/>
      <c r="N580" s="60"/>
      <c r="O580" s="60"/>
      <c r="P580" s="60"/>
    </row>
    <row r="581" spans="2:16" ht="13.4" hidden="1" customHeight="1" outlineLevel="1" x14ac:dyDescent="0.25">
      <c r="B581" s="79"/>
      <c r="C581" s="147"/>
      <c r="D581" s="81"/>
      <c r="E581" s="77"/>
      <c r="F581" s="82"/>
      <c r="G581" s="82"/>
      <c r="H581" s="82"/>
      <c r="K581" s="34"/>
      <c r="N581" s="60"/>
      <c r="O581" s="60"/>
      <c r="P581" s="60"/>
    </row>
    <row r="582" spans="2:16" ht="13" hidden="1" outlineLevel="1" x14ac:dyDescent="0.25">
      <c r="B582" s="86" t="s">
        <v>9</v>
      </c>
      <c r="C582" s="149">
        <f>SUM(C563:C580)</f>
        <v>0</v>
      </c>
      <c r="D582" s="91" t="str">
        <f>D539</f>
        <v>kg</v>
      </c>
      <c r="E582" s="77"/>
      <c r="F582" s="82"/>
      <c r="G582" s="82"/>
      <c r="H582" s="82"/>
      <c r="N582" s="60"/>
      <c r="O582" s="60"/>
      <c r="P582" s="60"/>
    </row>
    <row r="583" spans="2:16" ht="13" hidden="1" outlineLevel="1" x14ac:dyDescent="0.25">
      <c r="B583" s="92"/>
      <c r="C583" s="93"/>
      <c r="D583" s="94"/>
      <c r="E583" s="77"/>
      <c r="F583" s="82"/>
      <c r="G583" s="82"/>
      <c r="H583" s="82"/>
      <c r="N583" s="60"/>
      <c r="O583" s="60"/>
      <c r="P583" s="60"/>
    </row>
    <row r="584" spans="2:16" ht="20.5" hidden="1" outlineLevel="1" thickBot="1" x14ac:dyDescent="0.3">
      <c r="B584" s="426" t="s">
        <v>10</v>
      </c>
      <c r="C584" s="427"/>
      <c r="D584" s="428"/>
      <c r="E584" s="77"/>
      <c r="F584" s="82"/>
      <c r="G584" s="82"/>
      <c r="H584" s="82"/>
      <c r="N584" s="60"/>
      <c r="O584" s="60"/>
      <c r="P584" s="60"/>
    </row>
    <row r="585" spans="2:16" ht="13" hidden="1" outlineLevel="1" x14ac:dyDescent="0.25">
      <c r="B585" s="95" t="s">
        <v>23</v>
      </c>
      <c r="C585" s="96"/>
      <c r="D585" s="151">
        <f>SUM(C549:C550)</f>
        <v>0</v>
      </c>
      <c r="E585" s="98"/>
      <c r="F585" s="82"/>
      <c r="G585" s="82"/>
      <c r="H585" s="82"/>
      <c r="N585" s="60"/>
      <c r="O585" s="60"/>
      <c r="P585" s="60"/>
    </row>
    <row r="586" spans="2:16" ht="13" hidden="1" outlineLevel="1" x14ac:dyDescent="0.25">
      <c r="B586" s="99" t="s">
        <v>24</v>
      </c>
      <c r="C586" s="100"/>
      <c r="D586" s="152">
        <f>SUM(C552:C562)</f>
        <v>0</v>
      </c>
      <c r="E586" s="98"/>
      <c r="F586" s="82"/>
      <c r="G586" s="82"/>
      <c r="H586" s="82"/>
      <c r="N586" s="60"/>
      <c r="O586" s="60"/>
      <c r="P586" s="60"/>
    </row>
    <row r="587" spans="2:16" ht="13" hidden="1" outlineLevel="1" x14ac:dyDescent="0.25">
      <c r="B587" s="99" t="s">
        <v>25</v>
      </c>
      <c r="C587" s="100"/>
      <c r="D587" s="152">
        <f>SUM(C565:C573)</f>
        <v>0</v>
      </c>
      <c r="E587" s="98"/>
      <c r="F587" s="82"/>
      <c r="G587" s="82"/>
      <c r="H587" s="82"/>
      <c r="N587" s="60"/>
      <c r="O587" s="60"/>
      <c r="P587" s="60"/>
    </row>
    <row r="588" spans="2:16" ht="13" hidden="1" outlineLevel="1" x14ac:dyDescent="0.25">
      <c r="B588" s="102" t="s">
        <v>26</v>
      </c>
      <c r="C588" s="103"/>
      <c r="D588" s="153">
        <f>SUM(C574:C581)</f>
        <v>0</v>
      </c>
      <c r="E588" s="98"/>
      <c r="F588" s="82"/>
      <c r="G588" s="82"/>
      <c r="H588" s="82"/>
      <c r="N588" s="60"/>
      <c r="O588" s="60"/>
      <c r="P588" s="60"/>
    </row>
    <row r="589" spans="2:16" ht="18.5" hidden="1" outlineLevel="1" thickTop="1" x14ac:dyDescent="0.25">
      <c r="B589" s="105" t="s">
        <v>11</v>
      </c>
      <c r="C589" s="106"/>
      <c r="D589" s="107" t="e">
        <f>C563/C545</f>
        <v>#DIV/0!</v>
      </c>
      <c r="E589" s="77"/>
      <c r="F589" s="110" t="s">
        <v>86</v>
      </c>
      <c r="G589" s="109" t="s">
        <v>85</v>
      </c>
      <c r="H589" s="110"/>
      <c r="N589" s="60"/>
      <c r="O589" s="60"/>
      <c r="P589" s="60"/>
    </row>
    <row r="590" spans="2:16" ht="18.5" hidden="1" outlineLevel="1" thickBot="1" x14ac:dyDescent="0.3">
      <c r="B590" s="111" t="s">
        <v>12</v>
      </c>
      <c r="C590" s="112"/>
      <c r="D590" s="113" t="e">
        <f>(D585+D586+D587)/C545</f>
        <v>#DIV/0!</v>
      </c>
      <c r="E590" s="77"/>
      <c r="F590" s="154"/>
      <c r="G590" s="413"/>
      <c r="H590" s="414"/>
      <c r="N590" s="60"/>
      <c r="O590" s="60"/>
      <c r="P590" s="60"/>
    </row>
    <row r="591" spans="2:16" ht="18" hidden="1" outlineLevel="1" x14ac:dyDescent="0.25">
      <c r="B591" s="111" t="s">
        <v>13</v>
      </c>
      <c r="C591" s="112"/>
      <c r="D591" s="113" t="e">
        <f>D587/C545</f>
        <v>#DIV/0!</v>
      </c>
      <c r="E591" s="90"/>
      <c r="F591" s="64" t="s">
        <v>45</v>
      </c>
      <c r="G591" s="64" t="s">
        <v>45</v>
      </c>
      <c r="H591" s="155"/>
      <c r="N591" s="60"/>
      <c r="O591" s="60"/>
      <c r="P591" s="60"/>
    </row>
    <row r="592" spans="2:16" ht="18" hidden="1" outlineLevel="1" x14ac:dyDescent="0.25">
      <c r="B592" s="114" t="s">
        <v>14</v>
      </c>
      <c r="C592" s="115"/>
      <c r="D592" s="116" t="e">
        <f>D588/C545</f>
        <v>#DIV/0!</v>
      </c>
      <c r="E592" s="90"/>
      <c r="F592" s="110"/>
      <c r="G592" s="117" t="s">
        <v>46</v>
      </c>
      <c r="H592" s="110"/>
      <c r="N592" s="60"/>
      <c r="O592" s="60"/>
      <c r="P592" s="60"/>
    </row>
    <row r="593" spans="2:16" ht="18.5" hidden="1" outlineLevel="1" thickBot="1" x14ac:dyDescent="0.3">
      <c r="B593" s="114" t="s">
        <v>15</v>
      </c>
      <c r="C593" s="119"/>
      <c r="D593" s="116" t="e">
        <f>SUM(D585:D588)/C545</f>
        <v>#DIV/0!</v>
      </c>
      <c r="E593" s="90"/>
      <c r="F593" s="429"/>
      <c r="G593" s="430"/>
      <c r="H593" s="431"/>
      <c r="N593" s="60"/>
      <c r="O593" s="60"/>
      <c r="P593" s="60"/>
    </row>
    <row r="594" spans="2:16" ht="18.5" hidden="1" outlineLevel="1" thickTop="1" x14ac:dyDescent="0.25">
      <c r="B594" s="120" t="s">
        <v>16</v>
      </c>
      <c r="C594" s="121"/>
      <c r="D594" s="122" t="e">
        <f>((C549*D527)+D586+C550*MAX(1,F550))/C545</f>
        <v>#DIV/0!</v>
      </c>
      <c r="E594" s="77"/>
      <c r="F594" s="64" t="s">
        <v>45</v>
      </c>
      <c r="G594" s="64"/>
      <c r="H594" s="82"/>
      <c r="N594" s="60"/>
      <c r="O594" s="60"/>
      <c r="P594" s="60"/>
    </row>
    <row r="595" spans="2:16" ht="18" hidden="1" outlineLevel="1" x14ac:dyDescent="0.25">
      <c r="B595" s="123" t="s">
        <v>17</v>
      </c>
      <c r="C595" s="124"/>
      <c r="D595" s="125" t="e">
        <f>(C549*D528+D586+D587+C550*(MAX(1,F550)+G550))/C545</f>
        <v>#DIV/0!</v>
      </c>
      <c r="E595" s="77"/>
      <c r="F595" s="82"/>
      <c r="G595" s="82"/>
      <c r="H595" s="82"/>
      <c r="N595" s="60"/>
      <c r="O595" s="60"/>
      <c r="P595" s="60"/>
    </row>
    <row r="596" spans="2:16" ht="18" hidden="1" customHeight="1" outlineLevel="1" x14ac:dyDescent="0.25">
      <c r="B596" s="123" t="s">
        <v>18</v>
      </c>
      <c r="C596" s="124"/>
      <c r="D596" s="125" t="e">
        <f>((C549*D529)+D587+C550*G550)/C545</f>
        <v>#DIV/0!</v>
      </c>
      <c r="E596" s="77"/>
      <c r="F596" s="415" t="s">
        <v>61</v>
      </c>
      <c r="G596" s="416"/>
      <c r="H596" s="416"/>
      <c r="N596" s="60"/>
      <c r="O596" s="60"/>
      <c r="P596" s="60"/>
    </row>
    <row r="597" spans="2:16" ht="18" hidden="1" outlineLevel="1" x14ac:dyDescent="0.25">
      <c r="B597" s="126" t="s">
        <v>19</v>
      </c>
      <c r="C597" s="127"/>
      <c r="D597" s="128" t="e">
        <f>(C549*D530+D588+C550*H550)/C545</f>
        <v>#DIV/0!</v>
      </c>
      <c r="E597" s="77"/>
      <c r="F597" s="416"/>
      <c r="G597" s="416"/>
      <c r="H597" s="416"/>
      <c r="N597" s="60"/>
      <c r="O597" s="60"/>
      <c r="P597" s="60"/>
    </row>
    <row r="598" spans="2:16" ht="18.5" hidden="1" outlineLevel="1" thickBot="1" x14ac:dyDescent="0.3">
      <c r="B598" s="129" t="s">
        <v>20</v>
      </c>
      <c r="C598" s="130"/>
      <c r="D598" s="131" t="e">
        <f>((C549*D531)+SUM(D586:D588)+C550*(MAX(1,F550)+G550+H550))/C545</f>
        <v>#DIV/0!</v>
      </c>
      <c r="E598" s="77"/>
      <c r="F598" s="416"/>
      <c r="G598" s="416"/>
      <c r="H598" s="416"/>
      <c r="N598" s="60"/>
      <c r="O598" s="60"/>
      <c r="P598" s="60"/>
    </row>
    <row r="599" spans="2:16" ht="13" hidden="1" outlineLevel="1" thickTop="1" x14ac:dyDescent="0.25">
      <c r="B599" s="156" t="s">
        <v>76</v>
      </c>
      <c r="C599" s="424"/>
      <c r="D599" s="425"/>
      <c r="F599" s="416"/>
      <c r="G599" s="416"/>
      <c r="H599" s="416"/>
      <c r="N599" s="60"/>
      <c r="O599" s="60"/>
      <c r="P599" s="60"/>
    </row>
    <row r="600" spans="2:16" hidden="1" outlineLevel="1" x14ac:dyDescent="0.25">
      <c r="B600" s="157" t="s">
        <v>58</v>
      </c>
      <c r="C600" s="422"/>
      <c r="D600" s="423"/>
      <c r="F600" s="416"/>
      <c r="G600" s="416"/>
      <c r="H600" s="416"/>
      <c r="N600" s="60"/>
      <c r="O600" s="60"/>
      <c r="P600" s="60"/>
    </row>
    <row r="601" spans="2:16" ht="13" hidden="1" outlineLevel="1" thickBot="1" x14ac:dyDescent="0.3">
      <c r="B601" s="158" t="s">
        <v>59</v>
      </c>
      <c r="C601" s="420"/>
      <c r="D601" s="421"/>
      <c r="F601" s="416"/>
      <c r="G601" s="416"/>
      <c r="H601" s="416"/>
      <c r="N601" s="60"/>
      <c r="O601" s="60"/>
      <c r="P601" s="60"/>
    </row>
    <row r="602" spans="2:16" hidden="1" outlineLevel="1" x14ac:dyDescent="0.25">
      <c r="N602" s="60"/>
      <c r="O602" s="60"/>
      <c r="P602" s="60"/>
    </row>
    <row r="603" spans="2:16" hidden="1" outlineLevel="1" x14ac:dyDescent="0.25">
      <c r="C603" s="25" t="s">
        <v>44</v>
      </c>
      <c r="D603" s="25" t="s">
        <v>42</v>
      </c>
      <c r="N603" s="60"/>
      <c r="O603" s="60"/>
      <c r="P603" s="60"/>
    </row>
    <row r="604" spans="2:16" ht="21" hidden="1" outlineLevel="1" thickTop="1" thickBot="1" x14ac:dyDescent="0.3">
      <c r="B604" s="140" t="s">
        <v>73</v>
      </c>
      <c r="C604" s="29"/>
      <c r="D604" s="141"/>
      <c r="E604" s="31"/>
      <c r="F604" s="32" t="s">
        <v>27</v>
      </c>
      <c r="G604" s="33"/>
      <c r="H604" s="33"/>
    </row>
    <row r="605" spans="2:16" ht="14.5" hidden="1" outlineLevel="1" thickBot="1" x14ac:dyDescent="0.3">
      <c r="B605" s="37"/>
      <c r="C605" s="38" t="s">
        <v>0</v>
      </c>
      <c r="D605" s="39" t="s">
        <v>1</v>
      </c>
      <c r="E605" s="40"/>
      <c r="F605" s="41" t="s">
        <v>28</v>
      </c>
      <c r="G605" s="41" t="s">
        <v>21</v>
      </c>
      <c r="H605" s="41" t="s">
        <v>8</v>
      </c>
    </row>
    <row r="606" spans="2:16" ht="13" hidden="1" outlineLevel="1" x14ac:dyDescent="0.25">
      <c r="B606" s="43" t="s">
        <v>65</v>
      </c>
      <c r="C606" s="142"/>
      <c r="D606" s="45" t="s">
        <v>2</v>
      </c>
      <c r="E606" s="46"/>
      <c r="F606" s="47"/>
      <c r="G606" s="47"/>
      <c r="H606" s="47"/>
      <c r="N606" s="60"/>
      <c r="O606" s="60"/>
      <c r="P606" s="60"/>
    </row>
    <row r="607" spans="2:16" ht="13" hidden="1" outlineLevel="1" x14ac:dyDescent="0.25">
      <c r="B607" s="43" t="s">
        <v>64</v>
      </c>
      <c r="C607" s="143"/>
      <c r="D607" s="45" t="s">
        <v>3</v>
      </c>
      <c r="E607" s="46"/>
      <c r="F607" s="47"/>
      <c r="G607" s="47"/>
      <c r="H607" s="47"/>
      <c r="N607" s="60"/>
      <c r="O607" s="60"/>
      <c r="P607" s="60"/>
    </row>
    <row r="608" spans="2:16" ht="13" hidden="1" outlineLevel="1" x14ac:dyDescent="0.25">
      <c r="B608" s="51" t="s">
        <v>63</v>
      </c>
      <c r="C608" s="144">
        <f>C606*C607</f>
        <v>0</v>
      </c>
      <c r="D608" s="45" t="str">
        <f>D606</f>
        <v>kg</v>
      </c>
      <c r="E608" s="46"/>
      <c r="F608" s="47"/>
      <c r="G608" s="47"/>
      <c r="H608" s="47"/>
      <c r="N608" s="60"/>
      <c r="O608" s="60"/>
      <c r="P608" s="60"/>
    </row>
    <row r="609" spans="2:16" ht="14" hidden="1" outlineLevel="1" x14ac:dyDescent="0.25">
      <c r="B609" s="54" t="s">
        <v>37</v>
      </c>
      <c r="C609" s="145">
        <v>1</v>
      </c>
      <c r="D609" s="56"/>
      <c r="E609" s="57"/>
      <c r="F609" s="58"/>
      <c r="G609" s="58"/>
      <c r="H609" s="58"/>
      <c r="N609" s="60"/>
      <c r="O609" s="60"/>
      <c r="P609" s="60"/>
    </row>
    <row r="610" spans="2:16" ht="13" hidden="1" outlineLevel="1" x14ac:dyDescent="0.25">
      <c r="B610" s="43" t="s">
        <v>66</v>
      </c>
      <c r="C610" s="142"/>
      <c r="D610" s="45" t="str">
        <f>D606</f>
        <v>kg</v>
      </c>
      <c r="E610" s="46"/>
      <c r="F610" s="47"/>
      <c r="G610" s="47"/>
      <c r="H610" s="47"/>
      <c r="N610" s="60"/>
      <c r="O610" s="60"/>
      <c r="P610" s="60"/>
    </row>
    <row r="611" spans="2:16" ht="13" hidden="1" outlineLevel="1" x14ac:dyDescent="0.25">
      <c r="B611" s="43" t="s">
        <v>67</v>
      </c>
      <c r="C611" s="143"/>
      <c r="D611" s="45" t="s">
        <v>3</v>
      </c>
      <c r="E611" s="59"/>
      <c r="F611" s="47"/>
      <c r="G611" s="47"/>
      <c r="H611" s="47"/>
      <c r="N611" s="60"/>
      <c r="O611" s="60"/>
      <c r="P611" s="60"/>
    </row>
    <row r="612" spans="2:16" ht="13" hidden="1" outlineLevel="1" x14ac:dyDescent="0.25">
      <c r="B612" s="51" t="s">
        <v>68</v>
      </c>
      <c r="C612" s="144">
        <f>C610*C611</f>
        <v>0</v>
      </c>
      <c r="D612" s="45" t="str">
        <f>D606</f>
        <v>kg</v>
      </c>
      <c r="E612" s="46"/>
      <c r="F612" s="47"/>
      <c r="G612" s="47"/>
      <c r="H612" s="47"/>
      <c r="N612" s="60"/>
      <c r="O612" s="60"/>
      <c r="P612" s="60"/>
    </row>
    <row r="613" spans="2:16" ht="13.5" hidden="1" outlineLevel="1" thickBot="1" x14ac:dyDescent="0.3">
      <c r="B613" s="61"/>
      <c r="C613" s="62"/>
      <c r="D613" s="63"/>
      <c r="F613" s="64"/>
      <c r="G613" s="64"/>
      <c r="H613" s="64"/>
      <c r="N613" s="60"/>
      <c r="O613" s="60"/>
      <c r="P613" s="60"/>
    </row>
    <row r="614" spans="2:16" ht="14.5" hidden="1" outlineLevel="1" thickBot="1" x14ac:dyDescent="0.3">
      <c r="B614" s="65" t="s">
        <v>5</v>
      </c>
      <c r="C614" s="66" t="s">
        <v>6</v>
      </c>
      <c r="D614" s="67" t="s">
        <v>1</v>
      </c>
      <c r="E614" s="68"/>
      <c r="F614" s="69"/>
      <c r="G614" s="69"/>
      <c r="H614" s="69"/>
      <c r="N614" s="60"/>
      <c r="O614" s="60"/>
      <c r="P614" s="60"/>
    </row>
    <row r="615" spans="2:16" ht="13" hidden="1" outlineLevel="1" x14ac:dyDescent="0.25">
      <c r="B615" s="70" t="s">
        <v>43</v>
      </c>
      <c r="C615" s="71"/>
      <c r="D615" s="72"/>
      <c r="E615" s="73"/>
      <c r="F615" s="69"/>
      <c r="G615" s="69"/>
      <c r="H615" s="69"/>
      <c r="N615" s="60"/>
      <c r="O615" s="60"/>
      <c r="P615" s="60"/>
    </row>
    <row r="616" spans="2:16" ht="13" hidden="1" outlineLevel="1" x14ac:dyDescent="0.25">
      <c r="B616" s="74"/>
      <c r="C616" s="146">
        <f>C608</f>
        <v>0</v>
      </c>
      <c r="D616" s="76" t="str">
        <f>D606</f>
        <v>kg</v>
      </c>
      <c r="E616" s="98"/>
      <c r="F616" s="69"/>
      <c r="G616" s="69"/>
      <c r="H616" s="69"/>
      <c r="N616" s="60"/>
      <c r="O616" s="60"/>
      <c r="P616" s="60"/>
    </row>
    <row r="617" spans="2:16" ht="13.5" hidden="1" outlineLevel="1" thickBot="1" x14ac:dyDescent="0.3">
      <c r="B617" s="74"/>
      <c r="C617" s="146"/>
      <c r="D617" s="76" t="str">
        <f>D606</f>
        <v>kg</v>
      </c>
      <c r="E617" s="77"/>
      <c r="F617" s="78"/>
      <c r="G617" s="78"/>
      <c r="H617" s="78"/>
      <c r="N617" s="60"/>
      <c r="O617" s="60"/>
      <c r="P617" s="60"/>
    </row>
    <row r="618" spans="2:16" ht="13" hidden="1" outlineLevel="1" x14ac:dyDescent="0.25">
      <c r="B618" s="79" t="s">
        <v>69</v>
      </c>
      <c r="C618" s="147"/>
      <c r="D618" s="81"/>
      <c r="E618" s="77"/>
      <c r="F618" s="82"/>
      <c r="G618" s="82"/>
      <c r="H618" s="82"/>
      <c r="N618" s="60"/>
      <c r="O618" s="60"/>
      <c r="P618" s="60"/>
    </row>
    <row r="619" spans="2:16" ht="13" hidden="1" outlineLevel="1" x14ac:dyDescent="0.25">
      <c r="B619" s="74"/>
      <c r="C619" s="148"/>
      <c r="D619" s="76" t="str">
        <f>D606</f>
        <v>kg</v>
      </c>
      <c r="E619" s="77"/>
      <c r="F619" s="82"/>
      <c r="G619" s="82"/>
      <c r="H619" s="82"/>
      <c r="N619" s="60"/>
      <c r="O619" s="60"/>
      <c r="P619" s="60"/>
    </row>
    <row r="620" spans="2:16" ht="13" hidden="1" outlineLevel="1" x14ac:dyDescent="0.25">
      <c r="B620" s="74"/>
      <c r="C620" s="148"/>
      <c r="D620" s="76" t="str">
        <f>D606</f>
        <v>kg</v>
      </c>
      <c r="E620" s="77"/>
      <c r="F620" s="82"/>
      <c r="G620" s="82"/>
      <c r="H620" s="82"/>
      <c r="N620" s="60"/>
      <c r="O620" s="60"/>
      <c r="P620" s="60"/>
    </row>
    <row r="621" spans="2:16" ht="13" hidden="1" outlineLevel="1" x14ac:dyDescent="0.25">
      <c r="B621" s="74"/>
      <c r="C621" s="148"/>
      <c r="D621" s="76" t="str">
        <f>D606</f>
        <v>kg</v>
      </c>
      <c r="E621" s="77"/>
      <c r="F621" s="82"/>
      <c r="G621" s="82"/>
      <c r="H621" s="82"/>
      <c r="N621" s="60"/>
      <c r="O621" s="60"/>
      <c r="P621" s="60"/>
    </row>
    <row r="622" spans="2:16" ht="13" hidden="1" outlineLevel="1" x14ac:dyDescent="0.25">
      <c r="B622" s="74"/>
      <c r="C622" s="148"/>
      <c r="D622" s="76" t="str">
        <f>D606</f>
        <v>kg</v>
      </c>
      <c r="E622" s="77"/>
      <c r="F622" s="82"/>
      <c r="G622" s="82"/>
      <c r="H622" s="82"/>
      <c r="N622" s="60"/>
      <c r="O622" s="60"/>
      <c r="P622" s="60"/>
    </row>
    <row r="623" spans="2:16" ht="13" hidden="1" outlineLevel="1" x14ac:dyDescent="0.25">
      <c r="B623" s="74"/>
      <c r="C623" s="148"/>
      <c r="D623" s="76" t="str">
        <f>D606</f>
        <v>kg</v>
      </c>
      <c r="E623" s="77"/>
      <c r="F623" s="82"/>
      <c r="G623" s="82"/>
      <c r="H623" s="82"/>
      <c r="N623" s="60"/>
      <c r="O623" s="60"/>
      <c r="P623" s="60"/>
    </row>
    <row r="624" spans="2:16" ht="13" hidden="1" outlineLevel="1" x14ac:dyDescent="0.25">
      <c r="B624" s="74"/>
      <c r="C624" s="148"/>
      <c r="D624" s="76" t="str">
        <f>D606</f>
        <v>kg</v>
      </c>
      <c r="E624" s="77"/>
      <c r="F624" s="82"/>
      <c r="G624" s="82"/>
      <c r="H624" s="82"/>
      <c r="N624" s="60"/>
      <c r="O624" s="60"/>
      <c r="P624" s="60"/>
    </row>
    <row r="625" spans="2:16" ht="13" hidden="1" outlineLevel="1" x14ac:dyDescent="0.25">
      <c r="B625" s="74"/>
      <c r="C625" s="148"/>
      <c r="D625" s="76" t="str">
        <f>D606</f>
        <v>kg</v>
      </c>
      <c r="E625" s="77"/>
      <c r="F625" s="82"/>
      <c r="G625" s="82"/>
      <c r="H625" s="82"/>
      <c r="N625" s="60"/>
      <c r="O625" s="60"/>
      <c r="P625" s="60"/>
    </row>
    <row r="626" spans="2:16" ht="13" hidden="1" outlineLevel="1" x14ac:dyDescent="0.25">
      <c r="B626" s="74"/>
      <c r="C626" s="148"/>
      <c r="D626" s="76" t="str">
        <f>D606</f>
        <v>kg</v>
      </c>
      <c r="E626" s="77"/>
      <c r="F626" s="82"/>
      <c r="G626" s="82"/>
      <c r="H626" s="82"/>
      <c r="N626" s="60"/>
      <c r="O626" s="60"/>
      <c r="P626" s="60"/>
    </row>
    <row r="627" spans="2:16" ht="13" hidden="1" outlineLevel="1" x14ac:dyDescent="0.25">
      <c r="B627" s="74"/>
      <c r="C627" s="148"/>
      <c r="D627" s="76" t="str">
        <f>D606</f>
        <v>kg</v>
      </c>
      <c r="E627" s="77"/>
      <c r="F627" s="82"/>
      <c r="G627" s="82"/>
      <c r="H627" s="82"/>
      <c r="N627" s="60"/>
      <c r="O627" s="60"/>
      <c r="P627" s="60"/>
    </row>
    <row r="628" spans="2:16" ht="13" hidden="1" outlineLevel="1" x14ac:dyDescent="0.25">
      <c r="B628" s="74"/>
      <c r="C628" s="148"/>
      <c r="D628" s="76" t="str">
        <f>D606</f>
        <v>kg</v>
      </c>
      <c r="E628" s="77"/>
      <c r="F628" s="82"/>
      <c r="G628" s="82"/>
      <c r="H628" s="82"/>
      <c r="N628" s="60"/>
      <c r="O628" s="60"/>
      <c r="P628" s="60"/>
    </row>
    <row r="629" spans="2:16" ht="13.4" hidden="1" customHeight="1" outlineLevel="1" x14ac:dyDescent="0.25">
      <c r="B629" s="79"/>
      <c r="C629" s="147"/>
      <c r="D629" s="81"/>
      <c r="E629" s="77"/>
      <c r="F629" s="82"/>
      <c r="G629" s="82"/>
      <c r="H629" s="82"/>
      <c r="K629" s="34"/>
      <c r="N629" s="60"/>
      <c r="O629" s="60"/>
      <c r="P629" s="60"/>
    </row>
    <row r="630" spans="2:16" ht="13" hidden="1" outlineLevel="1" x14ac:dyDescent="0.25">
      <c r="B630" s="86" t="s">
        <v>7</v>
      </c>
      <c r="C630" s="149">
        <f>SUM(C615:C628)</f>
        <v>0</v>
      </c>
      <c r="D630" s="88" t="str">
        <f>D606</f>
        <v>kg</v>
      </c>
      <c r="E630" s="77"/>
      <c r="F630" s="82"/>
      <c r="G630" s="82"/>
      <c r="H630" s="82"/>
      <c r="N630" s="60"/>
      <c r="O630" s="60"/>
      <c r="P630" s="60"/>
    </row>
    <row r="631" spans="2:16" ht="13" hidden="1" outlineLevel="1" x14ac:dyDescent="0.25">
      <c r="B631" s="79" t="s">
        <v>71</v>
      </c>
      <c r="C631" s="150"/>
      <c r="D631" s="81"/>
      <c r="E631" s="77"/>
      <c r="F631" s="82"/>
      <c r="G631" s="82"/>
      <c r="H631" s="82"/>
      <c r="N631" s="60"/>
      <c r="O631" s="60"/>
      <c r="P631" s="60"/>
    </row>
    <row r="632" spans="2:16" ht="13" hidden="1" outlineLevel="1" x14ac:dyDescent="0.25">
      <c r="B632" s="74"/>
      <c r="C632" s="148"/>
      <c r="D632" s="76" t="str">
        <f>D606</f>
        <v>kg</v>
      </c>
      <c r="E632" s="77"/>
      <c r="F632" s="82"/>
      <c r="G632" s="82"/>
      <c r="H632" s="82"/>
    </row>
    <row r="633" spans="2:16" ht="13" hidden="1" outlineLevel="1" x14ac:dyDescent="0.25">
      <c r="B633" s="74"/>
      <c r="C633" s="148"/>
      <c r="D633" s="76" t="str">
        <f>D606</f>
        <v>kg</v>
      </c>
      <c r="E633" s="77"/>
      <c r="F633" s="82"/>
      <c r="G633" s="82"/>
      <c r="H633" s="82"/>
    </row>
    <row r="634" spans="2:16" ht="13" hidden="1" outlineLevel="1" x14ac:dyDescent="0.25">
      <c r="B634" s="74"/>
      <c r="C634" s="148"/>
      <c r="D634" s="76" t="str">
        <f>D606</f>
        <v>kg</v>
      </c>
      <c r="E634" s="77"/>
      <c r="F634" s="82"/>
      <c r="G634" s="82"/>
      <c r="H634" s="82"/>
    </row>
    <row r="635" spans="2:16" ht="13" hidden="1" outlineLevel="1" x14ac:dyDescent="0.25">
      <c r="B635" s="74"/>
      <c r="C635" s="148"/>
      <c r="D635" s="76" t="str">
        <f>D606</f>
        <v>kg</v>
      </c>
      <c r="E635" s="77"/>
      <c r="F635" s="82"/>
      <c r="G635" s="82"/>
      <c r="H635" s="82"/>
    </row>
    <row r="636" spans="2:16" ht="13" hidden="1" outlineLevel="1" x14ac:dyDescent="0.25">
      <c r="B636" s="74"/>
      <c r="C636" s="148"/>
      <c r="D636" s="76" t="str">
        <f>D606</f>
        <v>kg</v>
      </c>
      <c r="E636" s="77"/>
      <c r="F636" s="82"/>
      <c r="G636" s="82"/>
      <c r="H636" s="82"/>
    </row>
    <row r="637" spans="2:16" ht="13" hidden="1" outlineLevel="1" x14ac:dyDescent="0.25">
      <c r="B637" s="74"/>
      <c r="C637" s="148"/>
      <c r="D637" s="76" t="str">
        <f>D606</f>
        <v>kg</v>
      </c>
      <c r="E637" s="77"/>
      <c r="F637" s="82"/>
      <c r="G637" s="82"/>
      <c r="H637" s="82"/>
    </row>
    <row r="638" spans="2:16" ht="13" hidden="1" outlineLevel="1" x14ac:dyDescent="0.25">
      <c r="B638" s="74"/>
      <c r="C638" s="148"/>
      <c r="D638" s="76" t="str">
        <f>D606</f>
        <v>kg</v>
      </c>
      <c r="E638" s="77"/>
      <c r="F638" s="82"/>
      <c r="G638" s="82"/>
      <c r="H638" s="82"/>
    </row>
    <row r="639" spans="2:16" ht="13" hidden="1" outlineLevel="1" x14ac:dyDescent="0.25">
      <c r="B639" s="74"/>
      <c r="C639" s="148"/>
      <c r="D639" s="76" t="str">
        <f>D606</f>
        <v>kg</v>
      </c>
      <c r="E639" s="77"/>
      <c r="F639" s="82"/>
      <c r="G639" s="82"/>
      <c r="H639" s="82"/>
    </row>
    <row r="640" spans="2:16" ht="13" hidden="1" outlineLevel="1" x14ac:dyDescent="0.25">
      <c r="B640" s="79" t="s">
        <v>70</v>
      </c>
      <c r="C640" s="147"/>
      <c r="D640" s="81"/>
      <c r="E640" s="90"/>
      <c r="F640" s="82"/>
      <c r="G640" s="82"/>
      <c r="H640" s="82"/>
    </row>
    <row r="641" spans="2:11" ht="13" hidden="1" outlineLevel="1" x14ac:dyDescent="0.25">
      <c r="B641" s="74"/>
      <c r="C641" s="148"/>
      <c r="D641" s="76" t="str">
        <f>D606</f>
        <v>kg</v>
      </c>
      <c r="E641" s="77"/>
      <c r="F641" s="82"/>
      <c r="G641" s="82"/>
      <c r="H641" s="82"/>
    </row>
    <row r="642" spans="2:11" ht="13" hidden="1" outlineLevel="1" x14ac:dyDescent="0.25">
      <c r="B642" s="74"/>
      <c r="C642" s="148"/>
      <c r="D642" s="76" t="str">
        <f>D606</f>
        <v>kg</v>
      </c>
      <c r="E642" s="77"/>
      <c r="F642" s="82"/>
      <c r="G642" s="82"/>
      <c r="H642" s="82"/>
    </row>
    <row r="643" spans="2:11" ht="13" hidden="1" outlineLevel="1" x14ac:dyDescent="0.25">
      <c r="B643" s="74"/>
      <c r="C643" s="148"/>
      <c r="D643" s="76" t="str">
        <f>D606</f>
        <v>kg</v>
      </c>
      <c r="E643" s="77"/>
      <c r="F643" s="82"/>
      <c r="G643" s="82"/>
      <c r="H643" s="82"/>
    </row>
    <row r="644" spans="2:11" ht="13" hidden="1" outlineLevel="1" x14ac:dyDescent="0.25">
      <c r="B644" s="74"/>
      <c r="C644" s="148"/>
      <c r="D644" s="76" t="str">
        <f>D606</f>
        <v>kg</v>
      </c>
      <c r="E644" s="77"/>
      <c r="F644" s="82"/>
      <c r="G644" s="82"/>
      <c r="H644" s="82"/>
    </row>
    <row r="645" spans="2:11" ht="13" hidden="1" outlineLevel="1" x14ac:dyDescent="0.25">
      <c r="B645" s="74"/>
      <c r="C645" s="148"/>
      <c r="D645" s="76" t="str">
        <f>D606</f>
        <v>kg</v>
      </c>
      <c r="E645" s="77"/>
      <c r="F645" s="82"/>
      <c r="G645" s="82"/>
      <c r="H645" s="82"/>
    </row>
    <row r="646" spans="2:11" ht="13" hidden="1" outlineLevel="1" x14ac:dyDescent="0.25">
      <c r="B646" s="74"/>
      <c r="C646" s="148"/>
      <c r="D646" s="76" t="str">
        <f>D606</f>
        <v>kg</v>
      </c>
      <c r="E646" s="77"/>
      <c r="F646" s="82"/>
      <c r="G646" s="82"/>
      <c r="H646" s="82"/>
    </row>
    <row r="647" spans="2:11" ht="13" hidden="1" outlineLevel="1" x14ac:dyDescent="0.25">
      <c r="B647" s="74"/>
      <c r="C647" s="148"/>
      <c r="D647" s="76" t="str">
        <f>D606</f>
        <v>kg</v>
      </c>
      <c r="E647" s="77"/>
      <c r="F647" s="82"/>
      <c r="G647" s="82"/>
      <c r="H647" s="82"/>
    </row>
    <row r="648" spans="2:11" ht="13.4" hidden="1" customHeight="1" outlineLevel="1" x14ac:dyDescent="0.25">
      <c r="B648" s="79"/>
      <c r="C648" s="147"/>
      <c r="D648" s="81"/>
      <c r="E648" s="77"/>
      <c r="F648" s="82"/>
      <c r="G648" s="82"/>
      <c r="H648" s="82"/>
      <c r="K648" s="34"/>
    </row>
    <row r="649" spans="2:11" ht="13" hidden="1" outlineLevel="1" x14ac:dyDescent="0.25">
      <c r="B649" s="86" t="s">
        <v>9</v>
      </c>
      <c r="C649" s="149">
        <f>SUM(C630:C647)</f>
        <v>0</v>
      </c>
      <c r="D649" s="91" t="str">
        <f>D606</f>
        <v>kg</v>
      </c>
      <c r="E649" s="77"/>
      <c r="F649" s="82"/>
      <c r="G649" s="82"/>
      <c r="H649" s="82"/>
    </row>
    <row r="650" spans="2:11" ht="13" hidden="1" outlineLevel="1" x14ac:dyDescent="0.25">
      <c r="B650" s="92"/>
      <c r="C650" s="93"/>
      <c r="D650" s="94"/>
      <c r="E650" s="77"/>
      <c r="F650" s="82"/>
      <c r="G650" s="82"/>
      <c r="H650" s="82"/>
    </row>
    <row r="651" spans="2:11" ht="20.5" hidden="1" outlineLevel="1" thickBot="1" x14ac:dyDescent="0.3">
      <c r="B651" s="426" t="s">
        <v>10</v>
      </c>
      <c r="C651" s="427"/>
      <c r="D651" s="428"/>
      <c r="E651" s="77"/>
      <c r="F651" s="82"/>
      <c r="G651" s="82"/>
      <c r="H651" s="82"/>
    </row>
    <row r="652" spans="2:11" ht="13" hidden="1" outlineLevel="1" x14ac:dyDescent="0.25">
      <c r="B652" s="95" t="s">
        <v>23</v>
      </c>
      <c r="C652" s="96"/>
      <c r="D652" s="151">
        <f>SUM(C616:C617)</f>
        <v>0</v>
      </c>
      <c r="E652" s="98"/>
      <c r="F652" s="82"/>
      <c r="G652" s="82"/>
      <c r="H652" s="82"/>
    </row>
    <row r="653" spans="2:11" ht="13" hidden="1" outlineLevel="1" x14ac:dyDescent="0.25">
      <c r="B653" s="99" t="s">
        <v>24</v>
      </c>
      <c r="C653" s="100"/>
      <c r="D653" s="152">
        <f>SUM(C619:C629)</f>
        <v>0</v>
      </c>
      <c r="E653" s="98"/>
      <c r="F653" s="82"/>
      <c r="G653" s="82"/>
      <c r="H653" s="82"/>
    </row>
    <row r="654" spans="2:11" ht="13" hidden="1" outlineLevel="1" x14ac:dyDescent="0.25">
      <c r="B654" s="99" t="s">
        <v>25</v>
      </c>
      <c r="C654" s="100"/>
      <c r="D654" s="152">
        <f>SUM(C632:C640)</f>
        <v>0</v>
      </c>
      <c r="E654" s="98"/>
      <c r="F654" s="82"/>
      <c r="G654" s="82"/>
      <c r="H654" s="82"/>
    </row>
    <row r="655" spans="2:11" ht="13" hidden="1" outlineLevel="1" x14ac:dyDescent="0.25">
      <c r="B655" s="102" t="s">
        <v>26</v>
      </c>
      <c r="C655" s="103"/>
      <c r="D655" s="153">
        <f>SUM(C641:C648)</f>
        <v>0</v>
      </c>
      <c r="E655" s="98"/>
      <c r="F655" s="82"/>
      <c r="G655" s="82"/>
      <c r="H655" s="82"/>
    </row>
    <row r="656" spans="2:11" ht="18.5" hidden="1" outlineLevel="1" thickTop="1" x14ac:dyDescent="0.25">
      <c r="B656" s="105" t="s">
        <v>11</v>
      </c>
      <c r="C656" s="106"/>
      <c r="D656" s="107" t="e">
        <f>C630/C612</f>
        <v>#DIV/0!</v>
      </c>
      <c r="E656" s="77"/>
      <c r="F656" s="110" t="s">
        <v>86</v>
      </c>
      <c r="G656" s="109" t="s">
        <v>85</v>
      </c>
      <c r="H656" s="110"/>
    </row>
    <row r="657" spans="2:8" ht="18.5" hidden="1" outlineLevel="1" thickBot="1" x14ac:dyDescent="0.3">
      <c r="B657" s="111" t="s">
        <v>12</v>
      </c>
      <c r="C657" s="112"/>
      <c r="D657" s="113" t="e">
        <f>(D652+D653+D654)/C612</f>
        <v>#DIV/0!</v>
      </c>
      <c r="E657" s="77"/>
      <c r="F657" s="154"/>
      <c r="G657" s="413"/>
      <c r="H657" s="414"/>
    </row>
    <row r="658" spans="2:8" ht="18" hidden="1" outlineLevel="1" x14ac:dyDescent="0.25">
      <c r="B658" s="111" t="s">
        <v>13</v>
      </c>
      <c r="C658" s="112"/>
      <c r="D658" s="113" t="e">
        <f>D654/C612</f>
        <v>#DIV/0!</v>
      </c>
      <c r="E658" s="90"/>
      <c r="F658" s="64" t="s">
        <v>45</v>
      </c>
      <c r="G658" s="64" t="s">
        <v>45</v>
      </c>
      <c r="H658" s="155"/>
    </row>
    <row r="659" spans="2:8" ht="18" hidden="1" outlineLevel="1" x14ac:dyDescent="0.25">
      <c r="B659" s="114" t="s">
        <v>14</v>
      </c>
      <c r="C659" s="115"/>
      <c r="D659" s="116" t="e">
        <f>D655/C612</f>
        <v>#DIV/0!</v>
      </c>
      <c r="E659" s="90"/>
      <c r="F659" s="110"/>
      <c r="G659" s="117" t="s">
        <v>46</v>
      </c>
      <c r="H659" s="110"/>
    </row>
    <row r="660" spans="2:8" ht="18.5" hidden="1" outlineLevel="1" thickBot="1" x14ac:dyDescent="0.3">
      <c r="B660" s="114" t="s">
        <v>15</v>
      </c>
      <c r="C660" s="119"/>
      <c r="D660" s="116" t="e">
        <f>SUM(D652:D655)/C612</f>
        <v>#DIV/0!</v>
      </c>
      <c r="E660" s="90"/>
      <c r="F660" s="429"/>
      <c r="G660" s="430"/>
      <c r="H660" s="431"/>
    </row>
    <row r="661" spans="2:8" ht="18.5" hidden="1" outlineLevel="1" thickTop="1" x14ac:dyDescent="0.25">
      <c r="B661" s="120" t="s">
        <v>16</v>
      </c>
      <c r="C661" s="121"/>
      <c r="D661" s="122" t="e">
        <f>((C616*D594)+D653+C617*MAX(1,F617))/C612</f>
        <v>#DIV/0!</v>
      </c>
      <c r="E661" s="77"/>
      <c r="F661" s="64" t="s">
        <v>45</v>
      </c>
      <c r="G661" s="64"/>
      <c r="H661" s="82"/>
    </row>
    <row r="662" spans="2:8" ht="18" hidden="1" outlineLevel="1" x14ac:dyDescent="0.25">
      <c r="B662" s="123" t="s">
        <v>17</v>
      </c>
      <c r="C662" s="124"/>
      <c r="D662" s="125" t="e">
        <f>(C616*D595+D653+D654+C617*(MAX(1,F617)+G617))/C612</f>
        <v>#DIV/0!</v>
      </c>
      <c r="E662" s="77"/>
      <c r="F662" s="82"/>
      <c r="G662" s="82"/>
      <c r="H662" s="82"/>
    </row>
    <row r="663" spans="2:8" ht="18" hidden="1" customHeight="1" outlineLevel="1" x14ac:dyDescent="0.25">
      <c r="B663" s="123" t="s">
        <v>18</v>
      </c>
      <c r="C663" s="124"/>
      <c r="D663" s="125" t="e">
        <f>((C616*D596)+D654+C617*G617)/C612</f>
        <v>#DIV/0!</v>
      </c>
      <c r="E663" s="77"/>
      <c r="F663" s="415" t="s">
        <v>61</v>
      </c>
      <c r="G663" s="416"/>
      <c r="H663" s="416"/>
    </row>
    <row r="664" spans="2:8" ht="18" hidden="1" outlineLevel="1" x14ac:dyDescent="0.25">
      <c r="B664" s="126" t="s">
        <v>19</v>
      </c>
      <c r="C664" s="127"/>
      <c r="D664" s="128" t="e">
        <f>(C616*D597+D655+C617*H617)/C612</f>
        <v>#DIV/0!</v>
      </c>
      <c r="E664" s="77"/>
      <c r="F664" s="416"/>
      <c r="G664" s="416"/>
      <c r="H664" s="416"/>
    </row>
    <row r="665" spans="2:8" ht="18.5" hidden="1" outlineLevel="1" thickBot="1" x14ac:dyDescent="0.3">
      <c r="B665" s="129" t="s">
        <v>20</v>
      </c>
      <c r="C665" s="130"/>
      <c r="D665" s="131" t="e">
        <f>((C616*D598)+SUM(D653:D655)+C617*(MAX(1,F617)+G617+H617))/C612</f>
        <v>#DIV/0!</v>
      </c>
      <c r="E665" s="77"/>
      <c r="F665" s="416"/>
      <c r="G665" s="416"/>
      <c r="H665" s="416"/>
    </row>
    <row r="666" spans="2:8" ht="13" hidden="1" outlineLevel="1" thickTop="1" x14ac:dyDescent="0.25">
      <c r="B666" s="156" t="s">
        <v>76</v>
      </c>
      <c r="C666" s="424"/>
      <c r="D666" s="425"/>
      <c r="F666" s="416"/>
      <c r="G666" s="416"/>
      <c r="H666" s="416"/>
    </row>
    <row r="667" spans="2:8" hidden="1" outlineLevel="1" x14ac:dyDescent="0.25">
      <c r="B667" s="157" t="s">
        <v>58</v>
      </c>
      <c r="C667" s="422"/>
      <c r="D667" s="423"/>
      <c r="F667" s="416"/>
      <c r="G667" s="416"/>
      <c r="H667" s="416"/>
    </row>
    <row r="668" spans="2:8" ht="13" hidden="1" outlineLevel="1" thickBot="1" x14ac:dyDescent="0.3">
      <c r="B668" s="158" t="s">
        <v>59</v>
      </c>
      <c r="C668" s="420"/>
      <c r="D668" s="421"/>
      <c r="F668" s="416"/>
      <c r="G668" s="416"/>
      <c r="H668" s="416"/>
    </row>
    <row r="669" spans="2:8" hidden="1" outlineLevel="1" x14ac:dyDescent="0.25"/>
    <row r="670" spans="2:8" hidden="1" outlineLevel="1" x14ac:dyDescent="0.25"/>
    <row r="671" spans="2:8" hidden="1" outlineLevel="1" x14ac:dyDescent="0.25"/>
    <row r="672" spans="2:8" hidden="1" outlineLevel="1" x14ac:dyDescent="0.25"/>
    <row r="673" hidden="1" outlineLevel="1" x14ac:dyDescent="0.25"/>
    <row r="674" hidden="1" outlineLevel="1" x14ac:dyDescent="0.25"/>
    <row r="675" hidden="1" outlineLevel="1" x14ac:dyDescent="0.25"/>
    <row r="676" hidden="1" outlineLevel="1" x14ac:dyDescent="0.25"/>
    <row r="677" hidden="1" outlineLevel="1" x14ac:dyDescent="0.25"/>
    <row r="678" hidden="1" outlineLevel="1" x14ac:dyDescent="0.25"/>
    <row r="679" hidden="1" outlineLevel="1" x14ac:dyDescent="0.25"/>
    <row r="680" hidden="1" outlineLevel="1" x14ac:dyDescent="0.25"/>
    <row r="681" hidden="1" outlineLevel="1" x14ac:dyDescent="0.25"/>
    <row r="682" hidden="1" outlineLevel="1" x14ac:dyDescent="0.25"/>
    <row r="683" hidden="1" outlineLevel="1" x14ac:dyDescent="0.25"/>
    <row r="684" hidden="1" outlineLevel="1" x14ac:dyDescent="0.25"/>
    <row r="685" hidden="1" outlineLevel="1" x14ac:dyDescent="0.25"/>
    <row r="686" hidden="1" outlineLevel="1" x14ac:dyDescent="0.25"/>
    <row r="687" hidden="1" outlineLevel="1" x14ac:dyDescent="0.25"/>
    <row r="688" hidden="1" outlineLevel="1" x14ac:dyDescent="0.25"/>
    <row r="689" hidden="1" outlineLevel="1" x14ac:dyDescent="0.25"/>
    <row r="690" hidden="1" outlineLevel="1" x14ac:dyDescent="0.25"/>
    <row r="691" hidden="1" outlineLevel="1" x14ac:dyDescent="0.25"/>
    <row r="692" hidden="1" outlineLevel="1" x14ac:dyDescent="0.25"/>
    <row r="693" hidden="1" outlineLevel="1" x14ac:dyDescent="0.25"/>
    <row r="694" hidden="1" outlineLevel="1" x14ac:dyDescent="0.25"/>
    <row r="695" hidden="1" outlineLevel="1" x14ac:dyDescent="0.25"/>
    <row r="696" hidden="1" outlineLevel="1" x14ac:dyDescent="0.25"/>
    <row r="697" hidden="1" outlineLevel="1" x14ac:dyDescent="0.25"/>
    <row r="698" hidden="1" outlineLevel="1" x14ac:dyDescent="0.25"/>
    <row r="699" hidden="1" outlineLevel="1" x14ac:dyDescent="0.25"/>
    <row r="700" hidden="1" outlineLevel="1" x14ac:dyDescent="0.25"/>
    <row r="701" hidden="1" outlineLevel="1" x14ac:dyDescent="0.25"/>
    <row r="702" hidden="1" outlineLevel="1" x14ac:dyDescent="0.25"/>
    <row r="703" hidden="1" outlineLevel="1" x14ac:dyDescent="0.25"/>
    <row r="704" hidden="1" outlineLevel="1" x14ac:dyDescent="0.25"/>
    <row r="705" hidden="1" outlineLevel="1" x14ac:dyDescent="0.25"/>
    <row r="706" hidden="1" outlineLevel="1" x14ac:dyDescent="0.25"/>
    <row r="707" hidden="1" outlineLevel="1" x14ac:dyDescent="0.25"/>
    <row r="708" hidden="1" outlineLevel="1" x14ac:dyDescent="0.25"/>
    <row r="709" hidden="1" outlineLevel="1" x14ac:dyDescent="0.25"/>
    <row r="710" hidden="1" outlineLevel="1" x14ac:dyDescent="0.25"/>
    <row r="711" hidden="1" outlineLevel="1" x14ac:dyDescent="0.25"/>
    <row r="712" hidden="1" outlineLevel="1" x14ac:dyDescent="0.25"/>
    <row r="713" hidden="1" outlineLevel="1" x14ac:dyDescent="0.25"/>
    <row r="714" hidden="1" outlineLevel="1" x14ac:dyDescent="0.25"/>
    <row r="715" hidden="1" outlineLevel="1" x14ac:dyDescent="0.25"/>
    <row r="716" hidden="1" outlineLevel="1" x14ac:dyDescent="0.25"/>
    <row r="717" hidden="1" outlineLevel="1" x14ac:dyDescent="0.25"/>
    <row r="718" hidden="1" outlineLevel="1" x14ac:dyDescent="0.25"/>
    <row r="719" hidden="1" outlineLevel="1" x14ac:dyDescent="0.25"/>
    <row r="720" hidden="1" outlineLevel="1" x14ac:dyDescent="0.25"/>
    <row r="721" hidden="1" outlineLevel="1" x14ac:dyDescent="0.25"/>
    <row r="722" hidden="1" outlineLevel="1" x14ac:dyDescent="0.25"/>
    <row r="723" hidden="1" outlineLevel="1" x14ac:dyDescent="0.25"/>
    <row r="724" hidden="1" outlineLevel="1" x14ac:dyDescent="0.25"/>
    <row r="725" hidden="1" outlineLevel="1" x14ac:dyDescent="0.25"/>
    <row r="726" hidden="1" outlineLevel="1" x14ac:dyDescent="0.25"/>
    <row r="727" hidden="1" outlineLevel="1" x14ac:dyDescent="0.25"/>
    <row r="728" hidden="1" outlineLevel="1" x14ac:dyDescent="0.25"/>
    <row r="729" hidden="1" outlineLevel="1" x14ac:dyDescent="0.25"/>
    <row r="730" hidden="1" outlineLevel="1" x14ac:dyDescent="0.25"/>
    <row r="731" hidden="1" outlineLevel="1" x14ac:dyDescent="0.25"/>
    <row r="732" hidden="1" outlineLevel="1" x14ac:dyDescent="0.25"/>
    <row r="733" hidden="1" outlineLevel="1" x14ac:dyDescent="0.25"/>
    <row r="734" hidden="1" outlineLevel="1" x14ac:dyDescent="0.25"/>
    <row r="735" hidden="1" outlineLevel="1" x14ac:dyDescent="0.25"/>
    <row r="736" hidden="1" outlineLevel="1" x14ac:dyDescent="0.25"/>
    <row r="737" hidden="1" outlineLevel="1" x14ac:dyDescent="0.25"/>
    <row r="738" hidden="1" outlineLevel="1" x14ac:dyDescent="0.25"/>
    <row r="739" hidden="1" outlineLevel="1" x14ac:dyDescent="0.25"/>
    <row r="740" hidden="1" outlineLevel="1" x14ac:dyDescent="0.25"/>
    <row r="741" hidden="1" outlineLevel="1" x14ac:dyDescent="0.25"/>
    <row r="742" hidden="1" outlineLevel="1" x14ac:dyDescent="0.25"/>
    <row r="743" hidden="1" outlineLevel="1" x14ac:dyDescent="0.25"/>
    <row r="744" hidden="1" outlineLevel="1" x14ac:dyDescent="0.25"/>
    <row r="745" hidden="1" outlineLevel="1" x14ac:dyDescent="0.25"/>
    <row r="746" hidden="1" outlineLevel="1" x14ac:dyDescent="0.25"/>
    <row r="747" hidden="1" outlineLevel="1" x14ac:dyDescent="0.25"/>
    <row r="748" hidden="1" outlineLevel="1" x14ac:dyDescent="0.25"/>
    <row r="749" hidden="1" outlineLevel="1" x14ac:dyDescent="0.25"/>
    <row r="750" hidden="1" outlineLevel="1" x14ac:dyDescent="0.25"/>
    <row r="751" hidden="1" outlineLevel="1" x14ac:dyDescent="0.25"/>
    <row r="752" hidden="1" outlineLevel="1" x14ac:dyDescent="0.25"/>
    <row r="753" hidden="1" outlineLevel="1" x14ac:dyDescent="0.25"/>
    <row r="754" hidden="1" outlineLevel="1" x14ac:dyDescent="0.25"/>
    <row r="755" hidden="1" outlineLevel="1" x14ac:dyDescent="0.25"/>
    <row r="756" hidden="1" outlineLevel="1" x14ac:dyDescent="0.25"/>
    <row r="757" hidden="1" outlineLevel="1" x14ac:dyDescent="0.25"/>
    <row r="758" hidden="1" outlineLevel="1" x14ac:dyDescent="0.25"/>
    <row r="759" hidden="1" outlineLevel="1" x14ac:dyDescent="0.25"/>
    <row r="760" hidden="1" outlineLevel="1" x14ac:dyDescent="0.25"/>
    <row r="761" hidden="1" outlineLevel="1" x14ac:dyDescent="0.25"/>
    <row r="762" hidden="1" outlineLevel="1" x14ac:dyDescent="0.25"/>
    <row r="763" hidden="1" outlineLevel="1" x14ac:dyDescent="0.25"/>
    <row r="764" hidden="1" outlineLevel="1" x14ac:dyDescent="0.25"/>
    <row r="765" hidden="1" outlineLevel="1" x14ac:dyDescent="0.25"/>
    <row r="766" hidden="1" outlineLevel="1" x14ac:dyDescent="0.25"/>
    <row r="767" hidden="1" outlineLevel="1" x14ac:dyDescent="0.25"/>
    <row r="768" hidden="1" outlineLevel="1" x14ac:dyDescent="0.25"/>
    <row r="769" hidden="1" outlineLevel="1" x14ac:dyDescent="0.25"/>
    <row r="770" hidden="1" outlineLevel="1" x14ac:dyDescent="0.25"/>
    <row r="771" hidden="1" outlineLevel="1" x14ac:dyDescent="0.25"/>
    <row r="772" hidden="1" outlineLevel="1" x14ac:dyDescent="0.25"/>
    <row r="773" hidden="1" outlineLevel="1" x14ac:dyDescent="0.25"/>
    <row r="774" hidden="1" outlineLevel="1" x14ac:dyDescent="0.25"/>
    <row r="775" hidden="1" outlineLevel="1" x14ac:dyDescent="0.25"/>
    <row r="776" hidden="1" outlineLevel="1" x14ac:dyDescent="0.25"/>
    <row r="777" hidden="1" outlineLevel="1" x14ac:dyDescent="0.25"/>
    <row r="778" hidden="1" outlineLevel="1" x14ac:dyDescent="0.25"/>
    <row r="779" hidden="1" outlineLevel="1" x14ac:dyDescent="0.25"/>
    <row r="780" hidden="1" outlineLevel="1" x14ac:dyDescent="0.25"/>
    <row r="781" hidden="1" outlineLevel="1" x14ac:dyDescent="0.25"/>
    <row r="782" hidden="1" outlineLevel="1" x14ac:dyDescent="0.25"/>
    <row r="783" hidden="1" outlineLevel="1" x14ac:dyDescent="0.25"/>
    <row r="784" hidden="1" outlineLevel="1" x14ac:dyDescent="0.25"/>
    <row r="785" hidden="1" outlineLevel="1" x14ac:dyDescent="0.25"/>
    <row r="786" hidden="1" outlineLevel="1" x14ac:dyDescent="0.25"/>
    <row r="787" hidden="1" outlineLevel="1" x14ac:dyDescent="0.25"/>
    <row r="788" hidden="1" outlineLevel="1" x14ac:dyDescent="0.25"/>
    <row r="789" hidden="1" outlineLevel="1" x14ac:dyDescent="0.25"/>
    <row r="790" hidden="1" outlineLevel="1" x14ac:dyDescent="0.25"/>
    <row r="791" hidden="1" outlineLevel="1" x14ac:dyDescent="0.25"/>
    <row r="792" hidden="1" outlineLevel="1" x14ac:dyDescent="0.25"/>
    <row r="793" hidden="1" outlineLevel="1" x14ac:dyDescent="0.25"/>
    <row r="794" hidden="1" outlineLevel="1" x14ac:dyDescent="0.25"/>
    <row r="795" hidden="1" outlineLevel="1" x14ac:dyDescent="0.25"/>
    <row r="796" hidden="1" outlineLevel="1" x14ac:dyDescent="0.25"/>
    <row r="797" hidden="1" outlineLevel="1" x14ac:dyDescent="0.25"/>
    <row r="798" hidden="1" outlineLevel="1" x14ac:dyDescent="0.25"/>
    <row r="799" hidden="1" outlineLevel="1" x14ac:dyDescent="0.25"/>
    <row r="800" hidden="1" outlineLevel="1" x14ac:dyDescent="0.25"/>
    <row r="801" hidden="1" outlineLevel="1" x14ac:dyDescent="0.25"/>
    <row r="802" hidden="1" outlineLevel="1" x14ac:dyDescent="0.25"/>
    <row r="803" hidden="1" outlineLevel="1" x14ac:dyDescent="0.25"/>
    <row r="804" hidden="1" outlineLevel="1" x14ac:dyDescent="0.25"/>
    <row r="805" hidden="1" outlineLevel="1" x14ac:dyDescent="0.25"/>
    <row r="806" hidden="1" outlineLevel="1" x14ac:dyDescent="0.25"/>
    <row r="807" hidden="1" outlineLevel="1" x14ac:dyDescent="0.25"/>
    <row r="808" hidden="1" outlineLevel="1" x14ac:dyDescent="0.25"/>
    <row r="809" hidden="1" outlineLevel="1" x14ac:dyDescent="0.25"/>
    <row r="810" hidden="1" outlineLevel="1" x14ac:dyDescent="0.25"/>
    <row r="811" hidden="1" outlineLevel="1" x14ac:dyDescent="0.25"/>
    <row r="812" hidden="1" outlineLevel="1" x14ac:dyDescent="0.25"/>
    <row r="813" hidden="1" outlineLevel="1" x14ac:dyDescent="0.25"/>
    <row r="814" hidden="1" outlineLevel="1" x14ac:dyDescent="0.25"/>
    <row r="815" hidden="1" outlineLevel="1" x14ac:dyDescent="0.25"/>
    <row r="816" hidden="1" outlineLevel="1" x14ac:dyDescent="0.25"/>
    <row r="817" hidden="1" outlineLevel="1" x14ac:dyDescent="0.25"/>
    <row r="818" hidden="1" outlineLevel="1" x14ac:dyDescent="0.25"/>
    <row r="819" hidden="1" outlineLevel="1" x14ac:dyDescent="0.25"/>
    <row r="820" hidden="1" outlineLevel="1" x14ac:dyDescent="0.25"/>
    <row r="821" hidden="1" outlineLevel="1" x14ac:dyDescent="0.25"/>
    <row r="822" hidden="1" outlineLevel="1" x14ac:dyDescent="0.25"/>
    <row r="823" hidden="1" outlineLevel="1" x14ac:dyDescent="0.25"/>
    <row r="824" hidden="1" outlineLevel="1" x14ac:dyDescent="0.25"/>
    <row r="825" hidden="1" outlineLevel="1" x14ac:dyDescent="0.25"/>
    <row r="826" hidden="1" outlineLevel="1" x14ac:dyDescent="0.25"/>
    <row r="827" hidden="1" outlineLevel="1" x14ac:dyDescent="0.25"/>
    <row r="828" hidden="1" outlineLevel="1" x14ac:dyDescent="0.25"/>
    <row r="829" hidden="1" outlineLevel="1" x14ac:dyDescent="0.25"/>
    <row r="830" hidden="1" outlineLevel="1" x14ac:dyDescent="0.25"/>
    <row r="831" hidden="1" outlineLevel="1" x14ac:dyDescent="0.25"/>
    <row r="832" hidden="1" outlineLevel="1" x14ac:dyDescent="0.25"/>
    <row r="833" hidden="1" outlineLevel="1" x14ac:dyDescent="0.25"/>
    <row r="834" hidden="1" outlineLevel="1" x14ac:dyDescent="0.25"/>
    <row r="835" hidden="1" outlineLevel="1" x14ac:dyDescent="0.25"/>
    <row r="836" hidden="1" outlineLevel="1" x14ac:dyDescent="0.25"/>
    <row r="837" hidden="1" outlineLevel="1" x14ac:dyDescent="0.25"/>
    <row r="838" hidden="1" outlineLevel="1" x14ac:dyDescent="0.25"/>
    <row r="839" hidden="1" outlineLevel="1" x14ac:dyDescent="0.25"/>
    <row r="840" hidden="1" outlineLevel="1" x14ac:dyDescent="0.25"/>
    <row r="841" hidden="1" outlineLevel="1" x14ac:dyDescent="0.25"/>
    <row r="842" hidden="1" outlineLevel="1" x14ac:dyDescent="0.25"/>
    <row r="843" hidden="1" outlineLevel="1" x14ac:dyDescent="0.25"/>
    <row r="844" hidden="1" outlineLevel="1" x14ac:dyDescent="0.25"/>
    <row r="845" hidden="1" outlineLevel="1" x14ac:dyDescent="0.25"/>
    <row r="846" hidden="1" outlineLevel="1" x14ac:dyDescent="0.25"/>
    <row r="847" hidden="1" outlineLevel="1" x14ac:dyDescent="0.25"/>
    <row r="848" hidden="1" outlineLevel="1" x14ac:dyDescent="0.25"/>
    <row r="849" hidden="1" outlineLevel="1" x14ac:dyDescent="0.25"/>
    <row r="850" hidden="1" outlineLevel="1" x14ac:dyDescent="0.25"/>
    <row r="851" hidden="1" outlineLevel="1" x14ac:dyDescent="0.25"/>
    <row r="852" hidden="1" outlineLevel="1" x14ac:dyDescent="0.25"/>
    <row r="853" hidden="1" outlineLevel="1" x14ac:dyDescent="0.25"/>
    <row r="854" hidden="1" outlineLevel="1" x14ac:dyDescent="0.25"/>
    <row r="855" hidden="1" outlineLevel="1" x14ac:dyDescent="0.25"/>
    <row r="856" hidden="1" outlineLevel="1" x14ac:dyDescent="0.25"/>
    <row r="857" hidden="1" outlineLevel="1" x14ac:dyDescent="0.25"/>
    <row r="858" hidden="1" outlineLevel="1" x14ac:dyDescent="0.25"/>
    <row r="859" hidden="1" outlineLevel="1" x14ac:dyDescent="0.25"/>
    <row r="860" hidden="1" outlineLevel="1" x14ac:dyDescent="0.25"/>
    <row r="861" hidden="1" outlineLevel="1" x14ac:dyDescent="0.25"/>
    <row r="862" hidden="1" outlineLevel="1" x14ac:dyDescent="0.25"/>
    <row r="863" hidden="1" outlineLevel="1" x14ac:dyDescent="0.25"/>
    <row r="864" hidden="1" outlineLevel="1" x14ac:dyDescent="0.25"/>
    <row r="865" hidden="1" outlineLevel="1" x14ac:dyDescent="0.25"/>
    <row r="866" hidden="1" outlineLevel="1" x14ac:dyDescent="0.25"/>
    <row r="867" hidden="1" outlineLevel="1" x14ac:dyDescent="0.25"/>
    <row r="868" hidden="1" outlineLevel="1" x14ac:dyDescent="0.25"/>
    <row r="869" hidden="1" outlineLevel="1" x14ac:dyDescent="0.25"/>
    <row r="870" hidden="1" outlineLevel="1" x14ac:dyDescent="0.25"/>
    <row r="871" hidden="1" outlineLevel="1" x14ac:dyDescent="0.25"/>
    <row r="872" hidden="1" outlineLevel="1" x14ac:dyDescent="0.25"/>
    <row r="873" hidden="1" outlineLevel="1" x14ac:dyDescent="0.25"/>
    <row r="874" hidden="1" outlineLevel="1" x14ac:dyDescent="0.25"/>
    <row r="875" hidden="1" outlineLevel="1" x14ac:dyDescent="0.25"/>
    <row r="876" hidden="1" outlineLevel="1" x14ac:dyDescent="0.25"/>
    <row r="877" hidden="1" outlineLevel="1" x14ac:dyDescent="0.25"/>
    <row r="878" hidden="1" outlineLevel="1" x14ac:dyDescent="0.25"/>
    <row r="879" hidden="1" outlineLevel="1" x14ac:dyDescent="0.25"/>
    <row r="880" hidden="1" outlineLevel="1" x14ac:dyDescent="0.25"/>
    <row r="881" hidden="1" outlineLevel="1" x14ac:dyDescent="0.25"/>
    <row r="882" hidden="1" outlineLevel="1" x14ac:dyDescent="0.25"/>
    <row r="883" hidden="1" outlineLevel="1" x14ac:dyDescent="0.25"/>
    <row r="884" hidden="1" outlineLevel="1" x14ac:dyDescent="0.25"/>
    <row r="885" hidden="1" outlineLevel="1" x14ac:dyDescent="0.25"/>
    <row r="886" hidden="1" outlineLevel="1" x14ac:dyDescent="0.25"/>
    <row r="887" hidden="1" outlineLevel="1" x14ac:dyDescent="0.25"/>
    <row r="888" hidden="1" outlineLevel="1" x14ac:dyDescent="0.25"/>
    <row r="889" hidden="1" outlineLevel="1" x14ac:dyDescent="0.25"/>
    <row r="890" hidden="1" outlineLevel="1" x14ac:dyDescent="0.25"/>
    <row r="891" hidden="1" outlineLevel="1" x14ac:dyDescent="0.25"/>
    <row r="892" hidden="1" outlineLevel="1" x14ac:dyDescent="0.25"/>
    <row r="893" hidden="1" outlineLevel="1" x14ac:dyDescent="0.25"/>
    <row r="894" hidden="1" outlineLevel="1" x14ac:dyDescent="0.25"/>
    <row r="895" hidden="1" outlineLevel="1" x14ac:dyDescent="0.25"/>
    <row r="896" hidden="1" outlineLevel="1" x14ac:dyDescent="0.25"/>
    <row r="897" hidden="1" outlineLevel="1" x14ac:dyDescent="0.25"/>
    <row r="898" hidden="1" outlineLevel="1" x14ac:dyDescent="0.25"/>
    <row r="899" hidden="1" outlineLevel="1" x14ac:dyDescent="0.25"/>
    <row r="900" hidden="1" outlineLevel="1" x14ac:dyDescent="0.25"/>
    <row r="901" hidden="1" outlineLevel="1" x14ac:dyDescent="0.25"/>
    <row r="902" hidden="1" outlineLevel="1" x14ac:dyDescent="0.25"/>
    <row r="903" hidden="1" outlineLevel="1" x14ac:dyDescent="0.25"/>
    <row r="904" hidden="1" outlineLevel="1" x14ac:dyDescent="0.25"/>
    <row r="905" hidden="1" outlineLevel="1" x14ac:dyDescent="0.25"/>
    <row r="906" hidden="1" outlineLevel="1" x14ac:dyDescent="0.25"/>
    <row r="907" hidden="1" outlineLevel="1" x14ac:dyDescent="0.25"/>
    <row r="908" hidden="1" outlineLevel="1" x14ac:dyDescent="0.25"/>
    <row r="909" hidden="1" outlineLevel="1" x14ac:dyDescent="0.25"/>
    <row r="910" hidden="1" outlineLevel="1" x14ac:dyDescent="0.25"/>
    <row r="911" hidden="1" outlineLevel="1" x14ac:dyDescent="0.25"/>
    <row r="912" hidden="1" outlineLevel="1" x14ac:dyDescent="0.25"/>
    <row r="913" hidden="1" outlineLevel="1" x14ac:dyDescent="0.25"/>
    <row r="914" hidden="1" outlineLevel="1" x14ac:dyDescent="0.25"/>
    <row r="915" hidden="1" outlineLevel="1" x14ac:dyDescent="0.25"/>
    <row r="916" hidden="1" outlineLevel="1" x14ac:dyDescent="0.25"/>
    <row r="917" hidden="1" outlineLevel="1" x14ac:dyDescent="0.25"/>
    <row r="918" hidden="1" outlineLevel="1" x14ac:dyDescent="0.25"/>
    <row r="919" hidden="1" outlineLevel="1" x14ac:dyDescent="0.25"/>
    <row r="920" hidden="1" outlineLevel="1" x14ac:dyDescent="0.25"/>
    <row r="921" hidden="1" outlineLevel="1" x14ac:dyDescent="0.25"/>
    <row r="922" hidden="1" outlineLevel="1" x14ac:dyDescent="0.25"/>
    <row r="923" hidden="1" outlineLevel="1" x14ac:dyDescent="0.25"/>
    <row r="924" hidden="1" outlineLevel="1" x14ac:dyDescent="0.25"/>
    <row r="925" hidden="1" outlineLevel="1" x14ac:dyDescent="0.25"/>
    <row r="926" hidden="1" outlineLevel="1" x14ac:dyDescent="0.25"/>
    <row r="927" hidden="1" outlineLevel="1" x14ac:dyDescent="0.25"/>
    <row r="928" hidden="1" outlineLevel="1" x14ac:dyDescent="0.25"/>
    <row r="929" hidden="1" outlineLevel="1" x14ac:dyDescent="0.25"/>
    <row r="930" hidden="1" outlineLevel="1" x14ac:dyDescent="0.25"/>
    <row r="931" hidden="1" outlineLevel="1" x14ac:dyDescent="0.25"/>
    <row r="932" hidden="1" outlineLevel="1" x14ac:dyDescent="0.25"/>
    <row r="933" hidden="1" outlineLevel="1" x14ac:dyDescent="0.25"/>
    <row r="934" hidden="1" outlineLevel="1" x14ac:dyDescent="0.25"/>
    <row r="935" hidden="1" outlineLevel="1" x14ac:dyDescent="0.25"/>
    <row r="936" hidden="1" outlineLevel="1" x14ac:dyDescent="0.25"/>
    <row r="937" hidden="1" outlineLevel="1" x14ac:dyDescent="0.25"/>
    <row r="938" hidden="1" outlineLevel="1" x14ac:dyDescent="0.25"/>
    <row r="939" hidden="1" outlineLevel="1" x14ac:dyDescent="0.25"/>
    <row r="940" hidden="1" outlineLevel="1" x14ac:dyDescent="0.25"/>
    <row r="941" hidden="1" outlineLevel="1" x14ac:dyDescent="0.25"/>
    <row r="942" hidden="1" outlineLevel="1" x14ac:dyDescent="0.25"/>
    <row r="943" hidden="1" outlineLevel="1" x14ac:dyDescent="0.25"/>
    <row r="944" hidden="1" outlineLevel="1" x14ac:dyDescent="0.25"/>
    <row r="945" hidden="1" outlineLevel="1" x14ac:dyDescent="0.25"/>
    <row r="946" hidden="1" outlineLevel="1" x14ac:dyDescent="0.25"/>
    <row r="947" hidden="1" outlineLevel="1" x14ac:dyDescent="0.25"/>
    <row r="948" hidden="1" outlineLevel="1" x14ac:dyDescent="0.25"/>
    <row r="949" hidden="1" outlineLevel="1" x14ac:dyDescent="0.25"/>
    <row r="950" hidden="1" outlineLevel="1" x14ac:dyDescent="0.25"/>
    <row r="951" hidden="1" outlineLevel="1" x14ac:dyDescent="0.25"/>
    <row r="952" hidden="1" outlineLevel="1" x14ac:dyDescent="0.25"/>
    <row r="953" hidden="1" outlineLevel="1" x14ac:dyDescent="0.25"/>
    <row r="954" hidden="1" outlineLevel="1" x14ac:dyDescent="0.25"/>
    <row r="955" hidden="1" outlineLevel="1" x14ac:dyDescent="0.25"/>
    <row r="956" hidden="1" outlineLevel="1" x14ac:dyDescent="0.25"/>
    <row r="957" hidden="1" outlineLevel="1" x14ac:dyDescent="0.25"/>
    <row r="958" hidden="1" outlineLevel="1" x14ac:dyDescent="0.25"/>
    <row r="959" hidden="1" outlineLevel="1" x14ac:dyDescent="0.25"/>
    <row r="960" hidden="1" outlineLevel="1" x14ac:dyDescent="0.25"/>
    <row r="961" hidden="1" outlineLevel="1" x14ac:dyDescent="0.25"/>
    <row r="962" hidden="1" outlineLevel="1" x14ac:dyDescent="0.25"/>
    <row r="963" hidden="1" outlineLevel="1" x14ac:dyDescent="0.25"/>
    <row r="964" hidden="1" outlineLevel="1" x14ac:dyDescent="0.25"/>
    <row r="965" hidden="1" outlineLevel="1" x14ac:dyDescent="0.25"/>
    <row r="966" hidden="1" outlineLevel="1" x14ac:dyDescent="0.25"/>
    <row r="967" hidden="1" outlineLevel="1" x14ac:dyDescent="0.25"/>
    <row r="968" hidden="1" outlineLevel="1" x14ac:dyDescent="0.25"/>
    <row r="969" hidden="1" outlineLevel="1" x14ac:dyDescent="0.25"/>
    <row r="970" hidden="1" outlineLevel="1" x14ac:dyDescent="0.25"/>
    <row r="971" hidden="1" outlineLevel="1" x14ac:dyDescent="0.25"/>
    <row r="972" hidden="1" outlineLevel="1" x14ac:dyDescent="0.25"/>
    <row r="973" hidden="1" outlineLevel="1" x14ac:dyDescent="0.25"/>
    <row r="974" hidden="1" outlineLevel="1" x14ac:dyDescent="0.25"/>
    <row r="975" hidden="1" outlineLevel="1" x14ac:dyDescent="0.25"/>
    <row r="976" hidden="1" outlineLevel="1" x14ac:dyDescent="0.25"/>
    <row r="977" hidden="1" outlineLevel="1" x14ac:dyDescent="0.25"/>
    <row r="978" hidden="1" outlineLevel="1" x14ac:dyDescent="0.25"/>
    <row r="979" hidden="1" outlineLevel="1" x14ac:dyDescent="0.25"/>
    <row r="980" hidden="1" outlineLevel="1" x14ac:dyDescent="0.25"/>
    <row r="981" hidden="1" outlineLevel="1" x14ac:dyDescent="0.25"/>
    <row r="982" hidden="1" outlineLevel="1" x14ac:dyDescent="0.25"/>
    <row r="983" hidden="1" outlineLevel="1" x14ac:dyDescent="0.25"/>
    <row r="984" hidden="1" outlineLevel="1" x14ac:dyDescent="0.25"/>
    <row r="985" hidden="1" outlineLevel="1" x14ac:dyDescent="0.25"/>
    <row r="986" hidden="1" outlineLevel="1" x14ac:dyDescent="0.25"/>
    <row r="987" hidden="1" outlineLevel="1" x14ac:dyDescent="0.25"/>
    <row r="988" hidden="1" outlineLevel="1" x14ac:dyDescent="0.25"/>
    <row r="989" hidden="1" outlineLevel="1" x14ac:dyDescent="0.25"/>
    <row r="990" hidden="1" outlineLevel="1" x14ac:dyDescent="0.25"/>
    <row r="991" hidden="1" outlineLevel="1" x14ac:dyDescent="0.25"/>
    <row r="992" hidden="1" outlineLevel="1" x14ac:dyDescent="0.25"/>
    <row r="993" hidden="1" outlineLevel="1" x14ac:dyDescent="0.25"/>
    <row r="994" hidden="1" outlineLevel="1" x14ac:dyDescent="0.25"/>
    <row r="995" hidden="1" outlineLevel="1" x14ac:dyDescent="0.25"/>
    <row r="996" hidden="1" outlineLevel="1" x14ac:dyDescent="0.25"/>
    <row r="997" hidden="1" outlineLevel="1" x14ac:dyDescent="0.25"/>
    <row r="998" hidden="1" outlineLevel="1" x14ac:dyDescent="0.25"/>
    <row r="999" hidden="1" outlineLevel="1" x14ac:dyDescent="0.25"/>
    <row r="1000" hidden="1" outlineLevel="1" x14ac:dyDescent="0.25"/>
    <row r="1001" hidden="1" outlineLevel="1" x14ac:dyDescent="0.25"/>
    <row r="1002" hidden="1" outlineLevel="1" x14ac:dyDescent="0.25"/>
    <row r="1003" hidden="1" outlineLevel="1" x14ac:dyDescent="0.25"/>
    <row r="1004" hidden="1" outlineLevel="1" x14ac:dyDescent="0.25"/>
    <row r="1005" hidden="1" outlineLevel="1" x14ac:dyDescent="0.25"/>
    <row r="1006" hidden="1" outlineLevel="1" x14ac:dyDescent="0.25"/>
    <row r="1007" hidden="1" outlineLevel="1" x14ac:dyDescent="0.25"/>
    <row r="1008" hidden="1" outlineLevel="1" x14ac:dyDescent="0.25"/>
    <row r="1009" hidden="1" outlineLevel="1" x14ac:dyDescent="0.25"/>
    <row r="1010" hidden="1" outlineLevel="1" x14ac:dyDescent="0.25"/>
    <row r="1011" hidden="1" outlineLevel="1" x14ac:dyDescent="0.25"/>
    <row r="1012" hidden="1" outlineLevel="1" x14ac:dyDescent="0.25"/>
    <row r="1013" hidden="1" outlineLevel="1" x14ac:dyDescent="0.25"/>
    <row r="1014" hidden="1" outlineLevel="1" x14ac:dyDescent="0.25"/>
    <row r="1015" hidden="1" outlineLevel="1" x14ac:dyDescent="0.25"/>
    <row r="1016" hidden="1" outlineLevel="1" x14ac:dyDescent="0.25"/>
    <row r="1017" hidden="1" outlineLevel="1" x14ac:dyDescent="0.25"/>
    <row r="1018" hidden="1" outlineLevel="1" x14ac:dyDescent="0.25"/>
    <row r="1019" hidden="1" outlineLevel="1" x14ac:dyDescent="0.25"/>
    <row r="1020" hidden="1" outlineLevel="1" x14ac:dyDescent="0.25"/>
    <row r="1021" hidden="1" outlineLevel="1" x14ac:dyDescent="0.25"/>
    <row r="1022" hidden="1" outlineLevel="1" x14ac:dyDescent="0.25"/>
    <row r="1023" hidden="1" outlineLevel="1" x14ac:dyDescent="0.25"/>
    <row r="1024" hidden="1" outlineLevel="1" x14ac:dyDescent="0.25"/>
    <row r="1025" hidden="1" outlineLevel="1" x14ac:dyDescent="0.25"/>
    <row r="1026" hidden="1" outlineLevel="1" x14ac:dyDescent="0.25"/>
    <row r="1027" hidden="1" outlineLevel="1" x14ac:dyDescent="0.25"/>
    <row r="1028" hidden="1" outlineLevel="1" x14ac:dyDescent="0.25"/>
    <row r="1029" hidden="1" outlineLevel="1" x14ac:dyDescent="0.25"/>
    <row r="1030" hidden="1" outlineLevel="1" x14ac:dyDescent="0.25"/>
    <row r="1031" hidden="1" outlineLevel="1" x14ac:dyDescent="0.25"/>
    <row r="1032" hidden="1" outlineLevel="1" x14ac:dyDescent="0.25"/>
    <row r="1033" hidden="1" outlineLevel="1" x14ac:dyDescent="0.25"/>
    <row r="1034" hidden="1" outlineLevel="1" x14ac:dyDescent="0.25"/>
    <row r="1035" hidden="1" outlineLevel="1" x14ac:dyDescent="0.25"/>
    <row r="1036" hidden="1" outlineLevel="1" x14ac:dyDescent="0.25"/>
    <row r="1037" hidden="1" outlineLevel="1" x14ac:dyDescent="0.25"/>
    <row r="1038" hidden="1" outlineLevel="1" x14ac:dyDescent="0.25"/>
    <row r="1039" hidden="1" outlineLevel="1" x14ac:dyDescent="0.25"/>
    <row r="1040" hidden="1" outlineLevel="1" x14ac:dyDescent="0.25"/>
    <row r="1041" hidden="1" outlineLevel="1" x14ac:dyDescent="0.25"/>
    <row r="1042" hidden="1" outlineLevel="1" x14ac:dyDescent="0.25"/>
    <row r="1043" hidden="1" outlineLevel="1" x14ac:dyDescent="0.25"/>
    <row r="1044" hidden="1" outlineLevel="1" x14ac:dyDescent="0.25"/>
    <row r="1045" hidden="1" outlineLevel="1" x14ac:dyDescent="0.25"/>
    <row r="1046" hidden="1" outlineLevel="1" x14ac:dyDescent="0.25"/>
    <row r="1047" hidden="1" outlineLevel="1" x14ac:dyDescent="0.25"/>
    <row r="1048" hidden="1" outlineLevel="1" x14ac:dyDescent="0.25"/>
    <row r="1049" hidden="1" outlineLevel="1" x14ac:dyDescent="0.25"/>
    <row r="1050" hidden="1" outlineLevel="1" x14ac:dyDescent="0.25"/>
    <row r="1051" hidden="1" outlineLevel="1" x14ac:dyDescent="0.25"/>
    <row r="1052" hidden="1" outlineLevel="1" x14ac:dyDescent="0.25"/>
    <row r="1053" hidden="1" outlineLevel="1" x14ac:dyDescent="0.25"/>
    <row r="1054" hidden="1" outlineLevel="1" x14ac:dyDescent="0.25"/>
    <row r="1055" hidden="1" outlineLevel="1" x14ac:dyDescent="0.25"/>
    <row r="1056" hidden="1" outlineLevel="1" x14ac:dyDescent="0.25"/>
    <row r="1057" hidden="1" outlineLevel="1" x14ac:dyDescent="0.25"/>
    <row r="1058" hidden="1" outlineLevel="1" x14ac:dyDescent="0.25"/>
    <row r="1059" hidden="1" outlineLevel="1" x14ac:dyDescent="0.25"/>
    <row r="1060" hidden="1" outlineLevel="1" x14ac:dyDescent="0.25"/>
    <row r="1061" hidden="1" outlineLevel="1" x14ac:dyDescent="0.25"/>
    <row r="1062" hidden="1" outlineLevel="1" x14ac:dyDescent="0.25"/>
    <row r="1063" hidden="1" outlineLevel="1" x14ac:dyDescent="0.25"/>
    <row r="1064" hidden="1" outlineLevel="1" x14ac:dyDescent="0.25"/>
    <row r="1065" hidden="1" outlineLevel="1" x14ac:dyDescent="0.25"/>
    <row r="1066" hidden="1" outlineLevel="1" x14ac:dyDescent="0.25"/>
    <row r="1067" hidden="1" outlineLevel="1" x14ac:dyDescent="0.25"/>
    <row r="1068" hidden="1" outlineLevel="1" x14ac:dyDescent="0.25"/>
    <row r="1069" hidden="1" outlineLevel="1" x14ac:dyDescent="0.25"/>
    <row r="1070" hidden="1" outlineLevel="1" x14ac:dyDescent="0.25"/>
    <row r="1071" hidden="1" outlineLevel="1" x14ac:dyDescent="0.25"/>
    <row r="1072" hidden="1" outlineLevel="1" x14ac:dyDescent="0.25"/>
    <row r="1073" hidden="1" outlineLevel="1" x14ac:dyDescent="0.25"/>
    <row r="1074" hidden="1" outlineLevel="1" x14ac:dyDescent="0.25"/>
    <row r="1075" hidden="1" outlineLevel="1" x14ac:dyDescent="0.25"/>
    <row r="1076" hidden="1" outlineLevel="1" x14ac:dyDescent="0.25"/>
    <row r="1077" hidden="1" outlineLevel="1" x14ac:dyDescent="0.25"/>
    <row r="1078" hidden="1" outlineLevel="1" x14ac:dyDescent="0.25"/>
    <row r="1079" hidden="1" outlineLevel="1" x14ac:dyDescent="0.25"/>
    <row r="1080" hidden="1" outlineLevel="1" x14ac:dyDescent="0.25"/>
    <row r="1081" hidden="1" outlineLevel="1" x14ac:dyDescent="0.25"/>
    <row r="1082" hidden="1" outlineLevel="1" x14ac:dyDescent="0.25"/>
    <row r="1083" hidden="1" outlineLevel="1" x14ac:dyDescent="0.25"/>
    <row r="1084" hidden="1" outlineLevel="1" x14ac:dyDescent="0.25"/>
    <row r="1085" hidden="1" outlineLevel="1" x14ac:dyDescent="0.25"/>
    <row r="1086" hidden="1" outlineLevel="1" x14ac:dyDescent="0.25"/>
    <row r="1087" hidden="1" outlineLevel="1" x14ac:dyDescent="0.25"/>
    <row r="1088" hidden="1" outlineLevel="1" x14ac:dyDescent="0.25"/>
    <row r="1089" hidden="1" outlineLevel="1" x14ac:dyDescent="0.25"/>
    <row r="1090" hidden="1" outlineLevel="1" x14ac:dyDescent="0.25"/>
    <row r="1091" hidden="1" outlineLevel="1" x14ac:dyDescent="0.25"/>
    <row r="1092" hidden="1" outlineLevel="1" x14ac:dyDescent="0.25"/>
    <row r="1093" hidden="1" outlineLevel="1" x14ac:dyDescent="0.25"/>
    <row r="1094" hidden="1" outlineLevel="1" x14ac:dyDescent="0.25"/>
    <row r="1095" hidden="1" outlineLevel="1" x14ac:dyDescent="0.25"/>
    <row r="1096" hidden="1" outlineLevel="1" x14ac:dyDescent="0.25"/>
    <row r="1097" hidden="1" outlineLevel="1" x14ac:dyDescent="0.25"/>
    <row r="1098" hidden="1" outlineLevel="1" x14ac:dyDescent="0.25"/>
    <row r="1099" hidden="1" outlineLevel="1" x14ac:dyDescent="0.25"/>
    <row r="1100" hidden="1" outlineLevel="1" x14ac:dyDescent="0.25"/>
    <row r="1101" hidden="1" outlineLevel="1" x14ac:dyDescent="0.25"/>
    <row r="1102" hidden="1" outlineLevel="1" x14ac:dyDescent="0.25"/>
    <row r="1103" hidden="1" outlineLevel="1" x14ac:dyDescent="0.25"/>
    <row r="1104" hidden="1" outlineLevel="1" x14ac:dyDescent="0.25"/>
    <row r="1105" hidden="1" outlineLevel="1" x14ac:dyDescent="0.25"/>
    <row r="1106" hidden="1" outlineLevel="1" x14ac:dyDescent="0.25"/>
    <row r="1107" hidden="1" outlineLevel="1" x14ac:dyDescent="0.25"/>
    <row r="1108" hidden="1" outlineLevel="1" x14ac:dyDescent="0.25"/>
    <row r="1109" hidden="1" outlineLevel="1" x14ac:dyDescent="0.25"/>
    <row r="1110" hidden="1" outlineLevel="1" x14ac:dyDescent="0.25"/>
    <row r="1111" hidden="1" outlineLevel="1" x14ac:dyDescent="0.25"/>
    <row r="1112" hidden="1" outlineLevel="1" x14ac:dyDescent="0.25"/>
    <row r="1113" hidden="1" outlineLevel="1" x14ac:dyDescent="0.25"/>
    <row r="1114" hidden="1" outlineLevel="1" x14ac:dyDescent="0.25"/>
    <row r="1115" hidden="1" outlineLevel="1" x14ac:dyDescent="0.25"/>
    <row r="1116" hidden="1" outlineLevel="1" x14ac:dyDescent="0.25"/>
    <row r="1117" hidden="1" outlineLevel="1" x14ac:dyDescent="0.25"/>
    <row r="1118" hidden="1" outlineLevel="1" x14ac:dyDescent="0.25"/>
    <row r="1119" hidden="1" outlineLevel="1" x14ac:dyDescent="0.25"/>
    <row r="1120" hidden="1" outlineLevel="1" x14ac:dyDescent="0.25"/>
    <row r="1121" hidden="1" outlineLevel="1" x14ac:dyDescent="0.25"/>
    <row r="1122" hidden="1" outlineLevel="1" x14ac:dyDescent="0.25"/>
    <row r="1123" hidden="1" outlineLevel="1" x14ac:dyDescent="0.25"/>
    <row r="1124" hidden="1" outlineLevel="1" x14ac:dyDescent="0.25"/>
    <row r="1125" hidden="1" outlineLevel="1" x14ac:dyDescent="0.25"/>
    <row r="1126" hidden="1" outlineLevel="1" x14ac:dyDescent="0.25"/>
    <row r="1127" hidden="1" outlineLevel="1" x14ac:dyDescent="0.25"/>
    <row r="1128" hidden="1" outlineLevel="1" x14ac:dyDescent="0.25"/>
    <row r="1129" hidden="1" outlineLevel="1" x14ac:dyDescent="0.25"/>
    <row r="1130" hidden="1" outlineLevel="1" x14ac:dyDescent="0.25"/>
    <row r="1131" hidden="1" outlineLevel="1" x14ac:dyDescent="0.25"/>
    <row r="1132" hidden="1" outlineLevel="1" x14ac:dyDescent="0.25"/>
    <row r="1133" hidden="1" outlineLevel="1" x14ac:dyDescent="0.25"/>
    <row r="1134" hidden="1" outlineLevel="1" x14ac:dyDescent="0.25"/>
    <row r="1135" hidden="1" outlineLevel="1" x14ac:dyDescent="0.25"/>
    <row r="1136" hidden="1" outlineLevel="1" x14ac:dyDescent="0.25"/>
    <row r="1137" hidden="1" outlineLevel="1" x14ac:dyDescent="0.25"/>
    <row r="1138" hidden="1" outlineLevel="1" x14ac:dyDescent="0.25"/>
    <row r="1139" hidden="1" outlineLevel="1" x14ac:dyDescent="0.25"/>
    <row r="1140" hidden="1" outlineLevel="1" x14ac:dyDescent="0.25"/>
    <row r="1141" hidden="1" outlineLevel="1" x14ac:dyDescent="0.25"/>
    <row r="1142" hidden="1" outlineLevel="1" x14ac:dyDescent="0.25"/>
    <row r="1143" hidden="1" outlineLevel="1" x14ac:dyDescent="0.25"/>
    <row r="1144" hidden="1" outlineLevel="1" x14ac:dyDescent="0.25"/>
    <row r="1145" hidden="1" outlineLevel="1" x14ac:dyDescent="0.25"/>
    <row r="1146" hidden="1" outlineLevel="1" x14ac:dyDescent="0.25"/>
    <row r="1147" hidden="1" outlineLevel="1" x14ac:dyDescent="0.25"/>
    <row r="1148" hidden="1" outlineLevel="1" x14ac:dyDescent="0.25"/>
    <row r="1149" hidden="1" outlineLevel="1" x14ac:dyDescent="0.25"/>
    <row r="1150" hidden="1" outlineLevel="1" x14ac:dyDescent="0.25"/>
    <row r="1151" hidden="1" outlineLevel="1" x14ac:dyDescent="0.25"/>
    <row r="1152" hidden="1" outlineLevel="1" x14ac:dyDescent="0.25"/>
    <row r="1153" hidden="1" outlineLevel="1" x14ac:dyDescent="0.25"/>
    <row r="1154" hidden="1" outlineLevel="1" x14ac:dyDescent="0.25"/>
    <row r="1155" hidden="1" outlineLevel="1" x14ac:dyDescent="0.25"/>
    <row r="1156" hidden="1" outlineLevel="1" x14ac:dyDescent="0.25"/>
    <row r="1157" hidden="1" outlineLevel="1" x14ac:dyDescent="0.25"/>
    <row r="1158" hidden="1" outlineLevel="1" x14ac:dyDescent="0.25"/>
    <row r="1159" hidden="1" outlineLevel="1" x14ac:dyDescent="0.25"/>
    <row r="1160" hidden="1" outlineLevel="1" x14ac:dyDescent="0.25"/>
    <row r="1161" hidden="1" outlineLevel="1" x14ac:dyDescent="0.25"/>
    <row r="1162" hidden="1" outlineLevel="1" x14ac:dyDescent="0.25"/>
    <row r="1163" hidden="1" outlineLevel="1" x14ac:dyDescent="0.25"/>
    <row r="1164" hidden="1" outlineLevel="1" x14ac:dyDescent="0.25"/>
    <row r="1165" hidden="1" outlineLevel="1" x14ac:dyDescent="0.25"/>
    <row r="1166" hidden="1" outlineLevel="1" x14ac:dyDescent="0.25"/>
    <row r="1167" hidden="1" outlineLevel="1" x14ac:dyDescent="0.25"/>
    <row r="1168" hidden="1" outlineLevel="1" x14ac:dyDescent="0.25"/>
    <row r="1169" hidden="1" outlineLevel="1" x14ac:dyDescent="0.25"/>
    <row r="1170" hidden="1" outlineLevel="1" x14ac:dyDescent="0.25"/>
    <row r="1171" hidden="1" outlineLevel="1" x14ac:dyDescent="0.25"/>
    <row r="1172" hidden="1" outlineLevel="1" x14ac:dyDescent="0.25"/>
    <row r="1173" hidden="1" outlineLevel="1" x14ac:dyDescent="0.25"/>
    <row r="1174" hidden="1" outlineLevel="1" x14ac:dyDescent="0.25"/>
    <row r="1175" hidden="1" outlineLevel="1" x14ac:dyDescent="0.25"/>
    <row r="1176" hidden="1" outlineLevel="1" x14ac:dyDescent="0.25"/>
    <row r="1177" hidden="1" outlineLevel="1" x14ac:dyDescent="0.25"/>
    <row r="1178" hidden="1" outlineLevel="1" x14ac:dyDescent="0.25"/>
    <row r="1179" hidden="1" outlineLevel="1" x14ac:dyDescent="0.25"/>
    <row r="1180" hidden="1" outlineLevel="1" x14ac:dyDescent="0.25"/>
    <row r="1181" hidden="1" outlineLevel="1" x14ac:dyDescent="0.25"/>
    <row r="1182" hidden="1" outlineLevel="1" x14ac:dyDescent="0.25"/>
    <row r="1183" hidden="1" outlineLevel="1" x14ac:dyDescent="0.25"/>
    <row r="1184" hidden="1" outlineLevel="1" x14ac:dyDescent="0.25"/>
    <row r="1185" hidden="1" outlineLevel="1" x14ac:dyDescent="0.25"/>
    <row r="1186" hidden="1" outlineLevel="1" x14ac:dyDescent="0.25"/>
    <row r="1187" hidden="1" outlineLevel="1" x14ac:dyDescent="0.25"/>
    <row r="1188" hidden="1" outlineLevel="1" x14ac:dyDescent="0.25"/>
    <row r="1189" hidden="1" outlineLevel="1" x14ac:dyDescent="0.25"/>
    <row r="1190" hidden="1" outlineLevel="1" x14ac:dyDescent="0.25"/>
    <row r="1191" hidden="1" outlineLevel="1" x14ac:dyDescent="0.25"/>
    <row r="1192" hidden="1" outlineLevel="1" x14ac:dyDescent="0.25"/>
    <row r="1193" hidden="1" outlineLevel="1" x14ac:dyDescent="0.25"/>
    <row r="1194" hidden="1" outlineLevel="1" x14ac:dyDescent="0.25"/>
    <row r="1195" hidden="1" outlineLevel="1" x14ac:dyDescent="0.25"/>
    <row r="1196" hidden="1" outlineLevel="1" x14ac:dyDescent="0.25"/>
    <row r="1197" hidden="1" outlineLevel="1" x14ac:dyDescent="0.25"/>
    <row r="1198" hidden="1" outlineLevel="1" x14ac:dyDescent="0.25"/>
    <row r="1199" hidden="1" outlineLevel="1" x14ac:dyDescent="0.25"/>
    <row r="1200" hidden="1" outlineLevel="1" x14ac:dyDescent="0.25"/>
    <row r="1201" hidden="1" outlineLevel="1" x14ac:dyDescent="0.25"/>
    <row r="1202" hidden="1" outlineLevel="1" x14ac:dyDescent="0.25"/>
    <row r="1203" hidden="1" outlineLevel="1" x14ac:dyDescent="0.25"/>
    <row r="1204" hidden="1" outlineLevel="1" x14ac:dyDescent="0.25"/>
    <row r="1205" hidden="1" outlineLevel="1" x14ac:dyDescent="0.25"/>
    <row r="1206" hidden="1" outlineLevel="1" x14ac:dyDescent="0.25"/>
    <row r="1207" hidden="1" outlineLevel="1" x14ac:dyDescent="0.25"/>
    <row r="1208" hidden="1" outlineLevel="1" x14ac:dyDescent="0.25"/>
    <row r="1209" hidden="1" outlineLevel="1" x14ac:dyDescent="0.25"/>
    <row r="1210" hidden="1" outlineLevel="1" x14ac:dyDescent="0.25"/>
    <row r="1211" hidden="1" outlineLevel="1" x14ac:dyDescent="0.25"/>
    <row r="1212" hidden="1" outlineLevel="1" x14ac:dyDescent="0.25"/>
    <row r="1213" hidden="1" outlineLevel="1" x14ac:dyDescent="0.25"/>
    <row r="1214" hidden="1" outlineLevel="1" x14ac:dyDescent="0.25"/>
    <row r="1215" hidden="1" outlineLevel="1" x14ac:dyDescent="0.25"/>
    <row r="1216" hidden="1" outlineLevel="1" x14ac:dyDescent="0.25"/>
    <row r="1217" hidden="1" outlineLevel="1" x14ac:dyDescent="0.25"/>
    <row r="1218" hidden="1" outlineLevel="1" x14ac:dyDescent="0.25"/>
    <row r="1219" hidden="1" outlineLevel="1" x14ac:dyDescent="0.25"/>
    <row r="1220" hidden="1" outlineLevel="1" x14ac:dyDescent="0.25"/>
    <row r="1221" hidden="1" outlineLevel="1" x14ac:dyDescent="0.25"/>
    <row r="1222" hidden="1" outlineLevel="1" x14ac:dyDescent="0.25"/>
    <row r="1223" hidden="1" outlineLevel="1" x14ac:dyDescent="0.25"/>
    <row r="1224" hidden="1" outlineLevel="1" x14ac:dyDescent="0.25"/>
    <row r="1225" hidden="1" outlineLevel="1" x14ac:dyDescent="0.25"/>
    <row r="1226" hidden="1" outlineLevel="1" x14ac:dyDescent="0.25"/>
    <row r="1227" hidden="1" outlineLevel="1" x14ac:dyDescent="0.25"/>
    <row r="1228" hidden="1" outlineLevel="1" x14ac:dyDescent="0.25"/>
    <row r="1229" hidden="1" outlineLevel="1" x14ac:dyDescent="0.25"/>
    <row r="1230" hidden="1" outlineLevel="1" x14ac:dyDescent="0.25"/>
    <row r="1231" hidden="1" outlineLevel="1" x14ac:dyDescent="0.25"/>
    <row r="1232" hidden="1" outlineLevel="1" x14ac:dyDescent="0.25"/>
    <row r="1233" hidden="1" outlineLevel="1" x14ac:dyDescent="0.25"/>
    <row r="1234" hidden="1" outlineLevel="1" x14ac:dyDescent="0.25"/>
    <row r="1235" hidden="1" outlineLevel="1" x14ac:dyDescent="0.25"/>
    <row r="1236" hidden="1" outlineLevel="1" x14ac:dyDescent="0.25"/>
    <row r="1237" hidden="1" outlineLevel="1" x14ac:dyDescent="0.25"/>
    <row r="1238" hidden="1" outlineLevel="1" x14ac:dyDescent="0.25"/>
    <row r="1239" hidden="1" outlineLevel="1" x14ac:dyDescent="0.25"/>
    <row r="1240" hidden="1" outlineLevel="1" x14ac:dyDescent="0.25"/>
    <row r="1241" hidden="1" outlineLevel="1" x14ac:dyDescent="0.25"/>
    <row r="1242" hidden="1" outlineLevel="1" x14ac:dyDescent="0.25"/>
    <row r="1243" hidden="1" outlineLevel="1" x14ac:dyDescent="0.25"/>
    <row r="1244" hidden="1" outlineLevel="1" x14ac:dyDescent="0.25"/>
    <row r="1245" hidden="1" outlineLevel="1" x14ac:dyDescent="0.25"/>
    <row r="1246" hidden="1" outlineLevel="1" x14ac:dyDescent="0.25"/>
    <row r="1247" hidden="1" outlineLevel="1" x14ac:dyDescent="0.25"/>
    <row r="1248" hidden="1" outlineLevel="1" x14ac:dyDescent="0.25"/>
    <row r="1249" hidden="1" outlineLevel="1" x14ac:dyDescent="0.25"/>
    <row r="1250" hidden="1" outlineLevel="1" x14ac:dyDescent="0.25"/>
    <row r="1251" hidden="1" outlineLevel="1" x14ac:dyDescent="0.25"/>
    <row r="1252" hidden="1" outlineLevel="1" x14ac:dyDescent="0.25"/>
    <row r="1253" hidden="1" outlineLevel="1" x14ac:dyDescent="0.25"/>
    <row r="1254" hidden="1" outlineLevel="1" x14ac:dyDescent="0.25"/>
    <row r="1255" hidden="1" outlineLevel="1" x14ac:dyDescent="0.25"/>
    <row r="1256" hidden="1" outlineLevel="1" x14ac:dyDescent="0.25"/>
    <row r="1257" hidden="1" outlineLevel="1" x14ac:dyDescent="0.25"/>
    <row r="1258" hidden="1" outlineLevel="1" x14ac:dyDescent="0.25"/>
    <row r="1259" hidden="1" outlineLevel="1" x14ac:dyDescent="0.25"/>
    <row r="1260" hidden="1" outlineLevel="1" x14ac:dyDescent="0.25"/>
    <row r="1261" hidden="1" outlineLevel="1" x14ac:dyDescent="0.25"/>
    <row r="1262" hidden="1" outlineLevel="1" x14ac:dyDescent="0.25"/>
    <row r="1263" hidden="1" outlineLevel="1" x14ac:dyDescent="0.25"/>
    <row r="1264" hidden="1" outlineLevel="1" x14ac:dyDescent="0.25"/>
    <row r="1265" hidden="1" outlineLevel="1" x14ac:dyDescent="0.25"/>
    <row r="1266" hidden="1" outlineLevel="1" x14ac:dyDescent="0.25"/>
    <row r="1267" hidden="1" outlineLevel="1" x14ac:dyDescent="0.25"/>
    <row r="1268" hidden="1" outlineLevel="1" x14ac:dyDescent="0.25"/>
    <row r="1269" hidden="1" outlineLevel="1" x14ac:dyDescent="0.25"/>
    <row r="1270" hidden="1" outlineLevel="1" x14ac:dyDescent="0.25"/>
    <row r="1271" hidden="1" outlineLevel="1" x14ac:dyDescent="0.25"/>
    <row r="1272" hidden="1" outlineLevel="1" x14ac:dyDescent="0.25"/>
    <row r="1273" hidden="1" outlineLevel="1" x14ac:dyDescent="0.25"/>
    <row r="1274" hidden="1" outlineLevel="1" x14ac:dyDescent="0.25"/>
    <row r="1275" hidden="1" outlineLevel="1" x14ac:dyDescent="0.25"/>
    <row r="1276" hidden="1" outlineLevel="1" x14ac:dyDescent="0.25"/>
    <row r="1277" hidden="1" outlineLevel="1" x14ac:dyDescent="0.25"/>
    <row r="1278" hidden="1" outlineLevel="1" x14ac:dyDescent="0.25"/>
    <row r="1279" hidden="1" outlineLevel="1" x14ac:dyDescent="0.25"/>
    <row r="1280" hidden="1" outlineLevel="1" x14ac:dyDescent="0.25"/>
    <row r="1281" hidden="1" outlineLevel="1" x14ac:dyDescent="0.25"/>
    <row r="1282" hidden="1" outlineLevel="1" x14ac:dyDescent="0.25"/>
    <row r="1283" hidden="1" outlineLevel="1" x14ac:dyDescent="0.25"/>
    <row r="1284" hidden="1" outlineLevel="1" x14ac:dyDescent="0.25"/>
    <row r="1285" hidden="1" outlineLevel="1" x14ac:dyDescent="0.25"/>
    <row r="1286" hidden="1" outlineLevel="1" x14ac:dyDescent="0.25"/>
    <row r="1287" hidden="1" outlineLevel="1" x14ac:dyDescent="0.25"/>
    <row r="1288" hidden="1" outlineLevel="1" x14ac:dyDescent="0.25"/>
    <row r="1289" hidden="1" outlineLevel="1" x14ac:dyDescent="0.25"/>
    <row r="1290" hidden="1" outlineLevel="1" x14ac:dyDescent="0.25"/>
    <row r="1291" hidden="1" outlineLevel="1" x14ac:dyDescent="0.25"/>
    <row r="1292" hidden="1" outlineLevel="1" x14ac:dyDescent="0.25"/>
    <row r="1293" hidden="1" outlineLevel="1" x14ac:dyDescent="0.25"/>
    <row r="1294" hidden="1" outlineLevel="1" x14ac:dyDescent="0.25"/>
    <row r="1295" hidden="1" outlineLevel="1" x14ac:dyDescent="0.25"/>
    <row r="1296" hidden="1" outlineLevel="1" x14ac:dyDescent="0.25"/>
    <row r="1297" hidden="1" outlineLevel="1" x14ac:dyDescent="0.25"/>
    <row r="1298" hidden="1" outlineLevel="1" x14ac:dyDescent="0.25"/>
    <row r="1299" hidden="1" outlineLevel="1" x14ac:dyDescent="0.25"/>
    <row r="1300" collapsed="1" x14ac:dyDescent="0.25"/>
  </sheetData>
  <sheetProtection algorithmName="SHA-512" hashValue="64QvIkPtX+r7f5xjZYqNYaJhr2tdxxPld54JwLoTNS5ssSgwWJ2lj9WcJmwl2eTWEkh+aXbVvUgwuCc8btYI6A==" saltValue="g6LQegO6jpTlaFgQHt7/ng==" spinCount="100000" sheet="1" objects="1" scenarios="1" selectLockedCells="1" selectUnlockedCells="1"/>
  <mergeCells count="60">
    <mergeCell ref="B249:D249"/>
    <mergeCell ref="N17:P22"/>
    <mergeCell ref="B49:D49"/>
    <mergeCell ref="N92:P97"/>
    <mergeCell ref="B115:D115"/>
    <mergeCell ref="B182:D182"/>
    <mergeCell ref="G188:H188"/>
    <mergeCell ref="F191:H191"/>
    <mergeCell ref="F194:H199"/>
    <mergeCell ref="C197:D197"/>
    <mergeCell ref="C198:D198"/>
    <mergeCell ref="C199:D199"/>
    <mergeCell ref="G255:H255"/>
    <mergeCell ref="F258:H258"/>
    <mergeCell ref="F261:H266"/>
    <mergeCell ref="C264:D264"/>
    <mergeCell ref="C265:D265"/>
    <mergeCell ref="C266:D266"/>
    <mergeCell ref="B316:D316"/>
    <mergeCell ref="G322:H322"/>
    <mergeCell ref="F325:H325"/>
    <mergeCell ref="F328:H333"/>
    <mergeCell ref="C331:D331"/>
    <mergeCell ref="C332:D332"/>
    <mergeCell ref="C333:D333"/>
    <mergeCell ref="B383:D383"/>
    <mergeCell ref="G389:H389"/>
    <mergeCell ref="F392:H392"/>
    <mergeCell ref="F395:H400"/>
    <mergeCell ref="C398:D398"/>
    <mergeCell ref="C399:D399"/>
    <mergeCell ref="C400:D400"/>
    <mergeCell ref="B450:D450"/>
    <mergeCell ref="G456:H456"/>
    <mergeCell ref="F459:H459"/>
    <mergeCell ref="F462:H467"/>
    <mergeCell ref="C465:D465"/>
    <mergeCell ref="C466:D466"/>
    <mergeCell ref="C467:D467"/>
    <mergeCell ref="B517:D517"/>
    <mergeCell ref="G523:H523"/>
    <mergeCell ref="F526:H526"/>
    <mergeCell ref="F529:H534"/>
    <mergeCell ref="C532:D532"/>
    <mergeCell ref="C533:D533"/>
    <mergeCell ref="C534:D534"/>
    <mergeCell ref="B584:D584"/>
    <mergeCell ref="G590:H590"/>
    <mergeCell ref="F593:H593"/>
    <mergeCell ref="F596:H601"/>
    <mergeCell ref="C599:D599"/>
    <mergeCell ref="C600:D600"/>
    <mergeCell ref="C601:D601"/>
    <mergeCell ref="B651:D651"/>
    <mergeCell ref="G657:H657"/>
    <mergeCell ref="F660:H660"/>
    <mergeCell ref="F663:H668"/>
    <mergeCell ref="C666:D666"/>
    <mergeCell ref="C667:D667"/>
    <mergeCell ref="C668:D668"/>
  </mergeCells>
  <dataValidations count="2">
    <dataValidation type="list" allowBlank="1" showInputMessage="1" showErrorMessage="1" sqref="D4 D70 D137 D204 D271 D338 D405 D472 D539 D606" xr:uid="{AF4AF158-1B90-48D4-91E6-375837A47795}">
      <formula1>Units</formula1>
    </dataValidation>
    <dataValidation allowBlank="1" showInputMessage="1" showErrorMessage="1" sqref="G14:H14 F15:H15 F148:H148 F81:H81 F215:H215 F349:H349 F282:H282 F416:H416 F483:H483 F550:H550 F617:H617" xr:uid="{752947D7-DB51-43FC-8BC5-1DFDF56CF1ED}"/>
  </dataValidations>
  <pageMargins left="0.25" right="0.25" top="1" bottom="1" header="0.5" footer="0.5"/>
  <pageSetup paperSize="9" scale="64" fitToHeight="0" orientation="portrait" r:id="rId1"/>
  <headerFooter alignWithMargins="0">
    <oddHeader>&amp;CProcess Mass Intensity Calculator</oddHeader>
    <oddFooter>&amp;LThe ACS GCI Pharmaceutical Roundtable or American Chemical Society does not guarantee the accuracy of the calculations and accepts no responsibility for any consequence of their use. Comments may be sent to gcipr@acs.org. 2011 Copyright ACS GCI.</oddFooter>
  </headerFooter>
  <rowBreaks count="9" manualBreakCount="9">
    <brk id="65" max="16383" man="1"/>
    <brk id="131" max="16383" man="1"/>
    <brk id="198" max="16383" man="1"/>
    <brk id="265" max="16383" man="1"/>
    <brk id="332" max="16383" man="1"/>
    <brk id="399" max="16383" man="1"/>
    <brk id="466" max="16383" man="1"/>
    <brk id="533" max="16383" man="1"/>
    <brk id="600"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BD528-4C3F-47C5-A27D-26AE973F1AB8}">
  <sheetPr>
    <tabColor rgb="FF38DC8E"/>
    <pageSetUpPr fitToPage="1"/>
  </sheetPr>
  <dimension ref="A1:W1300"/>
  <sheetViews>
    <sheetView showGridLines="0" zoomScale="85" zoomScaleNormal="85" zoomScaleSheetLayoutView="100" workbookViewId="0">
      <selection activeCell="S80" sqref="S80"/>
    </sheetView>
  </sheetViews>
  <sheetFormatPr defaultColWidth="9.453125" defaultRowHeight="12.5" outlineLevelRow="1" x14ac:dyDescent="0.25"/>
  <cols>
    <col min="1" max="1" width="2.453125" style="36" customWidth="1"/>
    <col min="2" max="2" width="64.453125" style="139" bestFit="1" customWidth="1"/>
    <col min="3" max="3" width="17.54296875" style="36" customWidth="1"/>
    <col min="4" max="4" width="10.453125" style="36" bestFit="1" customWidth="1"/>
    <col min="5" max="5" width="10.453125" style="36" hidden="1" customWidth="1"/>
    <col min="6" max="8" width="10.453125" style="36" customWidth="1"/>
    <col min="9" max="12" width="10.453125" style="36" hidden="1" customWidth="1"/>
    <col min="13" max="13" width="10.453125" style="36" customWidth="1"/>
    <col min="14" max="15" width="9.453125" style="36" customWidth="1"/>
    <col min="16" max="16384" width="9.453125" style="36"/>
  </cols>
  <sheetData>
    <row r="1" spans="2:16" s="26" customFormat="1" ht="18.5" thickBot="1" x14ac:dyDescent="0.3">
      <c r="B1" s="24"/>
      <c r="C1" s="25"/>
      <c r="D1" s="25"/>
      <c r="I1" s="27"/>
      <c r="J1" s="27"/>
      <c r="N1" s="160"/>
      <c r="O1" s="160"/>
      <c r="P1" s="160"/>
    </row>
    <row r="2" spans="2:16" ht="21" thickTop="1" thickBot="1" x14ac:dyDescent="0.3">
      <c r="B2" s="28" t="s">
        <v>163</v>
      </c>
      <c r="C2" s="29"/>
      <c r="D2" s="30" t="s">
        <v>164</v>
      </c>
      <c r="E2" s="31"/>
      <c r="F2" s="32" t="s">
        <v>27</v>
      </c>
      <c r="G2" s="33"/>
      <c r="H2" s="33"/>
      <c r="I2" s="34"/>
      <c r="J2" s="35"/>
      <c r="K2" s="34"/>
      <c r="L2" s="35"/>
      <c r="N2" s="60"/>
      <c r="O2" s="60"/>
      <c r="P2" s="60"/>
    </row>
    <row r="3" spans="2:16" ht="14.5" thickBot="1" x14ac:dyDescent="0.3">
      <c r="B3" s="37"/>
      <c r="C3" s="38" t="s">
        <v>0</v>
      </c>
      <c r="D3" s="39" t="s">
        <v>1</v>
      </c>
      <c r="E3" s="40"/>
      <c r="F3" s="41" t="s">
        <v>28</v>
      </c>
      <c r="G3" s="41" t="s">
        <v>21</v>
      </c>
      <c r="H3" s="41" t="s">
        <v>8</v>
      </c>
      <c r="I3" s="42"/>
      <c r="J3" s="42"/>
      <c r="K3" s="34"/>
    </row>
    <row r="4" spans="2:16" ht="13" x14ac:dyDescent="0.25">
      <c r="B4" s="43" t="s">
        <v>65</v>
      </c>
      <c r="C4" s="161">
        <v>66.400000000000006</v>
      </c>
      <c r="D4" s="45" t="s">
        <v>22</v>
      </c>
      <c r="E4" s="46"/>
      <c r="F4" s="47"/>
      <c r="G4" s="47"/>
      <c r="H4" s="47"/>
      <c r="I4" s="48"/>
      <c r="J4" s="48"/>
      <c r="K4" s="34"/>
      <c r="N4" s="60"/>
      <c r="O4" s="60"/>
      <c r="P4" s="60"/>
    </row>
    <row r="5" spans="2:16" ht="13" x14ac:dyDescent="0.25">
      <c r="B5" s="43" t="s">
        <v>64</v>
      </c>
      <c r="C5" s="162">
        <v>1</v>
      </c>
      <c r="D5" s="45" t="s">
        <v>3</v>
      </c>
      <c r="E5" s="46"/>
      <c r="F5" s="47"/>
      <c r="G5" s="47"/>
      <c r="H5" s="47"/>
      <c r="I5" s="50"/>
      <c r="J5" s="50"/>
      <c r="N5" s="60"/>
      <c r="O5" s="60"/>
      <c r="P5" s="60"/>
    </row>
    <row r="6" spans="2:16" ht="13" x14ac:dyDescent="0.25">
      <c r="B6" s="51" t="s">
        <v>63</v>
      </c>
      <c r="C6" s="163">
        <f>C4*C5</f>
        <v>66.400000000000006</v>
      </c>
      <c r="D6" s="45" t="str">
        <f>D4</f>
        <v>g</v>
      </c>
      <c r="E6" s="46"/>
      <c r="F6" s="47"/>
      <c r="G6" s="47"/>
      <c r="H6" s="47"/>
      <c r="I6" s="53"/>
      <c r="J6" s="53"/>
      <c r="N6" s="60"/>
      <c r="O6" s="60"/>
      <c r="P6" s="60"/>
    </row>
    <row r="7" spans="2:16" ht="14" x14ac:dyDescent="0.25">
      <c r="B7" s="54" t="s">
        <v>4</v>
      </c>
      <c r="C7" s="164">
        <v>0.96899999999999997</v>
      </c>
      <c r="D7" s="56"/>
      <c r="E7" s="57"/>
      <c r="F7" s="58"/>
      <c r="G7" s="58"/>
      <c r="H7" s="58"/>
      <c r="I7" s="34"/>
      <c r="J7" s="53"/>
      <c r="L7" s="53"/>
      <c r="N7" s="60"/>
      <c r="O7" s="60"/>
      <c r="P7" s="60"/>
    </row>
    <row r="8" spans="2:16" ht="13" x14ac:dyDescent="0.25">
      <c r="B8" s="43" t="s">
        <v>66</v>
      </c>
      <c r="C8" s="161">
        <v>79.260000000000005</v>
      </c>
      <c r="D8" s="45" t="str">
        <f>D4</f>
        <v>g</v>
      </c>
      <c r="E8" s="46"/>
      <c r="F8" s="47"/>
      <c r="G8" s="47"/>
      <c r="H8" s="47"/>
      <c r="I8" s="34"/>
      <c r="J8" s="53"/>
      <c r="L8" s="53"/>
      <c r="N8" s="60"/>
      <c r="O8" s="60"/>
      <c r="P8" s="60"/>
    </row>
    <row r="9" spans="2:16" ht="13" x14ac:dyDescent="0.25">
      <c r="B9" s="43" t="s">
        <v>67</v>
      </c>
      <c r="C9" s="162">
        <v>1</v>
      </c>
      <c r="D9" s="45" t="s">
        <v>3</v>
      </c>
      <c r="E9" s="59"/>
      <c r="F9" s="47"/>
      <c r="G9" s="47"/>
      <c r="H9" s="47"/>
      <c r="I9" s="34"/>
      <c r="J9" s="53"/>
      <c r="L9" s="53"/>
      <c r="N9" s="60"/>
      <c r="O9" s="60"/>
      <c r="P9" s="60"/>
    </row>
    <row r="10" spans="2:16" ht="13.5" thickBot="1" x14ac:dyDescent="0.3">
      <c r="B10" s="51" t="s">
        <v>68</v>
      </c>
      <c r="C10" s="163">
        <f>C8*C9</f>
        <v>79.260000000000005</v>
      </c>
      <c r="D10" s="45" t="str">
        <f>D4</f>
        <v>g</v>
      </c>
      <c r="E10" s="46"/>
      <c r="F10" s="47"/>
      <c r="G10" s="47"/>
      <c r="H10" s="47"/>
      <c r="I10" s="53"/>
      <c r="J10" s="53"/>
      <c r="N10" s="60"/>
      <c r="O10" s="60"/>
      <c r="P10" s="60"/>
    </row>
    <row r="11" spans="2:16" ht="13.5" thickBot="1" x14ac:dyDescent="0.3">
      <c r="B11" s="61"/>
      <c r="C11" s="62"/>
      <c r="D11" s="63"/>
      <c r="F11" s="64"/>
      <c r="G11" s="64"/>
      <c r="H11" s="64"/>
      <c r="N11" s="60"/>
      <c r="O11" s="60"/>
      <c r="P11" s="60"/>
    </row>
    <row r="12" spans="2:16" ht="14.5" thickBot="1" x14ac:dyDescent="0.3">
      <c r="B12" s="65" t="s">
        <v>5</v>
      </c>
      <c r="C12" s="66" t="s">
        <v>6</v>
      </c>
      <c r="D12" s="67" t="s">
        <v>1</v>
      </c>
      <c r="E12" s="68"/>
      <c r="F12" s="69"/>
      <c r="G12" s="69"/>
      <c r="H12" s="69"/>
      <c r="N12" s="60"/>
      <c r="O12" s="60"/>
      <c r="P12" s="60"/>
    </row>
    <row r="13" spans="2:16" ht="13.5" thickBot="1" x14ac:dyDescent="0.3">
      <c r="B13" s="70" t="s">
        <v>91</v>
      </c>
      <c r="C13" s="71"/>
      <c r="D13" s="72"/>
      <c r="E13" s="73"/>
      <c r="F13" s="69"/>
      <c r="G13" s="69"/>
      <c r="H13" s="69"/>
      <c r="K13" s="34"/>
      <c r="N13" s="60"/>
      <c r="O13" s="60"/>
      <c r="P13" s="60"/>
    </row>
    <row r="14" spans="2:16" ht="13.5" thickBot="1" x14ac:dyDescent="0.3">
      <c r="B14" s="74" t="s">
        <v>165</v>
      </c>
      <c r="C14" s="75">
        <f>C6</f>
        <v>66.400000000000006</v>
      </c>
      <c r="D14" s="76" t="str">
        <f>D4</f>
        <v>g</v>
      </c>
      <c r="E14" s="77"/>
      <c r="F14" s="78"/>
      <c r="G14" s="78"/>
      <c r="H14" s="78"/>
      <c r="N14" s="60"/>
      <c r="O14" s="60"/>
      <c r="P14" s="60"/>
    </row>
    <row r="15" spans="2:16" ht="13.5" thickBot="1" x14ac:dyDescent="0.3">
      <c r="B15" s="74" t="s">
        <v>166</v>
      </c>
      <c r="C15" s="75">
        <v>23.1</v>
      </c>
      <c r="D15" s="76" t="str">
        <f>D4</f>
        <v>g</v>
      </c>
      <c r="E15" s="77"/>
      <c r="F15" s="78"/>
      <c r="G15" s="78"/>
      <c r="H15" s="78"/>
      <c r="N15" s="60"/>
      <c r="O15" s="60"/>
      <c r="P15" s="60"/>
    </row>
    <row r="16" spans="2:16" ht="13" x14ac:dyDescent="0.25">
      <c r="B16" s="79" t="s">
        <v>69</v>
      </c>
      <c r="C16" s="80"/>
      <c r="D16" s="81"/>
      <c r="E16" s="77"/>
      <c r="F16" s="82"/>
      <c r="G16" s="82"/>
      <c r="H16" s="82"/>
      <c r="N16" s="60"/>
      <c r="O16" s="60"/>
      <c r="P16" s="60"/>
    </row>
    <row r="17" spans="2:16" ht="13" x14ac:dyDescent="0.25">
      <c r="B17" s="74" t="s">
        <v>167</v>
      </c>
      <c r="C17" s="83">
        <v>9.4</v>
      </c>
      <c r="D17" s="76" t="str">
        <f>D4</f>
        <v>g</v>
      </c>
      <c r="E17" s="77"/>
      <c r="F17" s="82"/>
      <c r="G17" s="82"/>
      <c r="H17" s="82"/>
    </row>
    <row r="18" spans="2:16" ht="13" x14ac:dyDescent="0.25">
      <c r="B18" s="74" t="s">
        <v>169</v>
      </c>
      <c r="C18" s="83">
        <f>0.726*21.5</f>
        <v>15.609</v>
      </c>
      <c r="D18" s="76" t="str">
        <f>D4</f>
        <v>g</v>
      </c>
      <c r="E18" s="77"/>
      <c r="F18" s="82"/>
      <c r="G18" s="82"/>
      <c r="H18" s="82"/>
    </row>
    <row r="19" spans="2:16" ht="13" x14ac:dyDescent="0.25">
      <c r="B19" s="74"/>
      <c r="C19" s="83"/>
      <c r="D19" s="76" t="str">
        <f>D4</f>
        <v>g</v>
      </c>
      <c r="E19" s="77"/>
      <c r="F19" s="82"/>
      <c r="G19" s="82"/>
      <c r="H19" s="82"/>
    </row>
    <row r="20" spans="2:16" ht="13" x14ac:dyDescent="0.25">
      <c r="B20" s="74" t="s">
        <v>170</v>
      </c>
      <c r="C20" s="83">
        <f>160*1.0585*(36.458/1058.5)*3</f>
        <v>17.499839999999999</v>
      </c>
      <c r="D20" s="76" t="str">
        <f>D4</f>
        <v>g</v>
      </c>
      <c r="E20" s="77"/>
      <c r="F20" s="82"/>
      <c r="G20" s="82"/>
      <c r="H20" s="82"/>
    </row>
    <row r="21" spans="2:16" ht="13" x14ac:dyDescent="0.25">
      <c r="B21" s="74" t="s">
        <v>122</v>
      </c>
      <c r="C21" s="83">
        <f>250*1.202*0.25</f>
        <v>75.125</v>
      </c>
      <c r="D21" s="76" t="str">
        <f>D4</f>
        <v>g</v>
      </c>
      <c r="E21" s="77"/>
      <c r="F21" s="82"/>
      <c r="G21" s="82"/>
      <c r="H21" s="82"/>
    </row>
    <row r="22" spans="2:16" ht="13" x14ac:dyDescent="0.25">
      <c r="B22" s="74"/>
      <c r="C22" s="83"/>
      <c r="D22" s="76" t="str">
        <f>D4</f>
        <v>g</v>
      </c>
      <c r="E22" s="77"/>
      <c r="F22" s="82"/>
      <c r="G22" s="82"/>
      <c r="H22" s="82"/>
    </row>
    <row r="23" spans="2:16" ht="13" x14ac:dyDescent="0.25">
      <c r="B23" s="166" t="s">
        <v>171</v>
      </c>
      <c r="C23" s="83">
        <f>0.03*(C30+C32)</f>
        <v>23.939999999999998</v>
      </c>
      <c r="D23" s="76" t="str">
        <f>D4</f>
        <v>g</v>
      </c>
      <c r="E23" s="77"/>
      <c r="F23" s="82"/>
      <c r="G23" s="82"/>
      <c r="H23" s="82"/>
      <c r="N23" s="60"/>
      <c r="O23" s="60"/>
      <c r="P23" s="60"/>
    </row>
    <row r="24" spans="2:16" ht="13" x14ac:dyDescent="0.25">
      <c r="B24" s="74"/>
      <c r="C24" s="83"/>
      <c r="D24" s="76" t="str">
        <f>D4</f>
        <v>g</v>
      </c>
      <c r="E24" s="77"/>
      <c r="F24" s="82"/>
      <c r="G24" s="82"/>
      <c r="H24" s="82"/>
      <c r="N24" s="60"/>
      <c r="O24" s="60"/>
      <c r="P24" s="60"/>
    </row>
    <row r="25" spans="2:16" ht="13" x14ac:dyDescent="0.25">
      <c r="B25" s="166" t="s">
        <v>172</v>
      </c>
      <c r="C25" s="83">
        <v>600</v>
      </c>
      <c r="D25" s="76" t="str">
        <f>D4</f>
        <v>g</v>
      </c>
      <c r="E25" s="77"/>
      <c r="F25" s="82"/>
      <c r="G25" s="82"/>
      <c r="H25" s="82"/>
      <c r="N25" s="60"/>
      <c r="O25" s="60"/>
      <c r="P25" s="60"/>
    </row>
    <row r="26" spans="2:16" ht="13.4" customHeight="1" x14ac:dyDescent="0.25">
      <c r="B26" s="74"/>
      <c r="C26" s="83"/>
      <c r="D26" s="76" t="str">
        <f>D4</f>
        <v>g</v>
      </c>
      <c r="E26" s="77"/>
      <c r="F26" s="82"/>
      <c r="G26" s="82"/>
      <c r="H26" s="82"/>
      <c r="N26" s="60"/>
      <c r="O26" s="60"/>
      <c r="P26" s="60"/>
    </row>
    <row r="27" spans="2:16" ht="13.4" hidden="1" customHeight="1" x14ac:dyDescent="0.25">
      <c r="B27" s="79"/>
      <c r="C27" s="80"/>
      <c r="D27" s="81"/>
      <c r="E27" s="77"/>
      <c r="F27" s="82"/>
      <c r="G27" s="82"/>
      <c r="H27" s="82"/>
      <c r="N27" s="60"/>
      <c r="O27" s="60"/>
      <c r="P27" s="60"/>
    </row>
    <row r="28" spans="2:16" ht="13.4" customHeight="1" x14ac:dyDescent="0.25">
      <c r="B28" s="86" t="s">
        <v>7</v>
      </c>
      <c r="C28" s="87">
        <f>SUM(C14:C27)</f>
        <v>831.07384000000002</v>
      </c>
      <c r="D28" s="88" t="str">
        <f>D4</f>
        <v>g</v>
      </c>
      <c r="E28" s="77"/>
      <c r="F28" s="82"/>
      <c r="G28" s="82"/>
      <c r="H28" s="82"/>
      <c r="K28" s="34"/>
      <c r="N28" s="60"/>
      <c r="O28" s="60"/>
      <c r="P28" s="60"/>
    </row>
    <row r="29" spans="2:16" ht="13" x14ac:dyDescent="0.25">
      <c r="B29" s="79" t="s">
        <v>71</v>
      </c>
      <c r="C29" s="89"/>
      <c r="D29" s="81"/>
      <c r="E29" s="77"/>
      <c r="F29" s="82"/>
      <c r="G29" s="82"/>
      <c r="H29" s="82"/>
      <c r="N29" s="60"/>
      <c r="O29" s="60"/>
      <c r="P29" s="60"/>
    </row>
    <row r="30" spans="2:16" ht="13" x14ac:dyDescent="0.25">
      <c r="B30" s="74" t="s">
        <v>173</v>
      </c>
      <c r="C30" s="83">
        <f>1.33*300</f>
        <v>399</v>
      </c>
      <c r="D30" s="76" t="str">
        <f>D4</f>
        <v>g</v>
      </c>
      <c r="E30" s="77"/>
      <c r="F30" s="82"/>
      <c r="G30" s="82"/>
      <c r="H30" s="82"/>
      <c r="N30" s="60"/>
      <c r="O30" s="60"/>
      <c r="P30" s="60"/>
    </row>
    <row r="31" spans="2:16" ht="13" x14ac:dyDescent="0.25">
      <c r="B31" s="74"/>
      <c r="C31" s="83"/>
      <c r="D31" s="76" t="str">
        <f>D4</f>
        <v>g</v>
      </c>
      <c r="E31" s="77"/>
      <c r="F31" s="82"/>
      <c r="G31" s="82"/>
      <c r="H31" s="82"/>
      <c r="N31" s="60"/>
      <c r="O31" s="60"/>
      <c r="P31" s="60"/>
    </row>
    <row r="32" spans="2:16" ht="13" x14ac:dyDescent="0.25">
      <c r="B32" s="74" t="s">
        <v>174</v>
      </c>
      <c r="C32" s="83">
        <f>1.33*300</f>
        <v>399</v>
      </c>
      <c r="D32" s="76" t="str">
        <f>D4</f>
        <v>g</v>
      </c>
      <c r="E32" s="77"/>
      <c r="F32" s="82"/>
      <c r="G32" s="82"/>
      <c r="H32" s="82"/>
      <c r="N32" s="60"/>
      <c r="O32" s="60"/>
      <c r="P32" s="60"/>
    </row>
    <row r="33" spans="2:16" ht="13" x14ac:dyDescent="0.25">
      <c r="B33" s="74"/>
      <c r="C33" s="83"/>
      <c r="D33" s="76" t="str">
        <f>D4</f>
        <v>g</v>
      </c>
      <c r="E33" s="77"/>
      <c r="F33" s="82"/>
      <c r="G33" s="82"/>
      <c r="H33" s="82"/>
      <c r="N33" s="60"/>
      <c r="O33" s="60"/>
      <c r="P33" s="60"/>
    </row>
    <row r="34" spans="2:16" ht="13" x14ac:dyDescent="0.25">
      <c r="B34" s="166" t="s">
        <v>175</v>
      </c>
      <c r="C34" s="83">
        <f>1.33*1500</f>
        <v>1995</v>
      </c>
      <c r="D34" s="76" t="str">
        <f>D4</f>
        <v>g</v>
      </c>
      <c r="E34" s="77"/>
      <c r="F34" s="82"/>
      <c r="G34" s="82"/>
      <c r="H34" s="82"/>
      <c r="N34" s="60"/>
      <c r="O34" s="60"/>
      <c r="P34" s="60"/>
    </row>
    <row r="35" spans="2:16" ht="13" x14ac:dyDescent="0.25">
      <c r="B35" s="166" t="s">
        <v>125</v>
      </c>
      <c r="C35" s="83">
        <f>0.902*1500</f>
        <v>1353</v>
      </c>
      <c r="D35" s="76" t="str">
        <f>D4</f>
        <v>g</v>
      </c>
      <c r="E35" s="77"/>
      <c r="F35" s="82"/>
      <c r="G35" s="82"/>
      <c r="H35" s="82"/>
      <c r="N35" s="60"/>
      <c r="O35" s="60"/>
      <c r="P35" s="60"/>
    </row>
    <row r="36" spans="2:16" ht="13" x14ac:dyDescent="0.25">
      <c r="B36" s="166" t="s">
        <v>126</v>
      </c>
      <c r="C36" s="83">
        <f>0.661*1500</f>
        <v>991.5</v>
      </c>
      <c r="D36" s="76" t="str">
        <f>D4</f>
        <v>g</v>
      </c>
      <c r="E36" s="77"/>
      <c r="F36" s="82"/>
      <c r="G36" s="82"/>
      <c r="H36" s="82"/>
      <c r="N36" s="60"/>
      <c r="O36" s="60"/>
      <c r="P36" s="60"/>
    </row>
    <row r="37" spans="2:16" ht="13" x14ac:dyDescent="0.25">
      <c r="B37" s="74"/>
      <c r="C37" s="83"/>
      <c r="D37" s="76" t="str">
        <f>D4</f>
        <v>g</v>
      </c>
      <c r="E37" s="77"/>
      <c r="F37" s="82"/>
      <c r="G37" s="82"/>
      <c r="H37" s="82"/>
      <c r="N37" s="60"/>
      <c r="O37" s="60"/>
      <c r="P37" s="60"/>
    </row>
    <row r="38" spans="2:16" ht="13" x14ac:dyDescent="0.25">
      <c r="B38" s="79" t="s">
        <v>70</v>
      </c>
      <c r="C38" s="80"/>
      <c r="D38" s="81"/>
      <c r="E38" s="90"/>
      <c r="F38" s="82"/>
      <c r="G38" s="82"/>
      <c r="H38" s="82"/>
      <c r="N38" s="60"/>
      <c r="O38" s="60"/>
      <c r="P38" s="60"/>
    </row>
    <row r="39" spans="2:16" ht="13" x14ac:dyDescent="0.25">
      <c r="B39" s="74" t="s">
        <v>176</v>
      </c>
      <c r="C39" s="83">
        <f>3*160*1.0585-C20</f>
        <v>490.58015999999998</v>
      </c>
      <c r="D39" s="76" t="str">
        <f>D4</f>
        <v>g</v>
      </c>
      <c r="E39" s="77"/>
      <c r="F39" s="82"/>
      <c r="G39" s="82"/>
      <c r="H39" s="82"/>
      <c r="N39" s="60"/>
      <c r="O39" s="60"/>
      <c r="P39" s="60"/>
    </row>
    <row r="40" spans="2:16" ht="13" x14ac:dyDescent="0.25">
      <c r="B40" s="74" t="s">
        <v>177</v>
      </c>
      <c r="C40" s="83">
        <v>200</v>
      </c>
      <c r="D40" s="76" t="str">
        <f>D4</f>
        <v>g</v>
      </c>
      <c r="E40" s="77"/>
      <c r="F40" s="82"/>
      <c r="G40" s="82"/>
      <c r="H40" s="82"/>
      <c r="N40" s="60"/>
      <c r="O40" s="60"/>
      <c r="P40" s="60"/>
    </row>
    <row r="41" spans="2:16" ht="13" x14ac:dyDescent="0.25">
      <c r="B41" s="74" t="s">
        <v>178</v>
      </c>
      <c r="C41" s="83">
        <f>250*1.202*0.75</f>
        <v>225.375</v>
      </c>
      <c r="D41" s="76" t="str">
        <f>D4</f>
        <v>g</v>
      </c>
      <c r="E41" s="77"/>
      <c r="F41" s="82"/>
      <c r="G41" s="82"/>
      <c r="H41" s="82"/>
      <c r="N41" s="60"/>
      <c r="O41" s="60"/>
      <c r="P41" s="60"/>
    </row>
    <row r="42" spans="2:16" ht="13" x14ac:dyDescent="0.25">
      <c r="B42" s="74"/>
      <c r="C42" s="83"/>
      <c r="D42" s="76" t="str">
        <f>D4</f>
        <v>g</v>
      </c>
      <c r="E42" s="77"/>
      <c r="F42" s="82"/>
      <c r="G42" s="82"/>
      <c r="H42" s="82"/>
      <c r="N42" s="60"/>
      <c r="O42" s="60"/>
      <c r="P42" s="60"/>
    </row>
    <row r="43" spans="2:16" ht="13" x14ac:dyDescent="0.25">
      <c r="B43" s="74"/>
      <c r="C43" s="83"/>
      <c r="D43" s="76" t="str">
        <f>D4</f>
        <v>g</v>
      </c>
      <c r="E43" s="77"/>
      <c r="F43" s="82"/>
      <c r="G43" s="82"/>
      <c r="H43" s="82"/>
      <c r="N43" s="60"/>
      <c r="O43" s="60"/>
      <c r="P43" s="60"/>
    </row>
    <row r="44" spans="2:16" ht="13" x14ac:dyDescent="0.25">
      <c r="B44" s="74"/>
      <c r="C44" s="83"/>
      <c r="D44" s="76" t="str">
        <f>D4</f>
        <v>g</v>
      </c>
      <c r="E44" s="77"/>
      <c r="F44" s="82"/>
      <c r="G44" s="82"/>
      <c r="H44" s="82"/>
      <c r="N44" s="60"/>
      <c r="O44" s="60"/>
      <c r="P44" s="60"/>
    </row>
    <row r="45" spans="2:16" ht="13.4" customHeight="1" x14ac:dyDescent="0.25">
      <c r="B45" s="74"/>
      <c r="C45" s="83"/>
      <c r="D45" s="76" t="str">
        <f>D4</f>
        <v>g</v>
      </c>
      <c r="E45" s="77"/>
      <c r="F45" s="82"/>
      <c r="G45" s="82"/>
      <c r="H45" s="82"/>
      <c r="K45" s="34"/>
      <c r="N45" s="60"/>
      <c r="O45" s="60"/>
      <c r="P45" s="60"/>
    </row>
    <row r="46" spans="2:16" ht="13.4" hidden="1" customHeight="1" x14ac:dyDescent="0.25">
      <c r="B46" s="79"/>
      <c r="C46" s="80"/>
      <c r="D46" s="81"/>
      <c r="E46" s="77"/>
      <c r="F46" s="82"/>
      <c r="G46" s="82"/>
      <c r="H46" s="82"/>
      <c r="K46" s="34"/>
      <c r="N46" s="60"/>
      <c r="O46" s="60"/>
      <c r="P46" s="60"/>
    </row>
    <row r="47" spans="2:16" ht="13.4" customHeight="1" x14ac:dyDescent="0.25">
      <c r="B47" s="86" t="s">
        <v>9</v>
      </c>
      <c r="C47" s="87">
        <f>SUM(C28:C44)</f>
        <v>6884.5290000000005</v>
      </c>
      <c r="D47" s="91" t="str">
        <f>D4</f>
        <v>g</v>
      </c>
      <c r="E47" s="77"/>
      <c r="F47" s="82"/>
      <c r="G47" s="82"/>
      <c r="H47" s="82"/>
      <c r="N47" s="60"/>
      <c r="O47" s="60"/>
      <c r="P47" s="60"/>
    </row>
    <row r="48" spans="2:16" ht="13.5" thickBot="1" x14ac:dyDescent="0.3">
      <c r="B48" s="92"/>
      <c r="C48" s="93"/>
      <c r="D48" s="94"/>
      <c r="E48" s="77"/>
      <c r="F48" s="82"/>
      <c r="G48" s="82"/>
      <c r="H48" s="82"/>
      <c r="N48" s="60"/>
      <c r="O48" s="60"/>
      <c r="P48" s="60"/>
    </row>
    <row r="49" spans="2:23" ht="20.5" thickBot="1" x14ac:dyDescent="0.3">
      <c r="B49" s="426" t="s">
        <v>10</v>
      </c>
      <c r="C49" s="427"/>
      <c r="D49" s="428"/>
      <c r="E49" s="77"/>
      <c r="F49" s="82"/>
      <c r="G49" s="82"/>
      <c r="H49" s="82"/>
      <c r="N49" s="60"/>
      <c r="O49" s="60"/>
      <c r="P49" s="60"/>
    </row>
    <row r="50" spans="2:23" ht="13" x14ac:dyDescent="0.25">
      <c r="B50" s="95" t="s">
        <v>23</v>
      </c>
      <c r="C50" s="96"/>
      <c r="D50" s="97">
        <f>SUM(C14:C15)</f>
        <v>89.5</v>
      </c>
      <c r="E50" s="98"/>
      <c r="F50" s="82"/>
      <c r="G50" s="82"/>
      <c r="H50" s="82"/>
      <c r="N50" s="60"/>
      <c r="O50" s="60"/>
      <c r="P50" s="60"/>
    </row>
    <row r="51" spans="2:23" ht="13" x14ac:dyDescent="0.25">
      <c r="B51" s="99" t="s">
        <v>24</v>
      </c>
      <c r="C51" s="100"/>
      <c r="D51" s="101">
        <f>SUM(C17:C27)</f>
        <v>741.57384000000002</v>
      </c>
      <c r="E51" s="98"/>
      <c r="F51" s="82"/>
      <c r="G51" s="82"/>
      <c r="H51" s="82"/>
      <c r="N51" s="60"/>
      <c r="O51" s="60"/>
      <c r="P51" s="60"/>
    </row>
    <row r="52" spans="2:23" ht="13" x14ac:dyDescent="0.25">
      <c r="B52" s="99" t="s">
        <v>25</v>
      </c>
      <c r="C52" s="100"/>
      <c r="D52" s="101">
        <f>SUM(C30:C38)</f>
        <v>5137.5</v>
      </c>
      <c r="E52" s="98"/>
      <c r="F52" s="82"/>
      <c r="G52" s="82"/>
      <c r="H52" s="82"/>
      <c r="N52" s="60"/>
      <c r="O52" s="60"/>
      <c r="P52" s="60"/>
    </row>
    <row r="53" spans="2:23" ht="13.5" thickBot="1" x14ac:dyDescent="0.3">
      <c r="B53" s="102" t="s">
        <v>26</v>
      </c>
      <c r="C53" s="103"/>
      <c r="D53" s="104">
        <f>SUM(C39:C46)</f>
        <v>915.95515999999998</v>
      </c>
      <c r="E53" s="98"/>
      <c r="F53" s="82"/>
      <c r="G53" s="82"/>
      <c r="H53" s="82"/>
      <c r="N53" s="60"/>
      <c r="O53" s="60"/>
      <c r="P53" s="60"/>
    </row>
    <row r="54" spans="2:23" ht="18.5" thickTop="1" x14ac:dyDescent="0.25">
      <c r="B54" s="105" t="s">
        <v>11</v>
      </c>
      <c r="C54" s="106"/>
      <c r="D54" s="107">
        <f>C28/C10</f>
        <v>10.48541307090588</v>
      </c>
      <c r="E54" s="77"/>
      <c r="F54" s="82"/>
      <c r="G54" s="82"/>
      <c r="H54" s="82"/>
      <c r="N54" s="60"/>
      <c r="O54" s="60"/>
      <c r="P54" s="60"/>
    </row>
    <row r="55" spans="2:23" ht="18" x14ac:dyDescent="0.25">
      <c r="B55" s="111" t="s">
        <v>12</v>
      </c>
      <c r="C55" s="112"/>
      <c r="D55" s="113">
        <f>(D50+D51+D52)/C10</f>
        <v>75.303732525864234</v>
      </c>
      <c r="E55" s="77"/>
      <c r="F55" s="82"/>
      <c r="G55" s="82"/>
      <c r="H55" s="82"/>
      <c r="N55" s="60"/>
      <c r="O55" s="60"/>
      <c r="P55" s="60"/>
    </row>
    <row r="56" spans="2:23" ht="18" x14ac:dyDescent="0.25">
      <c r="B56" s="111" t="s">
        <v>13</v>
      </c>
      <c r="C56" s="112"/>
      <c r="D56" s="113">
        <f>D52/C10</f>
        <v>64.818319454958356</v>
      </c>
      <c r="E56" s="90"/>
      <c r="F56" s="82"/>
      <c r="G56" s="82"/>
      <c r="H56" s="82"/>
      <c r="N56" s="60"/>
      <c r="O56" s="60"/>
      <c r="P56" s="60"/>
    </row>
    <row r="57" spans="2:23" ht="18.5" thickBot="1" x14ac:dyDescent="0.3">
      <c r="B57" s="114" t="s">
        <v>14</v>
      </c>
      <c r="C57" s="115"/>
      <c r="D57" s="116">
        <f>D53/C10</f>
        <v>11.556335604340145</v>
      </c>
      <c r="E57" s="90"/>
      <c r="F57" s="82"/>
      <c r="G57" s="82"/>
      <c r="H57" s="82"/>
      <c r="N57" s="60"/>
      <c r="O57" s="60"/>
      <c r="P57" s="60"/>
    </row>
    <row r="58" spans="2:23" ht="18.5" thickBot="1" x14ac:dyDescent="0.3">
      <c r="B58" s="114" t="s">
        <v>15</v>
      </c>
      <c r="C58" s="119"/>
      <c r="D58" s="116">
        <f>SUM(D50:D53)/C10</f>
        <v>86.860068130204397</v>
      </c>
      <c r="E58" s="90"/>
      <c r="F58" s="82"/>
      <c r="G58" s="82"/>
      <c r="H58" s="82"/>
      <c r="N58" s="60"/>
      <c r="O58" s="60"/>
      <c r="P58" s="60"/>
      <c r="U58" s="432" t="s">
        <v>168</v>
      </c>
      <c r="V58" s="445"/>
      <c r="W58" s="446"/>
    </row>
    <row r="59" spans="2:23" ht="18.5" thickTop="1" x14ac:dyDescent="0.25">
      <c r="B59" s="120" t="s">
        <v>16</v>
      </c>
      <c r="C59" s="121"/>
      <c r="D59" s="122">
        <f>(D51+C14*MAX(1,F14)+C15*MAX(1,F15))/C10</f>
        <v>10.48541307090588</v>
      </c>
      <c r="E59" s="77"/>
      <c r="F59" s="82"/>
      <c r="G59" s="82"/>
      <c r="H59" s="82"/>
      <c r="N59" s="60"/>
      <c r="O59" s="60"/>
      <c r="P59" s="60"/>
      <c r="U59" s="447"/>
      <c r="V59" s="448"/>
      <c r="W59" s="449"/>
    </row>
    <row r="60" spans="2:23" ht="18" x14ac:dyDescent="0.25">
      <c r="B60" s="123" t="s">
        <v>17</v>
      </c>
      <c r="C60" s="124"/>
      <c r="D60" s="125">
        <f>(D51+D52+C14*MAX(1,F14)+C15*MAX(1,F15)+SUMPRODUCT(C14:C15,G14:G15))/C10</f>
        <v>75.303732525864234</v>
      </c>
      <c r="E60" s="77"/>
      <c r="F60" s="82"/>
      <c r="G60" s="82"/>
      <c r="H60" s="82"/>
      <c r="N60" s="60"/>
      <c r="O60" s="60"/>
      <c r="P60" s="60"/>
      <c r="U60" s="447"/>
      <c r="V60" s="448"/>
      <c r="W60" s="449"/>
    </row>
    <row r="61" spans="2:23" ht="18" customHeight="1" x14ac:dyDescent="0.25">
      <c r="B61" s="123" t="s">
        <v>18</v>
      </c>
      <c r="C61" s="124"/>
      <c r="D61" s="125">
        <f>(D52+SUMPRODUCT(C14:C15,G14:G15))/C10</f>
        <v>64.818319454958356</v>
      </c>
      <c r="E61" s="77"/>
      <c r="F61" s="82"/>
      <c r="G61" s="82"/>
      <c r="H61" s="82"/>
      <c r="N61" s="60"/>
      <c r="O61" s="60"/>
      <c r="P61" s="60"/>
      <c r="U61" s="447"/>
      <c r="V61" s="448"/>
      <c r="W61" s="449"/>
    </row>
    <row r="62" spans="2:23" ht="18" x14ac:dyDescent="0.25">
      <c r="B62" s="126" t="s">
        <v>19</v>
      </c>
      <c r="C62" s="127"/>
      <c r="D62" s="128">
        <f>(D53+SUMPRODUCT(C14:C15,H14:H15))/C10</f>
        <v>11.556335604340145</v>
      </c>
      <c r="E62" s="77"/>
      <c r="F62" s="82"/>
      <c r="G62" s="82"/>
      <c r="H62" s="82"/>
      <c r="K62" s="34"/>
      <c r="N62" s="60"/>
      <c r="O62" s="60"/>
      <c r="P62" s="60"/>
      <c r="U62" s="447"/>
      <c r="V62" s="448"/>
      <c r="W62" s="449"/>
    </row>
    <row r="63" spans="2:23" ht="18.5" thickBot="1" x14ac:dyDescent="0.3">
      <c r="B63" s="129" t="s">
        <v>20</v>
      </c>
      <c r="C63" s="130"/>
      <c r="D63" s="131">
        <f>(SUM(D51:D53)+C14*MAX(1,F14)+C15*MAX(1,F15)+SUMPRODUCT(C14:C15,G14:G15)+SUMPRODUCT(C14:C15,H14:H15))/C10</f>
        <v>86.860068130204397</v>
      </c>
      <c r="E63" s="77"/>
      <c r="F63" s="82"/>
      <c r="G63" s="82"/>
      <c r="H63" s="82"/>
      <c r="I63" s="132"/>
      <c r="N63" s="60"/>
      <c r="O63" s="60"/>
      <c r="P63" s="60"/>
      <c r="U63" s="450"/>
      <c r="V63" s="451"/>
      <c r="W63" s="452"/>
    </row>
    <row r="64" spans="2:23" ht="13" thickTop="1" x14ac:dyDescent="0.25">
      <c r="B64" s="256"/>
      <c r="C64" s="256"/>
      <c r="D64" s="256"/>
      <c r="E64" s="256"/>
      <c r="F64" s="256"/>
      <c r="G64" s="256"/>
      <c r="H64" s="256"/>
      <c r="N64" s="60"/>
      <c r="O64" s="60"/>
      <c r="P64" s="60"/>
    </row>
    <row r="65" spans="2:16" x14ac:dyDescent="0.25">
      <c r="B65" s="256"/>
      <c r="C65" s="256"/>
      <c r="D65" s="256"/>
      <c r="E65" s="256"/>
      <c r="F65" s="256"/>
      <c r="G65" s="256"/>
      <c r="H65" s="256"/>
      <c r="N65" s="60"/>
      <c r="O65" s="60"/>
      <c r="P65" s="60"/>
    </row>
    <row r="66" spans="2:16" x14ac:dyDescent="0.25">
      <c r="B66" s="256"/>
      <c r="C66" s="256"/>
      <c r="D66" s="256"/>
      <c r="E66" s="256"/>
      <c r="F66" s="256"/>
      <c r="G66" s="256"/>
      <c r="H66" s="256"/>
      <c r="N66" s="60"/>
      <c r="O66" s="60"/>
      <c r="P66" s="60"/>
    </row>
    <row r="67" spans="2:16" ht="13.5" thickBot="1" x14ac:dyDescent="0.3">
      <c r="E67" s="46"/>
      <c r="F67" s="34"/>
      <c r="G67" s="34"/>
      <c r="H67" s="34"/>
      <c r="N67" s="60"/>
      <c r="O67" s="60"/>
      <c r="P67" s="60"/>
    </row>
    <row r="68" spans="2:16" ht="21" thickTop="1" thickBot="1" x14ac:dyDescent="0.3">
      <c r="B68" s="140" t="s">
        <v>73</v>
      </c>
      <c r="C68" s="29"/>
      <c r="D68" s="30" t="s">
        <v>179</v>
      </c>
      <c r="E68" s="31"/>
      <c r="F68" s="32" t="s">
        <v>27</v>
      </c>
      <c r="G68" s="33"/>
      <c r="H68" s="33"/>
      <c r="I68" s="34"/>
      <c r="N68" s="60"/>
      <c r="O68" s="60"/>
      <c r="P68" s="60"/>
    </row>
    <row r="69" spans="2:16" ht="14.5" thickBot="1" x14ac:dyDescent="0.3">
      <c r="B69" s="37"/>
      <c r="C69" s="38" t="s">
        <v>0</v>
      </c>
      <c r="D69" s="39" t="s">
        <v>1</v>
      </c>
      <c r="E69" s="40"/>
      <c r="F69" s="41" t="s">
        <v>28</v>
      </c>
      <c r="G69" s="41" t="s">
        <v>21</v>
      </c>
      <c r="H69" s="41" t="s">
        <v>8</v>
      </c>
      <c r="K69" s="34"/>
      <c r="N69" s="60"/>
      <c r="O69" s="60"/>
      <c r="P69" s="60"/>
    </row>
    <row r="70" spans="2:16" ht="13" x14ac:dyDescent="0.25">
      <c r="B70" s="43" t="s">
        <v>65</v>
      </c>
      <c r="C70" s="161">
        <v>82.56</v>
      </c>
      <c r="D70" s="45" t="s">
        <v>22</v>
      </c>
      <c r="E70" s="46"/>
      <c r="F70" s="47"/>
      <c r="G70" s="47"/>
      <c r="H70" s="47"/>
      <c r="N70" s="60"/>
      <c r="O70" s="60"/>
      <c r="P70" s="60"/>
    </row>
    <row r="71" spans="2:16" ht="13" x14ac:dyDescent="0.25">
      <c r="B71" s="43" t="s">
        <v>64</v>
      </c>
      <c r="C71" s="162">
        <v>0.96</v>
      </c>
      <c r="D71" s="45" t="s">
        <v>3</v>
      </c>
      <c r="E71" s="46"/>
      <c r="F71" s="47"/>
      <c r="G71" s="47"/>
      <c r="H71" s="47"/>
      <c r="N71" s="60"/>
      <c r="O71" s="60"/>
      <c r="P71" s="60"/>
    </row>
    <row r="72" spans="2:16" ht="13" x14ac:dyDescent="0.25">
      <c r="B72" s="51" t="s">
        <v>63</v>
      </c>
      <c r="C72" s="163">
        <f>C70*C71</f>
        <v>79.257599999999996</v>
      </c>
      <c r="D72" s="45" t="str">
        <f>D70</f>
        <v>g</v>
      </c>
      <c r="E72" s="46"/>
      <c r="F72" s="47"/>
      <c r="G72" s="47"/>
      <c r="H72" s="47"/>
      <c r="N72" s="60"/>
      <c r="O72" s="60"/>
      <c r="P72" s="60"/>
    </row>
    <row r="73" spans="2:16" ht="14" x14ac:dyDescent="0.25">
      <c r="B73" s="54" t="s">
        <v>37</v>
      </c>
      <c r="C73" s="164">
        <v>1</v>
      </c>
      <c r="D73" s="56"/>
      <c r="E73" s="57"/>
      <c r="F73" s="58"/>
      <c r="G73" s="58"/>
      <c r="H73" s="58"/>
      <c r="N73" s="60"/>
      <c r="O73" s="60"/>
      <c r="P73" s="60"/>
    </row>
    <row r="74" spans="2:16" ht="13" x14ac:dyDescent="0.25">
      <c r="B74" s="43" t="s">
        <v>66</v>
      </c>
      <c r="C74" s="161">
        <v>174.11</v>
      </c>
      <c r="D74" s="45" t="str">
        <f>D70</f>
        <v>g</v>
      </c>
      <c r="E74" s="46"/>
      <c r="F74" s="47"/>
      <c r="G74" s="47"/>
      <c r="H74" s="47"/>
      <c r="K74" s="34"/>
      <c r="N74" s="60"/>
      <c r="O74" s="60"/>
      <c r="P74" s="60"/>
    </row>
    <row r="75" spans="2:16" ht="13" x14ac:dyDescent="0.25">
      <c r="B75" s="43" t="s">
        <v>67</v>
      </c>
      <c r="C75" s="162">
        <v>1</v>
      </c>
      <c r="D75" s="45" t="s">
        <v>3</v>
      </c>
      <c r="E75" s="59"/>
      <c r="F75" s="47"/>
      <c r="G75" s="47"/>
      <c r="H75" s="47"/>
      <c r="N75" s="60"/>
      <c r="O75" s="60"/>
      <c r="P75" s="60"/>
    </row>
    <row r="76" spans="2:16" ht="13.5" thickBot="1" x14ac:dyDescent="0.3">
      <c r="B76" s="51" t="s">
        <v>68</v>
      </c>
      <c r="C76" s="163">
        <f>C74*C75</f>
        <v>174.11</v>
      </c>
      <c r="D76" s="45" t="str">
        <f>D70</f>
        <v>g</v>
      </c>
      <c r="E76" s="46"/>
      <c r="F76" s="47"/>
      <c r="G76" s="47"/>
      <c r="H76" s="47"/>
      <c r="N76" s="60"/>
      <c r="O76" s="60"/>
      <c r="P76" s="60"/>
    </row>
    <row r="77" spans="2:16" ht="13.5" thickBot="1" x14ac:dyDescent="0.3">
      <c r="B77" s="61"/>
      <c r="C77" s="62"/>
      <c r="D77" s="63"/>
      <c r="F77" s="64"/>
      <c r="G77" s="64"/>
      <c r="H77" s="64"/>
      <c r="N77" s="60"/>
      <c r="O77" s="60"/>
      <c r="P77" s="60"/>
    </row>
    <row r="78" spans="2:16" ht="14.5" thickBot="1" x14ac:dyDescent="0.3">
      <c r="B78" s="65" t="s">
        <v>5</v>
      </c>
      <c r="C78" s="66" t="s">
        <v>6</v>
      </c>
      <c r="D78" s="67" t="s">
        <v>1</v>
      </c>
      <c r="E78" s="68"/>
      <c r="F78" s="69"/>
      <c r="G78" s="69"/>
      <c r="H78" s="69"/>
      <c r="N78" s="60"/>
      <c r="O78" s="60"/>
      <c r="P78" s="60"/>
    </row>
    <row r="79" spans="2:16" ht="13" x14ac:dyDescent="0.25">
      <c r="B79" s="70" t="s">
        <v>91</v>
      </c>
      <c r="C79" s="71"/>
      <c r="D79" s="72"/>
      <c r="E79" s="73"/>
      <c r="F79" s="69"/>
      <c r="G79" s="69"/>
      <c r="H79" s="69"/>
      <c r="N79" s="60"/>
      <c r="O79" s="60"/>
      <c r="P79" s="60"/>
    </row>
    <row r="80" spans="2:16" ht="13.5" thickBot="1" x14ac:dyDescent="0.3">
      <c r="B80" s="74" t="s">
        <v>180</v>
      </c>
      <c r="C80" s="75">
        <f>C72</f>
        <v>79.257599999999996</v>
      </c>
      <c r="D80" s="76" t="str">
        <f>D70</f>
        <v>g</v>
      </c>
      <c r="E80" s="98"/>
      <c r="F80" s="69"/>
      <c r="G80" s="69"/>
      <c r="H80" s="69"/>
      <c r="N80" s="60"/>
      <c r="O80" s="60"/>
      <c r="P80" s="60"/>
    </row>
    <row r="81" spans="1:16" ht="13.5" thickBot="1" x14ac:dyDescent="0.3">
      <c r="B81" s="74" t="s">
        <v>181</v>
      </c>
      <c r="C81" s="75">
        <f>104.5+5</f>
        <v>109.5</v>
      </c>
      <c r="D81" s="76" t="str">
        <f>D70</f>
        <v>g</v>
      </c>
      <c r="E81" s="77"/>
      <c r="F81" s="78"/>
      <c r="G81" s="78"/>
      <c r="H81" s="78"/>
      <c r="N81" s="60"/>
      <c r="O81" s="60"/>
      <c r="P81" s="60"/>
    </row>
    <row r="82" spans="1:16" ht="13" x14ac:dyDescent="0.25">
      <c r="B82" s="79" t="s">
        <v>69</v>
      </c>
      <c r="C82" s="80"/>
      <c r="D82" s="81"/>
      <c r="E82" s="77"/>
      <c r="F82" s="82"/>
      <c r="G82" s="82"/>
      <c r="H82" s="82"/>
      <c r="N82" s="60"/>
      <c r="O82" s="60"/>
      <c r="P82" s="60"/>
    </row>
    <row r="83" spans="1:16" ht="13" x14ac:dyDescent="0.25">
      <c r="A83" s="281"/>
      <c r="B83" s="282" t="s">
        <v>182</v>
      </c>
      <c r="C83" s="83">
        <v>3.01</v>
      </c>
      <c r="D83" s="76" t="str">
        <f>D70</f>
        <v>g</v>
      </c>
      <c r="E83" s="77"/>
      <c r="F83" s="82"/>
      <c r="G83" s="82"/>
      <c r="H83" s="82"/>
      <c r="N83" s="448"/>
      <c r="O83" s="448"/>
      <c r="P83" s="448"/>
    </row>
    <row r="84" spans="1:16" ht="13" x14ac:dyDescent="0.25">
      <c r="A84" s="281"/>
      <c r="C84" s="83"/>
      <c r="D84" s="76" t="str">
        <f>D70</f>
        <v>g</v>
      </c>
      <c r="E84" s="77"/>
      <c r="F84" s="82"/>
      <c r="G84" s="82"/>
      <c r="H84" s="82"/>
      <c r="N84" s="448"/>
      <c r="O84" s="448"/>
      <c r="P84" s="448"/>
    </row>
    <row r="85" spans="1:16" ht="13" x14ac:dyDescent="0.25">
      <c r="B85" s="74" t="s">
        <v>183</v>
      </c>
      <c r="C85" s="83">
        <v>600</v>
      </c>
      <c r="D85" s="76" t="str">
        <f>D70</f>
        <v>g</v>
      </c>
      <c r="E85" s="77"/>
      <c r="F85" s="82"/>
      <c r="G85" s="82"/>
      <c r="H85" s="82"/>
      <c r="N85" s="448"/>
      <c r="O85" s="448"/>
      <c r="P85" s="448"/>
    </row>
    <row r="86" spans="1:16" ht="13" x14ac:dyDescent="0.25">
      <c r="B86" s="74"/>
      <c r="C86" s="83"/>
      <c r="D86" s="76" t="str">
        <f>D70</f>
        <v>g</v>
      </c>
      <c r="E86" s="77"/>
      <c r="F86" s="82"/>
      <c r="G86" s="82"/>
      <c r="H86" s="82"/>
      <c r="N86" s="448"/>
      <c r="O86" s="448"/>
      <c r="P86" s="448"/>
    </row>
    <row r="87" spans="1:16" ht="12.75" customHeight="1" x14ac:dyDescent="0.25">
      <c r="B87" s="74"/>
      <c r="C87" s="83"/>
      <c r="D87" s="76" t="str">
        <f>D70</f>
        <v>g</v>
      </c>
      <c r="E87" s="77"/>
      <c r="F87" s="82"/>
      <c r="G87" s="82"/>
      <c r="H87" s="82"/>
      <c r="N87" s="448"/>
      <c r="O87" s="448"/>
      <c r="P87" s="448"/>
    </row>
    <row r="88" spans="1:16" ht="12.75" customHeight="1" x14ac:dyDescent="0.25">
      <c r="B88" s="74"/>
      <c r="C88" s="83"/>
      <c r="D88" s="76" t="str">
        <f>D70</f>
        <v>g</v>
      </c>
      <c r="E88" s="77"/>
      <c r="F88" s="82"/>
      <c r="G88" s="82"/>
      <c r="H88" s="82"/>
      <c r="N88" s="448"/>
      <c r="O88" s="448"/>
      <c r="P88" s="448"/>
    </row>
    <row r="89" spans="1:16" ht="12.75" customHeight="1" x14ac:dyDescent="0.25">
      <c r="B89" s="74"/>
      <c r="C89" s="83"/>
      <c r="D89" s="76" t="str">
        <f>D70</f>
        <v>g</v>
      </c>
      <c r="E89" s="77"/>
      <c r="F89" s="82"/>
      <c r="G89" s="82"/>
      <c r="H89" s="82"/>
      <c r="N89" s="60"/>
      <c r="O89" s="60"/>
      <c r="P89" s="60"/>
    </row>
    <row r="90" spans="1:16" ht="12.75" customHeight="1" x14ac:dyDescent="0.25">
      <c r="B90" s="74"/>
      <c r="C90" s="83"/>
      <c r="D90" s="76" t="str">
        <f>D70</f>
        <v>g</v>
      </c>
      <c r="E90" s="77"/>
      <c r="F90" s="82"/>
      <c r="G90" s="82"/>
      <c r="H90" s="82"/>
      <c r="N90" s="60"/>
      <c r="O90" s="60"/>
      <c r="P90" s="60"/>
    </row>
    <row r="91" spans="1:16" ht="12.75" customHeight="1" x14ac:dyDescent="0.25">
      <c r="B91" s="74"/>
      <c r="C91" s="83"/>
      <c r="D91" s="76" t="str">
        <f>D70</f>
        <v>g</v>
      </c>
      <c r="E91" s="77"/>
      <c r="F91" s="82"/>
      <c r="G91" s="82"/>
      <c r="H91" s="82"/>
      <c r="N91" s="60"/>
      <c r="O91" s="60"/>
      <c r="P91" s="60"/>
    </row>
    <row r="92" spans="1:16" ht="12.75" customHeight="1" x14ac:dyDescent="0.25">
      <c r="B92" s="74"/>
      <c r="C92" s="83"/>
      <c r="D92" s="76" t="str">
        <f>D70</f>
        <v>g</v>
      </c>
      <c r="E92" s="77"/>
      <c r="F92" s="82"/>
      <c r="G92" s="82"/>
      <c r="H92" s="82"/>
      <c r="N92" s="60"/>
      <c r="O92" s="60"/>
      <c r="P92" s="60"/>
    </row>
    <row r="93" spans="1:16" ht="12.75" customHeight="1" x14ac:dyDescent="0.25">
      <c r="B93" s="84"/>
      <c r="C93" s="85"/>
      <c r="D93" s="76" t="str">
        <f>D70</f>
        <v>g</v>
      </c>
      <c r="E93" s="77"/>
      <c r="F93" s="82"/>
      <c r="G93" s="82"/>
      <c r="H93" s="82"/>
      <c r="K93" s="34"/>
      <c r="N93" s="60"/>
      <c r="O93" s="60"/>
      <c r="P93" s="60"/>
    </row>
    <row r="94" spans="1:16" ht="12.75" customHeight="1" x14ac:dyDescent="0.25">
      <c r="B94" s="86" t="s">
        <v>7</v>
      </c>
      <c r="C94" s="87">
        <f>SUM(C79:C93)</f>
        <v>791.76760000000002</v>
      </c>
      <c r="D94" s="88" t="str">
        <f>D70</f>
        <v>g</v>
      </c>
      <c r="E94" s="77"/>
      <c r="F94" s="82"/>
      <c r="G94" s="82"/>
      <c r="H94" s="82"/>
      <c r="N94" s="60"/>
      <c r="O94" s="60"/>
      <c r="P94" s="60"/>
    </row>
    <row r="95" spans="1:16" ht="12.75" customHeight="1" x14ac:dyDescent="0.25">
      <c r="B95" s="79" t="s">
        <v>71</v>
      </c>
      <c r="C95" s="89"/>
      <c r="D95" s="81"/>
      <c r="E95" s="77"/>
      <c r="F95" s="82"/>
      <c r="G95" s="82"/>
      <c r="H95" s="82"/>
      <c r="I95" s="34"/>
      <c r="J95" s="53"/>
      <c r="L95" s="53"/>
      <c r="N95" s="60"/>
      <c r="O95" s="60"/>
      <c r="P95" s="60"/>
    </row>
    <row r="96" spans="1:16" ht="12.75" customHeight="1" x14ac:dyDescent="0.25">
      <c r="B96" s="74" t="s">
        <v>184</v>
      </c>
      <c r="C96" s="83">
        <f>560*0.867</f>
        <v>485.52</v>
      </c>
      <c r="D96" s="76" t="str">
        <f>D70</f>
        <v>g</v>
      </c>
      <c r="E96" s="77"/>
      <c r="F96" s="82"/>
      <c r="G96" s="82"/>
      <c r="H96" s="82"/>
      <c r="N96" s="60"/>
      <c r="O96" s="60"/>
      <c r="P96" s="60"/>
    </row>
    <row r="97" spans="2:16" ht="12.75" customHeight="1" x14ac:dyDescent="0.25">
      <c r="B97" s="74"/>
      <c r="C97" s="83"/>
      <c r="D97" s="76" t="str">
        <f>D70</f>
        <v>g</v>
      </c>
      <c r="E97" s="77"/>
      <c r="F97" s="82"/>
      <c r="G97" s="82"/>
      <c r="H97" s="82"/>
      <c r="N97" s="60"/>
      <c r="O97" s="60"/>
      <c r="P97" s="60"/>
    </row>
    <row r="98" spans="2:16" ht="12.75" customHeight="1" x14ac:dyDescent="0.25">
      <c r="B98" s="74" t="s">
        <v>185</v>
      </c>
      <c r="C98" s="83">
        <f>3000*1.33</f>
        <v>3990</v>
      </c>
      <c r="D98" s="76" t="str">
        <f>D70</f>
        <v>g</v>
      </c>
      <c r="E98" s="77"/>
      <c r="F98" s="82"/>
      <c r="G98" s="82"/>
      <c r="H98" s="82"/>
      <c r="N98" s="60"/>
      <c r="O98" s="60"/>
      <c r="P98" s="60"/>
    </row>
    <row r="99" spans="2:16" ht="12.75" customHeight="1" x14ac:dyDescent="0.25">
      <c r="B99" s="74"/>
      <c r="C99" s="83"/>
      <c r="D99" s="76" t="str">
        <f>D70</f>
        <v>g</v>
      </c>
      <c r="E99" s="77"/>
      <c r="F99" s="82"/>
      <c r="G99" s="82"/>
      <c r="H99" s="82"/>
      <c r="N99" s="60"/>
      <c r="O99" s="60"/>
      <c r="P99" s="60"/>
    </row>
    <row r="100" spans="2:16" ht="12.75" customHeight="1" x14ac:dyDescent="0.25">
      <c r="B100" s="74"/>
      <c r="C100" s="83"/>
      <c r="D100" s="76" t="str">
        <f>D70</f>
        <v>g</v>
      </c>
      <c r="E100" s="77"/>
      <c r="F100" s="82"/>
      <c r="G100" s="82"/>
      <c r="H100" s="82"/>
      <c r="N100" s="60"/>
      <c r="O100" s="60"/>
      <c r="P100" s="60"/>
    </row>
    <row r="101" spans="2:16" ht="12.75" customHeight="1" x14ac:dyDescent="0.25">
      <c r="B101" s="74"/>
      <c r="C101" s="83"/>
      <c r="D101" s="76" t="str">
        <f>D70</f>
        <v>g</v>
      </c>
      <c r="E101" s="77"/>
      <c r="F101" s="82"/>
      <c r="G101" s="82"/>
      <c r="H101" s="82"/>
      <c r="N101" s="60"/>
      <c r="O101" s="60"/>
      <c r="P101" s="60"/>
    </row>
    <row r="102" spans="2:16" ht="12.75" customHeight="1" x14ac:dyDescent="0.25">
      <c r="B102" s="74"/>
      <c r="C102" s="83"/>
      <c r="D102" s="76" t="str">
        <f>D70</f>
        <v>g</v>
      </c>
      <c r="E102" s="77"/>
      <c r="F102" s="82"/>
      <c r="G102" s="82"/>
      <c r="H102" s="82"/>
      <c r="N102" s="60"/>
      <c r="O102" s="60"/>
      <c r="P102" s="60"/>
    </row>
    <row r="103" spans="2:16" ht="12.75" customHeight="1" x14ac:dyDescent="0.25">
      <c r="B103" s="74"/>
      <c r="C103" s="83"/>
      <c r="D103" s="76" t="str">
        <f>D70</f>
        <v>g</v>
      </c>
      <c r="E103" s="77"/>
      <c r="F103" s="82"/>
      <c r="G103" s="82"/>
      <c r="H103" s="82"/>
      <c r="N103" s="60"/>
      <c r="O103" s="60"/>
      <c r="P103" s="60"/>
    </row>
    <row r="104" spans="2:16" ht="12.75" customHeight="1" x14ac:dyDescent="0.25">
      <c r="B104" s="79" t="s">
        <v>70</v>
      </c>
      <c r="C104" s="80"/>
      <c r="D104" s="81"/>
      <c r="E104" s="90"/>
      <c r="F104" s="82"/>
      <c r="G104" s="82"/>
      <c r="H104" s="82"/>
      <c r="N104" s="60"/>
      <c r="O104" s="60"/>
      <c r="P104" s="60"/>
    </row>
    <row r="105" spans="2:16" ht="12.75" customHeight="1" x14ac:dyDescent="0.25">
      <c r="B105" s="74"/>
      <c r="C105" s="83"/>
      <c r="D105" s="76" t="str">
        <f>D70</f>
        <v>g</v>
      </c>
      <c r="E105" s="77"/>
      <c r="F105" s="82"/>
      <c r="G105" s="82"/>
      <c r="H105" s="82"/>
      <c r="N105" s="60"/>
      <c r="O105" s="60"/>
      <c r="P105" s="60"/>
    </row>
    <row r="106" spans="2:16" ht="12.75" customHeight="1" x14ac:dyDescent="0.25">
      <c r="B106" s="74"/>
      <c r="C106" s="83"/>
      <c r="D106" s="76" t="str">
        <f>D70</f>
        <v>g</v>
      </c>
      <c r="E106" s="77"/>
      <c r="F106" s="82"/>
      <c r="G106" s="82"/>
      <c r="H106" s="82"/>
      <c r="N106" s="60"/>
      <c r="O106" s="60"/>
      <c r="P106" s="60"/>
    </row>
    <row r="107" spans="2:16" ht="12.75" customHeight="1" x14ac:dyDescent="0.25">
      <c r="B107" s="74"/>
      <c r="C107" s="83"/>
      <c r="D107" s="76" t="str">
        <f>D70</f>
        <v>g</v>
      </c>
      <c r="E107" s="77"/>
      <c r="F107" s="82"/>
      <c r="G107" s="82"/>
      <c r="H107" s="82"/>
      <c r="N107" s="60"/>
      <c r="O107" s="60"/>
      <c r="P107" s="60"/>
    </row>
    <row r="108" spans="2:16" ht="12.75" customHeight="1" x14ac:dyDescent="0.25">
      <c r="B108" s="74"/>
      <c r="C108" s="83"/>
      <c r="D108" s="76" t="str">
        <f>D70</f>
        <v>g</v>
      </c>
      <c r="E108" s="77"/>
      <c r="F108" s="82"/>
      <c r="G108" s="82"/>
      <c r="H108" s="82"/>
      <c r="N108" s="60"/>
      <c r="O108" s="60"/>
      <c r="P108" s="60"/>
    </row>
    <row r="109" spans="2:16" ht="12.75" customHeight="1" x14ac:dyDescent="0.25">
      <c r="B109" s="74"/>
      <c r="C109" s="83"/>
      <c r="D109" s="76" t="str">
        <f>D70</f>
        <v>g</v>
      </c>
      <c r="E109" s="77"/>
      <c r="F109" s="82"/>
      <c r="G109" s="82"/>
      <c r="H109" s="82"/>
      <c r="N109" s="60"/>
      <c r="O109" s="60"/>
      <c r="P109" s="60"/>
    </row>
    <row r="110" spans="2:16" ht="12.75" customHeight="1" x14ac:dyDescent="0.25">
      <c r="B110" s="74"/>
      <c r="C110" s="83"/>
      <c r="D110" s="76" t="str">
        <f>D70</f>
        <v>g</v>
      </c>
      <c r="E110" s="77"/>
      <c r="F110" s="82"/>
      <c r="G110" s="82"/>
      <c r="H110" s="82"/>
      <c r="N110" s="60"/>
      <c r="O110" s="60"/>
      <c r="P110" s="60"/>
    </row>
    <row r="111" spans="2:16" ht="12.75" customHeight="1" x14ac:dyDescent="0.25">
      <c r="B111" s="74"/>
      <c r="C111" s="83"/>
      <c r="D111" s="76" t="str">
        <f>D70</f>
        <v>g</v>
      </c>
      <c r="E111" s="77"/>
      <c r="F111" s="82"/>
      <c r="G111" s="82"/>
      <c r="H111" s="82"/>
      <c r="N111" s="60"/>
      <c r="O111" s="60"/>
      <c r="P111" s="60"/>
    </row>
    <row r="112" spans="2:16" ht="12.75" customHeight="1" x14ac:dyDescent="0.25">
      <c r="B112" s="84"/>
      <c r="C112" s="85"/>
      <c r="D112" s="76" t="str">
        <f>D70</f>
        <v>g</v>
      </c>
      <c r="E112" s="77"/>
      <c r="F112" s="82"/>
      <c r="G112" s="82"/>
      <c r="H112" s="82"/>
      <c r="K112" s="34"/>
      <c r="N112" s="60"/>
      <c r="O112" s="60"/>
      <c r="P112" s="60"/>
    </row>
    <row r="113" spans="2:16" ht="12.75" customHeight="1" x14ac:dyDescent="0.25">
      <c r="B113" s="86" t="s">
        <v>9</v>
      </c>
      <c r="C113" s="87">
        <f>SUM(C94:C112)</f>
        <v>5267.2875999999997</v>
      </c>
      <c r="D113" s="91" t="str">
        <f>D70</f>
        <v>g</v>
      </c>
      <c r="E113" s="77"/>
      <c r="F113" s="82"/>
      <c r="G113" s="82"/>
      <c r="H113" s="82"/>
      <c r="N113" s="60"/>
      <c r="O113" s="60"/>
      <c r="P113" s="60"/>
    </row>
    <row r="114" spans="2:16" ht="12.75" customHeight="1" thickBot="1" x14ac:dyDescent="0.3">
      <c r="B114" s="92"/>
      <c r="C114" s="93"/>
      <c r="D114" s="94"/>
      <c r="E114" s="77"/>
      <c r="F114" s="82"/>
      <c r="G114" s="82"/>
      <c r="H114" s="82"/>
      <c r="N114" s="60"/>
      <c r="O114" s="60"/>
      <c r="P114" s="60"/>
    </row>
    <row r="115" spans="2:16" ht="20.5" thickBot="1" x14ac:dyDescent="0.3">
      <c r="B115" s="426" t="s">
        <v>10</v>
      </c>
      <c r="C115" s="427"/>
      <c r="D115" s="428"/>
      <c r="E115" s="77"/>
      <c r="F115" s="82"/>
      <c r="G115" s="82"/>
      <c r="H115" s="82"/>
      <c r="N115" s="60"/>
      <c r="O115" s="60"/>
      <c r="P115" s="60"/>
    </row>
    <row r="116" spans="2:16" ht="13" x14ac:dyDescent="0.25">
      <c r="B116" s="95" t="s">
        <v>23</v>
      </c>
      <c r="C116" s="96"/>
      <c r="D116" s="97">
        <f>SUM(C80:C81)</f>
        <v>188.7576</v>
      </c>
      <c r="E116" s="98"/>
      <c r="F116" s="82"/>
      <c r="G116" s="82"/>
      <c r="H116" s="82"/>
      <c r="N116" s="60"/>
      <c r="O116" s="60"/>
      <c r="P116" s="60"/>
    </row>
    <row r="117" spans="2:16" ht="13" x14ac:dyDescent="0.25">
      <c r="B117" s="99" t="s">
        <v>24</v>
      </c>
      <c r="C117" s="100"/>
      <c r="D117" s="101">
        <f>SUM(C83:C93)</f>
        <v>603.01</v>
      </c>
      <c r="E117" s="98"/>
      <c r="F117" s="82"/>
      <c r="G117" s="82"/>
      <c r="H117" s="82"/>
      <c r="N117" s="60"/>
      <c r="O117" s="60"/>
      <c r="P117" s="60"/>
    </row>
    <row r="118" spans="2:16" ht="13" x14ac:dyDescent="0.25">
      <c r="B118" s="99" t="s">
        <v>25</v>
      </c>
      <c r="C118" s="100"/>
      <c r="D118" s="101">
        <f>SUM(C96:C104)</f>
        <v>4475.5200000000004</v>
      </c>
      <c r="E118" s="98"/>
      <c r="F118" s="82"/>
      <c r="G118" s="82"/>
      <c r="H118" s="82"/>
      <c r="N118" s="60"/>
      <c r="O118" s="60"/>
      <c r="P118" s="60"/>
    </row>
    <row r="119" spans="2:16" ht="13.5" thickBot="1" x14ac:dyDescent="0.3">
      <c r="B119" s="102" t="s">
        <v>26</v>
      </c>
      <c r="C119" s="103"/>
      <c r="D119" s="104">
        <f>SUM(C105:C112)</f>
        <v>0</v>
      </c>
      <c r="E119" s="98"/>
      <c r="F119" s="82"/>
      <c r="G119" s="82"/>
      <c r="H119" s="82"/>
      <c r="N119" s="60"/>
      <c r="O119" s="60"/>
      <c r="P119" s="60"/>
    </row>
    <row r="120" spans="2:16" ht="18.5" thickTop="1" x14ac:dyDescent="0.25">
      <c r="B120" s="105" t="s">
        <v>11</v>
      </c>
      <c r="C120" s="106"/>
      <c r="D120" s="107">
        <f>C94/C76</f>
        <v>4.5475136408017915</v>
      </c>
      <c r="E120" s="77"/>
      <c r="F120" s="82"/>
      <c r="G120" s="82"/>
      <c r="H120" s="82"/>
      <c r="N120" s="60"/>
      <c r="O120" s="60"/>
      <c r="P120" s="60"/>
    </row>
    <row r="121" spans="2:16" ht="18" x14ac:dyDescent="0.25">
      <c r="B121" s="111" t="s">
        <v>12</v>
      </c>
      <c r="C121" s="112"/>
      <c r="D121" s="113">
        <f>(D116+D117+D118)/C76</f>
        <v>30.252642582275573</v>
      </c>
      <c r="E121" s="77"/>
      <c r="F121" s="82"/>
      <c r="G121" s="82"/>
      <c r="H121" s="82"/>
      <c r="N121" s="60"/>
      <c r="O121" s="60"/>
      <c r="P121" s="60"/>
    </row>
    <row r="122" spans="2:16" ht="18" x14ac:dyDescent="0.25">
      <c r="B122" s="111" t="s">
        <v>13</v>
      </c>
      <c r="C122" s="112"/>
      <c r="D122" s="113">
        <f>D118/C76</f>
        <v>25.705128941473781</v>
      </c>
      <c r="E122" s="90"/>
      <c r="F122" s="82"/>
      <c r="G122" s="82"/>
      <c r="H122" s="82"/>
      <c r="N122" s="60"/>
      <c r="O122" s="60"/>
      <c r="P122" s="60"/>
    </row>
    <row r="123" spans="2:16" ht="18" x14ac:dyDescent="0.25">
      <c r="B123" s="114" t="s">
        <v>14</v>
      </c>
      <c r="C123" s="115"/>
      <c r="D123" s="116">
        <f>D119/C76</f>
        <v>0</v>
      </c>
      <c r="E123" s="90"/>
      <c r="F123" s="82"/>
      <c r="G123" s="82"/>
      <c r="H123" s="82"/>
      <c r="N123" s="60"/>
      <c r="O123" s="60"/>
      <c r="P123" s="60"/>
    </row>
    <row r="124" spans="2:16" ht="18.5" thickBot="1" x14ac:dyDescent="0.3">
      <c r="B124" s="114" t="s">
        <v>15</v>
      </c>
      <c r="C124" s="119"/>
      <c r="D124" s="116">
        <f>SUM(D116:D119)/C76</f>
        <v>30.252642582275573</v>
      </c>
      <c r="E124" s="90"/>
      <c r="F124" s="82"/>
      <c r="G124" s="82"/>
      <c r="H124" s="82"/>
      <c r="N124" s="60"/>
      <c r="O124" s="60"/>
      <c r="P124" s="60"/>
    </row>
    <row r="125" spans="2:16" ht="18.5" thickTop="1" x14ac:dyDescent="0.25">
      <c r="B125" s="120" t="s">
        <v>16</v>
      </c>
      <c r="C125" s="121"/>
      <c r="D125" s="122">
        <f>((C80*D59)+D117+C81*MAX(1,F81))/C76</f>
        <v>8.8654222905555677</v>
      </c>
      <c r="E125" s="77"/>
      <c r="F125" s="82"/>
      <c r="G125" s="82"/>
      <c r="H125" s="82"/>
      <c r="N125" s="60"/>
      <c r="O125" s="60"/>
      <c r="P125" s="60"/>
    </row>
    <row r="126" spans="2:16" ht="18" x14ac:dyDescent="0.25">
      <c r="B126" s="123" t="s">
        <v>17</v>
      </c>
      <c r="C126" s="124"/>
      <c r="D126" s="125">
        <f>(C80*D60+D117+D118+C81*(MAX(1,F81)+G81))/C76</f>
        <v>64.076865837929688</v>
      </c>
      <c r="E126" s="77"/>
      <c r="F126" s="82"/>
      <c r="G126" s="82"/>
      <c r="H126" s="82"/>
      <c r="N126" s="60"/>
      <c r="O126" s="60"/>
      <c r="P126" s="60"/>
    </row>
    <row r="127" spans="2:16" ht="18" customHeight="1" x14ac:dyDescent="0.25">
      <c r="B127" s="123" t="s">
        <v>18</v>
      </c>
      <c r="C127" s="124"/>
      <c r="D127" s="125">
        <f>((C80*D61)+D118+C81*G81)/C76</f>
        <v>55.21144354737411</v>
      </c>
      <c r="E127" s="77"/>
      <c r="F127" s="82"/>
      <c r="G127" s="82"/>
      <c r="H127" s="82"/>
      <c r="N127" s="60"/>
      <c r="O127" s="60"/>
      <c r="P127" s="60"/>
    </row>
    <row r="128" spans="2:16" ht="18" x14ac:dyDescent="0.25">
      <c r="B128" s="126" t="s">
        <v>19</v>
      </c>
      <c r="C128" s="127"/>
      <c r="D128" s="128">
        <f>(C80*D62+D119+C81*H81)/C76</f>
        <v>5.260625034716842</v>
      </c>
      <c r="E128" s="77"/>
      <c r="F128" s="82"/>
      <c r="G128" s="82"/>
      <c r="H128" s="82"/>
      <c r="N128" s="60"/>
      <c r="O128" s="60"/>
      <c r="P128" s="60"/>
    </row>
    <row r="129" spans="2:16" ht="18.5" thickBot="1" x14ac:dyDescent="0.3">
      <c r="B129" s="129" t="s">
        <v>20</v>
      </c>
      <c r="C129" s="130"/>
      <c r="D129" s="131">
        <f>((C80*D63)+SUM(D117:D119)+C81*(MAX(1,F81)+G81+H81))/C76</f>
        <v>69.337490872646541</v>
      </c>
      <c r="E129" s="77"/>
      <c r="F129" s="82"/>
      <c r="G129" s="82"/>
      <c r="H129" s="82"/>
      <c r="N129" s="60"/>
      <c r="O129" s="60"/>
      <c r="P129" s="60"/>
    </row>
    <row r="130" spans="2:16" ht="13" thickTop="1" x14ac:dyDescent="0.25">
      <c r="B130" s="256"/>
      <c r="C130" s="256"/>
      <c r="D130" s="256"/>
      <c r="E130" s="256"/>
      <c r="F130" s="256"/>
      <c r="G130" s="256"/>
      <c r="H130" s="256"/>
      <c r="N130" s="60"/>
      <c r="O130" s="60"/>
      <c r="P130" s="60"/>
    </row>
    <row r="131" spans="2:16" x14ac:dyDescent="0.25">
      <c r="B131" s="256"/>
      <c r="C131" s="256"/>
      <c r="D131" s="256"/>
      <c r="E131" s="256"/>
      <c r="F131" s="256"/>
      <c r="G131" s="256"/>
      <c r="H131" s="256"/>
      <c r="N131" s="60"/>
      <c r="O131" s="60"/>
      <c r="P131" s="60"/>
    </row>
    <row r="132" spans="2:16" x14ac:dyDescent="0.25">
      <c r="B132" s="256"/>
      <c r="C132" s="256"/>
      <c r="D132" s="256"/>
      <c r="E132" s="256"/>
      <c r="F132" s="256"/>
      <c r="G132" s="256"/>
      <c r="H132" s="256"/>
      <c r="N132" s="60"/>
      <c r="O132" s="60"/>
      <c r="P132" s="60"/>
    </row>
    <row r="133" spans="2:16" ht="13" x14ac:dyDescent="0.25">
      <c r="E133" s="46"/>
      <c r="F133" s="34"/>
      <c r="G133" s="34"/>
      <c r="H133" s="34"/>
      <c r="N133" s="60"/>
      <c r="O133" s="60"/>
      <c r="P133" s="60"/>
    </row>
    <row r="134" spans="2:16" ht="13" hidden="1" outlineLevel="1" x14ac:dyDescent="0.25">
      <c r="C134" s="25" t="s">
        <v>44</v>
      </c>
      <c r="D134" s="25" t="s">
        <v>42</v>
      </c>
      <c r="E134" s="46"/>
      <c r="F134" s="34"/>
      <c r="G134" s="34"/>
      <c r="H134" s="34"/>
      <c r="N134" s="60"/>
      <c r="O134" s="60"/>
      <c r="P134" s="60"/>
    </row>
    <row r="135" spans="2:16" ht="21" hidden="1" outlineLevel="1" thickTop="1" thickBot="1" x14ac:dyDescent="0.3">
      <c r="B135" s="140" t="s">
        <v>73</v>
      </c>
      <c r="C135" s="29"/>
      <c r="D135" s="141"/>
      <c r="E135" s="31"/>
      <c r="F135" s="32" t="s">
        <v>27</v>
      </c>
      <c r="G135" s="33"/>
      <c r="H135" s="33"/>
      <c r="I135" s="34"/>
    </row>
    <row r="136" spans="2:16" ht="14.5" hidden="1" outlineLevel="1" thickBot="1" x14ac:dyDescent="0.3">
      <c r="B136" s="37"/>
      <c r="C136" s="38" t="s">
        <v>0</v>
      </c>
      <c r="D136" s="39" t="s">
        <v>1</v>
      </c>
      <c r="E136" s="40"/>
      <c r="F136" s="41" t="s">
        <v>28</v>
      </c>
      <c r="G136" s="41" t="s">
        <v>21</v>
      </c>
      <c r="H136" s="41" t="s">
        <v>8</v>
      </c>
    </row>
    <row r="137" spans="2:16" ht="13" hidden="1" outlineLevel="1" x14ac:dyDescent="0.25">
      <c r="B137" s="43" t="s">
        <v>65</v>
      </c>
      <c r="C137" s="142"/>
      <c r="D137" s="45" t="s">
        <v>2</v>
      </c>
      <c r="E137" s="46"/>
      <c r="F137" s="47"/>
      <c r="G137" s="47"/>
      <c r="H137" s="47"/>
      <c r="N137" s="60"/>
      <c r="O137" s="60"/>
      <c r="P137" s="60"/>
    </row>
    <row r="138" spans="2:16" ht="13" hidden="1" outlineLevel="1" x14ac:dyDescent="0.25">
      <c r="B138" s="43" t="s">
        <v>64</v>
      </c>
      <c r="C138" s="143"/>
      <c r="D138" s="45" t="s">
        <v>3</v>
      </c>
      <c r="E138" s="46"/>
      <c r="F138" s="47"/>
      <c r="G138" s="47"/>
      <c r="H138" s="47"/>
      <c r="N138" s="60"/>
      <c r="O138" s="60"/>
      <c r="P138" s="60"/>
    </row>
    <row r="139" spans="2:16" ht="13" hidden="1" outlineLevel="1" x14ac:dyDescent="0.25">
      <c r="B139" s="51" t="s">
        <v>63</v>
      </c>
      <c r="C139" s="144">
        <f>C137*C138</f>
        <v>0</v>
      </c>
      <c r="D139" s="45" t="str">
        <f>D137</f>
        <v>kg</v>
      </c>
      <c r="E139" s="46"/>
      <c r="F139" s="47"/>
      <c r="G139" s="47"/>
      <c r="H139" s="47"/>
      <c r="N139" s="60"/>
      <c r="O139" s="60"/>
      <c r="P139" s="60"/>
    </row>
    <row r="140" spans="2:16" ht="14" hidden="1" outlineLevel="1" x14ac:dyDescent="0.25">
      <c r="B140" s="54" t="s">
        <v>37</v>
      </c>
      <c r="C140" s="145">
        <v>1</v>
      </c>
      <c r="D140" s="56"/>
      <c r="E140" s="57"/>
      <c r="F140" s="58"/>
      <c r="G140" s="58"/>
      <c r="H140" s="58"/>
      <c r="N140" s="60"/>
      <c r="O140" s="60"/>
      <c r="P140" s="60"/>
    </row>
    <row r="141" spans="2:16" ht="13" hidden="1" outlineLevel="1" x14ac:dyDescent="0.25">
      <c r="B141" s="43" t="s">
        <v>66</v>
      </c>
      <c r="C141" s="142"/>
      <c r="D141" s="45" t="str">
        <f>D137</f>
        <v>kg</v>
      </c>
      <c r="E141" s="46"/>
      <c r="F141" s="47"/>
      <c r="G141" s="47"/>
      <c r="H141" s="47"/>
      <c r="N141" s="60"/>
      <c r="O141" s="60"/>
      <c r="P141" s="60"/>
    </row>
    <row r="142" spans="2:16" ht="13" hidden="1" outlineLevel="1" x14ac:dyDescent="0.25">
      <c r="B142" s="43" t="s">
        <v>67</v>
      </c>
      <c r="C142" s="143"/>
      <c r="D142" s="45" t="s">
        <v>3</v>
      </c>
      <c r="E142" s="59"/>
      <c r="F142" s="47"/>
      <c r="G142" s="47"/>
      <c r="H142" s="47"/>
      <c r="N142" s="60"/>
      <c r="O142" s="60"/>
      <c r="P142" s="60"/>
    </row>
    <row r="143" spans="2:16" ht="13" hidden="1" outlineLevel="1" x14ac:dyDescent="0.25">
      <c r="B143" s="51" t="s">
        <v>68</v>
      </c>
      <c r="C143" s="144">
        <f>C141*C142</f>
        <v>0</v>
      </c>
      <c r="D143" s="45" t="str">
        <f>D137</f>
        <v>kg</v>
      </c>
      <c r="E143" s="46"/>
      <c r="F143" s="47"/>
      <c r="G143" s="47"/>
      <c r="H143" s="47"/>
      <c r="N143" s="60"/>
      <c r="O143" s="60"/>
      <c r="P143" s="60"/>
    </row>
    <row r="144" spans="2:16" ht="13.5" hidden="1" outlineLevel="1" thickBot="1" x14ac:dyDescent="0.3">
      <c r="B144" s="61"/>
      <c r="C144" s="62"/>
      <c r="D144" s="63"/>
      <c r="F144" s="64"/>
      <c r="G144" s="64"/>
      <c r="H144" s="64"/>
      <c r="N144" s="60"/>
      <c r="O144" s="60"/>
      <c r="P144" s="60"/>
    </row>
    <row r="145" spans="2:16" ht="14.5" hidden="1" outlineLevel="1" thickBot="1" x14ac:dyDescent="0.3">
      <c r="B145" s="65" t="s">
        <v>5</v>
      </c>
      <c r="C145" s="66" t="s">
        <v>6</v>
      </c>
      <c r="D145" s="67" t="s">
        <v>1</v>
      </c>
      <c r="E145" s="68"/>
      <c r="F145" s="69"/>
      <c r="G145" s="69"/>
      <c r="H145" s="69"/>
      <c r="N145" s="60"/>
      <c r="O145" s="60"/>
      <c r="P145" s="60"/>
    </row>
    <row r="146" spans="2:16" ht="13" hidden="1" outlineLevel="1" x14ac:dyDescent="0.25">
      <c r="B146" s="70" t="s">
        <v>43</v>
      </c>
      <c r="C146" s="71"/>
      <c r="D146" s="72"/>
      <c r="E146" s="73"/>
      <c r="F146" s="69"/>
      <c r="G146" s="69"/>
      <c r="H146" s="69"/>
      <c r="N146" s="60"/>
      <c r="O146" s="60"/>
      <c r="P146" s="60"/>
    </row>
    <row r="147" spans="2:16" ht="13" hidden="1" outlineLevel="1" x14ac:dyDescent="0.25">
      <c r="B147" s="74"/>
      <c r="C147" s="146">
        <f>C139</f>
        <v>0</v>
      </c>
      <c r="D147" s="76" t="str">
        <f>D137</f>
        <v>kg</v>
      </c>
      <c r="E147" s="98"/>
      <c r="F147" s="69"/>
      <c r="G147" s="69"/>
      <c r="H147" s="69"/>
      <c r="N147" s="60"/>
      <c r="O147" s="60"/>
      <c r="P147" s="60"/>
    </row>
    <row r="148" spans="2:16" ht="13.5" hidden="1" outlineLevel="1" thickBot="1" x14ac:dyDescent="0.3">
      <c r="B148" s="74"/>
      <c r="C148" s="146"/>
      <c r="D148" s="76" t="str">
        <f>D137</f>
        <v>kg</v>
      </c>
      <c r="E148" s="77"/>
      <c r="F148" s="78"/>
      <c r="G148" s="78"/>
      <c r="H148" s="78"/>
      <c r="N148" s="60"/>
      <c r="O148" s="60"/>
      <c r="P148" s="60"/>
    </row>
    <row r="149" spans="2:16" ht="13" hidden="1" outlineLevel="1" x14ac:dyDescent="0.25">
      <c r="B149" s="79" t="s">
        <v>69</v>
      </c>
      <c r="C149" s="147"/>
      <c r="D149" s="81"/>
      <c r="E149" s="77"/>
      <c r="F149" s="82"/>
      <c r="G149" s="82"/>
      <c r="H149" s="82"/>
      <c r="N149" s="60"/>
      <c r="O149" s="60"/>
      <c r="P149" s="60"/>
    </row>
    <row r="150" spans="2:16" ht="13" hidden="1" outlineLevel="1" x14ac:dyDescent="0.25">
      <c r="B150" s="74"/>
      <c r="C150" s="148"/>
      <c r="D150" s="76" t="str">
        <f>D137</f>
        <v>kg</v>
      </c>
      <c r="E150" s="77"/>
      <c r="F150" s="82"/>
      <c r="G150" s="82"/>
      <c r="H150" s="82"/>
      <c r="N150" s="60"/>
      <c r="O150" s="60"/>
      <c r="P150" s="60"/>
    </row>
    <row r="151" spans="2:16" ht="13" hidden="1" outlineLevel="1" x14ac:dyDescent="0.25">
      <c r="B151" s="74"/>
      <c r="C151" s="148"/>
      <c r="D151" s="76" t="str">
        <f>D137</f>
        <v>kg</v>
      </c>
      <c r="E151" s="77"/>
      <c r="F151" s="82"/>
      <c r="G151" s="82"/>
      <c r="H151" s="82"/>
      <c r="N151" s="60"/>
      <c r="O151" s="60"/>
      <c r="P151" s="60"/>
    </row>
    <row r="152" spans="2:16" ht="13" hidden="1" outlineLevel="1" x14ac:dyDescent="0.25">
      <c r="B152" s="74"/>
      <c r="C152" s="148"/>
      <c r="D152" s="76" t="str">
        <f>D137</f>
        <v>kg</v>
      </c>
      <c r="E152" s="77"/>
      <c r="F152" s="82"/>
      <c r="G152" s="82"/>
      <c r="H152" s="82"/>
      <c r="N152" s="60"/>
      <c r="O152" s="60"/>
      <c r="P152" s="60"/>
    </row>
    <row r="153" spans="2:16" ht="13" hidden="1" outlineLevel="1" x14ac:dyDescent="0.25">
      <c r="B153" s="74"/>
      <c r="C153" s="148"/>
      <c r="D153" s="76" t="str">
        <f>D137</f>
        <v>kg</v>
      </c>
      <c r="E153" s="77"/>
      <c r="F153" s="82"/>
      <c r="G153" s="82"/>
      <c r="H153" s="82"/>
      <c r="N153" s="60"/>
      <c r="O153" s="60"/>
      <c r="P153" s="60"/>
    </row>
    <row r="154" spans="2:16" ht="13" hidden="1" outlineLevel="1" x14ac:dyDescent="0.25">
      <c r="B154" s="74"/>
      <c r="C154" s="148"/>
      <c r="D154" s="76" t="str">
        <f>D137</f>
        <v>kg</v>
      </c>
      <c r="E154" s="77"/>
      <c r="F154" s="82"/>
      <c r="G154" s="82"/>
      <c r="H154" s="82"/>
      <c r="N154" s="60"/>
      <c r="O154" s="60"/>
      <c r="P154" s="60"/>
    </row>
    <row r="155" spans="2:16" ht="13" hidden="1" outlineLevel="1" x14ac:dyDescent="0.25">
      <c r="B155" s="74"/>
      <c r="C155" s="148"/>
      <c r="D155" s="76" t="str">
        <f>D137</f>
        <v>kg</v>
      </c>
      <c r="E155" s="77"/>
      <c r="F155" s="82"/>
      <c r="G155" s="82"/>
      <c r="H155" s="82"/>
      <c r="N155" s="60"/>
      <c r="O155" s="60"/>
      <c r="P155" s="60"/>
    </row>
    <row r="156" spans="2:16" ht="13" hidden="1" outlineLevel="1" x14ac:dyDescent="0.25">
      <c r="B156" s="74"/>
      <c r="C156" s="148"/>
      <c r="D156" s="76" t="str">
        <f>D137</f>
        <v>kg</v>
      </c>
      <c r="E156" s="77"/>
      <c r="F156" s="82"/>
      <c r="G156" s="82"/>
      <c r="H156" s="82"/>
      <c r="N156" s="60"/>
      <c r="O156" s="60"/>
      <c r="P156" s="60"/>
    </row>
    <row r="157" spans="2:16" ht="13" hidden="1" outlineLevel="1" x14ac:dyDescent="0.25">
      <c r="B157" s="74"/>
      <c r="C157" s="148"/>
      <c r="D157" s="76" t="str">
        <f>D137</f>
        <v>kg</v>
      </c>
      <c r="E157" s="77"/>
      <c r="F157" s="82"/>
      <c r="G157" s="82"/>
      <c r="H157" s="82"/>
      <c r="N157" s="60"/>
      <c r="O157" s="60"/>
      <c r="P157" s="60"/>
    </row>
    <row r="158" spans="2:16" ht="13" hidden="1" outlineLevel="1" x14ac:dyDescent="0.25">
      <c r="B158" s="74"/>
      <c r="C158" s="148"/>
      <c r="D158" s="76" t="str">
        <f>D137</f>
        <v>kg</v>
      </c>
      <c r="E158" s="77"/>
      <c r="F158" s="82"/>
      <c r="G158" s="82"/>
      <c r="H158" s="82"/>
      <c r="N158" s="60"/>
      <c r="O158" s="60"/>
      <c r="P158" s="60"/>
    </row>
    <row r="159" spans="2:16" ht="13" hidden="1" outlineLevel="1" x14ac:dyDescent="0.25">
      <c r="B159" s="74"/>
      <c r="C159" s="148"/>
      <c r="D159" s="76" t="str">
        <f>D137</f>
        <v>kg</v>
      </c>
      <c r="E159" s="77"/>
      <c r="F159" s="82"/>
      <c r="G159" s="82"/>
      <c r="H159" s="82"/>
      <c r="N159" s="60"/>
      <c r="O159" s="60"/>
      <c r="P159" s="60"/>
    </row>
    <row r="160" spans="2:16" ht="13.4" hidden="1" customHeight="1" outlineLevel="1" x14ac:dyDescent="0.25">
      <c r="B160" s="79"/>
      <c r="C160" s="147"/>
      <c r="D160" s="81"/>
      <c r="E160" s="77"/>
      <c r="F160" s="82"/>
      <c r="G160" s="82"/>
      <c r="H160" s="82"/>
      <c r="K160" s="34"/>
      <c r="N160" s="60"/>
      <c r="O160" s="60"/>
      <c r="P160" s="60"/>
    </row>
    <row r="161" spans="2:16" ht="13" hidden="1" outlineLevel="1" x14ac:dyDescent="0.25">
      <c r="B161" s="86" t="s">
        <v>7</v>
      </c>
      <c r="C161" s="149">
        <f>SUM(C146:C159)</f>
        <v>0</v>
      </c>
      <c r="D161" s="88" t="str">
        <f>D137</f>
        <v>kg</v>
      </c>
      <c r="E161" s="77"/>
      <c r="F161" s="82"/>
      <c r="G161" s="82"/>
      <c r="H161" s="82"/>
      <c r="N161" s="60"/>
      <c r="O161" s="60"/>
      <c r="P161" s="60"/>
    </row>
    <row r="162" spans="2:16" ht="13" hidden="1" outlineLevel="1" x14ac:dyDescent="0.25">
      <c r="B162" s="79" t="s">
        <v>71</v>
      </c>
      <c r="C162" s="150"/>
      <c r="D162" s="81"/>
      <c r="E162" s="77"/>
      <c r="F162" s="82"/>
      <c r="G162" s="82"/>
      <c r="H162" s="82"/>
      <c r="N162" s="60"/>
      <c r="O162" s="60"/>
      <c r="P162" s="60"/>
    </row>
    <row r="163" spans="2:16" ht="13" hidden="1" outlineLevel="1" x14ac:dyDescent="0.25">
      <c r="B163" s="74"/>
      <c r="C163" s="148"/>
      <c r="D163" s="76" t="str">
        <f>D137</f>
        <v>kg</v>
      </c>
      <c r="E163" s="77"/>
      <c r="F163" s="82"/>
      <c r="G163" s="82"/>
      <c r="H163" s="82"/>
      <c r="N163" s="60"/>
      <c r="O163" s="60"/>
      <c r="P163" s="60"/>
    </row>
    <row r="164" spans="2:16" ht="13" hidden="1" outlineLevel="1" x14ac:dyDescent="0.25">
      <c r="B164" s="74"/>
      <c r="C164" s="148"/>
      <c r="D164" s="76" t="str">
        <f>D137</f>
        <v>kg</v>
      </c>
      <c r="E164" s="77"/>
      <c r="F164" s="82"/>
      <c r="G164" s="82"/>
      <c r="H164" s="82"/>
      <c r="N164" s="60"/>
      <c r="O164" s="60"/>
      <c r="P164" s="60"/>
    </row>
    <row r="165" spans="2:16" ht="13" hidden="1" outlineLevel="1" x14ac:dyDescent="0.25">
      <c r="B165" s="74"/>
      <c r="C165" s="148"/>
      <c r="D165" s="76" t="str">
        <f>D137</f>
        <v>kg</v>
      </c>
      <c r="E165" s="77"/>
      <c r="F165" s="82"/>
      <c r="G165" s="82"/>
      <c r="H165" s="82"/>
      <c r="N165" s="60"/>
      <c r="O165" s="60"/>
      <c r="P165" s="60"/>
    </row>
    <row r="166" spans="2:16" ht="13" hidden="1" outlineLevel="1" x14ac:dyDescent="0.25">
      <c r="B166" s="74"/>
      <c r="C166" s="148"/>
      <c r="D166" s="76" t="str">
        <f>D137</f>
        <v>kg</v>
      </c>
      <c r="E166" s="77"/>
      <c r="F166" s="82"/>
      <c r="G166" s="82"/>
      <c r="H166" s="82"/>
      <c r="N166" s="60"/>
      <c r="O166" s="60"/>
      <c r="P166" s="60"/>
    </row>
    <row r="167" spans="2:16" ht="13" hidden="1" outlineLevel="1" x14ac:dyDescent="0.25">
      <c r="B167" s="74"/>
      <c r="C167" s="148"/>
      <c r="D167" s="76" t="str">
        <f>D137</f>
        <v>kg</v>
      </c>
      <c r="E167" s="77"/>
      <c r="F167" s="82"/>
      <c r="G167" s="82"/>
      <c r="H167" s="82"/>
      <c r="N167" s="60"/>
      <c r="O167" s="60"/>
      <c r="P167" s="60"/>
    </row>
    <row r="168" spans="2:16" ht="13" hidden="1" outlineLevel="1" x14ac:dyDescent="0.25">
      <c r="B168" s="74"/>
      <c r="C168" s="148"/>
      <c r="D168" s="76" t="str">
        <f>D137</f>
        <v>kg</v>
      </c>
      <c r="E168" s="77"/>
      <c r="F168" s="82"/>
      <c r="G168" s="82"/>
      <c r="H168" s="82"/>
      <c r="N168" s="60"/>
      <c r="O168" s="60"/>
      <c r="P168" s="60"/>
    </row>
    <row r="169" spans="2:16" ht="13" hidden="1" outlineLevel="1" x14ac:dyDescent="0.25">
      <c r="B169" s="74"/>
      <c r="C169" s="148"/>
      <c r="D169" s="76" t="str">
        <f>D137</f>
        <v>kg</v>
      </c>
      <c r="E169" s="77"/>
      <c r="F169" s="82"/>
      <c r="G169" s="82"/>
      <c r="H169" s="82"/>
      <c r="N169" s="60"/>
      <c r="O169" s="60"/>
      <c r="P169" s="60"/>
    </row>
    <row r="170" spans="2:16" ht="13" hidden="1" outlineLevel="1" x14ac:dyDescent="0.25">
      <c r="B170" s="74"/>
      <c r="C170" s="148"/>
      <c r="D170" s="76" t="str">
        <f>D137</f>
        <v>kg</v>
      </c>
      <c r="E170" s="77"/>
      <c r="F170" s="82"/>
      <c r="G170" s="82"/>
      <c r="H170" s="82"/>
      <c r="N170" s="60"/>
      <c r="O170" s="60"/>
      <c r="P170" s="60"/>
    </row>
    <row r="171" spans="2:16" ht="13" hidden="1" outlineLevel="1" x14ac:dyDescent="0.25">
      <c r="B171" s="79" t="s">
        <v>70</v>
      </c>
      <c r="C171" s="147"/>
      <c r="D171" s="81"/>
      <c r="E171" s="90"/>
      <c r="F171" s="82"/>
      <c r="G171" s="82"/>
      <c r="H171" s="82"/>
      <c r="N171" s="60"/>
      <c r="O171" s="60"/>
      <c r="P171" s="60"/>
    </row>
    <row r="172" spans="2:16" ht="13" hidden="1" outlineLevel="1" x14ac:dyDescent="0.25">
      <c r="B172" s="74"/>
      <c r="C172" s="148"/>
      <c r="D172" s="76" t="str">
        <f>D137</f>
        <v>kg</v>
      </c>
      <c r="E172" s="77"/>
      <c r="F172" s="82"/>
      <c r="G172" s="82"/>
      <c r="H172" s="82"/>
      <c r="N172" s="60"/>
      <c r="O172" s="60"/>
      <c r="P172" s="60"/>
    </row>
    <row r="173" spans="2:16" ht="13" hidden="1" outlineLevel="1" x14ac:dyDescent="0.25">
      <c r="B173" s="74"/>
      <c r="C173" s="148"/>
      <c r="D173" s="76" t="str">
        <f>D137</f>
        <v>kg</v>
      </c>
      <c r="E173" s="77"/>
      <c r="F173" s="82"/>
      <c r="G173" s="82"/>
      <c r="H173" s="82"/>
      <c r="N173" s="60"/>
      <c r="O173" s="60"/>
      <c r="P173" s="60"/>
    </row>
    <row r="174" spans="2:16" ht="13" hidden="1" outlineLevel="1" x14ac:dyDescent="0.25">
      <c r="B174" s="74"/>
      <c r="C174" s="148"/>
      <c r="D174" s="76" t="str">
        <f>D137</f>
        <v>kg</v>
      </c>
      <c r="E174" s="77"/>
      <c r="F174" s="82"/>
      <c r="G174" s="82"/>
      <c r="H174" s="82"/>
      <c r="N174" s="60"/>
      <c r="O174" s="60"/>
      <c r="P174" s="60"/>
    </row>
    <row r="175" spans="2:16" ht="13" hidden="1" outlineLevel="1" x14ac:dyDescent="0.25">
      <c r="B175" s="74"/>
      <c r="C175" s="148"/>
      <c r="D175" s="76" t="str">
        <f>D137</f>
        <v>kg</v>
      </c>
      <c r="E175" s="77"/>
      <c r="F175" s="82"/>
      <c r="G175" s="82"/>
      <c r="H175" s="82"/>
      <c r="N175" s="60"/>
      <c r="O175" s="60"/>
      <c r="P175" s="60"/>
    </row>
    <row r="176" spans="2:16" ht="13" hidden="1" outlineLevel="1" x14ac:dyDescent="0.25">
      <c r="B176" s="74"/>
      <c r="C176" s="148"/>
      <c r="D176" s="76" t="str">
        <f>D137</f>
        <v>kg</v>
      </c>
      <c r="E176" s="77"/>
      <c r="F176" s="82"/>
      <c r="G176" s="82"/>
      <c r="H176" s="82"/>
      <c r="N176" s="60"/>
      <c r="O176" s="60"/>
      <c r="P176" s="60"/>
    </row>
    <row r="177" spans="2:16" ht="13" hidden="1" outlineLevel="1" x14ac:dyDescent="0.25">
      <c r="B177" s="74"/>
      <c r="C177" s="148"/>
      <c r="D177" s="76" t="str">
        <f>D137</f>
        <v>kg</v>
      </c>
      <c r="E177" s="77"/>
      <c r="F177" s="82"/>
      <c r="G177" s="82"/>
      <c r="H177" s="82"/>
      <c r="N177" s="60"/>
      <c r="O177" s="60"/>
      <c r="P177" s="60"/>
    </row>
    <row r="178" spans="2:16" ht="13" hidden="1" outlineLevel="1" x14ac:dyDescent="0.25">
      <c r="B178" s="74"/>
      <c r="C178" s="148"/>
      <c r="D178" s="76" t="str">
        <f>D137</f>
        <v>kg</v>
      </c>
      <c r="E178" s="77"/>
      <c r="F178" s="82"/>
      <c r="G178" s="82"/>
      <c r="H178" s="82"/>
      <c r="N178" s="60"/>
      <c r="O178" s="60"/>
      <c r="P178" s="60"/>
    </row>
    <row r="179" spans="2:16" ht="13.4" hidden="1" customHeight="1" outlineLevel="1" x14ac:dyDescent="0.25">
      <c r="B179" s="79"/>
      <c r="C179" s="147"/>
      <c r="D179" s="81"/>
      <c r="E179" s="77"/>
      <c r="F179" s="82"/>
      <c r="G179" s="82"/>
      <c r="H179" s="82"/>
      <c r="K179" s="34"/>
      <c r="N179" s="60"/>
      <c r="O179" s="60"/>
      <c r="P179" s="60"/>
    </row>
    <row r="180" spans="2:16" ht="13" hidden="1" outlineLevel="1" x14ac:dyDescent="0.25">
      <c r="B180" s="86" t="s">
        <v>9</v>
      </c>
      <c r="C180" s="149">
        <f>SUM(C161:C178)</f>
        <v>0</v>
      </c>
      <c r="D180" s="91" t="str">
        <f>D137</f>
        <v>kg</v>
      </c>
      <c r="E180" s="77"/>
      <c r="F180" s="82"/>
      <c r="G180" s="82"/>
      <c r="H180" s="82"/>
      <c r="N180" s="60"/>
      <c r="O180" s="60"/>
      <c r="P180" s="60"/>
    </row>
    <row r="181" spans="2:16" ht="13" hidden="1" outlineLevel="1" x14ac:dyDescent="0.25">
      <c r="B181" s="92"/>
      <c r="C181" s="93"/>
      <c r="D181" s="94"/>
      <c r="E181" s="77"/>
      <c r="F181" s="82"/>
      <c r="G181" s="82"/>
      <c r="H181" s="82"/>
      <c r="N181" s="60"/>
      <c r="O181" s="60"/>
      <c r="P181" s="60"/>
    </row>
    <row r="182" spans="2:16" ht="20.5" hidden="1" outlineLevel="1" thickBot="1" x14ac:dyDescent="0.3">
      <c r="B182" s="426" t="s">
        <v>10</v>
      </c>
      <c r="C182" s="427"/>
      <c r="D182" s="428"/>
      <c r="E182" s="77"/>
      <c r="F182" s="82"/>
      <c r="G182" s="82"/>
      <c r="H182" s="82"/>
      <c r="N182" s="60"/>
      <c r="O182" s="60"/>
      <c r="P182" s="60"/>
    </row>
    <row r="183" spans="2:16" ht="13" hidden="1" outlineLevel="1" x14ac:dyDescent="0.25">
      <c r="B183" s="95" t="s">
        <v>23</v>
      </c>
      <c r="C183" s="96"/>
      <c r="D183" s="151">
        <f>SUM(C147:C148)</f>
        <v>0</v>
      </c>
      <c r="E183" s="98"/>
      <c r="F183" s="82"/>
      <c r="G183" s="82"/>
      <c r="H183" s="82"/>
      <c r="N183" s="60"/>
      <c r="O183" s="60"/>
      <c r="P183" s="60"/>
    </row>
    <row r="184" spans="2:16" ht="13" hidden="1" outlineLevel="1" x14ac:dyDescent="0.25">
      <c r="B184" s="99" t="s">
        <v>24</v>
      </c>
      <c r="C184" s="100"/>
      <c r="D184" s="152">
        <f>SUM(C150:C160)</f>
        <v>0</v>
      </c>
      <c r="E184" s="98"/>
      <c r="F184" s="82"/>
      <c r="G184" s="82"/>
      <c r="H184" s="82"/>
      <c r="N184" s="60"/>
      <c r="O184" s="60"/>
      <c r="P184" s="60"/>
    </row>
    <row r="185" spans="2:16" ht="13" hidden="1" outlineLevel="1" x14ac:dyDescent="0.25">
      <c r="B185" s="99" t="s">
        <v>25</v>
      </c>
      <c r="C185" s="100"/>
      <c r="D185" s="152">
        <f>SUM(C163:C171)</f>
        <v>0</v>
      </c>
      <c r="E185" s="98"/>
      <c r="F185" s="82"/>
      <c r="G185" s="82"/>
      <c r="H185" s="82"/>
      <c r="N185" s="60"/>
      <c r="O185" s="60"/>
      <c r="P185" s="60"/>
    </row>
    <row r="186" spans="2:16" ht="13" hidden="1" outlineLevel="1" x14ac:dyDescent="0.25">
      <c r="B186" s="102" t="s">
        <v>26</v>
      </c>
      <c r="C186" s="103"/>
      <c r="D186" s="153">
        <f>SUM(C172:C179)</f>
        <v>0</v>
      </c>
      <c r="E186" s="98"/>
      <c r="F186" s="82"/>
      <c r="G186" s="82"/>
      <c r="H186" s="82"/>
      <c r="N186" s="60"/>
      <c r="O186" s="60"/>
      <c r="P186" s="60"/>
    </row>
    <row r="187" spans="2:16" ht="18.5" hidden="1" outlineLevel="1" thickTop="1" x14ac:dyDescent="0.25">
      <c r="B187" s="105" t="s">
        <v>11</v>
      </c>
      <c r="C187" s="106"/>
      <c r="D187" s="107" t="e">
        <f>C161/C143</f>
        <v>#DIV/0!</v>
      </c>
      <c r="E187" s="77"/>
      <c r="F187" s="110" t="s">
        <v>86</v>
      </c>
      <c r="G187" s="109" t="s">
        <v>85</v>
      </c>
      <c r="H187" s="110"/>
      <c r="N187" s="60"/>
      <c r="O187" s="60"/>
      <c r="P187" s="60"/>
    </row>
    <row r="188" spans="2:16" ht="18.5" hidden="1" outlineLevel="1" thickBot="1" x14ac:dyDescent="0.3">
      <c r="B188" s="111" t="s">
        <v>12</v>
      </c>
      <c r="C188" s="112"/>
      <c r="D188" s="113" t="e">
        <f>(D183+D184+D185)/C143</f>
        <v>#DIV/0!</v>
      </c>
      <c r="E188" s="77"/>
      <c r="F188" s="154"/>
      <c r="G188" s="413"/>
      <c r="H188" s="414"/>
      <c r="N188" s="60"/>
      <c r="O188" s="60"/>
      <c r="P188" s="60"/>
    </row>
    <row r="189" spans="2:16" ht="18" hidden="1" customHeight="1" outlineLevel="1" x14ac:dyDescent="0.25">
      <c r="B189" s="111" t="s">
        <v>13</v>
      </c>
      <c r="C189" s="112"/>
      <c r="D189" s="113" t="e">
        <f>D185/C143</f>
        <v>#DIV/0!</v>
      </c>
      <c r="E189" s="90"/>
      <c r="F189" s="64" t="s">
        <v>45</v>
      </c>
      <c r="G189" s="64" t="s">
        <v>45</v>
      </c>
      <c r="H189" s="155"/>
      <c r="N189" s="60"/>
      <c r="O189" s="60"/>
      <c r="P189" s="60"/>
    </row>
    <row r="190" spans="2:16" ht="18" hidden="1" customHeight="1" outlineLevel="1" thickBot="1" x14ac:dyDescent="0.3">
      <c r="B190" s="114" t="s">
        <v>14</v>
      </c>
      <c r="C190" s="115"/>
      <c r="D190" s="116" t="e">
        <f>D186/C143</f>
        <v>#DIV/0!</v>
      </c>
      <c r="E190" s="90"/>
      <c r="F190" s="110"/>
      <c r="G190" s="117" t="s">
        <v>46</v>
      </c>
      <c r="H190" s="110"/>
      <c r="N190" s="60"/>
      <c r="O190" s="60"/>
      <c r="P190" s="60"/>
    </row>
    <row r="191" spans="2:16" ht="18.5" hidden="1" outlineLevel="1" thickBot="1" x14ac:dyDescent="0.3">
      <c r="B191" s="114" t="s">
        <v>15</v>
      </c>
      <c r="C191" s="119"/>
      <c r="D191" s="116" t="e">
        <f>SUM(D183:D186)/C143</f>
        <v>#DIV/0!</v>
      </c>
      <c r="E191" s="90"/>
      <c r="F191" s="429"/>
      <c r="G191" s="430"/>
      <c r="H191" s="431"/>
      <c r="N191" s="60"/>
      <c r="O191" s="60"/>
      <c r="P191" s="60"/>
    </row>
    <row r="192" spans="2:16" ht="18.5" hidden="1" outlineLevel="1" thickTop="1" x14ac:dyDescent="0.25">
      <c r="B192" s="120" t="s">
        <v>16</v>
      </c>
      <c r="C192" s="121"/>
      <c r="D192" s="122" t="e">
        <f>((C147*D125)+D184+C148*MAX(1,F148))/C143</f>
        <v>#DIV/0!</v>
      </c>
      <c r="E192" s="77"/>
      <c r="F192" s="64" t="s">
        <v>45</v>
      </c>
      <c r="G192" s="64"/>
      <c r="H192" s="82"/>
      <c r="N192" s="60"/>
      <c r="O192" s="60"/>
      <c r="P192" s="60"/>
    </row>
    <row r="193" spans="2:16" ht="18" hidden="1" outlineLevel="1" x14ac:dyDescent="0.25">
      <c r="B193" s="123" t="s">
        <v>17</v>
      </c>
      <c r="C193" s="124"/>
      <c r="D193" s="125" t="e">
        <f>(C147*D126+D184+D185+C148*(MAX(1,F148)+G148))/C143</f>
        <v>#DIV/0!</v>
      </c>
      <c r="E193" s="77"/>
      <c r="F193" s="82"/>
      <c r="G193" s="82"/>
      <c r="H193" s="82"/>
      <c r="N193" s="60"/>
      <c r="O193" s="60"/>
      <c r="P193" s="60"/>
    </row>
    <row r="194" spans="2:16" ht="18" hidden="1" customHeight="1" outlineLevel="1" x14ac:dyDescent="0.25">
      <c r="B194" s="123" t="s">
        <v>18</v>
      </c>
      <c r="C194" s="124"/>
      <c r="D194" s="125" t="e">
        <f>((C147*D127)+D185+C148*G148)/C143</f>
        <v>#DIV/0!</v>
      </c>
      <c r="E194" s="77"/>
      <c r="F194" s="415" t="s">
        <v>61</v>
      </c>
      <c r="G194" s="416"/>
      <c r="H194" s="416"/>
      <c r="N194" s="60"/>
      <c r="O194" s="60"/>
      <c r="P194" s="60"/>
    </row>
    <row r="195" spans="2:16" ht="18" hidden="1" outlineLevel="1" x14ac:dyDescent="0.25">
      <c r="B195" s="126" t="s">
        <v>19</v>
      </c>
      <c r="C195" s="127"/>
      <c r="D195" s="128" t="e">
        <f>(C147*D128+D186+C148*H148)/C143</f>
        <v>#DIV/0!</v>
      </c>
      <c r="E195" s="77"/>
      <c r="F195" s="416"/>
      <c r="G195" s="416"/>
      <c r="H195" s="416"/>
      <c r="N195" s="60"/>
      <c r="O195" s="60"/>
      <c r="P195" s="60"/>
    </row>
    <row r="196" spans="2:16" ht="18.5" hidden="1" outlineLevel="1" thickBot="1" x14ac:dyDescent="0.3">
      <c r="B196" s="129" t="s">
        <v>20</v>
      </c>
      <c r="C196" s="130"/>
      <c r="D196" s="131" t="e">
        <f>((C147*D129)+SUM(D184:D186)+C148*(MAX(1,F148)+G148+H148))/C143</f>
        <v>#DIV/0!</v>
      </c>
      <c r="E196" s="77"/>
      <c r="F196" s="416"/>
      <c r="G196" s="416"/>
      <c r="H196" s="416"/>
      <c r="N196" s="60"/>
      <c r="O196" s="60"/>
      <c r="P196" s="60"/>
    </row>
    <row r="197" spans="2:16" ht="13" hidden="1" outlineLevel="1" thickTop="1" x14ac:dyDescent="0.25">
      <c r="B197" s="156" t="s">
        <v>76</v>
      </c>
      <c r="C197" s="424"/>
      <c r="D197" s="425"/>
      <c r="E197" s="46"/>
      <c r="F197" s="416"/>
      <c r="G197" s="416"/>
      <c r="H197" s="416"/>
      <c r="N197" s="60"/>
      <c r="O197" s="60"/>
      <c r="P197" s="60"/>
    </row>
    <row r="198" spans="2:16" hidden="1" outlineLevel="1" x14ac:dyDescent="0.25">
      <c r="B198" s="157" t="s">
        <v>58</v>
      </c>
      <c r="C198" s="422"/>
      <c r="D198" s="423"/>
      <c r="E198" s="46"/>
      <c r="F198" s="416"/>
      <c r="G198" s="416"/>
      <c r="H198" s="416"/>
      <c r="N198" s="60"/>
      <c r="O198" s="60"/>
      <c r="P198" s="60"/>
    </row>
    <row r="199" spans="2:16" ht="13" hidden="1" outlineLevel="1" thickBot="1" x14ac:dyDescent="0.3">
      <c r="B199" s="158" t="s">
        <v>59</v>
      </c>
      <c r="C199" s="420"/>
      <c r="D199" s="421"/>
      <c r="E199" s="46"/>
      <c r="F199" s="416"/>
      <c r="G199" s="416"/>
      <c r="H199" s="416"/>
      <c r="N199" s="60"/>
      <c r="O199" s="60"/>
      <c r="P199" s="60"/>
    </row>
    <row r="200" spans="2:16" ht="13" hidden="1" outlineLevel="1" x14ac:dyDescent="0.25">
      <c r="E200" s="46"/>
      <c r="F200" s="34"/>
      <c r="G200" s="34"/>
      <c r="H200" s="34"/>
      <c r="N200" s="60"/>
      <c r="O200" s="60"/>
      <c r="P200" s="60"/>
    </row>
    <row r="201" spans="2:16" ht="13" hidden="1" outlineLevel="1" x14ac:dyDescent="0.25">
      <c r="C201" s="25" t="s">
        <v>44</v>
      </c>
      <c r="D201" s="25" t="s">
        <v>42</v>
      </c>
      <c r="E201" s="46"/>
      <c r="F201" s="34"/>
      <c r="G201" s="34"/>
      <c r="H201" s="34"/>
      <c r="N201" s="60"/>
      <c r="O201" s="60"/>
      <c r="P201" s="60"/>
    </row>
    <row r="202" spans="2:16" ht="23.25" hidden="1" customHeight="1" outlineLevel="1" thickTop="1" thickBot="1" x14ac:dyDescent="0.3">
      <c r="B202" s="140" t="s">
        <v>73</v>
      </c>
      <c r="C202" s="29"/>
      <c r="D202" s="141"/>
      <c r="E202" s="31"/>
      <c r="F202" s="32" t="s">
        <v>27</v>
      </c>
      <c r="G202" s="33"/>
      <c r="H202" s="33"/>
      <c r="I202" s="34"/>
    </row>
    <row r="203" spans="2:16" ht="14.5" hidden="1" outlineLevel="1" thickBot="1" x14ac:dyDescent="0.3">
      <c r="B203" s="37"/>
      <c r="C203" s="38" t="s">
        <v>0</v>
      </c>
      <c r="D203" s="39" t="s">
        <v>1</v>
      </c>
      <c r="E203" s="40"/>
      <c r="F203" s="41" t="s">
        <v>28</v>
      </c>
      <c r="G203" s="41" t="s">
        <v>21</v>
      </c>
      <c r="H203" s="41" t="s">
        <v>8</v>
      </c>
    </row>
    <row r="204" spans="2:16" ht="13" hidden="1" outlineLevel="1" x14ac:dyDescent="0.25">
      <c r="B204" s="43" t="s">
        <v>65</v>
      </c>
      <c r="C204" s="142"/>
      <c r="D204" s="45" t="s">
        <v>2</v>
      </c>
      <c r="E204" s="46"/>
      <c r="F204" s="47"/>
      <c r="G204" s="47"/>
      <c r="H204" s="47"/>
      <c r="N204" s="60"/>
      <c r="O204" s="60"/>
      <c r="P204" s="60"/>
    </row>
    <row r="205" spans="2:16" ht="13" hidden="1" outlineLevel="1" x14ac:dyDescent="0.25">
      <c r="B205" s="43" t="s">
        <v>64</v>
      </c>
      <c r="C205" s="143"/>
      <c r="D205" s="45" t="s">
        <v>3</v>
      </c>
      <c r="E205" s="46"/>
      <c r="F205" s="47"/>
      <c r="G205" s="47"/>
      <c r="H205" s="47"/>
      <c r="N205" s="60"/>
      <c r="O205" s="60"/>
      <c r="P205" s="60"/>
    </row>
    <row r="206" spans="2:16" ht="13" hidden="1" outlineLevel="1" x14ac:dyDescent="0.25">
      <c r="B206" s="51" t="s">
        <v>63</v>
      </c>
      <c r="C206" s="144">
        <f>C204*C205</f>
        <v>0</v>
      </c>
      <c r="D206" s="45" t="str">
        <f>D204</f>
        <v>kg</v>
      </c>
      <c r="E206" s="46"/>
      <c r="F206" s="47"/>
      <c r="G206" s="47"/>
      <c r="H206" s="47"/>
      <c r="N206" s="60"/>
      <c r="O206" s="60"/>
      <c r="P206" s="60"/>
    </row>
    <row r="207" spans="2:16" ht="14" hidden="1" outlineLevel="1" x14ac:dyDescent="0.25">
      <c r="B207" s="54" t="s">
        <v>37</v>
      </c>
      <c r="C207" s="145">
        <v>1</v>
      </c>
      <c r="D207" s="56"/>
      <c r="E207" s="57"/>
      <c r="F207" s="58"/>
      <c r="G207" s="58"/>
      <c r="H207" s="58"/>
      <c r="N207" s="60"/>
      <c r="O207" s="60"/>
      <c r="P207" s="60"/>
    </row>
    <row r="208" spans="2:16" ht="13" hidden="1" outlineLevel="1" x14ac:dyDescent="0.25">
      <c r="B208" s="43" t="s">
        <v>66</v>
      </c>
      <c r="C208" s="142"/>
      <c r="D208" s="45" t="str">
        <f>D204</f>
        <v>kg</v>
      </c>
      <c r="E208" s="46"/>
      <c r="F208" s="47"/>
      <c r="G208" s="47"/>
      <c r="H208" s="47"/>
      <c r="N208" s="60"/>
      <c r="O208" s="60"/>
      <c r="P208" s="60"/>
    </row>
    <row r="209" spans="2:16" ht="13" hidden="1" outlineLevel="1" x14ac:dyDescent="0.25">
      <c r="B209" s="43" t="s">
        <v>67</v>
      </c>
      <c r="C209" s="143"/>
      <c r="D209" s="45" t="s">
        <v>3</v>
      </c>
      <c r="E209" s="59"/>
      <c r="F209" s="47"/>
      <c r="G209" s="47"/>
      <c r="H209" s="47"/>
      <c r="N209" s="60"/>
      <c r="O209" s="60"/>
      <c r="P209" s="60"/>
    </row>
    <row r="210" spans="2:16" ht="13" hidden="1" outlineLevel="1" x14ac:dyDescent="0.25">
      <c r="B210" s="51" t="s">
        <v>68</v>
      </c>
      <c r="C210" s="144">
        <f>C208*C209</f>
        <v>0</v>
      </c>
      <c r="D210" s="45" t="str">
        <f>D204</f>
        <v>kg</v>
      </c>
      <c r="E210" s="46"/>
      <c r="F210" s="47"/>
      <c r="G210" s="47"/>
      <c r="H210" s="47"/>
      <c r="N210" s="60"/>
      <c r="O210" s="60"/>
      <c r="P210" s="60"/>
    </row>
    <row r="211" spans="2:16" ht="13.5" hidden="1" outlineLevel="1" thickBot="1" x14ac:dyDescent="0.3">
      <c r="B211" s="61"/>
      <c r="C211" s="62"/>
      <c r="D211" s="63"/>
      <c r="F211" s="64"/>
      <c r="G211" s="64"/>
      <c r="H211" s="64"/>
      <c r="N211" s="60"/>
      <c r="O211" s="60"/>
      <c r="P211" s="60"/>
    </row>
    <row r="212" spans="2:16" ht="14.5" hidden="1" outlineLevel="1" thickBot="1" x14ac:dyDescent="0.3">
      <c r="B212" s="65" t="s">
        <v>5</v>
      </c>
      <c r="C212" s="66" t="s">
        <v>6</v>
      </c>
      <c r="D212" s="67" t="s">
        <v>1</v>
      </c>
      <c r="E212" s="68"/>
      <c r="F212" s="69"/>
      <c r="G212" s="69"/>
      <c r="H212" s="69"/>
      <c r="N212" s="60"/>
      <c r="O212" s="60"/>
      <c r="P212" s="60"/>
    </row>
    <row r="213" spans="2:16" ht="13" hidden="1" outlineLevel="1" x14ac:dyDescent="0.25">
      <c r="B213" s="70" t="s">
        <v>43</v>
      </c>
      <c r="C213" s="71"/>
      <c r="D213" s="72"/>
      <c r="E213" s="73"/>
      <c r="F213" s="69"/>
      <c r="G213" s="69"/>
      <c r="H213" s="69"/>
      <c r="N213" s="60"/>
      <c r="O213" s="60"/>
      <c r="P213" s="60"/>
    </row>
    <row r="214" spans="2:16" ht="13" hidden="1" outlineLevel="1" x14ac:dyDescent="0.25">
      <c r="B214" s="74"/>
      <c r="C214" s="146">
        <f>C206</f>
        <v>0</v>
      </c>
      <c r="D214" s="76" t="str">
        <f>D204</f>
        <v>kg</v>
      </c>
      <c r="E214" s="98"/>
      <c r="F214" s="69"/>
      <c r="G214" s="69"/>
      <c r="H214" s="69"/>
      <c r="N214" s="60"/>
      <c r="O214" s="60"/>
      <c r="P214" s="60"/>
    </row>
    <row r="215" spans="2:16" ht="13.5" hidden="1" outlineLevel="1" thickBot="1" x14ac:dyDescent="0.3">
      <c r="B215" s="74"/>
      <c r="C215" s="146"/>
      <c r="D215" s="76" t="str">
        <f>D204</f>
        <v>kg</v>
      </c>
      <c r="E215" s="77"/>
      <c r="F215" s="78"/>
      <c r="G215" s="78"/>
      <c r="H215" s="78"/>
      <c r="N215" s="60"/>
      <c r="O215" s="60"/>
      <c r="P215" s="60"/>
    </row>
    <row r="216" spans="2:16" ht="13" hidden="1" outlineLevel="1" x14ac:dyDescent="0.25">
      <c r="B216" s="79" t="s">
        <v>69</v>
      </c>
      <c r="C216" s="147"/>
      <c r="D216" s="81"/>
      <c r="E216" s="77"/>
      <c r="F216" s="82"/>
      <c r="G216" s="82"/>
      <c r="H216" s="82"/>
      <c r="N216" s="60"/>
      <c r="O216" s="60"/>
      <c r="P216" s="60"/>
    </row>
    <row r="217" spans="2:16" ht="13" hidden="1" outlineLevel="1" x14ac:dyDescent="0.25">
      <c r="B217" s="74"/>
      <c r="C217" s="148"/>
      <c r="D217" s="76" t="str">
        <f>D204</f>
        <v>kg</v>
      </c>
      <c r="E217" s="77"/>
      <c r="F217" s="82"/>
      <c r="G217" s="82"/>
      <c r="H217" s="82"/>
      <c r="N217" s="60"/>
      <c r="O217" s="60"/>
      <c r="P217" s="60"/>
    </row>
    <row r="218" spans="2:16" ht="13" hidden="1" outlineLevel="1" x14ac:dyDescent="0.25">
      <c r="B218" s="74"/>
      <c r="C218" s="148"/>
      <c r="D218" s="76" t="str">
        <f>D204</f>
        <v>kg</v>
      </c>
      <c r="E218" s="77"/>
      <c r="F218" s="82"/>
      <c r="G218" s="82"/>
      <c r="H218" s="82"/>
      <c r="N218" s="60"/>
      <c r="O218" s="60"/>
      <c r="P218" s="60"/>
    </row>
    <row r="219" spans="2:16" ht="13" hidden="1" outlineLevel="1" x14ac:dyDescent="0.25">
      <c r="B219" s="74"/>
      <c r="C219" s="148"/>
      <c r="D219" s="76" t="str">
        <f>D204</f>
        <v>kg</v>
      </c>
      <c r="E219" s="77"/>
      <c r="F219" s="82"/>
      <c r="G219" s="82"/>
      <c r="H219" s="82"/>
      <c r="N219" s="60"/>
      <c r="O219" s="60"/>
      <c r="P219" s="60"/>
    </row>
    <row r="220" spans="2:16" ht="13" hidden="1" outlineLevel="1" x14ac:dyDescent="0.25">
      <c r="B220" s="74"/>
      <c r="C220" s="148"/>
      <c r="D220" s="76" t="str">
        <f>D204</f>
        <v>kg</v>
      </c>
      <c r="E220" s="77"/>
      <c r="F220" s="82"/>
      <c r="G220" s="82"/>
      <c r="H220" s="82"/>
      <c r="N220" s="60"/>
      <c r="O220" s="60"/>
      <c r="P220" s="60"/>
    </row>
    <row r="221" spans="2:16" ht="13" hidden="1" outlineLevel="1" x14ac:dyDescent="0.25">
      <c r="B221" s="74"/>
      <c r="C221" s="148"/>
      <c r="D221" s="76" t="str">
        <f>D204</f>
        <v>kg</v>
      </c>
      <c r="E221" s="77"/>
      <c r="F221" s="82"/>
      <c r="G221" s="82"/>
      <c r="H221" s="82"/>
      <c r="N221" s="60"/>
      <c r="O221" s="60"/>
      <c r="P221" s="60"/>
    </row>
    <row r="222" spans="2:16" ht="13" hidden="1" outlineLevel="1" x14ac:dyDescent="0.25">
      <c r="B222" s="74"/>
      <c r="C222" s="148"/>
      <c r="D222" s="76" t="str">
        <f>D204</f>
        <v>kg</v>
      </c>
      <c r="E222" s="77"/>
      <c r="F222" s="82"/>
      <c r="G222" s="82"/>
      <c r="H222" s="82"/>
      <c r="N222" s="60"/>
      <c r="O222" s="60"/>
      <c r="P222" s="60"/>
    </row>
    <row r="223" spans="2:16" ht="13" hidden="1" outlineLevel="1" x14ac:dyDescent="0.25">
      <c r="B223" s="74"/>
      <c r="C223" s="148"/>
      <c r="D223" s="76" t="str">
        <f>D204</f>
        <v>kg</v>
      </c>
      <c r="E223" s="77"/>
      <c r="F223" s="82"/>
      <c r="G223" s="82"/>
      <c r="H223" s="82"/>
      <c r="N223" s="60"/>
      <c r="O223" s="60"/>
      <c r="P223" s="60"/>
    </row>
    <row r="224" spans="2:16" ht="13" hidden="1" outlineLevel="1" x14ac:dyDescent="0.25">
      <c r="B224" s="74"/>
      <c r="C224" s="148"/>
      <c r="D224" s="76" t="str">
        <f>D204</f>
        <v>kg</v>
      </c>
      <c r="E224" s="77"/>
      <c r="F224" s="82"/>
      <c r="G224" s="82"/>
      <c r="H224" s="82"/>
      <c r="J224" s="159"/>
      <c r="N224" s="60"/>
      <c r="O224" s="60"/>
      <c r="P224" s="60"/>
    </row>
    <row r="225" spans="2:16" ht="13" hidden="1" outlineLevel="1" x14ac:dyDescent="0.25">
      <c r="B225" s="74"/>
      <c r="C225" s="148"/>
      <c r="D225" s="76" t="str">
        <f>D204</f>
        <v>kg</v>
      </c>
      <c r="E225" s="77"/>
      <c r="F225" s="82"/>
      <c r="G225" s="82"/>
      <c r="H225" s="82"/>
      <c r="N225" s="60"/>
      <c r="O225" s="60"/>
      <c r="P225" s="60"/>
    </row>
    <row r="226" spans="2:16" ht="13" hidden="1" outlineLevel="1" x14ac:dyDescent="0.25">
      <c r="B226" s="74"/>
      <c r="C226" s="148"/>
      <c r="D226" s="76" t="str">
        <f>D204</f>
        <v>kg</v>
      </c>
      <c r="E226" s="77"/>
      <c r="F226" s="82"/>
      <c r="G226" s="82"/>
      <c r="H226" s="82"/>
      <c r="N226" s="60"/>
      <c r="O226" s="60"/>
      <c r="P226" s="60"/>
    </row>
    <row r="227" spans="2:16" ht="13.4" hidden="1" customHeight="1" outlineLevel="1" x14ac:dyDescent="0.25">
      <c r="B227" s="79"/>
      <c r="C227" s="147"/>
      <c r="D227" s="81"/>
      <c r="E227" s="77"/>
      <c r="F227" s="82"/>
      <c r="G227" s="82"/>
      <c r="H227" s="82"/>
      <c r="K227" s="34"/>
      <c r="N227" s="60"/>
      <c r="O227" s="60"/>
      <c r="P227" s="60"/>
    </row>
    <row r="228" spans="2:16" ht="13" hidden="1" outlineLevel="1" x14ac:dyDescent="0.25">
      <c r="B228" s="86" t="s">
        <v>7</v>
      </c>
      <c r="C228" s="149">
        <f>SUM(C213:C226)</f>
        <v>0</v>
      </c>
      <c r="D228" s="88" t="str">
        <f>D204</f>
        <v>kg</v>
      </c>
      <c r="E228" s="77"/>
      <c r="F228" s="82"/>
      <c r="G228" s="82"/>
      <c r="H228" s="82"/>
      <c r="N228" s="60"/>
      <c r="O228" s="60"/>
      <c r="P228" s="60"/>
    </row>
    <row r="229" spans="2:16" ht="13" hidden="1" outlineLevel="1" x14ac:dyDescent="0.25">
      <c r="B229" s="79" t="s">
        <v>71</v>
      </c>
      <c r="C229" s="150"/>
      <c r="D229" s="81"/>
      <c r="E229" s="77"/>
      <c r="F229" s="82"/>
      <c r="G229" s="82"/>
      <c r="H229" s="82"/>
      <c r="N229" s="60"/>
      <c r="O229" s="60"/>
      <c r="P229" s="60"/>
    </row>
    <row r="230" spans="2:16" ht="13" hidden="1" outlineLevel="1" x14ac:dyDescent="0.25">
      <c r="B230" s="74"/>
      <c r="C230" s="148"/>
      <c r="D230" s="76" t="str">
        <f>D204</f>
        <v>kg</v>
      </c>
      <c r="E230" s="77"/>
      <c r="F230" s="82"/>
      <c r="G230" s="82"/>
      <c r="H230" s="82"/>
      <c r="J230" s="159"/>
      <c r="N230" s="60"/>
      <c r="O230" s="60"/>
      <c r="P230" s="60"/>
    </row>
    <row r="231" spans="2:16" ht="13" hidden="1" outlineLevel="1" x14ac:dyDescent="0.25">
      <c r="B231" s="74"/>
      <c r="C231" s="148"/>
      <c r="D231" s="76" t="str">
        <f>D204</f>
        <v>kg</v>
      </c>
      <c r="E231" s="77"/>
      <c r="F231" s="82"/>
      <c r="G231" s="82"/>
      <c r="H231" s="82"/>
      <c r="N231" s="60"/>
      <c r="O231" s="60"/>
      <c r="P231" s="60"/>
    </row>
    <row r="232" spans="2:16" ht="13" hidden="1" outlineLevel="1" x14ac:dyDescent="0.25">
      <c r="B232" s="74"/>
      <c r="C232" s="148"/>
      <c r="D232" s="76" t="str">
        <f>D204</f>
        <v>kg</v>
      </c>
      <c r="E232" s="77"/>
      <c r="F232" s="82"/>
      <c r="G232" s="82"/>
      <c r="H232" s="82"/>
      <c r="N232" s="60"/>
      <c r="O232" s="60"/>
      <c r="P232" s="60"/>
    </row>
    <row r="233" spans="2:16" ht="13" hidden="1" outlineLevel="1" x14ac:dyDescent="0.25">
      <c r="B233" s="74"/>
      <c r="C233" s="148"/>
      <c r="D233" s="76" t="str">
        <f>D204</f>
        <v>kg</v>
      </c>
      <c r="E233" s="77"/>
      <c r="F233" s="82"/>
      <c r="G233" s="82"/>
      <c r="H233" s="82"/>
      <c r="N233" s="60"/>
      <c r="O233" s="60"/>
      <c r="P233" s="60"/>
    </row>
    <row r="234" spans="2:16" ht="13" hidden="1" outlineLevel="1" x14ac:dyDescent="0.25">
      <c r="B234" s="74"/>
      <c r="C234" s="148"/>
      <c r="D234" s="76" t="str">
        <f>D204</f>
        <v>kg</v>
      </c>
      <c r="E234" s="77"/>
      <c r="F234" s="82"/>
      <c r="G234" s="82"/>
      <c r="H234" s="82"/>
      <c r="N234" s="60"/>
      <c r="O234" s="60"/>
      <c r="P234" s="60"/>
    </row>
    <row r="235" spans="2:16" ht="13" hidden="1" outlineLevel="1" x14ac:dyDescent="0.25">
      <c r="B235" s="74"/>
      <c r="C235" s="148"/>
      <c r="D235" s="76" t="str">
        <f>D204</f>
        <v>kg</v>
      </c>
      <c r="E235" s="77"/>
      <c r="F235" s="82"/>
      <c r="G235" s="82"/>
      <c r="H235" s="82"/>
      <c r="N235" s="60"/>
      <c r="O235" s="60"/>
      <c r="P235" s="60"/>
    </row>
    <row r="236" spans="2:16" ht="13" hidden="1" outlineLevel="1" x14ac:dyDescent="0.25">
      <c r="B236" s="74"/>
      <c r="C236" s="148"/>
      <c r="D236" s="76" t="str">
        <f>D204</f>
        <v>kg</v>
      </c>
      <c r="E236" s="77"/>
      <c r="F236" s="82"/>
      <c r="G236" s="82"/>
      <c r="H236" s="82"/>
      <c r="N236" s="60"/>
      <c r="O236" s="60"/>
      <c r="P236" s="60"/>
    </row>
    <row r="237" spans="2:16" ht="13" hidden="1" outlineLevel="1" x14ac:dyDescent="0.25">
      <c r="B237" s="74"/>
      <c r="C237" s="148"/>
      <c r="D237" s="76" t="str">
        <f>D204</f>
        <v>kg</v>
      </c>
      <c r="E237" s="77"/>
      <c r="F237" s="82"/>
      <c r="G237" s="82"/>
      <c r="H237" s="82"/>
      <c r="N237" s="60"/>
      <c r="O237" s="60"/>
      <c r="P237" s="60"/>
    </row>
    <row r="238" spans="2:16" ht="13" hidden="1" outlineLevel="1" x14ac:dyDescent="0.25">
      <c r="B238" s="79" t="s">
        <v>70</v>
      </c>
      <c r="C238" s="147"/>
      <c r="D238" s="81"/>
      <c r="E238" s="90"/>
      <c r="F238" s="82"/>
      <c r="G238" s="82"/>
      <c r="H238" s="82"/>
      <c r="N238" s="60"/>
      <c r="O238" s="60"/>
      <c r="P238" s="60"/>
    </row>
    <row r="239" spans="2:16" ht="13" hidden="1" outlineLevel="1" x14ac:dyDescent="0.25">
      <c r="B239" s="74"/>
      <c r="C239" s="148"/>
      <c r="D239" s="76" t="str">
        <f>D204</f>
        <v>kg</v>
      </c>
      <c r="E239" s="77"/>
      <c r="F239" s="82"/>
      <c r="G239" s="82"/>
      <c r="H239" s="82"/>
      <c r="N239" s="60"/>
      <c r="O239" s="60"/>
      <c r="P239" s="60"/>
    </row>
    <row r="240" spans="2:16" ht="13" hidden="1" outlineLevel="1" x14ac:dyDescent="0.25">
      <c r="B240" s="74"/>
      <c r="C240" s="148"/>
      <c r="D240" s="76" t="str">
        <f>D204</f>
        <v>kg</v>
      </c>
      <c r="E240" s="77"/>
      <c r="F240" s="82"/>
      <c r="G240" s="82"/>
      <c r="H240" s="82"/>
      <c r="N240" s="60"/>
      <c r="O240" s="60"/>
      <c r="P240" s="60"/>
    </row>
    <row r="241" spans="2:16" ht="13" hidden="1" outlineLevel="1" x14ac:dyDescent="0.25">
      <c r="B241" s="74"/>
      <c r="C241" s="148"/>
      <c r="D241" s="76" t="str">
        <f>D204</f>
        <v>kg</v>
      </c>
      <c r="E241" s="77"/>
      <c r="F241" s="82"/>
      <c r="G241" s="82"/>
      <c r="H241" s="82"/>
      <c r="N241" s="60"/>
      <c r="O241" s="60"/>
      <c r="P241" s="60"/>
    </row>
    <row r="242" spans="2:16" ht="13" hidden="1" outlineLevel="1" x14ac:dyDescent="0.25">
      <c r="B242" s="74"/>
      <c r="C242" s="148"/>
      <c r="D242" s="76" t="str">
        <f>D204</f>
        <v>kg</v>
      </c>
      <c r="E242" s="77"/>
      <c r="F242" s="82"/>
      <c r="G242" s="82"/>
      <c r="H242" s="82"/>
      <c r="N242" s="60"/>
      <c r="O242" s="60"/>
      <c r="P242" s="60"/>
    </row>
    <row r="243" spans="2:16" ht="13" hidden="1" outlineLevel="1" x14ac:dyDescent="0.25">
      <c r="B243" s="74"/>
      <c r="C243" s="148"/>
      <c r="D243" s="76" t="str">
        <f>D204</f>
        <v>kg</v>
      </c>
      <c r="E243" s="77"/>
      <c r="F243" s="82"/>
      <c r="G243" s="82"/>
      <c r="H243" s="82"/>
      <c r="N243" s="60"/>
      <c r="O243" s="60"/>
      <c r="P243" s="60"/>
    </row>
    <row r="244" spans="2:16" ht="13" hidden="1" outlineLevel="1" x14ac:dyDescent="0.25">
      <c r="B244" s="74"/>
      <c r="C244" s="148"/>
      <c r="D244" s="76" t="str">
        <f>D204</f>
        <v>kg</v>
      </c>
      <c r="E244" s="77"/>
      <c r="F244" s="82"/>
      <c r="G244" s="82"/>
      <c r="H244" s="82"/>
      <c r="N244" s="60"/>
      <c r="O244" s="60"/>
      <c r="P244" s="60"/>
    </row>
    <row r="245" spans="2:16" ht="13" hidden="1" outlineLevel="1" x14ac:dyDescent="0.25">
      <c r="B245" s="74"/>
      <c r="C245" s="148"/>
      <c r="D245" s="76" t="str">
        <f>D204</f>
        <v>kg</v>
      </c>
      <c r="E245" s="77"/>
      <c r="F245" s="82"/>
      <c r="G245" s="82"/>
      <c r="H245" s="82"/>
      <c r="N245" s="60"/>
      <c r="O245" s="60"/>
      <c r="P245" s="60"/>
    </row>
    <row r="246" spans="2:16" ht="13.4" hidden="1" customHeight="1" outlineLevel="1" x14ac:dyDescent="0.25">
      <c r="B246" s="79"/>
      <c r="C246" s="147"/>
      <c r="D246" s="81"/>
      <c r="E246" s="77"/>
      <c r="F246" s="82"/>
      <c r="G246" s="82"/>
      <c r="H246" s="82"/>
      <c r="K246" s="34"/>
      <c r="N246" s="60"/>
      <c r="O246" s="60"/>
      <c r="P246" s="60"/>
    </row>
    <row r="247" spans="2:16" ht="13" hidden="1" outlineLevel="1" x14ac:dyDescent="0.25">
      <c r="B247" s="86" t="s">
        <v>9</v>
      </c>
      <c r="C247" s="149">
        <f>SUM(C228:C245)</f>
        <v>0</v>
      </c>
      <c r="D247" s="91" t="str">
        <f>D204</f>
        <v>kg</v>
      </c>
      <c r="E247" s="77"/>
      <c r="F247" s="82"/>
      <c r="G247" s="82"/>
      <c r="H247" s="82"/>
      <c r="N247" s="60"/>
      <c r="O247" s="60"/>
      <c r="P247" s="60"/>
    </row>
    <row r="248" spans="2:16" ht="13" hidden="1" outlineLevel="1" x14ac:dyDescent="0.25">
      <c r="B248" s="92"/>
      <c r="C248" s="93"/>
      <c r="D248" s="94"/>
      <c r="E248" s="77"/>
      <c r="F248" s="82"/>
      <c r="G248" s="82"/>
      <c r="H248" s="82"/>
      <c r="N248" s="60"/>
      <c r="O248" s="60"/>
      <c r="P248" s="60"/>
    </row>
    <row r="249" spans="2:16" ht="20.5" hidden="1" outlineLevel="1" thickBot="1" x14ac:dyDescent="0.3">
      <c r="B249" s="426" t="s">
        <v>10</v>
      </c>
      <c r="C249" s="427"/>
      <c r="D249" s="428"/>
      <c r="E249" s="77"/>
      <c r="F249" s="82"/>
      <c r="G249" s="82"/>
      <c r="H249" s="82"/>
      <c r="N249" s="60"/>
      <c r="O249" s="60"/>
      <c r="P249" s="60"/>
    </row>
    <row r="250" spans="2:16" ht="13" hidden="1" outlineLevel="1" x14ac:dyDescent="0.25">
      <c r="B250" s="95" t="s">
        <v>23</v>
      </c>
      <c r="C250" s="96"/>
      <c r="D250" s="151">
        <f>SUM(C214:C215)</f>
        <v>0</v>
      </c>
      <c r="E250" s="98"/>
      <c r="F250" s="82"/>
      <c r="G250" s="82"/>
      <c r="H250" s="82"/>
      <c r="N250" s="60"/>
      <c r="O250" s="60"/>
      <c r="P250" s="60"/>
    </row>
    <row r="251" spans="2:16" ht="13" hidden="1" outlineLevel="1" x14ac:dyDescent="0.25">
      <c r="B251" s="99" t="s">
        <v>24</v>
      </c>
      <c r="C251" s="100"/>
      <c r="D251" s="152">
        <f>SUM(C217:C227)</f>
        <v>0</v>
      </c>
      <c r="E251" s="98"/>
      <c r="F251" s="82"/>
      <c r="G251" s="82"/>
      <c r="H251" s="82"/>
      <c r="N251" s="60"/>
      <c r="O251" s="60"/>
      <c r="P251" s="60"/>
    </row>
    <row r="252" spans="2:16" ht="13" hidden="1" outlineLevel="1" x14ac:dyDescent="0.25">
      <c r="B252" s="99" t="s">
        <v>25</v>
      </c>
      <c r="C252" s="100"/>
      <c r="D252" s="152">
        <f>SUM(C230:C238)</f>
        <v>0</v>
      </c>
      <c r="E252" s="98"/>
      <c r="F252" s="82"/>
      <c r="G252" s="82"/>
      <c r="H252" s="82"/>
      <c r="N252" s="60"/>
      <c r="O252" s="60"/>
      <c r="P252" s="60"/>
    </row>
    <row r="253" spans="2:16" ht="13" hidden="1" outlineLevel="1" x14ac:dyDescent="0.25">
      <c r="B253" s="102" t="s">
        <v>26</v>
      </c>
      <c r="C253" s="103"/>
      <c r="D253" s="153">
        <f>SUM(C239:C246)</f>
        <v>0</v>
      </c>
      <c r="E253" s="98"/>
      <c r="F253" s="82"/>
      <c r="G253" s="82"/>
      <c r="H253" s="82"/>
      <c r="N253" s="60"/>
      <c r="O253" s="60"/>
      <c r="P253" s="60"/>
    </row>
    <row r="254" spans="2:16" ht="18.5" hidden="1" outlineLevel="1" thickTop="1" x14ac:dyDescent="0.25">
      <c r="B254" s="105" t="s">
        <v>11</v>
      </c>
      <c r="C254" s="106"/>
      <c r="D254" s="107" t="e">
        <f>C228/C210</f>
        <v>#DIV/0!</v>
      </c>
      <c r="E254" s="77"/>
      <c r="F254" s="110" t="s">
        <v>86</v>
      </c>
      <c r="G254" s="109" t="s">
        <v>85</v>
      </c>
      <c r="H254" s="110"/>
      <c r="N254" s="60"/>
      <c r="O254" s="60"/>
      <c r="P254" s="60"/>
    </row>
    <row r="255" spans="2:16" ht="18.5" hidden="1" outlineLevel="1" thickBot="1" x14ac:dyDescent="0.3">
      <c r="B255" s="111" t="s">
        <v>12</v>
      </c>
      <c r="C255" s="112"/>
      <c r="D255" s="113" t="e">
        <f>(D250+D251+D252)/C210</f>
        <v>#DIV/0!</v>
      </c>
      <c r="E255" s="77"/>
      <c r="F255" s="154"/>
      <c r="G255" s="413"/>
      <c r="H255" s="414"/>
      <c r="N255" s="60"/>
      <c r="O255" s="60"/>
      <c r="P255" s="60"/>
    </row>
    <row r="256" spans="2:16" ht="18" hidden="1" outlineLevel="1" x14ac:dyDescent="0.25">
      <c r="B256" s="111" t="s">
        <v>13</v>
      </c>
      <c r="C256" s="112"/>
      <c r="D256" s="113" t="e">
        <f>D252/C210</f>
        <v>#DIV/0!</v>
      </c>
      <c r="E256" s="90"/>
      <c r="F256" s="64" t="s">
        <v>45</v>
      </c>
      <c r="G256" s="64" t="s">
        <v>45</v>
      </c>
      <c r="H256" s="155"/>
      <c r="N256" s="60"/>
      <c r="O256" s="60"/>
      <c r="P256" s="60"/>
    </row>
    <row r="257" spans="2:16" ht="18" hidden="1" outlineLevel="1" x14ac:dyDescent="0.25">
      <c r="B257" s="114" t="s">
        <v>14</v>
      </c>
      <c r="C257" s="115"/>
      <c r="D257" s="116" t="e">
        <f>D253/C210</f>
        <v>#DIV/0!</v>
      </c>
      <c r="E257" s="90"/>
      <c r="F257" s="110"/>
      <c r="G257" s="117" t="s">
        <v>46</v>
      </c>
      <c r="H257" s="110"/>
      <c r="N257" s="60"/>
      <c r="O257" s="60"/>
      <c r="P257" s="60"/>
    </row>
    <row r="258" spans="2:16" ht="18.5" hidden="1" outlineLevel="1" thickBot="1" x14ac:dyDescent="0.3">
      <c r="B258" s="114" t="s">
        <v>15</v>
      </c>
      <c r="C258" s="119"/>
      <c r="D258" s="116" t="e">
        <f>SUM(D250:D253)/C210</f>
        <v>#DIV/0!</v>
      </c>
      <c r="E258" s="90"/>
      <c r="F258" s="429"/>
      <c r="G258" s="430"/>
      <c r="H258" s="431"/>
      <c r="N258" s="60"/>
      <c r="O258" s="60"/>
      <c r="P258" s="60"/>
    </row>
    <row r="259" spans="2:16" ht="18.5" hidden="1" outlineLevel="1" thickTop="1" x14ac:dyDescent="0.25">
      <c r="B259" s="120" t="s">
        <v>16</v>
      </c>
      <c r="C259" s="121"/>
      <c r="D259" s="122" t="e">
        <f>((C214*D192)+D251+C215*MAX(1,F215))/C210</f>
        <v>#DIV/0!</v>
      </c>
      <c r="E259" s="77"/>
      <c r="F259" s="64" t="s">
        <v>45</v>
      </c>
      <c r="G259" s="64"/>
      <c r="H259" s="82"/>
      <c r="N259" s="60"/>
      <c r="O259" s="60"/>
      <c r="P259" s="60"/>
    </row>
    <row r="260" spans="2:16" ht="18" hidden="1" outlineLevel="1" x14ac:dyDescent="0.25">
      <c r="B260" s="123" t="s">
        <v>17</v>
      </c>
      <c r="C260" s="124"/>
      <c r="D260" s="125" t="e">
        <f>(C214*D193+D251+D252+C215*(MAX(1,F215)+G215))/C210</f>
        <v>#DIV/0!</v>
      </c>
      <c r="E260" s="77"/>
      <c r="F260" s="82"/>
      <c r="G260" s="82"/>
      <c r="H260" s="82"/>
      <c r="N260" s="60"/>
      <c r="O260" s="60"/>
      <c r="P260" s="60"/>
    </row>
    <row r="261" spans="2:16" ht="18" hidden="1" customHeight="1" outlineLevel="1" x14ac:dyDescent="0.25">
      <c r="B261" s="123" t="s">
        <v>18</v>
      </c>
      <c r="C261" s="124"/>
      <c r="D261" s="125" t="e">
        <f>((C214*D194)+D252+C215*G215)/C210</f>
        <v>#DIV/0!</v>
      </c>
      <c r="E261" s="77"/>
      <c r="F261" s="415" t="s">
        <v>61</v>
      </c>
      <c r="G261" s="416"/>
      <c r="H261" s="416"/>
      <c r="N261" s="60"/>
      <c r="O261" s="60"/>
      <c r="P261" s="60"/>
    </row>
    <row r="262" spans="2:16" ht="18" hidden="1" outlineLevel="1" x14ac:dyDescent="0.25">
      <c r="B262" s="126" t="s">
        <v>19</v>
      </c>
      <c r="C262" s="127"/>
      <c r="D262" s="128" t="e">
        <f>(C214*D195+D253+C215*H215)/C210</f>
        <v>#DIV/0!</v>
      </c>
      <c r="E262" s="77"/>
      <c r="F262" s="416"/>
      <c r="G262" s="416"/>
      <c r="H262" s="416"/>
      <c r="N262" s="60"/>
      <c r="O262" s="60"/>
      <c r="P262" s="60"/>
    </row>
    <row r="263" spans="2:16" ht="18.5" hidden="1" outlineLevel="1" thickBot="1" x14ac:dyDescent="0.3">
      <c r="B263" s="129" t="s">
        <v>20</v>
      </c>
      <c r="C263" s="130"/>
      <c r="D263" s="131" t="e">
        <f>((C214*D196)+SUM(D251:D253)+C215*(MAX(1,F215)+G215+H215))/C210</f>
        <v>#DIV/0!</v>
      </c>
      <c r="E263" s="77"/>
      <c r="F263" s="416"/>
      <c r="G263" s="416"/>
      <c r="H263" s="416"/>
      <c r="N263" s="60"/>
      <c r="O263" s="60"/>
      <c r="P263" s="60"/>
    </row>
    <row r="264" spans="2:16" ht="13" hidden="1" outlineLevel="1" thickTop="1" x14ac:dyDescent="0.25">
      <c r="B264" s="156" t="s">
        <v>76</v>
      </c>
      <c r="C264" s="424"/>
      <c r="D264" s="425"/>
      <c r="E264" s="46"/>
      <c r="F264" s="416"/>
      <c r="G264" s="416"/>
      <c r="H264" s="416"/>
      <c r="N264" s="60"/>
      <c r="O264" s="60"/>
      <c r="P264" s="60"/>
    </row>
    <row r="265" spans="2:16" hidden="1" outlineLevel="1" x14ac:dyDescent="0.25">
      <c r="B265" s="157" t="s">
        <v>58</v>
      </c>
      <c r="C265" s="422"/>
      <c r="D265" s="423"/>
      <c r="E265" s="46"/>
      <c r="F265" s="416"/>
      <c r="G265" s="416"/>
      <c r="H265" s="416"/>
      <c r="N265" s="60"/>
      <c r="O265" s="60"/>
      <c r="P265" s="60"/>
    </row>
    <row r="266" spans="2:16" ht="13" hidden="1" outlineLevel="1" thickBot="1" x14ac:dyDescent="0.3">
      <c r="B266" s="158" t="s">
        <v>59</v>
      </c>
      <c r="C266" s="420"/>
      <c r="D266" s="421"/>
      <c r="E266" s="46"/>
      <c r="F266" s="416"/>
      <c r="G266" s="416"/>
      <c r="H266" s="416"/>
      <c r="N266" s="60"/>
      <c r="O266" s="60"/>
      <c r="P266" s="60"/>
    </row>
    <row r="267" spans="2:16" ht="13" hidden="1" outlineLevel="1" x14ac:dyDescent="0.25">
      <c r="E267" s="46"/>
      <c r="F267" s="34"/>
      <c r="G267" s="34"/>
      <c r="H267" s="34"/>
      <c r="N267" s="60"/>
      <c r="O267" s="60"/>
      <c r="P267" s="60"/>
    </row>
    <row r="268" spans="2:16" ht="13" hidden="1" outlineLevel="1" x14ac:dyDescent="0.25">
      <c r="C268" s="25" t="s">
        <v>44</v>
      </c>
      <c r="D268" s="25" t="s">
        <v>42</v>
      </c>
      <c r="E268" s="46"/>
      <c r="F268" s="34"/>
      <c r="G268" s="34"/>
      <c r="H268" s="34"/>
      <c r="N268" s="60"/>
      <c r="O268" s="60"/>
      <c r="P268" s="60"/>
    </row>
    <row r="269" spans="2:16" ht="21" hidden="1" outlineLevel="1" thickTop="1" thickBot="1" x14ac:dyDescent="0.3">
      <c r="B269" s="140" t="s">
        <v>73</v>
      </c>
      <c r="C269" s="29"/>
      <c r="D269" s="141"/>
      <c r="E269" s="31"/>
      <c r="F269" s="32" t="s">
        <v>27</v>
      </c>
      <c r="G269" s="33"/>
      <c r="H269" s="33"/>
      <c r="I269" s="34"/>
    </row>
    <row r="270" spans="2:16" ht="14.5" hidden="1" outlineLevel="1" thickBot="1" x14ac:dyDescent="0.3">
      <c r="B270" s="37"/>
      <c r="C270" s="38" t="s">
        <v>0</v>
      </c>
      <c r="D270" s="39" t="s">
        <v>1</v>
      </c>
      <c r="E270" s="40"/>
      <c r="F270" s="41" t="s">
        <v>28</v>
      </c>
      <c r="G270" s="41" t="s">
        <v>21</v>
      </c>
      <c r="H270" s="41" t="s">
        <v>8</v>
      </c>
    </row>
    <row r="271" spans="2:16" ht="13" hidden="1" outlineLevel="1" x14ac:dyDescent="0.25">
      <c r="B271" s="43" t="s">
        <v>65</v>
      </c>
      <c r="C271" s="142"/>
      <c r="D271" s="45" t="s">
        <v>2</v>
      </c>
      <c r="E271" s="46"/>
      <c r="F271" s="47"/>
      <c r="G271" s="47"/>
      <c r="H271" s="47"/>
      <c r="N271" s="60"/>
      <c r="O271" s="60"/>
      <c r="P271" s="60"/>
    </row>
    <row r="272" spans="2:16" ht="13" hidden="1" outlineLevel="1" x14ac:dyDescent="0.25">
      <c r="B272" s="43" t="s">
        <v>64</v>
      </c>
      <c r="C272" s="143"/>
      <c r="D272" s="45" t="s">
        <v>3</v>
      </c>
      <c r="E272" s="46"/>
      <c r="F272" s="47"/>
      <c r="G272" s="47"/>
      <c r="H272" s="47"/>
      <c r="N272" s="60"/>
      <c r="O272" s="60"/>
      <c r="P272" s="60"/>
    </row>
    <row r="273" spans="2:16" ht="13" hidden="1" outlineLevel="1" x14ac:dyDescent="0.25">
      <c r="B273" s="51" t="s">
        <v>63</v>
      </c>
      <c r="C273" s="144">
        <f>C271*C272</f>
        <v>0</v>
      </c>
      <c r="D273" s="45" t="str">
        <f>D271</f>
        <v>kg</v>
      </c>
      <c r="E273" s="46"/>
      <c r="F273" s="47"/>
      <c r="G273" s="47"/>
      <c r="H273" s="47"/>
      <c r="N273" s="60"/>
      <c r="O273" s="60"/>
      <c r="P273" s="60"/>
    </row>
    <row r="274" spans="2:16" ht="14" hidden="1" outlineLevel="1" x14ac:dyDescent="0.25">
      <c r="B274" s="54" t="s">
        <v>37</v>
      </c>
      <c r="C274" s="145">
        <v>1</v>
      </c>
      <c r="D274" s="56"/>
      <c r="E274" s="57"/>
      <c r="F274" s="58"/>
      <c r="G274" s="58"/>
      <c r="H274" s="58"/>
      <c r="N274" s="60"/>
      <c r="O274" s="60"/>
      <c r="P274" s="60"/>
    </row>
    <row r="275" spans="2:16" ht="13" hidden="1" outlineLevel="1" x14ac:dyDescent="0.25">
      <c r="B275" s="43" t="s">
        <v>66</v>
      </c>
      <c r="C275" s="142"/>
      <c r="D275" s="45" t="str">
        <f>D271</f>
        <v>kg</v>
      </c>
      <c r="E275" s="46"/>
      <c r="F275" s="47"/>
      <c r="G275" s="47"/>
      <c r="H275" s="47"/>
      <c r="J275" s="159"/>
      <c r="N275" s="60"/>
      <c r="O275" s="60"/>
      <c r="P275" s="60"/>
    </row>
    <row r="276" spans="2:16" ht="13" hidden="1" outlineLevel="1" x14ac:dyDescent="0.25">
      <c r="B276" s="43" t="s">
        <v>67</v>
      </c>
      <c r="C276" s="143"/>
      <c r="D276" s="45" t="s">
        <v>3</v>
      </c>
      <c r="E276" s="59"/>
      <c r="F276" s="47"/>
      <c r="G276" s="47"/>
      <c r="H276" s="47"/>
      <c r="N276" s="60"/>
      <c r="O276" s="60"/>
      <c r="P276" s="60"/>
    </row>
    <row r="277" spans="2:16" ht="13" hidden="1" outlineLevel="1" x14ac:dyDescent="0.25">
      <c r="B277" s="51" t="s">
        <v>68</v>
      </c>
      <c r="C277" s="144">
        <f>C275*C276</f>
        <v>0</v>
      </c>
      <c r="D277" s="45" t="str">
        <f>D271</f>
        <v>kg</v>
      </c>
      <c r="E277" s="46"/>
      <c r="F277" s="47"/>
      <c r="G277" s="47"/>
      <c r="H277" s="47"/>
      <c r="N277" s="60"/>
      <c r="O277" s="60"/>
      <c r="P277" s="60"/>
    </row>
    <row r="278" spans="2:16" ht="13.5" hidden="1" outlineLevel="1" thickBot="1" x14ac:dyDescent="0.3">
      <c r="B278" s="61"/>
      <c r="C278" s="62"/>
      <c r="D278" s="63"/>
      <c r="F278" s="64"/>
      <c r="G278" s="64"/>
      <c r="H278" s="64"/>
      <c r="N278" s="60"/>
      <c r="O278" s="60"/>
      <c r="P278" s="60"/>
    </row>
    <row r="279" spans="2:16" ht="14.5" hidden="1" outlineLevel="1" thickBot="1" x14ac:dyDescent="0.3">
      <c r="B279" s="65" t="s">
        <v>5</v>
      </c>
      <c r="C279" s="66" t="s">
        <v>6</v>
      </c>
      <c r="D279" s="67" t="s">
        <v>1</v>
      </c>
      <c r="E279" s="68"/>
      <c r="F279" s="69"/>
      <c r="G279" s="69"/>
      <c r="H279" s="69"/>
      <c r="N279" s="60"/>
      <c r="O279" s="60"/>
      <c r="P279" s="60"/>
    </row>
    <row r="280" spans="2:16" ht="13" hidden="1" outlineLevel="1" x14ac:dyDescent="0.25">
      <c r="B280" s="70" t="s">
        <v>43</v>
      </c>
      <c r="C280" s="71"/>
      <c r="D280" s="72"/>
      <c r="E280" s="73"/>
      <c r="F280" s="69"/>
      <c r="G280" s="69"/>
      <c r="H280" s="69"/>
      <c r="N280" s="60"/>
      <c r="O280" s="60"/>
      <c r="P280" s="60"/>
    </row>
    <row r="281" spans="2:16" ht="13" hidden="1" outlineLevel="1" x14ac:dyDescent="0.25">
      <c r="B281" s="74"/>
      <c r="C281" s="146">
        <f>C273</f>
        <v>0</v>
      </c>
      <c r="D281" s="76" t="str">
        <f>D271</f>
        <v>kg</v>
      </c>
      <c r="E281" s="98"/>
      <c r="F281" s="69"/>
      <c r="G281" s="69"/>
      <c r="H281" s="69"/>
      <c r="N281" s="60"/>
      <c r="O281" s="60"/>
      <c r="P281" s="60"/>
    </row>
    <row r="282" spans="2:16" ht="13.5" hidden="1" outlineLevel="1" thickBot="1" x14ac:dyDescent="0.3">
      <c r="B282" s="74"/>
      <c r="C282" s="146"/>
      <c r="D282" s="76" t="str">
        <f>D271</f>
        <v>kg</v>
      </c>
      <c r="E282" s="77"/>
      <c r="F282" s="78"/>
      <c r="G282" s="78"/>
      <c r="H282" s="78"/>
      <c r="N282" s="60"/>
      <c r="O282" s="60"/>
      <c r="P282" s="60"/>
    </row>
    <row r="283" spans="2:16" ht="13" hidden="1" outlineLevel="1" x14ac:dyDescent="0.25">
      <c r="B283" s="79" t="s">
        <v>69</v>
      </c>
      <c r="C283" s="147"/>
      <c r="D283" s="81"/>
      <c r="E283" s="77"/>
      <c r="F283" s="82"/>
      <c r="G283" s="82"/>
      <c r="H283" s="82"/>
      <c r="N283" s="60"/>
      <c r="O283" s="60"/>
      <c r="P283" s="60"/>
    </row>
    <row r="284" spans="2:16" ht="13" hidden="1" outlineLevel="1" x14ac:dyDescent="0.25">
      <c r="B284" s="74"/>
      <c r="C284" s="148"/>
      <c r="D284" s="76" t="str">
        <f>D271</f>
        <v>kg</v>
      </c>
      <c r="E284" s="77"/>
      <c r="F284" s="82"/>
      <c r="G284" s="82"/>
      <c r="H284" s="82"/>
      <c r="N284" s="60"/>
      <c r="O284" s="60"/>
      <c r="P284" s="60"/>
    </row>
    <row r="285" spans="2:16" ht="13" hidden="1" outlineLevel="1" x14ac:dyDescent="0.25">
      <c r="B285" s="74"/>
      <c r="C285" s="148"/>
      <c r="D285" s="76" t="str">
        <f>D271</f>
        <v>kg</v>
      </c>
      <c r="E285" s="77"/>
      <c r="F285" s="82"/>
      <c r="G285" s="82"/>
      <c r="H285" s="82"/>
      <c r="N285" s="60"/>
      <c r="O285" s="60"/>
      <c r="P285" s="60"/>
    </row>
    <row r="286" spans="2:16" ht="13" hidden="1" outlineLevel="1" x14ac:dyDescent="0.25">
      <c r="B286" s="74"/>
      <c r="C286" s="148"/>
      <c r="D286" s="76" t="str">
        <f>D271</f>
        <v>kg</v>
      </c>
      <c r="E286" s="77"/>
      <c r="F286" s="82"/>
      <c r="G286" s="82"/>
      <c r="H286" s="82"/>
      <c r="N286" s="60"/>
      <c r="O286" s="60"/>
      <c r="P286" s="60"/>
    </row>
    <row r="287" spans="2:16" ht="13" hidden="1" outlineLevel="1" x14ac:dyDescent="0.25">
      <c r="B287" s="74"/>
      <c r="C287" s="148"/>
      <c r="D287" s="76" t="str">
        <f>D271</f>
        <v>kg</v>
      </c>
      <c r="E287" s="77"/>
      <c r="F287" s="82"/>
      <c r="G287" s="82"/>
      <c r="H287" s="82"/>
      <c r="N287" s="60"/>
      <c r="O287" s="60"/>
      <c r="P287" s="60"/>
    </row>
    <row r="288" spans="2:16" ht="13" hidden="1" outlineLevel="1" x14ac:dyDescent="0.25">
      <c r="B288" s="74"/>
      <c r="C288" s="148"/>
      <c r="D288" s="76" t="str">
        <f>D271</f>
        <v>kg</v>
      </c>
      <c r="E288" s="77"/>
      <c r="F288" s="82"/>
      <c r="G288" s="82"/>
      <c r="H288" s="82"/>
      <c r="N288" s="60"/>
      <c r="O288" s="60"/>
      <c r="P288" s="60"/>
    </row>
    <row r="289" spans="2:16" ht="13" hidden="1" outlineLevel="1" x14ac:dyDescent="0.25">
      <c r="B289" s="74"/>
      <c r="C289" s="148"/>
      <c r="D289" s="76" t="str">
        <f>D271</f>
        <v>kg</v>
      </c>
      <c r="E289" s="77"/>
      <c r="F289" s="82"/>
      <c r="G289" s="82"/>
      <c r="H289" s="82"/>
      <c r="N289" s="60"/>
      <c r="O289" s="60"/>
      <c r="P289" s="60"/>
    </row>
    <row r="290" spans="2:16" ht="13" hidden="1" outlineLevel="1" x14ac:dyDescent="0.25">
      <c r="B290" s="74"/>
      <c r="C290" s="148"/>
      <c r="D290" s="76" t="str">
        <f>D271</f>
        <v>kg</v>
      </c>
      <c r="E290" s="77"/>
      <c r="F290" s="82"/>
      <c r="G290" s="82"/>
      <c r="H290" s="82"/>
      <c r="N290" s="60"/>
      <c r="O290" s="60"/>
      <c r="P290" s="60"/>
    </row>
    <row r="291" spans="2:16" ht="13" hidden="1" outlineLevel="1" x14ac:dyDescent="0.25">
      <c r="B291" s="74"/>
      <c r="C291" s="148"/>
      <c r="D291" s="76" t="str">
        <f>D271</f>
        <v>kg</v>
      </c>
      <c r="E291" s="77"/>
      <c r="F291" s="82"/>
      <c r="G291" s="82"/>
      <c r="H291" s="82"/>
      <c r="N291" s="60"/>
      <c r="O291" s="60"/>
      <c r="P291" s="60"/>
    </row>
    <row r="292" spans="2:16" ht="13" hidden="1" outlineLevel="1" x14ac:dyDescent="0.25">
      <c r="B292" s="74"/>
      <c r="C292" s="148"/>
      <c r="D292" s="76" t="str">
        <f>D271</f>
        <v>kg</v>
      </c>
      <c r="E292" s="77"/>
      <c r="F292" s="82"/>
      <c r="G292" s="82"/>
      <c r="H292" s="82"/>
      <c r="N292" s="60"/>
      <c r="O292" s="60"/>
      <c r="P292" s="60"/>
    </row>
    <row r="293" spans="2:16" ht="13" hidden="1" outlineLevel="1" x14ac:dyDescent="0.25">
      <c r="B293" s="74"/>
      <c r="C293" s="148"/>
      <c r="D293" s="76" t="str">
        <f>D271</f>
        <v>kg</v>
      </c>
      <c r="E293" s="77"/>
      <c r="F293" s="82"/>
      <c r="G293" s="82"/>
      <c r="H293" s="82"/>
      <c r="N293" s="60"/>
      <c r="O293" s="60"/>
      <c r="P293" s="60"/>
    </row>
    <row r="294" spans="2:16" ht="13.4" hidden="1" customHeight="1" outlineLevel="1" x14ac:dyDescent="0.25">
      <c r="B294" s="79"/>
      <c r="C294" s="147"/>
      <c r="D294" s="81"/>
      <c r="E294" s="77"/>
      <c r="F294" s="82"/>
      <c r="G294" s="82"/>
      <c r="H294" s="82"/>
      <c r="K294" s="34"/>
      <c r="N294" s="60"/>
      <c r="O294" s="60"/>
      <c r="P294" s="60"/>
    </row>
    <row r="295" spans="2:16" ht="13" hidden="1" outlineLevel="1" x14ac:dyDescent="0.25">
      <c r="B295" s="86" t="s">
        <v>7</v>
      </c>
      <c r="C295" s="149">
        <f>SUM(C280:C293)</f>
        <v>0</v>
      </c>
      <c r="D295" s="88" t="str">
        <f>D271</f>
        <v>kg</v>
      </c>
      <c r="E295" s="77"/>
      <c r="F295" s="82"/>
      <c r="G295" s="82"/>
      <c r="H295" s="82"/>
      <c r="N295" s="60"/>
      <c r="O295" s="60"/>
      <c r="P295" s="60"/>
    </row>
    <row r="296" spans="2:16" ht="13" hidden="1" outlineLevel="1" x14ac:dyDescent="0.25">
      <c r="B296" s="79" t="s">
        <v>71</v>
      </c>
      <c r="C296" s="150"/>
      <c r="D296" s="81"/>
      <c r="E296" s="77"/>
      <c r="F296" s="82"/>
      <c r="G296" s="82"/>
      <c r="H296" s="82"/>
      <c r="N296" s="60"/>
      <c r="O296" s="60"/>
      <c r="P296" s="60"/>
    </row>
    <row r="297" spans="2:16" ht="13" hidden="1" outlineLevel="1" x14ac:dyDescent="0.25">
      <c r="B297" s="74"/>
      <c r="C297" s="148"/>
      <c r="D297" s="76" t="str">
        <f>D271</f>
        <v>kg</v>
      </c>
      <c r="E297" s="77"/>
      <c r="F297" s="82"/>
      <c r="G297" s="82"/>
      <c r="H297" s="82"/>
      <c r="N297" s="60"/>
      <c r="O297" s="60"/>
      <c r="P297" s="60"/>
    </row>
    <row r="298" spans="2:16" ht="13" hidden="1" outlineLevel="1" x14ac:dyDescent="0.25">
      <c r="B298" s="74"/>
      <c r="C298" s="148"/>
      <c r="D298" s="76" t="str">
        <f>D271</f>
        <v>kg</v>
      </c>
      <c r="E298" s="77"/>
      <c r="F298" s="82"/>
      <c r="G298" s="82"/>
      <c r="H298" s="82"/>
      <c r="N298" s="60"/>
      <c r="O298" s="60"/>
      <c r="P298" s="60"/>
    </row>
    <row r="299" spans="2:16" ht="13" hidden="1" outlineLevel="1" x14ac:dyDescent="0.25">
      <c r="B299" s="74"/>
      <c r="C299" s="148"/>
      <c r="D299" s="76" t="str">
        <f>D271</f>
        <v>kg</v>
      </c>
      <c r="E299" s="77"/>
      <c r="F299" s="82"/>
      <c r="G299" s="82"/>
      <c r="H299" s="82"/>
      <c r="N299" s="60"/>
      <c r="O299" s="60"/>
      <c r="P299" s="60"/>
    </row>
    <row r="300" spans="2:16" ht="13" hidden="1" outlineLevel="1" x14ac:dyDescent="0.25">
      <c r="B300" s="74"/>
      <c r="C300" s="148"/>
      <c r="D300" s="76" t="str">
        <f>D271</f>
        <v>kg</v>
      </c>
      <c r="E300" s="77"/>
      <c r="F300" s="82"/>
      <c r="G300" s="82"/>
      <c r="H300" s="82"/>
      <c r="N300" s="60"/>
      <c r="O300" s="60"/>
      <c r="P300" s="60"/>
    </row>
    <row r="301" spans="2:16" ht="13" hidden="1" outlineLevel="1" x14ac:dyDescent="0.25">
      <c r="B301" s="74"/>
      <c r="C301" s="148"/>
      <c r="D301" s="76" t="str">
        <f>D271</f>
        <v>kg</v>
      </c>
      <c r="E301" s="77"/>
      <c r="F301" s="82"/>
      <c r="G301" s="82"/>
      <c r="H301" s="82"/>
      <c r="N301" s="60"/>
      <c r="O301" s="60"/>
      <c r="P301" s="60"/>
    </row>
    <row r="302" spans="2:16" ht="13" hidden="1" outlineLevel="1" x14ac:dyDescent="0.25">
      <c r="B302" s="74"/>
      <c r="C302" s="148"/>
      <c r="D302" s="76" t="str">
        <f>D271</f>
        <v>kg</v>
      </c>
      <c r="E302" s="77"/>
      <c r="F302" s="82"/>
      <c r="G302" s="82"/>
      <c r="H302" s="82"/>
      <c r="N302" s="60"/>
      <c r="O302" s="60"/>
      <c r="P302" s="60"/>
    </row>
    <row r="303" spans="2:16" ht="13" hidden="1" outlineLevel="1" x14ac:dyDescent="0.25">
      <c r="B303" s="74"/>
      <c r="C303" s="148"/>
      <c r="D303" s="76" t="str">
        <f>D271</f>
        <v>kg</v>
      </c>
      <c r="E303" s="77"/>
      <c r="F303" s="82"/>
      <c r="G303" s="82"/>
      <c r="H303" s="82"/>
      <c r="N303" s="60"/>
      <c r="O303" s="60"/>
      <c r="P303" s="60"/>
    </row>
    <row r="304" spans="2:16" ht="13" hidden="1" outlineLevel="1" x14ac:dyDescent="0.25">
      <c r="B304" s="74"/>
      <c r="C304" s="148"/>
      <c r="D304" s="76" t="str">
        <f>D271</f>
        <v>kg</v>
      </c>
      <c r="E304" s="77"/>
      <c r="F304" s="82"/>
      <c r="G304" s="82"/>
      <c r="H304" s="82"/>
      <c r="N304" s="60"/>
      <c r="O304" s="60"/>
      <c r="P304" s="60"/>
    </row>
    <row r="305" spans="2:16" ht="13" hidden="1" outlineLevel="1" x14ac:dyDescent="0.25">
      <c r="B305" s="79" t="s">
        <v>70</v>
      </c>
      <c r="C305" s="147"/>
      <c r="D305" s="81"/>
      <c r="E305" s="90"/>
      <c r="F305" s="82"/>
      <c r="G305" s="82"/>
      <c r="H305" s="82"/>
      <c r="N305" s="60"/>
      <c r="O305" s="60"/>
      <c r="P305" s="60"/>
    </row>
    <row r="306" spans="2:16" ht="13" hidden="1" outlineLevel="1" x14ac:dyDescent="0.25">
      <c r="B306" s="74"/>
      <c r="C306" s="148"/>
      <c r="D306" s="76" t="str">
        <f>D271</f>
        <v>kg</v>
      </c>
      <c r="E306" s="77"/>
      <c r="F306" s="82"/>
      <c r="G306" s="82"/>
      <c r="H306" s="82"/>
      <c r="N306" s="60"/>
      <c r="O306" s="60"/>
      <c r="P306" s="60"/>
    </row>
    <row r="307" spans="2:16" ht="13" hidden="1" outlineLevel="1" x14ac:dyDescent="0.25">
      <c r="B307" s="74"/>
      <c r="C307" s="148"/>
      <c r="D307" s="76" t="str">
        <f>D271</f>
        <v>kg</v>
      </c>
      <c r="E307" s="77"/>
      <c r="F307" s="82"/>
      <c r="G307" s="82"/>
      <c r="H307" s="82"/>
      <c r="N307" s="60"/>
      <c r="O307" s="60"/>
      <c r="P307" s="60"/>
    </row>
    <row r="308" spans="2:16" ht="13" hidden="1" outlineLevel="1" x14ac:dyDescent="0.25">
      <c r="B308" s="74"/>
      <c r="C308" s="148"/>
      <c r="D308" s="76" t="str">
        <f>D271</f>
        <v>kg</v>
      </c>
      <c r="E308" s="77"/>
      <c r="F308" s="82"/>
      <c r="G308" s="82"/>
      <c r="H308" s="82"/>
      <c r="N308" s="60"/>
      <c r="O308" s="60"/>
      <c r="P308" s="60"/>
    </row>
    <row r="309" spans="2:16" ht="13" hidden="1" outlineLevel="1" x14ac:dyDescent="0.25">
      <c r="B309" s="74"/>
      <c r="C309" s="148"/>
      <c r="D309" s="76" t="str">
        <f>D271</f>
        <v>kg</v>
      </c>
      <c r="E309" s="77"/>
      <c r="F309" s="82"/>
      <c r="G309" s="82"/>
      <c r="H309" s="82"/>
      <c r="N309" s="60"/>
      <c r="O309" s="60"/>
      <c r="P309" s="60"/>
    </row>
    <row r="310" spans="2:16" ht="13" hidden="1" outlineLevel="1" x14ac:dyDescent="0.25">
      <c r="B310" s="74"/>
      <c r="C310" s="148"/>
      <c r="D310" s="76" t="str">
        <f>D271</f>
        <v>kg</v>
      </c>
      <c r="E310" s="77"/>
      <c r="F310" s="82"/>
      <c r="G310" s="82"/>
      <c r="H310" s="82"/>
      <c r="N310" s="60"/>
      <c r="O310" s="60"/>
      <c r="P310" s="60"/>
    </row>
    <row r="311" spans="2:16" ht="13" hidden="1" outlineLevel="1" x14ac:dyDescent="0.25">
      <c r="B311" s="74"/>
      <c r="C311" s="148"/>
      <c r="D311" s="76" t="str">
        <f>D271</f>
        <v>kg</v>
      </c>
      <c r="E311" s="77"/>
      <c r="F311" s="82"/>
      <c r="G311" s="82"/>
      <c r="H311" s="82"/>
      <c r="N311" s="60"/>
      <c r="O311" s="60"/>
      <c r="P311" s="60"/>
    </row>
    <row r="312" spans="2:16" ht="13" hidden="1" outlineLevel="1" x14ac:dyDescent="0.25">
      <c r="B312" s="74"/>
      <c r="C312" s="148"/>
      <c r="D312" s="76" t="str">
        <f>D271</f>
        <v>kg</v>
      </c>
      <c r="E312" s="77"/>
      <c r="F312" s="82"/>
      <c r="G312" s="82"/>
      <c r="H312" s="82"/>
      <c r="N312" s="60"/>
      <c r="O312" s="60"/>
      <c r="P312" s="60"/>
    </row>
    <row r="313" spans="2:16" ht="13.4" hidden="1" customHeight="1" outlineLevel="1" x14ac:dyDescent="0.25">
      <c r="B313" s="79"/>
      <c r="C313" s="147"/>
      <c r="D313" s="81"/>
      <c r="E313" s="77"/>
      <c r="F313" s="82"/>
      <c r="G313" s="82"/>
      <c r="H313" s="82"/>
      <c r="K313" s="34"/>
      <c r="N313" s="60"/>
      <c r="O313" s="60"/>
      <c r="P313" s="60"/>
    </row>
    <row r="314" spans="2:16" ht="13" hidden="1" outlineLevel="1" x14ac:dyDescent="0.25">
      <c r="B314" s="86" t="s">
        <v>9</v>
      </c>
      <c r="C314" s="149">
        <f>SUM(C295:C312)</f>
        <v>0</v>
      </c>
      <c r="D314" s="91" t="str">
        <f>D271</f>
        <v>kg</v>
      </c>
      <c r="E314" s="77"/>
      <c r="F314" s="82"/>
      <c r="G314" s="82"/>
      <c r="H314" s="82"/>
      <c r="N314" s="60"/>
      <c r="O314" s="60"/>
      <c r="P314" s="60"/>
    </row>
    <row r="315" spans="2:16" ht="13" hidden="1" outlineLevel="1" x14ac:dyDescent="0.25">
      <c r="B315" s="92"/>
      <c r="C315" s="93"/>
      <c r="D315" s="94"/>
      <c r="E315" s="77"/>
      <c r="F315" s="82"/>
      <c r="G315" s="82"/>
      <c r="H315" s="82"/>
      <c r="N315" s="60"/>
      <c r="O315" s="60"/>
      <c r="P315" s="60"/>
    </row>
    <row r="316" spans="2:16" ht="20.5" hidden="1" outlineLevel="1" thickBot="1" x14ac:dyDescent="0.3">
      <c r="B316" s="426" t="s">
        <v>10</v>
      </c>
      <c r="C316" s="427"/>
      <c r="D316" s="428"/>
      <c r="E316" s="77"/>
      <c r="F316" s="82"/>
      <c r="G316" s="82"/>
      <c r="H316" s="82"/>
      <c r="N316" s="60"/>
      <c r="O316" s="60"/>
      <c r="P316" s="60"/>
    </row>
    <row r="317" spans="2:16" ht="13" hidden="1" outlineLevel="1" x14ac:dyDescent="0.25">
      <c r="B317" s="95" t="s">
        <v>23</v>
      </c>
      <c r="C317" s="96"/>
      <c r="D317" s="151">
        <f>SUM(C281:C282)</f>
        <v>0</v>
      </c>
      <c r="E317" s="98"/>
      <c r="F317" s="82"/>
      <c r="G317" s="82"/>
      <c r="H317" s="82"/>
      <c r="N317" s="60"/>
      <c r="O317" s="60"/>
      <c r="P317" s="60"/>
    </row>
    <row r="318" spans="2:16" ht="13" hidden="1" outlineLevel="1" x14ac:dyDescent="0.25">
      <c r="B318" s="99" t="s">
        <v>24</v>
      </c>
      <c r="C318" s="100"/>
      <c r="D318" s="152">
        <f>SUM(C284:C294)</f>
        <v>0</v>
      </c>
      <c r="E318" s="98"/>
      <c r="F318" s="82"/>
      <c r="G318" s="82"/>
      <c r="H318" s="82"/>
      <c r="N318" s="60"/>
      <c r="O318" s="60"/>
      <c r="P318" s="60"/>
    </row>
    <row r="319" spans="2:16" ht="13" hidden="1" outlineLevel="1" x14ac:dyDescent="0.25">
      <c r="B319" s="99" t="s">
        <v>25</v>
      </c>
      <c r="C319" s="100"/>
      <c r="D319" s="152">
        <f>SUM(C297:C305)</f>
        <v>0</v>
      </c>
      <c r="E319" s="98"/>
      <c r="F319" s="82"/>
      <c r="G319" s="82"/>
      <c r="H319" s="82"/>
      <c r="N319" s="60"/>
      <c r="O319" s="60"/>
      <c r="P319" s="60"/>
    </row>
    <row r="320" spans="2:16" ht="13" hidden="1" outlineLevel="1" x14ac:dyDescent="0.25">
      <c r="B320" s="102" t="s">
        <v>26</v>
      </c>
      <c r="C320" s="103"/>
      <c r="D320" s="153">
        <f>SUM(C306:C313)</f>
        <v>0</v>
      </c>
      <c r="E320" s="98"/>
      <c r="F320" s="82"/>
      <c r="G320" s="82"/>
      <c r="H320" s="82"/>
      <c r="N320" s="60"/>
      <c r="O320" s="60"/>
      <c r="P320" s="60"/>
    </row>
    <row r="321" spans="2:16" ht="18.5" hidden="1" outlineLevel="1" thickTop="1" x14ac:dyDescent="0.25">
      <c r="B321" s="105" t="s">
        <v>11</v>
      </c>
      <c r="C321" s="106"/>
      <c r="D321" s="107" t="e">
        <f>C295/C277</f>
        <v>#DIV/0!</v>
      </c>
      <c r="E321" s="77"/>
      <c r="F321" s="110" t="s">
        <v>86</v>
      </c>
      <c r="G321" s="109" t="s">
        <v>85</v>
      </c>
      <c r="H321" s="110"/>
      <c r="N321" s="60"/>
      <c r="O321" s="60"/>
      <c r="P321" s="60"/>
    </row>
    <row r="322" spans="2:16" ht="18.5" hidden="1" outlineLevel="1" thickBot="1" x14ac:dyDescent="0.3">
      <c r="B322" s="111" t="s">
        <v>12</v>
      </c>
      <c r="C322" s="112"/>
      <c r="D322" s="113" t="e">
        <f>(D317+D318+D319)/C277</f>
        <v>#DIV/0!</v>
      </c>
      <c r="E322" s="77"/>
      <c r="F322" s="154"/>
      <c r="G322" s="413"/>
      <c r="H322" s="414"/>
      <c r="N322" s="60"/>
      <c r="O322" s="60"/>
      <c r="P322" s="60"/>
    </row>
    <row r="323" spans="2:16" ht="18" hidden="1" outlineLevel="1" x14ac:dyDescent="0.25">
      <c r="B323" s="111" t="s">
        <v>13</v>
      </c>
      <c r="C323" s="112"/>
      <c r="D323" s="113" t="e">
        <f>D319/C277</f>
        <v>#DIV/0!</v>
      </c>
      <c r="E323" s="90"/>
      <c r="F323" s="64" t="s">
        <v>45</v>
      </c>
      <c r="G323" s="64" t="s">
        <v>45</v>
      </c>
      <c r="H323" s="155"/>
      <c r="N323" s="60"/>
      <c r="O323" s="60"/>
      <c r="P323" s="60"/>
    </row>
    <row r="324" spans="2:16" ht="18" hidden="1" outlineLevel="1" x14ac:dyDescent="0.25">
      <c r="B324" s="114" t="s">
        <v>14</v>
      </c>
      <c r="C324" s="115"/>
      <c r="D324" s="116" t="e">
        <f>D320/C277</f>
        <v>#DIV/0!</v>
      </c>
      <c r="E324" s="90"/>
      <c r="F324" s="110"/>
      <c r="G324" s="117" t="s">
        <v>46</v>
      </c>
      <c r="H324" s="110"/>
      <c r="N324" s="60"/>
      <c r="O324" s="60"/>
      <c r="P324" s="60"/>
    </row>
    <row r="325" spans="2:16" ht="18.5" hidden="1" outlineLevel="1" thickBot="1" x14ac:dyDescent="0.3">
      <c r="B325" s="114" t="s">
        <v>15</v>
      </c>
      <c r="C325" s="119"/>
      <c r="D325" s="116" t="e">
        <f>SUM(D317:D320)/C277</f>
        <v>#DIV/0!</v>
      </c>
      <c r="E325" s="90"/>
      <c r="F325" s="429"/>
      <c r="G325" s="430"/>
      <c r="H325" s="431"/>
      <c r="N325" s="60"/>
      <c r="O325" s="60"/>
      <c r="P325" s="60"/>
    </row>
    <row r="326" spans="2:16" ht="18.5" hidden="1" outlineLevel="1" thickTop="1" x14ac:dyDescent="0.25">
      <c r="B326" s="120" t="s">
        <v>16</v>
      </c>
      <c r="C326" s="121"/>
      <c r="D326" s="122" t="e">
        <f>((C281*D259)+D318+C282*MAX(1,F282))/C277</f>
        <v>#DIV/0!</v>
      </c>
      <c r="E326" s="77"/>
      <c r="F326" s="64" t="s">
        <v>45</v>
      </c>
      <c r="G326" s="64"/>
      <c r="H326" s="82"/>
      <c r="N326" s="60"/>
      <c r="O326" s="60"/>
      <c r="P326" s="60"/>
    </row>
    <row r="327" spans="2:16" ht="18" hidden="1" outlineLevel="1" x14ac:dyDescent="0.25">
      <c r="B327" s="123" t="s">
        <v>17</v>
      </c>
      <c r="C327" s="124"/>
      <c r="D327" s="125" t="e">
        <f>(C281*D260+D318+D319+C282*(MAX(1,F282)+G282))/C277</f>
        <v>#DIV/0!</v>
      </c>
      <c r="E327" s="77"/>
      <c r="F327" s="82"/>
      <c r="G327" s="82"/>
      <c r="H327" s="82"/>
      <c r="N327" s="60"/>
      <c r="O327" s="60"/>
      <c r="P327" s="60"/>
    </row>
    <row r="328" spans="2:16" ht="18" hidden="1" customHeight="1" outlineLevel="1" x14ac:dyDescent="0.25">
      <c r="B328" s="123" t="s">
        <v>18</v>
      </c>
      <c r="C328" s="124"/>
      <c r="D328" s="125" t="e">
        <f>((C281*D261)+D319+C282*G282)/C277</f>
        <v>#DIV/0!</v>
      </c>
      <c r="E328" s="77"/>
      <c r="F328" s="415" t="s">
        <v>61</v>
      </c>
      <c r="G328" s="416"/>
      <c r="H328" s="416"/>
      <c r="N328" s="60"/>
      <c r="O328" s="60"/>
      <c r="P328" s="60"/>
    </row>
    <row r="329" spans="2:16" ht="18" hidden="1" outlineLevel="1" x14ac:dyDescent="0.25">
      <c r="B329" s="126" t="s">
        <v>19</v>
      </c>
      <c r="C329" s="127"/>
      <c r="D329" s="128" t="e">
        <f>(C281*D262+D320+C282*H282)/C277</f>
        <v>#DIV/0!</v>
      </c>
      <c r="E329" s="77"/>
      <c r="F329" s="416"/>
      <c r="G329" s="416"/>
      <c r="H329" s="416"/>
      <c r="N329" s="60"/>
      <c r="O329" s="60"/>
      <c r="P329" s="60"/>
    </row>
    <row r="330" spans="2:16" ht="18.5" hidden="1" outlineLevel="1" thickBot="1" x14ac:dyDescent="0.3">
      <c r="B330" s="129" t="s">
        <v>20</v>
      </c>
      <c r="C330" s="130"/>
      <c r="D330" s="131" t="e">
        <f>((C281*D263)+SUM(D318:D320)+C282*(MAX(1,F282)+G282+H282))/C277</f>
        <v>#DIV/0!</v>
      </c>
      <c r="E330" s="77"/>
      <c r="F330" s="416"/>
      <c r="G330" s="416"/>
      <c r="H330" s="416"/>
      <c r="N330" s="60"/>
      <c r="O330" s="60"/>
      <c r="P330" s="60"/>
    </row>
    <row r="331" spans="2:16" ht="13" hidden="1" outlineLevel="1" thickTop="1" x14ac:dyDescent="0.25">
      <c r="B331" s="156" t="s">
        <v>76</v>
      </c>
      <c r="C331" s="424"/>
      <c r="D331" s="425"/>
      <c r="E331" s="46"/>
      <c r="F331" s="416"/>
      <c r="G331" s="416"/>
      <c r="H331" s="416"/>
      <c r="N331" s="60"/>
      <c r="O331" s="60"/>
      <c r="P331" s="60"/>
    </row>
    <row r="332" spans="2:16" hidden="1" outlineLevel="1" x14ac:dyDescent="0.25">
      <c r="B332" s="157" t="s">
        <v>58</v>
      </c>
      <c r="C332" s="422"/>
      <c r="D332" s="423"/>
      <c r="E332" s="46"/>
      <c r="F332" s="416"/>
      <c r="G332" s="416"/>
      <c r="H332" s="416"/>
      <c r="N332" s="60"/>
      <c r="O332" s="60"/>
      <c r="P332" s="60"/>
    </row>
    <row r="333" spans="2:16" ht="13" hidden="1" outlineLevel="1" thickBot="1" x14ac:dyDescent="0.3">
      <c r="B333" s="158" t="s">
        <v>59</v>
      </c>
      <c r="C333" s="420"/>
      <c r="D333" s="421"/>
      <c r="E333" s="46"/>
      <c r="F333" s="416"/>
      <c r="G333" s="416"/>
      <c r="H333" s="416"/>
      <c r="N333" s="60"/>
      <c r="O333" s="60"/>
      <c r="P333" s="60"/>
    </row>
    <row r="334" spans="2:16" ht="13" hidden="1" outlineLevel="1" x14ac:dyDescent="0.25">
      <c r="E334" s="46"/>
      <c r="F334" s="34"/>
      <c r="G334" s="34"/>
      <c r="H334" s="34"/>
      <c r="N334" s="60"/>
      <c r="O334" s="60"/>
      <c r="P334" s="60"/>
    </row>
    <row r="335" spans="2:16" ht="13" hidden="1" outlineLevel="1" x14ac:dyDescent="0.25">
      <c r="C335" s="25" t="s">
        <v>44</v>
      </c>
      <c r="D335" s="25" t="s">
        <v>42</v>
      </c>
      <c r="E335" s="46"/>
      <c r="F335" s="34"/>
      <c r="G335" s="34"/>
      <c r="H335" s="34"/>
      <c r="N335" s="60"/>
      <c r="O335" s="60"/>
      <c r="P335" s="60"/>
    </row>
    <row r="336" spans="2:16" ht="21" hidden="1" outlineLevel="1" thickTop="1" thickBot="1" x14ac:dyDescent="0.3">
      <c r="B336" s="140" t="s">
        <v>73</v>
      </c>
      <c r="C336" s="29"/>
      <c r="D336" s="141"/>
      <c r="E336" s="31"/>
      <c r="F336" s="32" t="s">
        <v>27</v>
      </c>
      <c r="G336" s="33"/>
      <c r="H336" s="33"/>
      <c r="I336" s="34"/>
    </row>
    <row r="337" spans="2:16" ht="14.5" hidden="1" outlineLevel="1" thickBot="1" x14ac:dyDescent="0.3">
      <c r="B337" s="37"/>
      <c r="C337" s="38" t="s">
        <v>0</v>
      </c>
      <c r="D337" s="39" t="s">
        <v>1</v>
      </c>
      <c r="E337" s="40"/>
      <c r="F337" s="41" t="s">
        <v>28</v>
      </c>
      <c r="G337" s="41" t="s">
        <v>21</v>
      </c>
      <c r="H337" s="41" t="s">
        <v>8</v>
      </c>
    </row>
    <row r="338" spans="2:16" ht="13" hidden="1" outlineLevel="1" x14ac:dyDescent="0.25">
      <c r="B338" s="43" t="s">
        <v>65</v>
      </c>
      <c r="C338" s="142"/>
      <c r="D338" s="45" t="s">
        <v>2</v>
      </c>
      <c r="E338" s="46"/>
      <c r="F338" s="47"/>
      <c r="G338" s="47"/>
      <c r="H338" s="47"/>
      <c r="N338" s="60"/>
      <c r="O338" s="60"/>
      <c r="P338" s="60"/>
    </row>
    <row r="339" spans="2:16" ht="13" hidden="1" outlineLevel="1" x14ac:dyDescent="0.25">
      <c r="B339" s="43" t="s">
        <v>64</v>
      </c>
      <c r="C339" s="143"/>
      <c r="D339" s="45" t="s">
        <v>3</v>
      </c>
      <c r="E339" s="46"/>
      <c r="F339" s="47"/>
      <c r="G339" s="47"/>
      <c r="H339" s="47"/>
      <c r="J339" s="159"/>
      <c r="N339" s="60"/>
      <c r="O339" s="60"/>
      <c r="P339" s="60"/>
    </row>
    <row r="340" spans="2:16" ht="13" hidden="1" outlineLevel="1" x14ac:dyDescent="0.25">
      <c r="B340" s="51" t="s">
        <v>63</v>
      </c>
      <c r="C340" s="144">
        <f>C338*C339</f>
        <v>0</v>
      </c>
      <c r="D340" s="45" t="str">
        <f>D338</f>
        <v>kg</v>
      </c>
      <c r="E340" s="46"/>
      <c r="F340" s="47"/>
      <c r="G340" s="47"/>
      <c r="H340" s="47"/>
      <c r="N340" s="60"/>
      <c r="O340" s="60"/>
      <c r="P340" s="60"/>
    </row>
    <row r="341" spans="2:16" ht="14" hidden="1" outlineLevel="1" x14ac:dyDescent="0.25">
      <c r="B341" s="54" t="s">
        <v>37</v>
      </c>
      <c r="C341" s="145">
        <v>1</v>
      </c>
      <c r="D341" s="56"/>
      <c r="E341" s="57"/>
      <c r="F341" s="58"/>
      <c r="G341" s="58"/>
      <c r="H341" s="58"/>
      <c r="N341" s="60"/>
      <c r="O341" s="60"/>
      <c r="P341" s="60"/>
    </row>
    <row r="342" spans="2:16" ht="13" hidden="1" outlineLevel="1" x14ac:dyDescent="0.25">
      <c r="B342" s="43" t="s">
        <v>66</v>
      </c>
      <c r="C342" s="142"/>
      <c r="D342" s="45" t="str">
        <f>D338</f>
        <v>kg</v>
      </c>
      <c r="E342" s="46"/>
      <c r="F342" s="47"/>
      <c r="G342" s="47"/>
      <c r="H342" s="47"/>
      <c r="N342" s="60"/>
      <c r="O342" s="60"/>
      <c r="P342" s="60"/>
    </row>
    <row r="343" spans="2:16" ht="13" hidden="1" outlineLevel="1" x14ac:dyDescent="0.25">
      <c r="B343" s="43" t="s">
        <v>67</v>
      </c>
      <c r="C343" s="143"/>
      <c r="D343" s="45" t="s">
        <v>3</v>
      </c>
      <c r="E343" s="59"/>
      <c r="F343" s="47"/>
      <c r="G343" s="47"/>
      <c r="H343" s="47"/>
      <c r="N343" s="60"/>
      <c r="O343" s="60"/>
      <c r="P343" s="60"/>
    </row>
    <row r="344" spans="2:16" ht="13" hidden="1" outlineLevel="1" x14ac:dyDescent="0.25">
      <c r="B344" s="51" t="s">
        <v>68</v>
      </c>
      <c r="C344" s="144">
        <f>C342*C343</f>
        <v>0</v>
      </c>
      <c r="D344" s="45" t="str">
        <f>D338</f>
        <v>kg</v>
      </c>
      <c r="E344" s="46"/>
      <c r="F344" s="47"/>
      <c r="G344" s="47"/>
      <c r="H344" s="47"/>
      <c r="N344" s="60"/>
      <c r="O344" s="60"/>
      <c r="P344" s="60"/>
    </row>
    <row r="345" spans="2:16" ht="13.5" hidden="1" outlineLevel="1" thickBot="1" x14ac:dyDescent="0.3">
      <c r="B345" s="61"/>
      <c r="C345" s="62"/>
      <c r="D345" s="63"/>
      <c r="F345" s="64"/>
      <c r="G345" s="64"/>
      <c r="H345" s="64"/>
      <c r="N345" s="60"/>
      <c r="O345" s="60"/>
      <c r="P345" s="60"/>
    </row>
    <row r="346" spans="2:16" ht="14.5" hidden="1" outlineLevel="1" thickBot="1" x14ac:dyDescent="0.3">
      <c r="B346" s="65" t="s">
        <v>5</v>
      </c>
      <c r="C346" s="66" t="s">
        <v>6</v>
      </c>
      <c r="D346" s="67" t="s">
        <v>1</v>
      </c>
      <c r="E346" s="68"/>
      <c r="F346" s="69"/>
      <c r="G346" s="69"/>
      <c r="H346" s="69"/>
      <c r="N346" s="60"/>
      <c r="O346" s="60"/>
      <c r="P346" s="60"/>
    </row>
    <row r="347" spans="2:16" ht="13" hidden="1" outlineLevel="1" x14ac:dyDescent="0.25">
      <c r="B347" s="70" t="s">
        <v>43</v>
      </c>
      <c r="C347" s="71"/>
      <c r="D347" s="72"/>
      <c r="E347" s="73"/>
      <c r="F347" s="69"/>
      <c r="G347" s="69"/>
      <c r="H347" s="69"/>
      <c r="N347" s="60"/>
      <c r="O347" s="60"/>
      <c r="P347" s="60"/>
    </row>
    <row r="348" spans="2:16" ht="13" hidden="1" outlineLevel="1" x14ac:dyDescent="0.25">
      <c r="B348" s="74"/>
      <c r="C348" s="146">
        <f>C340</f>
        <v>0</v>
      </c>
      <c r="D348" s="76" t="str">
        <f>D338</f>
        <v>kg</v>
      </c>
      <c r="E348" s="98"/>
      <c r="F348" s="69"/>
      <c r="G348" s="69"/>
      <c r="H348" s="69"/>
      <c r="N348" s="60"/>
      <c r="O348" s="60"/>
      <c r="P348" s="60"/>
    </row>
    <row r="349" spans="2:16" ht="13.5" hidden="1" outlineLevel="1" thickBot="1" x14ac:dyDescent="0.3">
      <c r="B349" s="74"/>
      <c r="C349" s="146"/>
      <c r="D349" s="76" t="str">
        <f>D338</f>
        <v>kg</v>
      </c>
      <c r="E349" s="77"/>
      <c r="F349" s="78"/>
      <c r="G349" s="78"/>
      <c r="H349" s="78"/>
      <c r="N349" s="60"/>
      <c r="O349" s="60"/>
      <c r="P349" s="60"/>
    </row>
    <row r="350" spans="2:16" ht="13" hidden="1" outlineLevel="1" x14ac:dyDescent="0.25">
      <c r="B350" s="79" t="s">
        <v>69</v>
      </c>
      <c r="C350" s="147"/>
      <c r="D350" s="81"/>
      <c r="E350" s="77"/>
      <c r="F350" s="82"/>
      <c r="G350" s="82"/>
      <c r="H350" s="82"/>
      <c r="N350" s="60"/>
      <c r="O350" s="60"/>
      <c r="P350" s="60"/>
    </row>
    <row r="351" spans="2:16" ht="13" hidden="1" outlineLevel="1" x14ac:dyDescent="0.25">
      <c r="B351" s="74"/>
      <c r="C351" s="148"/>
      <c r="D351" s="76" t="str">
        <f>D338</f>
        <v>kg</v>
      </c>
      <c r="E351" s="77"/>
      <c r="F351" s="82"/>
      <c r="G351" s="82"/>
      <c r="H351" s="82"/>
      <c r="N351" s="60"/>
      <c r="O351" s="60"/>
      <c r="P351" s="60"/>
    </row>
    <row r="352" spans="2:16" ht="13" hidden="1" outlineLevel="1" x14ac:dyDescent="0.25">
      <c r="B352" s="74"/>
      <c r="C352" s="148"/>
      <c r="D352" s="76" t="str">
        <f>D338</f>
        <v>kg</v>
      </c>
      <c r="E352" s="77"/>
      <c r="F352" s="82"/>
      <c r="G352" s="82"/>
      <c r="H352" s="82"/>
      <c r="N352" s="60"/>
      <c r="O352" s="60"/>
      <c r="P352" s="60"/>
    </row>
    <row r="353" spans="2:16" ht="13" hidden="1" outlineLevel="1" x14ac:dyDescent="0.25">
      <c r="B353" s="74"/>
      <c r="C353" s="148"/>
      <c r="D353" s="76" t="str">
        <f>D338</f>
        <v>kg</v>
      </c>
      <c r="E353" s="77"/>
      <c r="F353" s="82"/>
      <c r="G353" s="82"/>
      <c r="H353" s="82"/>
      <c r="N353" s="60"/>
      <c r="O353" s="60"/>
      <c r="P353" s="60"/>
    </row>
    <row r="354" spans="2:16" ht="13" hidden="1" outlineLevel="1" x14ac:dyDescent="0.25">
      <c r="B354" s="74"/>
      <c r="C354" s="148"/>
      <c r="D354" s="76" t="str">
        <f>D338</f>
        <v>kg</v>
      </c>
      <c r="E354" s="77"/>
      <c r="F354" s="82"/>
      <c r="G354" s="82"/>
      <c r="H354" s="82"/>
      <c r="N354" s="60"/>
      <c r="O354" s="60"/>
      <c r="P354" s="60"/>
    </row>
    <row r="355" spans="2:16" ht="13" hidden="1" outlineLevel="1" x14ac:dyDescent="0.25">
      <c r="B355" s="74"/>
      <c r="C355" s="148"/>
      <c r="D355" s="76" t="str">
        <f>D338</f>
        <v>kg</v>
      </c>
      <c r="E355" s="77"/>
      <c r="F355" s="82"/>
      <c r="G355" s="82"/>
      <c r="H355" s="82"/>
      <c r="N355" s="60"/>
      <c r="O355" s="60"/>
      <c r="P355" s="60"/>
    </row>
    <row r="356" spans="2:16" ht="13" hidden="1" outlineLevel="1" x14ac:dyDescent="0.25">
      <c r="B356" s="74"/>
      <c r="C356" s="148"/>
      <c r="D356" s="76" t="str">
        <f>D338</f>
        <v>kg</v>
      </c>
      <c r="E356" s="77"/>
      <c r="F356" s="82"/>
      <c r="G356" s="82"/>
      <c r="H356" s="82"/>
      <c r="N356" s="60"/>
      <c r="O356" s="60"/>
      <c r="P356" s="60"/>
    </row>
    <row r="357" spans="2:16" ht="13" hidden="1" outlineLevel="1" x14ac:dyDescent="0.25">
      <c r="B357" s="74"/>
      <c r="C357" s="148"/>
      <c r="D357" s="76" t="str">
        <f>D338</f>
        <v>kg</v>
      </c>
      <c r="E357" s="77"/>
      <c r="F357" s="82"/>
      <c r="G357" s="82"/>
      <c r="H357" s="82"/>
      <c r="N357" s="60"/>
      <c r="O357" s="60"/>
      <c r="P357" s="60"/>
    </row>
    <row r="358" spans="2:16" ht="13" hidden="1" outlineLevel="1" x14ac:dyDescent="0.25">
      <c r="B358" s="74"/>
      <c r="C358" s="148"/>
      <c r="D358" s="76" t="str">
        <f>D338</f>
        <v>kg</v>
      </c>
      <c r="E358" s="77"/>
      <c r="F358" s="82"/>
      <c r="G358" s="82"/>
      <c r="H358" s="82"/>
      <c r="N358" s="60"/>
      <c r="O358" s="60"/>
      <c r="P358" s="60"/>
    </row>
    <row r="359" spans="2:16" ht="13" hidden="1" outlineLevel="1" x14ac:dyDescent="0.25">
      <c r="B359" s="74"/>
      <c r="C359" s="148"/>
      <c r="D359" s="76" t="str">
        <f>D338</f>
        <v>kg</v>
      </c>
      <c r="E359" s="77"/>
      <c r="F359" s="82"/>
      <c r="G359" s="82"/>
      <c r="H359" s="82"/>
      <c r="N359" s="60"/>
      <c r="O359" s="60"/>
      <c r="P359" s="60"/>
    </row>
    <row r="360" spans="2:16" ht="13" hidden="1" outlineLevel="1" x14ac:dyDescent="0.25">
      <c r="B360" s="74"/>
      <c r="C360" s="148"/>
      <c r="D360" s="76" t="str">
        <f>D338</f>
        <v>kg</v>
      </c>
      <c r="E360" s="77"/>
      <c r="F360" s="82"/>
      <c r="G360" s="82"/>
      <c r="H360" s="82"/>
      <c r="N360" s="60"/>
      <c r="O360" s="60"/>
      <c r="P360" s="60"/>
    </row>
    <row r="361" spans="2:16" ht="13.4" hidden="1" customHeight="1" outlineLevel="1" x14ac:dyDescent="0.25">
      <c r="B361" s="79"/>
      <c r="C361" s="147"/>
      <c r="D361" s="81"/>
      <c r="E361" s="77"/>
      <c r="F361" s="82"/>
      <c r="G361" s="82"/>
      <c r="H361" s="82"/>
      <c r="K361" s="34"/>
      <c r="N361" s="60"/>
      <c r="O361" s="60"/>
      <c r="P361" s="60"/>
    </row>
    <row r="362" spans="2:16" ht="13" hidden="1" outlineLevel="1" x14ac:dyDescent="0.25">
      <c r="B362" s="86" t="s">
        <v>7</v>
      </c>
      <c r="C362" s="149">
        <f>SUM(C347:C360)</f>
        <v>0</v>
      </c>
      <c r="D362" s="88" t="str">
        <f>D338</f>
        <v>kg</v>
      </c>
      <c r="E362" s="77"/>
      <c r="F362" s="82"/>
      <c r="G362" s="82"/>
      <c r="H362" s="82"/>
      <c r="N362" s="60"/>
      <c r="O362" s="60"/>
      <c r="P362" s="60"/>
    </row>
    <row r="363" spans="2:16" ht="13" hidden="1" outlineLevel="1" x14ac:dyDescent="0.25">
      <c r="B363" s="79" t="s">
        <v>71</v>
      </c>
      <c r="C363" s="150"/>
      <c r="D363" s="81"/>
      <c r="E363" s="77"/>
      <c r="F363" s="82"/>
      <c r="G363" s="82"/>
      <c r="H363" s="82"/>
      <c r="N363" s="60"/>
      <c r="O363" s="60"/>
      <c r="P363" s="60"/>
    </row>
    <row r="364" spans="2:16" ht="13" hidden="1" outlineLevel="1" x14ac:dyDescent="0.25">
      <c r="B364" s="74"/>
      <c r="C364" s="148"/>
      <c r="D364" s="76" t="str">
        <f>D338</f>
        <v>kg</v>
      </c>
      <c r="E364" s="77"/>
      <c r="F364" s="82"/>
      <c r="G364" s="82"/>
      <c r="H364" s="82"/>
      <c r="N364" s="60"/>
      <c r="O364" s="60"/>
      <c r="P364" s="60"/>
    </row>
    <row r="365" spans="2:16" ht="13" hidden="1" outlineLevel="1" x14ac:dyDescent="0.25">
      <c r="B365" s="74"/>
      <c r="C365" s="148"/>
      <c r="D365" s="76" t="str">
        <f>D338</f>
        <v>kg</v>
      </c>
      <c r="E365" s="77"/>
      <c r="F365" s="82"/>
      <c r="G365" s="82"/>
      <c r="H365" s="82"/>
      <c r="N365" s="60"/>
      <c r="O365" s="60"/>
      <c r="P365" s="60"/>
    </row>
    <row r="366" spans="2:16" ht="13" hidden="1" outlineLevel="1" x14ac:dyDescent="0.25">
      <c r="B366" s="74"/>
      <c r="C366" s="148"/>
      <c r="D366" s="76" t="str">
        <f>D338</f>
        <v>kg</v>
      </c>
      <c r="E366" s="77"/>
      <c r="F366" s="82"/>
      <c r="G366" s="82"/>
      <c r="H366" s="82"/>
      <c r="N366" s="60"/>
      <c r="O366" s="60"/>
      <c r="P366" s="60"/>
    </row>
    <row r="367" spans="2:16" ht="13" hidden="1" outlineLevel="1" x14ac:dyDescent="0.25">
      <c r="B367" s="74"/>
      <c r="C367" s="148"/>
      <c r="D367" s="76" t="str">
        <f>D338</f>
        <v>kg</v>
      </c>
      <c r="E367" s="77"/>
      <c r="F367" s="82"/>
      <c r="G367" s="82"/>
      <c r="H367" s="82"/>
      <c r="N367" s="60"/>
      <c r="O367" s="60"/>
      <c r="P367" s="60"/>
    </row>
    <row r="368" spans="2:16" ht="13" hidden="1" outlineLevel="1" x14ac:dyDescent="0.25">
      <c r="B368" s="74"/>
      <c r="C368" s="148"/>
      <c r="D368" s="76" t="str">
        <f>D338</f>
        <v>kg</v>
      </c>
      <c r="E368" s="77"/>
      <c r="F368" s="82"/>
      <c r="G368" s="82"/>
      <c r="H368" s="82"/>
      <c r="N368" s="60"/>
      <c r="O368" s="60"/>
      <c r="P368" s="60"/>
    </row>
    <row r="369" spans="2:16" ht="13" hidden="1" outlineLevel="1" x14ac:dyDescent="0.25">
      <c r="B369" s="74"/>
      <c r="C369" s="148"/>
      <c r="D369" s="76" t="str">
        <f>D338</f>
        <v>kg</v>
      </c>
      <c r="E369" s="77"/>
      <c r="F369" s="82"/>
      <c r="G369" s="82"/>
      <c r="H369" s="82"/>
      <c r="N369" s="60"/>
      <c r="O369" s="60"/>
      <c r="P369" s="60"/>
    </row>
    <row r="370" spans="2:16" ht="13" hidden="1" outlineLevel="1" x14ac:dyDescent="0.25">
      <c r="B370" s="74"/>
      <c r="C370" s="148"/>
      <c r="D370" s="76" t="str">
        <f>D338</f>
        <v>kg</v>
      </c>
      <c r="E370" s="77"/>
      <c r="F370" s="82"/>
      <c r="G370" s="82"/>
      <c r="H370" s="82"/>
      <c r="N370" s="60"/>
      <c r="O370" s="60"/>
      <c r="P370" s="60"/>
    </row>
    <row r="371" spans="2:16" ht="13" hidden="1" outlineLevel="1" x14ac:dyDescent="0.25">
      <c r="B371" s="74"/>
      <c r="C371" s="148"/>
      <c r="D371" s="76" t="str">
        <f>D338</f>
        <v>kg</v>
      </c>
      <c r="E371" s="77"/>
      <c r="F371" s="82"/>
      <c r="G371" s="82"/>
      <c r="H371" s="82"/>
      <c r="N371" s="60"/>
      <c r="O371" s="60"/>
      <c r="P371" s="60"/>
    </row>
    <row r="372" spans="2:16" ht="13" hidden="1" outlineLevel="1" x14ac:dyDescent="0.25">
      <c r="B372" s="79" t="s">
        <v>70</v>
      </c>
      <c r="C372" s="147"/>
      <c r="D372" s="81"/>
      <c r="E372" s="90"/>
      <c r="F372" s="82"/>
      <c r="G372" s="82"/>
      <c r="H372" s="82"/>
      <c r="N372" s="60"/>
      <c r="O372" s="60"/>
      <c r="P372" s="60"/>
    </row>
    <row r="373" spans="2:16" ht="13" hidden="1" outlineLevel="1" x14ac:dyDescent="0.25">
      <c r="B373" s="74"/>
      <c r="C373" s="148"/>
      <c r="D373" s="76" t="str">
        <f>D338</f>
        <v>kg</v>
      </c>
      <c r="E373" s="77"/>
      <c r="F373" s="82"/>
      <c r="G373" s="82"/>
      <c r="H373" s="82"/>
      <c r="N373" s="60"/>
      <c r="O373" s="60"/>
      <c r="P373" s="60"/>
    </row>
    <row r="374" spans="2:16" ht="13" hidden="1" outlineLevel="1" x14ac:dyDescent="0.25">
      <c r="B374" s="74"/>
      <c r="C374" s="148"/>
      <c r="D374" s="76" t="str">
        <f>D338</f>
        <v>kg</v>
      </c>
      <c r="E374" s="77"/>
      <c r="F374" s="82"/>
      <c r="G374" s="82"/>
      <c r="H374" s="82"/>
      <c r="N374" s="60"/>
      <c r="O374" s="60"/>
      <c r="P374" s="60"/>
    </row>
    <row r="375" spans="2:16" ht="13" hidden="1" outlineLevel="1" x14ac:dyDescent="0.25">
      <c r="B375" s="74"/>
      <c r="C375" s="148"/>
      <c r="D375" s="76" t="str">
        <f>D338</f>
        <v>kg</v>
      </c>
      <c r="E375" s="77"/>
      <c r="F375" s="82"/>
      <c r="G375" s="82"/>
      <c r="H375" s="82"/>
      <c r="N375" s="60"/>
      <c r="O375" s="60"/>
      <c r="P375" s="60"/>
    </row>
    <row r="376" spans="2:16" ht="13" hidden="1" outlineLevel="1" x14ac:dyDescent="0.25">
      <c r="B376" s="74"/>
      <c r="C376" s="148"/>
      <c r="D376" s="76" t="str">
        <f>D338</f>
        <v>kg</v>
      </c>
      <c r="E376" s="77"/>
      <c r="F376" s="82"/>
      <c r="G376" s="82"/>
      <c r="H376" s="82"/>
      <c r="N376" s="60"/>
      <c r="O376" s="60"/>
      <c r="P376" s="60"/>
    </row>
    <row r="377" spans="2:16" ht="13" hidden="1" outlineLevel="1" x14ac:dyDescent="0.25">
      <c r="B377" s="74"/>
      <c r="C377" s="148"/>
      <c r="D377" s="76" t="str">
        <f>D338</f>
        <v>kg</v>
      </c>
      <c r="E377" s="77"/>
      <c r="F377" s="82"/>
      <c r="G377" s="82"/>
      <c r="H377" s="82"/>
      <c r="N377" s="60"/>
      <c r="O377" s="60"/>
      <c r="P377" s="60"/>
    </row>
    <row r="378" spans="2:16" ht="14.25" hidden="1" customHeight="1" outlineLevel="1" x14ac:dyDescent="0.25">
      <c r="B378" s="74"/>
      <c r="C378" s="148"/>
      <c r="D378" s="76" t="str">
        <f>D338</f>
        <v>kg</v>
      </c>
      <c r="E378" s="77"/>
      <c r="F378" s="82"/>
      <c r="G378" s="82"/>
      <c r="H378" s="82"/>
      <c r="N378" s="60"/>
      <c r="O378" s="60"/>
      <c r="P378" s="60"/>
    </row>
    <row r="379" spans="2:16" ht="13" hidden="1" outlineLevel="1" x14ac:dyDescent="0.25">
      <c r="B379" s="74"/>
      <c r="C379" s="148"/>
      <c r="D379" s="76" t="str">
        <f>D338</f>
        <v>kg</v>
      </c>
      <c r="E379" s="77"/>
      <c r="F379" s="82"/>
      <c r="G379" s="82"/>
      <c r="H379" s="82"/>
      <c r="N379" s="60"/>
      <c r="O379" s="60"/>
      <c r="P379" s="60"/>
    </row>
    <row r="380" spans="2:16" ht="13.4" hidden="1" customHeight="1" outlineLevel="1" x14ac:dyDescent="0.25">
      <c r="B380" s="79"/>
      <c r="C380" s="147"/>
      <c r="D380" s="81"/>
      <c r="E380" s="77"/>
      <c r="F380" s="82"/>
      <c r="G380" s="82"/>
      <c r="H380" s="82"/>
      <c r="K380" s="34"/>
      <c r="N380" s="60"/>
      <c r="O380" s="60"/>
      <c r="P380" s="60"/>
    </row>
    <row r="381" spans="2:16" ht="13" hidden="1" outlineLevel="1" x14ac:dyDescent="0.25">
      <c r="B381" s="86" t="s">
        <v>9</v>
      </c>
      <c r="C381" s="149">
        <f>SUM(C362:C379)</f>
        <v>0</v>
      </c>
      <c r="D381" s="91" t="str">
        <f>D338</f>
        <v>kg</v>
      </c>
      <c r="E381" s="77"/>
      <c r="F381" s="82"/>
      <c r="G381" s="82"/>
      <c r="H381" s="82"/>
      <c r="N381" s="60"/>
      <c r="O381" s="60"/>
      <c r="P381" s="60"/>
    </row>
    <row r="382" spans="2:16" ht="13" hidden="1" outlineLevel="1" x14ac:dyDescent="0.25">
      <c r="B382" s="92"/>
      <c r="C382" s="93"/>
      <c r="D382" s="94"/>
      <c r="E382" s="77"/>
      <c r="F382" s="82"/>
      <c r="G382" s="82"/>
      <c r="H382" s="82"/>
      <c r="N382" s="60"/>
      <c r="O382" s="60"/>
      <c r="P382" s="60"/>
    </row>
    <row r="383" spans="2:16" ht="20.5" hidden="1" outlineLevel="1" thickBot="1" x14ac:dyDescent="0.3">
      <c r="B383" s="426" t="s">
        <v>10</v>
      </c>
      <c r="C383" s="427"/>
      <c r="D383" s="428"/>
      <c r="E383" s="77"/>
      <c r="F383" s="82"/>
      <c r="G383" s="82"/>
      <c r="H383" s="82"/>
      <c r="N383" s="60"/>
      <c r="O383" s="60"/>
      <c r="P383" s="60"/>
    </row>
    <row r="384" spans="2:16" ht="13" hidden="1" outlineLevel="1" x14ac:dyDescent="0.25">
      <c r="B384" s="95" t="s">
        <v>23</v>
      </c>
      <c r="C384" s="96"/>
      <c r="D384" s="151">
        <f>SUM(C348:C349)</f>
        <v>0</v>
      </c>
      <c r="E384" s="98"/>
      <c r="F384" s="82"/>
      <c r="G384" s="82"/>
      <c r="H384" s="82"/>
      <c r="N384" s="60"/>
      <c r="O384" s="60"/>
      <c r="P384" s="60"/>
    </row>
    <row r="385" spans="2:16" ht="13" hidden="1" outlineLevel="1" x14ac:dyDescent="0.25">
      <c r="B385" s="99" t="s">
        <v>24</v>
      </c>
      <c r="C385" s="100"/>
      <c r="D385" s="152">
        <f>SUM(C351:C361)</f>
        <v>0</v>
      </c>
      <c r="E385" s="98"/>
      <c r="F385" s="82"/>
      <c r="G385" s="82"/>
      <c r="H385" s="82"/>
      <c r="N385" s="60"/>
      <c r="O385" s="60"/>
      <c r="P385" s="60"/>
    </row>
    <row r="386" spans="2:16" ht="13" hidden="1" outlineLevel="1" x14ac:dyDescent="0.25">
      <c r="B386" s="99" t="s">
        <v>25</v>
      </c>
      <c r="C386" s="100"/>
      <c r="D386" s="152">
        <f>SUM(C364:C372)</f>
        <v>0</v>
      </c>
      <c r="E386" s="98"/>
      <c r="F386" s="82"/>
      <c r="G386" s="82"/>
      <c r="H386" s="82"/>
      <c r="N386" s="60"/>
      <c r="O386" s="60"/>
      <c r="P386" s="60"/>
    </row>
    <row r="387" spans="2:16" ht="13" hidden="1" outlineLevel="1" x14ac:dyDescent="0.25">
      <c r="B387" s="102" t="s">
        <v>26</v>
      </c>
      <c r="C387" s="103"/>
      <c r="D387" s="153">
        <f>SUM(C373:C380)</f>
        <v>0</v>
      </c>
      <c r="E387" s="98"/>
      <c r="F387" s="82"/>
      <c r="G387" s="82"/>
      <c r="H387" s="82"/>
      <c r="N387" s="60"/>
      <c r="O387" s="60"/>
      <c r="P387" s="60"/>
    </row>
    <row r="388" spans="2:16" ht="18.5" hidden="1" outlineLevel="1" thickTop="1" x14ac:dyDescent="0.25">
      <c r="B388" s="105" t="s">
        <v>11</v>
      </c>
      <c r="C388" s="106"/>
      <c r="D388" s="107" t="e">
        <f>C362/C344</f>
        <v>#DIV/0!</v>
      </c>
      <c r="E388" s="77"/>
      <c r="F388" s="110" t="s">
        <v>86</v>
      </c>
      <c r="G388" s="109" t="s">
        <v>85</v>
      </c>
      <c r="H388" s="110"/>
      <c r="N388" s="60"/>
      <c r="O388" s="60"/>
      <c r="P388" s="60"/>
    </row>
    <row r="389" spans="2:16" ht="18.5" hidden="1" outlineLevel="1" thickBot="1" x14ac:dyDescent="0.3">
      <c r="B389" s="111" t="s">
        <v>12</v>
      </c>
      <c r="C389" s="112"/>
      <c r="D389" s="113" t="e">
        <f>(D384+D385+D386)/C344</f>
        <v>#DIV/0!</v>
      </c>
      <c r="E389" s="77"/>
      <c r="F389" s="154"/>
      <c r="G389" s="413"/>
      <c r="H389" s="414"/>
      <c r="N389" s="60"/>
      <c r="O389" s="60"/>
      <c r="P389" s="60"/>
    </row>
    <row r="390" spans="2:16" ht="18" hidden="1" outlineLevel="1" x14ac:dyDescent="0.25">
      <c r="B390" s="111" t="s">
        <v>13</v>
      </c>
      <c r="C390" s="112"/>
      <c r="D390" s="113" t="e">
        <f>D386/C344</f>
        <v>#DIV/0!</v>
      </c>
      <c r="E390" s="90"/>
      <c r="F390" s="64" t="s">
        <v>45</v>
      </c>
      <c r="G390" s="64" t="s">
        <v>45</v>
      </c>
      <c r="H390" s="155"/>
      <c r="N390" s="60"/>
      <c r="O390" s="60"/>
      <c r="P390" s="60"/>
    </row>
    <row r="391" spans="2:16" ht="18" hidden="1" outlineLevel="1" x14ac:dyDescent="0.25">
      <c r="B391" s="114" t="s">
        <v>14</v>
      </c>
      <c r="C391" s="115"/>
      <c r="D391" s="116" t="e">
        <f>D387/C344</f>
        <v>#DIV/0!</v>
      </c>
      <c r="E391" s="90"/>
      <c r="F391" s="110"/>
      <c r="G391" s="117" t="s">
        <v>46</v>
      </c>
      <c r="H391" s="110"/>
      <c r="N391" s="60"/>
      <c r="O391" s="60"/>
      <c r="P391" s="60"/>
    </row>
    <row r="392" spans="2:16" ht="18.5" hidden="1" outlineLevel="1" thickBot="1" x14ac:dyDescent="0.3">
      <c r="B392" s="114" t="s">
        <v>15</v>
      </c>
      <c r="C392" s="119"/>
      <c r="D392" s="116" t="e">
        <f>SUM(D384:D387)/C344</f>
        <v>#DIV/0!</v>
      </c>
      <c r="E392" s="90"/>
      <c r="F392" s="429"/>
      <c r="G392" s="430"/>
      <c r="H392" s="431"/>
      <c r="N392" s="60"/>
      <c r="O392" s="60"/>
      <c r="P392" s="60"/>
    </row>
    <row r="393" spans="2:16" ht="18.5" hidden="1" outlineLevel="1" thickTop="1" x14ac:dyDescent="0.25">
      <c r="B393" s="120" t="s">
        <v>16</v>
      </c>
      <c r="C393" s="121"/>
      <c r="D393" s="122" t="e">
        <f>((C348*D326)+D385+C349*MAX(1,F349))/C344</f>
        <v>#DIV/0!</v>
      </c>
      <c r="E393" s="77"/>
      <c r="F393" s="64" t="s">
        <v>45</v>
      </c>
      <c r="G393" s="64"/>
      <c r="H393" s="82"/>
      <c r="N393" s="60"/>
      <c r="O393" s="60"/>
      <c r="P393" s="60"/>
    </row>
    <row r="394" spans="2:16" ht="18" hidden="1" outlineLevel="1" x14ac:dyDescent="0.25">
      <c r="B394" s="123" t="s">
        <v>17</v>
      </c>
      <c r="C394" s="124"/>
      <c r="D394" s="125" t="e">
        <f>(C348*D327+D385+D386+C349*(MAX(1,F349)+G349))/C344</f>
        <v>#DIV/0!</v>
      </c>
      <c r="E394" s="77"/>
      <c r="F394" s="82"/>
      <c r="G394" s="82"/>
      <c r="H394" s="82"/>
      <c r="N394" s="60"/>
      <c r="O394" s="60"/>
      <c r="P394" s="60"/>
    </row>
    <row r="395" spans="2:16" ht="18" hidden="1" customHeight="1" outlineLevel="1" x14ac:dyDescent="0.25">
      <c r="B395" s="123" t="s">
        <v>18</v>
      </c>
      <c r="C395" s="124"/>
      <c r="D395" s="125" t="e">
        <f>((C348*D328)+D386+C349*G349)/C344</f>
        <v>#DIV/0!</v>
      </c>
      <c r="E395" s="77"/>
      <c r="F395" s="415" t="s">
        <v>61</v>
      </c>
      <c r="G395" s="416"/>
      <c r="H395" s="416"/>
      <c r="N395" s="60"/>
      <c r="O395" s="60"/>
      <c r="P395" s="60"/>
    </row>
    <row r="396" spans="2:16" ht="18" hidden="1" outlineLevel="1" x14ac:dyDescent="0.25">
      <c r="B396" s="126" t="s">
        <v>19</v>
      </c>
      <c r="C396" s="127"/>
      <c r="D396" s="128" t="e">
        <f>(C348*D329+D387+C349*H349)/C344</f>
        <v>#DIV/0!</v>
      </c>
      <c r="E396" s="77"/>
      <c r="F396" s="416"/>
      <c r="G396" s="416"/>
      <c r="H396" s="416"/>
      <c r="N396" s="60"/>
      <c r="O396" s="60"/>
      <c r="P396" s="60"/>
    </row>
    <row r="397" spans="2:16" ht="18.5" hidden="1" outlineLevel="1" thickBot="1" x14ac:dyDescent="0.3">
      <c r="B397" s="129" t="s">
        <v>20</v>
      </c>
      <c r="C397" s="130"/>
      <c r="D397" s="131" t="e">
        <f>((C348*D330)+SUM(D385:D387)+C349*(MAX(1,F349)+G349+H349))/C344</f>
        <v>#DIV/0!</v>
      </c>
      <c r="E397" s="77"/>
      <c r="F397" s="416"/>
      <c r="G397" s="416"/>
      <c r="H397" s="416"/>
      <c r="N397" s="60"/>
      <c r="O397" s="60"/>
      <c r="P397" s="60"/>
    </row>
    <row r="398" spans="2:16" ht="13" hidden="1" outlineLevel="1" thickTop="1" x14ac:dyDescent="0.25">
      <c r="B398" s="156" t="s">
        <v>76</v>
      </c>
      <c r="C398" s="424"/>
      <c r="D398" s="425"/>
      <c r="E398" s="46"/>
      <c r="F398" s="416"/>
      <c r="G398" s="416"/>
      <c r="H398" s="416"/>
      <c r="N398" s="60"/>
      <c r="O398" s="60"/>
      <c r="P398" s="60"/>
    </row>
    <row r="399" spans="2:16" hidden="1" outlineLevel="1" x14ac:dyDescent="0.25">
      <c r="B399" s="157" t="s">
        <v>58</v>
      </c>
      <c r="C399" s="422"/>
      <c r="D399" s="423"/>
      <c r="E399" s="46"/>
      <c r="F399" s="416"/>
      <c r="G399" s="416"/>
      <c r="H399" s="416"/>
      <c r="N399" s="60"/>
      <c r="O399" s="60"/>
      <c r="P399" s="60"/>
    </row>
    <row r="400" spans="2:16" ht="13" hidden="1" outlineLevel="1" thickBot="1" x14ac:dyDescent="0.3">
      <c r="B400" s="158" t="s">
        <v>59</v>
      </c>
      <c r="C400" s="420"/>
      <c r="D400" s="421"/>
      <c r="E400" s="46"/>
      <c r="F400" s="416"/>
      <c r="G400" s="416"/>
      <c r="H400" s="416"/>
      <c r="N400" s="60"/>
      <c r="O400" s="60"/>
      <c r="P400" s="60"/>
    </row>
    <row r="401" spans="2:16" ht="13" hidden="1" outlineLevel="1" x14ac:dyDescent="0.25">
      <c r="E401" s="46"/>
      <c r="F401" s="34"/>
      <c r="G401" s="34"/>
      <c r="H401" s="34"/>
      <c r="N401" s="60"/>
      <c r="O401" s="60"/>
      <c r="P401" s="60"/>
    </row>
    <row r="402" spans="2:16" ht="13" hidden="1" outlineLevel="1" x14ac:dyDescent="0.25">
      <c r="C402" s="25" t="s">
        <v>44</v>
      </c>
      <c r="D402" s="25" t="s">
        <v>42</v>
      </c>
      <c r="E402" s="46"/>
      <c r="F402" s="34"/>
      <c r="G402" s="34"/>
      <c r="H402" s="34"/>
      <c r="N402" s="60"/>
      <c r="O402" s="60"/>
      <c r="P402" s="60"/>
    </row>
    <row r="403" spans="2:16" ht="21" hidden="1" outlineLevel="1" thickTop="1" thickBot="1" x14ac:dyDescent="0.3">
      <c r="B403" s="140" t="s">
        <v>73</v>
      </c>
      <c r="C403" s="29"/>
      <c r="D403" s="141"/>
      <c r="E403" s="31"/>
      <c r="F403" s="32" t="s">
        <v>27</v>
      </c>
      <c r="G403" s="33"/>
      <c r="H403" s="33"/>
      <c r="I403" s="34"/>
    </row>
    <row r="404" spans="2:16" ht="14.9" hidden="1" customHeight="1" outlineLevel="1" thickBot="1" x14ac:dyDescent="0.3">
      <c r="B404" s="37"/>
      <c r="C404" s="38" t="s">
        <v>0</v>
      </c>
      <c r="D404" s="39" t="s">
        <v>1</v>
      </c>
      <c r="E404" s="40"/>
      <c r="F404" s="41" t="s">
        <v>28</v>
      </c>
      <c r="G404" s="41" t="s">
        <v>21</v>
      </c>
      <c r="H404" s="41" t="s">
        <v>8</v>
      </c>
    </row>
    <row r="405" spans="2:16" ht="13" hidden="1" outlineLevel="1" x14ac:dyDescent="0.25">
      <c r="B405" s="43" t="s">
        <v>65</v>
      </c>
      <c r="C405" s="142"/>
      <c r="D405" s="45" t="s">
        <v>2</v>
      </c>
      <c r="E405" s="46"/>
      <c r="F405" s="47"/>
      <c r="G405" s="47"/>
      <c r="H405" s="47"/>
      <c r="N405" s="60"/>
      <c r="O405" s="60"/>
      <c r="P405" s="60"/>
    </row>
    <row r="406" spans="2:16" ht="13" hidden="1" outlineLevel="1" x14ac:dyDescent="0.25">
      <c r="B406" s="43" t="s">
        <v>64</v>
      </c>
      <c r="C406" s="143"/>
      <c r="D406" s="45" t="s">
        <v>3</v>
      </c>
      <c r="E406" s="46"/>
      <c r="F406" s="47"/>
      <c r="G406" s="47"/>
      <c r="H406" s="47"/>
      <c r="N406" s="60"/>
      <c r="O406" s="60"/>
      <c r="P406" s="60"/>
    </row>
    <row r="407" spans="2:16" ht="13" hidden="1" outlineLevel="1" x14ac:dyDescent="0.25">
      <c r="B407" s="51" t="s">
        <v>63</v>
      </c>
      <c r="C407" s="144">
        <f>C405*C406</f>
        <v>0</v>
      </c>
      <c r="D407" s="45" t="str">
        <f>D405</f>
        <v>kg</v>
      </c>
      <c r="E407" s="46"/>
      <c r="F407" s="47"/>
      <c r="G407" s="47"/>
      <c r="H407" s="47"/>
      <c r="N407" s="60"/>
      <c r="O407" s="60"/>
      <c r="P407" s="60"/>
    </row>
    <row r="408" spans="2:16" ht="14" hidden="1" outlineLevel="1" x14ac:dyDescent="0.25">
      <c r="B408" s="54" t="s">
        <v>37</v>
      </c>
      <c r="C408" s="145">
        <v>1</v>
      </c>
      <c r="D408" s="56"/>
      <c r="E408" s="57"/>
      <c r="F408" s="58"/>
      <c r="G408" s="58"/>
      <c r="H408" s="58"/>
      <c r="N408" s="60"/>
      <c r="O408" s="60"/>
      <c r="P408" s="60"/>
    </row>
    <row r="409" spans="2:16" ht="13" hidden="1" outlineLevel="1" x14ac:dyDescent="0.25">
      <c r="B409" s="43" t="s">
        <v>66</v>
      </c>
      <c r="C409" s="142"/>
      <c r="D409" s="45" t="str">
        <f>D405</f>
        <v>kg</v>
      </c>
      <c r="E409" s="46"/>
      <c r="F409" s="47"/>
      <c r="G409" s="47"/>
      <c r="H409" s="47"/>
      <c r="N409" s="60"/>
      <c r="O409" s="60"/>
      <c r="P409" s="60"/>
    </row>
    <row r="410" spans="2:16" ht="13" hidden="1" outlineLevel="1" x14ac:dyDescent="0.25">
      <c r="B410" s="43" t="s">
        <v>67</v>
      </c>
      <c r="C410" s="143"/>
      <c r="D410" s="45" t="s">
        <v>3</v>
      </c>
      <c r="E410" s="59"/>
      <c r="F410" s="47"/>
      <c r="G410" s="47"/>
      <c r="H410" s="47"/>
      <c r="N410" s="60"/>
      <c r="O410" s="60"/>
      <c r="P410" s="60"/>
    </row>
    <row r="411" spans="2:16" ht="13" hidden="1" outlineLevel="1" x14ac:dyDescent="0.25">
      <c r="B411" s="51" t="s">
        <v>68</v>
      </c>
      <c r="C411" s="144">
        <f>C409*C410</f>
        <v>0</v>
      </c>
      <c r="D411" s="45" t="str">
        <f>D405</f>
        <v>kg</v>
      </c>
      <c r="E411" s="46"/>
      <c r="F411" s="47"/>
      <c r="G411" s="47"/>
      <c r="H411" s="47"/>
      <c r="N411" s="60"/>
      <c r="O411" s="60"/>
      <c r="P411" s="60"/>
    </row>
    <row r="412" spans="2:16" ht="13.5" hidden="1" outlineLevel="1" thickBot="1" x14ac:dyDescent="0.3">
      <c r="B412" s="61"/>
      <c r="C412" s="62"/>
      <c r="D412" s="63"/>
      <c r="F412" s="64"/>
      <c r="G412" s="64"/>
      <c r="H412" s="64"/>
      <c r="N412" s="60"/>
      <c r="O412" s="60"/>
      <c r="P412" s="60"/>
    </row>
    <row r="413" spans="2:16" ht="14.5" hidden="1" outlineLevel="1" thickBot="1" x14ac:dyDescent="0.3">
      <c r="B413" s="65" t="s">
        <v>5</v>
      </c>
      <c r="C413" s="66" t="s">
        <v>6</v>
      </c>
      <c r="D413" s="67" t="s">
        <v>1</v>
      </c>
      <c r="E413" s="68"/>
      <c r="F413" s="69"/>
      <c r="G413" s="69"/>
      <c r="H413" s="69"/>
      <c r="N413" s="60"/>
      <c r="O413" s="60"/>
      <c r="P413" s="60"/>
    </row>
    <row r="414" spans="2:16" ht="13" hidden="1" outlineLevel="1" x14ac:dyDescent="0.25">
      <c r="B414" s="70" t="s">
        <v>43</v>
      </c>
      <c r="C414" s="71"/>
      <c r="D414" s="72"/>
      <c r="E414" s="73"/>
      <c r="F414" s="69"/>
      <c r="G414" s="69"/>
      <c r="H414" s="69"/>
      <c r="N414" s="60"/>
      <c r="O414" s="60"/>
      <c r="P414" s="60"/>
    </row>
    <row r="415" spans="2:16" ht="13" hidden="1" outlineLevel="1" x14ac:dyDescent="0.25">
      <c r="B415" s="74"/>
      <c r="C415" s="146">
        <f>C407</f>
        <v>0</v>
      </c>
      <c r="D415" s="76" t="str">
        <f>D405</f>
        <v>kg</v>
      </c>
      <c r="E415" s="98"/>
      <c r="F415" s="69"/>
      <c r="G415" s="69"/>
      <c r="H415" s="69"/>
      <c r="N415" s="60"/>
      <c r="O415" s="60"/>
      <c r="P415" s="60"/>
    </row>
    <row r="416" spans="2:16" ht="13.5" hidden="1" outlineLevel="1" thickBot="1" x14ac:dyDescent="0.3">
      <c r="B416" s="74"/>
      <c r="C416" s="146"/>
      <c r="D416" s="76" t="str">
        <f>D405</f>
        <v>kg</v>
      </c>
      <c r="E416" s="77"/>
      <c r="F416" s="78"/>
      <c r="G416" s="78"/>
      <c r="H416" s="78"/>
      <c r="N416" s="60"/>
      <c r="O416" s="60"/>
      <c r="P416" s="60"/>
    </row>
    <row r="417" spans="2:16" ht="13" hidden="1" outlineLevel="1" x14ac:dyDescent="0.25">
      <c r="B417" s="79" t="s">
        <v>69</v>
      </c>
      <c r="C417" s="147"/>
      <c r="D417" s="81"/>
      <c r="E417" s="77"/>
      <c r="F417" s="82"/>
      <c r="G417" s="82"/>
      <c r="H417" s="82"/>
      <c r="N417" s="60"/>
      <c r="O417" s="60"/>
      <c r="P417" s="60"/>
    </row>
    <row r="418" spans="2:16" ht="13" hidden="1" outlineLevel="1" x14ac:dyDescent="0.25">
      <c r="B418" s="74"/>
      <c r="C418" s="148"/>
      <c r="D418" s="76" t="str">
        <f>D405</f>
        <v>kg</v>
      </c>
      <c r="E418" s="77"/>
      <c r="F418" s="82"/>
      <c r="G418" s="82"/>
      <c r="H418" s="82"/>
      <c r="N418" s="60"/>
      <c r="O418" s="60"/>
      <c r="P418" s="60"/>
    </row>
    <row r="419" spans="2:16" ht="13" hidden="1" outlineLevel="1" x14ac:dyDescent="0.25">
      <c r="B419" s="74"/>
      <c r="C419" s="148"/>
      <c r="D419" s="76" t="str">
        <f>D405</f>
        <v>kg</v>
      </c>
      <c r="E419" s="77"/>
      <c r="F419" s="82"/>
      <c r="G419" s="82"/>
      <c r="H419" s="82"/>
      <c r="N419" s="60"/>
      <c r="O419" s="60"/>
      <c r="P419" s="60"/>
    </row>
    <row r="420" spans="2:16" ht="13" hidden="1" outlineLevel="1" x14ac:dyDescent="0.25">
      <c r="B420" s="74"/>
      <c r="C420" s="148"/>
      <c r="D420" s="76" t="str">
        <f>D405</f>
        <v>kg</v>
      </c>
      <c r="E420" s="77"/>
      <c r="F420" s="82"/>
      <c r="G420" s="82"/>
      <c r="H420" s="82"/>
      <c r="N420" s="60"/>
      <c r="O420" s="60"/>
      <c r="P420" s="60"/>
    </row>
    <row r="421" spans="2:16" ht="13" hidden="1" outlineLevel="1" x14ac:dyDescent="0.25">
      <c r="B421" s="74"/>
      <c r="C421" s="148"/>
      <c r="D421" s="76" t="str">
        <f>D405</f>
        <v>kg</v>
      </c>
      <c r="E421" s="77"/>
      <c r="F421" s="82"/>
      <c r="G421" s="82"/>
      <c r="H421" s="82"/>
      <c r="N421" s="60"/>
      <c r="O421" s="60"/>
      <c r="P421" s="60"/>
    </row>
    <row r="422" spans="2:16" ht="13" hidden="1" outlineLevel="1" x14ac:dyDescent="0.25">
      <c r="B422" s="74"/>
      <c r="C422" s="148"/>
      <c r="D422" s="76" t="str">
        <f>D405</f>
        <v>kg</v>
      </c>
      <c r="E422" s="77"/>
      <c r="F422" s="82"/>
      <c r="G422" s="82"/>
      <c r="H422" s="82"/>
      <c r="N422" s="60"/>
      <c r="O422" s="60"/>
      <c r="P422" s="60"/>
    </row>
    <row r="423" spans="2:16" ht="13" hidden="1" outlineLevel="1" x14ac:dyDescent="0.25">
      <c r="B423" s="74"/>
      <c r="C423" s="148"/>
      <c r="D423" s="76" t="str">
        <f>D405</f>
        <v>kg</v>
      </c>
      <c r="E423" s="77"/>
      <c r="F423" s="82"/>
      <c r="G423" s="82"/>
      <c r="H423" s="82"/>
      <c r="N423" s="60"/>
      <c r="O423" s="60"/>
      <c r="P423" s="60"/>
    </row>
    <row r="424" spans="2:16" ht="13" hidden="1" outlineLevel="1" x14ac:dyDescent="0.25">
      <c r="B424" s="74"/>
      <c r="C424" s="148"/>
      <c r="D424" s="76" t="str">
        <f>D405</f>
        <v>kg</v>
      </c>
      <c r="E424" s="77"/>
      <c r="F424" s="82"/>
      <c r="G424" s="82"/>
      <c r="H424" s="82"/>
      <c r="N424" s="60"/>
      <c r="O424" s="60"/>
      <c r="P424" s="60"/>
    </row>
    <row r="425" spans="2:16" ht="13" hidden="1" outlineLevel="1" x14ac:dyDescent="0.25">
      <c r="B425" s="74"/>
      <c r="C425" s="148"/>
      <c r="D425" s="76" t="str">
        <f>D405</f>
        <v>kg</v>
      </c>
      <c r="E425" s="77"/>
      <c r="F425" s="82"/>
      <c r="G425" s="82"/>
      <c r="H425" s="82"/>
      <c r="N425" s="60"/>
      <c r="O425" s="60"/>
      <c r="P425" s="60"/>
    </row>
    <row r="426" spans="2:16" ht="13" hidden="1" outlineLevel="1" x14ac:dyDescent="0.25">
      <c r="B426" s="74"/>
      <c r="C426" s="148"/>
      <c r="D426" s="76" t="str">
        <f>D405</f>
        <v>kg</v>
      </c>
      <c r="E426" s="77"/>
      <c r="F426" s="82"/>
      <c r="G426" s="82"/>
      <c r="H426" s="82"/>
      <c r="N426" s="60"/>
      <c r="O426" s="60"/>
      <c r="P426" s="60"/>
    </row>
    <row r="427" spans="2:16" ht="13" hidden="1" outlineLevel="1" x14ac:dyDescent="0.25">
      <c r="B427" s="74"/>
      <c r="C427" s="148"/>
      <c r="D427" s="76" t="str">
        <f>D405</f>
        <v>kg</v>
      </c>
      <c r="E427" s="77"/>
      <c r="F427" s="82"/>
      <c r="G427" s="82"/>
      <c r="H427" s="82"/>
      <c r="N427" s="60"/>
      <c r="O427" s="60"/>
      <c r="P427" s="60"/>
    </row>
    <row r="428" spans="2:16" ht="13.4" hidden="1" customHeight="1" outlineLevel="1" x14ac:dyDescent="0.25">
      <c r="B428" s="79"/>
      <c r="C428" s="147"/>
      <c r="D428" s="81"/>
      <c r="E428" s="77"/>
      <c r="F428" s="82"/>
      <c r="G428" s="82"/>
      <c r="H428" s="82"/>
      <c r="K428" s="34"/>
      <c r="N428" s="60"/>
      <c r="O428" s="60"/>
      <c r="P428" s="60"/>
    </row>
    <row r="429" spans="2:16" ht="13" hidden="1" outlineLevel="1" x14ac:dyDescent="0.25">
      <c r="B429" s="86" t="s">
        <v>7</v>
      </c>
      <c r="C429" s="149">
        <f>SUM(C414:C427)</f>
        <v>0</v>
      </c>
      <c r="D429" s="88" t="str">
        <f>D405</f>
        <v>kg</v>
      </c>
      <c r="E429" s="77"/>
      <c r="F429" s="82"/>
      <c r="G429" s="82"/>
      <c r="H429" s="82"/>
      <c r="N429" s="60"/>
      <c r="O429" s="60"/>
      <c r="P429" s="60"/>
    </row>
    <row r="430" spans="2:16" ht="13" hidden="1" outlineLevel="1" x14ac:dyDescent="0.25">
      <c r="B430" s="79" t="s">
        <v>71</v>
      </c>
      <c r="C430" s="150"/>
      <c r="D430" s="81"/>
      <c r="E430" s="77"/>
      <c r="F430" s="82"/>
      <c r="G430" s="82"/>
      <c r="H430" s="82"/>
      <c r="N430" s="60"/>
      <c r="O430" s="60"/>
      <c r="P430" s="60"/>
    </row>
    <row r="431" spans="2:16" ht="13" hidden="1" outlineLevel="1" x14ac:dyDescent="0.25">
      <c r="B431" s="74"/>
      <c r="C431" s="148"/>
      <c r="D431" s="76" t="str">
        <f>D405</f>
        <v>kg</v>
      </c>
      <c r="E431" s="77"/>
      <c r="F431" s="82"/>
      <c r="G431" s="82"/>
      <c r="H431" s="82"/>
      <c r="N431" s="60"/>
      <c r="O431" s="60"/>
      <c r="P431" s="60"/>
    </row>
    <row r="432" spans="2:16" ht="13" hidden="1" outlineLevel="1" x14ac:dyDescent="0.25">
      <c r="B432" s="74"/>
      <c r="C432" s="148"/>
      <c r="D432" s="76" t="str">
        <f>D405</f>
        <v>kg</v>
      </c>
      <c r="E432" s="77"/>
      <c r="F432" s="82"/>
      <c r="G432" s="82"/>
      <c r="H432" s="82"/>
      <c r="N432" s="60"/>
      <c r="O432" s="60"/>
      <c r="P432" s="60"/>
    </row>
    <row r="433" spans="2:16" ht="13" hidden="1" outlineLevel="1" x14ac:dyDescent="0.25">
      <c r="B433" s="74"/>
      <c r="C433" s="148"/>
      <c r="D433" s="76" t="str">
        <f>D405</f>
        <v>kg</v>
      </c>
      <c r="E433" s="77"/>
      <c r="F433" s="82"/>
      <c r="G433" s="82"/>
      <c r="H433" s="82"/>
      <c r="N433" s="60"/>
      <c r="O433" s="60"/>
      <c r="P433" s="60"/>
    </row>
    <row r="434" spans="2:16" ht="13" hidden="1" outlineLevel="1" x14ac:dyDescent="0.25">
      <c r="B434" s="74"/>
      <c r="C434" s="148"/>
      <c r="D434" s="76" t="str">
        <f>D405</f>
        <v>kg</v>
      </c>
      <c r="E434" s="77"/>
      <c r="F434" s="82"/>
      <c r="G434" s="82"/>
      <c r="H434" s="82"/>
      <c r="N434" s="60"/>
      <c r="O434" s="60"/>
      <c r="P434" s="60"/>
    </row>
    <row r="435" spans="2:16" ht="13" hidden="1" outlineLevel="1" x14ac:dyDescent="0.25">
      <c r="B435" s="74"/>
      <c r="C435" s="148"/>
      <c r="D435" s="76" t="str">
        <f>D405</f>
        <v>kg</v>
      </c>
      <c r="E435" s="77"/>
      <c r="F435" s="82"/>
      <c r="G435" s="82"/>
      <c r="H435" s="82"/>
      <c r="N435" s="60"/>
      <c r="O435" s="60"/>
      <c r="P435" s="60"/>
    </row>
    <row r="436" spans="2:16" ht="13" hidden="1" outlineLevel="1" x14ac:dyDescent="0.25">
      <c r="B436" s="74"/>
      <c r="C436" s="148"/>
      <c r="D436" s="76" t="str">
        <f>D405</f>
        <v>kg</v>
      </c>
      <c r="E436" s="77"/>
      <c r="F436" s="82"/>
      <c r="G436" s="82"/>
      <c r="H436" s="82"/>
      <c r="N436" s="60"/>
      <c r="O436" s="60"/>
      <c r="P436" s="60"/>
    </row>
    <row r="437" spans="2:16" ht="13" hidden="1" outlineLevel="1" x14ac:dyDescent="0.25">
      <c r="B437" s="74"/>
      <c r="C437" s="148"/>
      <c r="D437" s="76" t="str">
        <f>D405</f>
        <v>kg</v>
      </c>
      <c r="E437" s="77"/>
      <c r="F437" s="82"/>
      <c r="G437" s="82"/>
      <c r="H437" s="82"/>
      <c r="N437" s="60"/>
      <c r="O437" s="60"/>
      <c r="P437" s="60"/>
    </row>
    <row r="438" spans="2:16" ht="13" hidden="1" outlineLevel="1" x14ac:dyDescent="0.25">
      <c r="B438" s="74"/>
      <c r="C438" s="148"/>
      <c r="D438" s="76" t="str">
        <f>D405</f>
        <v>kg</v>
      </c>
      <c r="E438" s="77"/>
      <c r="F438" s="82"/>
      <c r="G438" s="82"/>
      <c r="H438" s="82"/>
      <c r="N438" s="60"/>
      <c r="O438" s="60"/>
      <c r="P438" s="60"/>
    </row>
    <row r="439" spans="2:16" ht="13" hidden="1" outlineLevel="1" x14ac:dyDescent="0.25">
      <c r="B439" s="79" t="s">
        <v>70</v>
      </c>
      <c r="C439" s="147"/>
      <c r="D439" s="81"/>
      <c r="E439" s="90"/>
      <c r="F439" s="82"/>
      <c r="G439" s="82"/>
      <c r="H439" s="82"/>
      <c r="N439" s="60"/>
      <c r="O439" s="60"/>
      <c r="P439" s="60"/>
    </row>
    <row r="440" spans="2:16" ht="13" hidden="1" outlineLevel="1" x14ac:dyDescent="0.25">
      <c r="B440" s="74"/>
      <c r="C440" s="148"/>
      <c r="D440" s="76" t="str">
        <f>D405</f>
        <v>kg</v>
      </c>
      <c r="E440" s="77"/>
      <c r="F440" s="82"/>
      <c r="G440" s="82"/>
      <c r="H440" s="82"/>
      <c r="N440" s="60"/>
      <c r="O440" s="60"/>
      <c r="P440" s="60"/>
    </row>
    <row r="441" spans="2:16" ht="13" hidden="1" outlineLevel="1" x14ac:dyDescent="0.25">
      <c r="B441" s="74"/>
      <c r="C441" s="148"/>
      <c r="D441" s="76" t="str">
        <f>D405</f>
        <v>kg</v>
      </c>
      <c r="E441" s="77"/>
      <c r="F441" s="82"/>
      <c r="G441" s="82"/>
      <c r="H441" s="82"/>
      <c r="N441" s="60"/>
      <c r="O441" s="60"/>
      <c r="P441" s="60"/>
    </row>
    <row r="442" spans="2:16" ht="13" hidden="1" outlineLevel="1" x14ac:dyDescent="0.25">
      <c r="B442" s="74"/>
      <c r="C442" s="148"/>
      <c r="D442" s="76" t="str">
        <f>D405</f>
        <v>kg</v>
      </c>
      <c r="E442" s="77"/>
      <c r="F442" s="82"/>
      <c r="G442" s="82"/>
      <c r="H442" s="82"/>
      <c r="N442" s="60"/>
      <c r="O442" s="60"/>
      <c r="P442" s="60"/>
    </row>
    <row r="443" spans="2:16" ht="13" hidden="1" outlineLevel="1" x14ac:dyDescent="0.25">
      <c r="B443" s="74"/>
      <c r="C443" s="148"/>
      <c r="D443" s="76" t="str">
        <f>D405</f>
        <v>kg</v>
      </c>
      <c r="E443" s="77"/>
      <c r="F443" s="82"/>
      <c r="G443" s="82"/>
      <c r="H443" s="82"/>
      <c r="N443" s="60"/>
      <c r="O443" s="60"/>
      <c r="P443" s="60"/>
    </row>
    <row r="444" spans="2:16" ht="13" hidden="1" outlineLevel="1" x14ac:dyDescent="0.25">
      <c r="B444" s="74"/>
      <c r="C444" s="148"/>
      <c r="D444" s="76" t="str">
        <f>D405</f>
        <v>kg</v>
      </c>
      <c r="E444" s="77"/>
      <c r="F444" s="82"/>
      <c r="G444" s="82"/>
      <c r="H444" s="82"/>
      <c r="N444" s="60"/>
      <c r="O444" s="60"/>
      <c r="P444" s="60"/>
    </row>
    <row r="445" spans="2:16" ht="14.25" hidden="1" customHeight="1" outlineLevel="1" x14ac:dyDescent="0.25">
      <c r="B445" s="74"/>
      <c r="C445" s="148"/>
      <c r="D445" s="76" t="str">
        <f>D405</f>
        <v>kg</v>
      </c>
      <c r="E445" s="77"/>
      <c r="F445" s="82"/>
      <c r="G445" s="82"/>
      <c r="H445" s="82"/>
      <c r="N445" s="60"/>
      <c r="O445" s="60"/>
      <c r="P445" s="60"/>
    </row>
    <row r="446" spans="2:16" ht="13" hidden="1" outlineLevel="1" x14ac:dyDescent="0.25">
      <c r="B446" s="74"/>
      <c r="C446" s="148"/>
      <c r="D446" s="76" t="str">
        <f>D405</f>
        <v>kg</v>
      </c>
      <c r="E446" s="77"/>
      <c r="F446" s="82"/>
      <c r="G446" s="82"/>
      <c r="H446" s="82"/>
      <c r="N446" s="60"/>
      <c r="O446" s="60"/>
      <c r="P446" s="60"/>
    </row>
    <row r="447" spans="2:16" ht="13.4" hidden="1" customHeight="1" outlineLevel="1" x14ac:dyDescent="0.25">
      <c r="B447" s="79"/>
      <c r="C447" s="147"/>
      <c r="D447" s="81"/>
      <c r="E447" s="77"/>
      <c r="F447" s="82"/>
      <c r="G447" s="82"/>
      <c r="H447" s="82"/>
      <c r="K447" s="34"/>
      <c r="N447" s="60"/>
      <c r="O447" s="60"/>
      <c r="P447" s="60"/>
    </row>
    <row r="448" spans="2:16" ht="13" hidden="1" outlineLevel="1" x14ac:dyDescent="0.25">
      <c r="B448" s="86" t="s">
        <v>9</v>
      </c>
      <c r="C448" s="149">
        <f>SUM(C429:C446)</f>
        <v>0</v>
      </c>
      <c r="D448" s="91" t="str">
        <f>D405</f>
        <v>kg</v>
      </c>
      <c r="E448" s="77"/>
      <c r="F448" s="82"/>
      <c r="G448" s="82"/>
      <c r="H448" s="82"/>
      <c r="N448" s="60"/>
      <c r="O448" s="60"/>
      <c r="P448" s="60"/>
    </row>
    <row r="449" spans="2:16" ht="13" hidden="1" outlineLevel="1" x14ac:dyDescent="0.25">
      <c r="B449" s="92"/>
      <c r="C449" s="93"/>
      <c r="D449" s="94"/>
      <c r="E449" s="77"/>
      <c r="F449" s="82"/>
      <c r="G449" s="82"/>
      <c r="H449" s="82"/>
      <c r="N449" s="60"/>
      <c r="O449" s="60"/>
      <c r="P449" s="60"/>
    </row>
    <row r="450" spans="2:16" ht="20.5" hidden="1" outlineLevel="1" thickBot="1" x14ac:dyDescent="0.3">
      <c r="B450" s="426" t="s">
        <v>10</v>
      </c>
      <c r="C450" s="427"/>
      <c r="D450" s="428"/>
      <c r="E450" s="77"/>
      <c r="F450" s="82"/>
      <c r="G450" s="82"/>
      <c r="H450" s="82"/>
      <c r="N450" s="60"/>
      <c r="O450" s="60"/>
      <c r="P450" s="60"/>
    </row>
    <row r="451" spans="2:16" ht="13" hidden="1" outlineLevel="1" x14ac:dyDescent="0.25">
      <c r="B451" s="95" t="s">
        <v>23</v>
      </c>
      <c r="C451" s="96"/>
      <c r="D451" s="151">
        <f>SUM(C415:C416)</f>
        <v>0</v>
      </c>
      <c r="E451" s="98"/>
      <c r="F451" s="82"/>
      <c r="G451" s="82"/>
      <c r="H451" s="82"/>
      <c r="N451" s="60"/>
      <c r="O451" s="60"/>
      <c r="P451" s="60"/>
    </row>
    <row r="452" spans="2:16" ht="13" hidden="1" outlineLevel="1" x14ac:dyDescent="0.25">
      <c r="B452" s="99" t="s">
        <v>24</v>
      </c>
      <c r="C452" s="100"/>
      <c r="D452" s="152">
        <f>SUM(C418:C428)</f>
        <v>0</v>
      </c>
      <c r="E452" s="98"/>
      <c r="F452" s="82"/>
      <c r="G452" s="82"/>
      <c r="H452" s="82"/>
      <c r="N452" s="60"/>
      <c r="O452" s="60"/>
      <c r="P452" s="60"/>
    </row>
    <row r="453" spans="2:16" ht="13" hidden="1" outlineLevel="1" x14ac:dyDescent="0.25">
      <c r="B453" s="99" t="s">
        <v>25</v>
      </c>
      <c r="C453" s="100"/>
      <c r="D453" s="152">
        <f>SUM(C431:C439)</f>
        <v>0</v>
      </c>
      <c r="E453" s="98"/>
      <c r="F453" s="82"/>
      <c r="G453" s="82"/>
      <c r="H453" s="82"/>
      <c r="N453" s="60"/>
      <c r="O453" s="60"/>
      <c r="P453" s="60"/>
    </row>
    <row r="454" spans="2:16" ht="13" hidden="1" outlineLevel="1" x14ac:dyDescent="0.25">
      <c r="B454" s="102" t="s">
        <v>26</v>
      </c>
      <c r="C454" s="103"/>
      <c r="D454" s="153">
        <f>SUM(C440:C447)</f>
        <v>0</v>
      </c>
      <c r="E454" s="98"/>
      <c r="F454" s="82"/>
      <c r="G454" s="82"/>
      <c r="H454" s="82"/>
      <c r="N454" s="60"/>
      <c r="O454" s="60"/>
      <c r="P454" s="60"/>
    </row>
    <row r="455" spans="2:16" ht="18.5" hidden="1" outlineLevel="1" thickTop="1" x14ac:dyDescent="0.25">
      <c r="B455" s="105" t="s">
        <v>11</v>
      </c>
      <c r="C455" s="106"/>
      <c r="D455" s="107" t="e">
        <f>C429/C411</f>
        <v>#DIV/0!</v>
      </c>
      <c r="E455" s="77"/>
      <c r="F455" s="110" t="s">
        <v>86</v>
      </c>
      <c r="G455" s="109" t="s">
        <v>85</v>
      </c>
      <c r="H455" s="110"/>
      <c r="N455" s="60"/>
      <c r="O455" s="60"/>
      <c r="P455" s="60"/>
    </row>
    <row r="456" spans="2:16" ht="18.5" hidden="1" outlineLevel="1" thickBot="1" x14ac:dyDescent="0.3">
      <c r="B456" s="111" t="s">
        <v>12</v>
      </c>
      <c r="C456" s="112"/>
      <c r="D456" s="113" t="e">
        <f>(D451+D452+D453)/C411</f>
        <v>#DIV/0!</v>
      </c>
      <c r="E456" s="77"/>
      <c r="F456" s="154"/>
      <c r="G456" s="413"/>
      <c r="H456" s="414"/>
      <c r="N456" s="60"/>
      <c r="O456" s="60"/>
      <c r="P456" s="60"/>
    </row>
    <row r="457" spans="2:16" ht="18" hidden="1" outlineLevel="1" x14ac:dyDescent="0.25">
      <c r="B457" s="111" t="s">
        <v>13</v>
      </c>
      <c r="C457" s="112"/>
      <c r="D457" s="113" t="e">
        <f>D453/C411</f>
        <v>#DIV/0!</v>
      </c>
      <c r="E457" s="90"/>
      <c r="F457" s="64" t="s">
        <v>45</v>
      </c>
      <c r="G457" s="64" t="s">
        <v>45</v>
      </c>
      <c r="H457" s="155"/>
      <c r="N457" s="60"/>
      <c r="O457" s="60"/>
      <c r="P457" s="60"/>
    </row>
    <row r="458" spans="2:16" ht="18" hidden="1" outlineLevel="1" x14ac:dyDescent="0.25">
      <c r="B458" s="114" t="s">
        <v>14</v>
      </c>
      <c r="C458" s="115"/>
      <c r="D458" s="116" t="e">
        <f>D454/C411</f>
        <v>#DIV/0!</v>
      </c>
      <c r="E458" s="90"/>
      <c r="F458" s="110"/>
      <c r="G458" s="117" t="s">
        <v>46</v>
      </c>
      <c r="H458" s="110"/>
      <c r="N458" s="60"/>
      <c r="O458" s="60"/>
      <c r="P458" s="60"/>
    </row>
    <row r="459" spans="2:16" ht="18.5" hidden="1" outlineLevel="1" thickBot="1" x14ac:dyDescent="0.3">
      <c r="B459" s="114" t="s">
        <v>15</v>
      </c>
      <c r="C459" s="119"/>
      <c r="D459" s="116" t="e">
        <f>SUM(D451:D454)/C411</f>
        <v>#DIV/0!</v>
      </c>
      <c r="E459" s="90"/>
      <c r="F459" s="429"/>
      <c r="G459" s="430"/>
      <c r="H459" s="431"/>
      <c r="N459" s="60"/>
      <c r="O459" s="60"/>
      <c r="P459" s="60"/>
    </row>
    <row r="460" spans="2:16" ht="18.5" hidden="1" outlineLevel="1" thickTop="1" x14ac:dyDescent="0.25">
      <c r="B460" s="120" t="s">
        <v>16</v>
      </c>
      <c r="C460" s="121"/>
      <c r="D460" s="122" t="e">
        <f>((C415*D393)+D452+C416*MAX(1,F416))/C411</f>
        <v>#DIV/0!</v>
      </c>
      <c r="E460" s="77"/>
      <c r="F460" s="64" t="s">
        <v>45</v>
      </c>
      <c r="G460" s="64"/>
      <c r="H460" s="82"/>
      <c r="N460" s="60"/>
      <c r="O460" s="60"/>
      <c r="P460" s="60"/>
    </row>
    <row r="461" spans="2:16" ht="18" hidden="1" outlineLevel="1" x14ac:dyDescent="0.25">
      <c r="B461" s="123" t="s">
        <v>17</v>
      </c>
      <c r="C461" s="124"/>
      <c r="D461" s="125" t="e">
        <f>(C415*D394+D452+D453+C416*(MAX(1,F416)+G416))/C411</f>
        <v>#DIV/0!</v>
      </c>
      <c r="E461" s="77"/>
      <c r="F461" s="82"/>
      <c r="G461" s="82"/>
      <c r="H461" s="82"/>
      <c r="N461" s="60"/>
      <c r="O461" s="60"/>
      <c r="P461" s="60"/>
    </row>
    <row r="462" spans="2:16" ht="18" hidden="1" customHeight="1" outlineLevel="1" x14ac:dyDescent="0.25">
      <c r="B462" s="123" t="s">
        <v>18</v>
      </c>
      <c r="C462" s="124"/>
      <c r="D462" s="125" t="e">
        <f>((C415*D395)+D453+C416*G416)/C411</f>
        <v>#DIV/0!</v>
      </c>
      <c r="E462" s="77"/>
      <c r="F462" s="415" t="s">
        <v>61</v>
      </c>
      <c r="G462" s="416"/>
      <c r="H462" s="416"/>
      <c r="N462" s="60"/>
      <c r="O462" s="60"/>
      <c r="P462" s="60"/>
    </row>
    <row r="463" spans="2:16" ht="18" hidden="1" outlineLevel="1" x14ac:dyDescent="0.25">
      <c r="B463" s="126" t="s">
        <v>19</v>
      </c>
      <c r="C463" s="127"/>
      <c r="D463" s="128" t="e">
        <f>(C415*D396+D454+C416*H416)/C411</f>
        <v>#DIV/0!</v>
      </c>
      <c r="E463" s="77"/>
      <c r="F463" s="416"/>
      <c r="G463" s="416"/>
      <c r="H463" s="416"/>
      <c r="N463" s="60"/>
      <c r="O463" s="60"/>
      <c r="P463" s="60"/>
    </row>
    <row r="464" spans="2:16" ht="18.5" hidden="1" outlineLevel="1" thickBot="1" x14ac:dyDescent="0.3">
      <c r="B464" s="129" t="s">
        <v>20</v>
      </c>
      <c r="C464" s="130"/>
      <c r="D464" s="131" t="e">
        <f>((C415*D397)+SUM(D452:D454)+C416*(MAX(1,F416)+G416+H416))/C411</f>
        <v>#DIV/0!</v>
      </c>
      <c r="E464" s="77"/>
      <c r="F464" s="416"/>
      <c r="G464" s="416"/>
      <c r="H464" s="416"/>
      <c r="N464" s="60"/>
      <c r="O464" s="60"/>
      <c r="P464" s="60"/>
    </row>
    <row r="465" spans="2:16" ht="13" hidden="1" outlineLevel="1" thickTop="1" x14ac:dyDescent="0.25">
      <c r="B465" s="156" t="s">
        <v>76</v>
      </c>
      <c r="C465" s="424"/>
      <c r="D465" s="425"/>
      <c r="F465" s="416"/>
      <c r="G465" s="416"/>
      <c r="H465" s="416"/>
      <c r="N465" s="60"/>
      <c r="O465" s="60"/>
      <c r="P465" s="60"/>
    </row>
    <row r="466" spans="2:16" hidden="1" outlineLevel="1" x14ac:dyDescent="0.25">
      <c r="B466" s="157" t="s">
        <v>58</v>
      </c>
      <c r="C466" s="422"/>
      <c r="D466" s="423"/>
      <c r="F466" s="416"/>
      <c r="G466" s="416"/>
      <c r="H466" s="416"/>
      <c r="N466" s="60"/>
      <c r="O466" s="60"/>
      <c r="P466" s="60"/>
    </row>
    <row r="467" spans="2:16" ht="13" hidden="1" outlineLevel="1" thickBot="1" x14ac:dyDescent="0.3">
      <c r="B467" s="158" t="s">
        <v>59</v>
      </c>
      <c r="C467" s="420"/>
      <c r="D467" s="421"/>
      <c r="F467" s="416"/>
      <c r="G467" s="416"/>
      <c r="H467" s="416"/>
      <c r="N467" s="60"/>
      <c r="O467" s="60"/>
      <c r="P467" s="60"/>
    </row>
    <row r="468" spans="2:16" ht="13" hidden="1" outlineLevel="1" x14ac:dyDescent="0.25">
      <c r="F468" s="34"/>
      <c r="G468" s="34"/>
      <c r="H468" s="34"/>
      <c r="N468" s="60"/>
      <c r="O468" s="60"/>
      <c r="P468" s="60"/>
    </row>
    <row r="469" spans="2:16" ht="13" hidden="1" outlineLevel="1" x14ac:dyDescent="0.25">
      <c r="C469" s="25" t="s">
        <v>44</v>
      </c>
      <c r="D469" s="25" t="s">
        <v>42</v>
      </c>
      <c r="F469" s="34"/>
      <c r="G469" s="34"/>
      <c r="H469" s="34"/>
      <c r="N469" s="60"/>
      <c r="O469" s="60"/>
      <c r="P469" s="60"/>
    </row>
    <row r="470" spans="2:16" ht="21" hidden="1" outlineLevel="1" thickTop="1" thickBot="1" x14ac:dyDescent="0.3">
      <c r="B470" s="140" t="s">
        <v>73</v>
      </c>
      <c r="C470" s="29"/>
      <c r="D470" s="141"/>
      <c r="E470" s="31"/>
      <c r="F470" s="32" t="s">
        <v>27</v>
      </c>
      <c r="G470" s="33"/>
      <c r="H470" s="33"/>
    </row>
    <row r="471" spans="2:16" ht="14.5" hidden="1" outlineLevel="1" thickBot="1" x14ac:dyDescent="0.3">
      <c r="B471" s="37"/>
      <c r="C471" s="38" t="s">
        <v>0</v>
      </c>
      <c r="D471" s="39" t="s">
        <v>1</v>
      </c>
      <c r="E471" s="40"/>
      <c r="F471" s="41" t="s">
        <v>28</v>
      </c>
      <c r="G471" s="41" t="s">
        <v>21</v>
      </c>
      <c r="H471" s="41" t="s">
        <v>8</v>
      </c>
    </row>
    <row r="472" spans="2:16" ht="13" hidden="1" outlineLevel="1" x14ac:dyDescent="0.25">
      <c r="B472" s="43" t="s">
        <v>65</v>
      </c>
      <c r="C472" s="142"/>
      <c r="D472" s="45" t="s">
        <v>2</v>
      </c>
      <c r="E472" s="46"/>
      <c r="F472" s="47"/>
      <c r="G472" s="47"/>
      <c r="H472" s="47"/>
      <c r="N472" s="60"/>
      <c r="O472" s="60"/>
      <c r="P472" s="60"/>
    </row>
    <row r="473" spans="2:16" ht="13" hidden="1" outlineLevel="1" x14ac:dyDescent="0.25">
      <c r="B473" s="43" t="s">
        <v>64</v>
      </c>
      <c r="C473" s="143"/>
      <c r="D473" s="45" t="s">
        <v>3</v>
      </c>
      <c r="E473" s="46"/>
      <c r="F473" s="47"/>
      <c r="G473" s="47"/>
      <c r="H473" s="47"/>
      <c r="N473" s="60"/>
      <c r="O473" s="60"/>
      <c r="P473" s="60"/>
    </row>
    <row r="474" spans="2:16" ht="13" hidden="1" outlineLevel="1" x14ac:dyDescent="0.25">
      <c r="B474" s="51" t="s">
        <v>63</v>
      </c>
      <c r="C474" s="144">
        <f>C472*C473</f>
        <v>0</v>
      </c>
      <c r="D474" s="45" t="str">
        <f>D472</f>
        <v>kg</v>
      </c>
      <c r="E474" s="46"/>
      <c r="F474" s="47"/>
      <c r="G474" s="47"/>
      <c r="H474" s="47"/>
      <c r="N474" s="60"/>
      <c r="O474" s="60"/>
      <c r="P474" s="60"/>
    </row>
    <row r="475" spans="2:16" ht="14" hidden="1" outlineLevel="1" x14ac:dyDescent="0.25">
      <c r="B475" s="54" t="s">
        <v>37</v>
      </c>
      <c r="C475" s="145">
        <v>1</v>
      </c>
      <c r="D475" s="56"/>
      <c r="E475" s="57"/>
      <c r="F475" s="58"/>
      <c r="G475" s="58"/>
      <c r="H475" s="58"/>
      <c r="N475" s="60"/>
      <c r="O475" s="60"/>
      <c r="P475" s="60"/>
    </row>
    <row r="476" spans="2:16" ht="13" hidden="1" outlineLevel="1" x14ac:dyDescent="0.25">
      <c r="B476" s="43" t="s">
        <v>66</v>
      </c>
      <c r="C476" s="142"/>
      <c r="D476" s="45" t="str">
        <f>D472</f>
        <v>kg</v>
      </c>
      <c r="E476" s="46"/>
      <c r="F476" s="47"/>
      <c r="G476" s="47"/>
      <c r="H476" s="47"/>
      <c r="N476" s="60"/>
      <c r="O476" s="60"/>
      <c r="P476" s="60"/>
    </row>
    <row r="477" spans="2:16" ht="13" hidden="1" outlineLevel="1" x14ac:dyDescent="0.25">
      <c r="B477" s="43" t="s">
        <v>67</v>
      </c>
      <c r="C477" s="143"/>
      <c r="D477" s="45" t="s">
        <v>3</v>
      </c>
      <c r="E477" s="59"/>
      <c r="F477" s="47"/>
      <c r="G477" s="47"/>
      <c r="H477" s="47"/>
      <c r="N477" s="60"/>
      <c r="O477" s="60"/>
      <c r="P477" s="60"/>
    </row>
    <row r="478" spans="2:16" ht="13" hidden="1" outlineLevel="1" x14ac:dyDescent="0.25">
      <c r="B478" s="51" t="s">
        <v>68</v>
      </c>
      <c r="C478" s="144">
        <f>C476*C477</f>
        <v>0</v>
      </c>
      <c r="D478" s="45" t="str">
        <f>D472</f>
        <v>kg</v>
      </c>
      <c r="E478" s="46"/>
      <c r="F478" s="47"/>
      <c r="G478" s="47"/>
      <c r="H478" s="47"/>
      <c r="N478" s="60"/>
      <c r="O478" s="60"/>
      <c r="P478" s="60"/>
    </row>
    <row r="479" spans="2:16" ht="13.5" hidden="1" outlineLevel="1" thickBot="1" x14ac:dyDescent="0.3">
      <c r="B479" s="61"/>
      <c r="C479" s="62"/>
      <c r="D479" s="63"/>
      <c r="F479" s="64"/>
      <c r="G479" s="64"/>
      <c r="H479" s="64"/>
      <c r="N479" s="60"/>
      <c r="O479" s="60"/>
      <c r="P479" s="60"/>
    </row>
    <row r="480" spans="2:16" ht="14.5" hidden="1" outlineLevel="1" thickBot="1" x14ac:dyDescent="0.3">
      <c r="B480" s="65" t="s">
        <v>5</v>
      </c>
      <c r="C480" s="66" t="s">
        <v>6</v>
      </c>
      <c r="D480" s="67" t="s">
        <v>1</v>
      </c>
      <c r="E480" s="68"/>
      <c r="F480" s="69"/>
      <c r="G480" s="69"/>
      <c r="H480" s="69"/>
      <c r="N480" s="60"/>
      <c r="O480" s="60"/>
      <c r="P480" s="60"/>
    </row>
    <row r="481" spans="2:16" ht="13" hidden="1" outlineLevel="1" x14ac:dyDescent="0.25">
      <c r="B481" s="70" t="s">
        <v>43</v>
      </c>
      <c r="C481" s="71"/>
      <c r="D481" s="72"/>
      <c r="E481" s="73"/>
      <c r="F481" s="69"/>
      <c r="G481" s="69"/>
      <c r="H481" s="69"/>
      <c r="N481" s="60"/>
      <c r="O481" s="60"/>
      <c r="P481" s="60"/>
    </row>
    <row r="482" spans="2:16" ht="13" hidden="1" outlineLevel="1" x14ac:dyDescent="0.25">
      <c r="B482" s="74"/>
      <c r="C482" s="146">
        <f>C474</f>
        <v>0</v>
      </c>
      <c r="D482" s="76" t="str">
        <f>D$472</f>
        <v>kg</v>
      </c>
      <c r="E482" s="98"/>
      <c r="F482" s="69"/>
      <c r="G482" s="69"/>
      <c r="H482" s="69"/>
      <c r="N482" s="60"/>
      <c r="O482" s="60"/>
      <c r="P482" s="60"/>
    </row>
    <row r="483" spans="2:16" ht="13.5" hidden="1" outlineLevel="1" thickBot="1" x14ac:dyDescent="0.3">
      <c r="B483" s="74"/>
      <c r="C483" s="146"/>
      <c r="D483" s="76" t="str">
        <f>D$472</f>
        <v>kg</v>
      </c>
      <c r="E483" s="77"/>
      <c r="F483" s="78"/>
      <c r="G483" s="78"/>
      <c r="H483" s="78"/>
      <c r="N483" s="60"/>
      <c r="O483" s="60"/>
      <c r="P483" s="60"/>
    </row>
    <row r="484" spans="2:16" ht="13" hidden="1" outlineLevel="1" x14ac:dyDescent="0.25">
      <c r="B484" s="79" t="s">
        <v>69</v>
      </c>
      <c r="C484" s="147"/>
      <c r="D484" s="81"/>
      <c r="E484" s="77"/>
      <c r="F484" s="82"/>
      <c r="G484" s="82"/>
      <c r="H484" s="82"/>
      <c r="N484" s="60"/>
      <c r="O484" s="60"/>
      <c r="P484" s="60"/>
    </row>
    <row r="485" spans="2:16" ht="13" hidden="1" outlineLevel="1" x14ac:dyDescent="0.25">
      <c r="B485" s="74"/>
      <c r="C485" s="148"/>
      <c r="D485" s="76" t="str">
        <f t="shared" ref="D485:D494" si="0">D$472</f>
        <v>kg</v>
      </c>
      <c r="E485" s="77"/>
      <c r="F485" s="82"/>
      <c r="G485" s="82"/>
      <c r="H485" s="82"/>
      <c r="N485" s="60"/>
      <c r="O485" s="60"/>
      <c r="P485" s="60"/>
    </row>
    <row r="486" spans="2:16" ht="13" hidden="1" outlineLevel="1" x14ac:dyDescent="0.25">
      <c r="B486" s="74"/>
      <c r="C486" s="148"/>
      <c r="D486" s="76" t="str">
        <f t="shared" si="0"/>
        <v>kg</v>
      </c>
      <c r="E486" s="77"/>
      <c r="F486" s="82"/>
      <c r="G486" s="82"/>
      <c r="H486" s="82"/>
      <c r="N486" s="60"/>
      <c r="O486" s="60"/>
      <c r="P486" s="60"/>
    </row>
    <row r="487" spans="2:16" ht="13" hidden="1" outlineLevel="1" x14ac:dyDescent="0.25">
      <c r="B487" s="74"/>
      <c r="C487" s="148"/>
      <c r="D487" s="76" t="str">
        <f t="shared" si="0"/>
        <v>kg</v>
      </c>
      <c r="E487" s="77"/>
      <c r="F487" s="82"/>
      <c r="G487" s="82"/>
      <c r="H487" s="82"/>
      <c r="N487" s="60"/>
      <c r="O487" s="60"/>
      <c r="P487" s="60"/>
    </row>
    <row r="488" spans="2:16" ht="13" hidden="1" outlineLevel="1" x14ac:dyDescent="0.25">
      <c r="B488" s="74"/>
      <c r="C488" s="148"/>
      <c r="D488" s="76" t="str">
        <f t="shared" si="0"/>
        <v>kg</v>
      </c>
      <c r="E488" s="77"/>
      <c r="F488" s="82"/>
      <c r="G488" s="82"/>
      <c r="H488" s="82"/>
      <c r="N488" s="60"/>
      <c r="O488" s="60"/>
      <c r="P488" s="60"/>
    </row>
    <row r="489" spans="2:16" ht="13" hidden="1" outlineLevel="1" x14ac:dyDescent="0.25">
      <c r="B489" s="74"/>
      <c r="C489" s="148"/>
      <c r="D489" s="76" t="str">
        <f t="shared" si="0"/>
        <v>kg</v>
      </c>
      <c r="E489" s="77"/>
      <c r="F489" s="82"/>
      <c r="G489" s="82"/>
      <c r="H489" s="82"/>
      <c r="N489" s="60"/>
      <c r="O489" s="60"/>
      <c r="P489" s="60"/>
    </row>
    <row r="490" spans="2:16" ht="13" hidden="1" outlineLevel="1" x14ac:dyDescent="0.25">
      <c r="B490" s="74"/>
      <c r="C490" s="148"/>
      <c r="D490" s="76" t="str">
        <f t="shared" si="0"/>
        <v>kg</v>
      </c>
      <c r="E490" s="77"/>
      <c r="F490" s="82"/>
      <c r="G490" s="82"/>
      <c r="H490" s="82"/>
      <c r="N490" s="60"/>
      <c r="O490" s="60"/>
      <c r="P490" s="60"/>
    </row>
    <row r="491" spans="2:16" ht="13" hidden="1" outlineLevel="1" x14ac:dyDescent="0.25">
      <c r="B491" s="74"/>
      <c r="C491" s="148"/>
      <c r="D491" s="76" t="str">
        <f t="shared" si="0"/>
        <v>kg</v>
      </c>
      <c r="E491" s="77"/>
      <c r="F491" s="82"/>
      <c r="G491" s="82"/>
      <c r="H491" s="82"/>
      <c r="N491" s="60"/>
      <c r="O491" s="60"/>
      <c r="P491" s="60"/>
    </row>
    <row r="492" spans="2:16" ht="13" hidden="1" outlineLevel="1" x14ac:dyDescent="0.25">
      <c r="B492" s="74"/>
      <c r="C492" s="148"/>
      <c r="D492" s="76" t="str">
        <f t="shared" si="0"/>
        <v>kg</v>
      </c>
      <c r="E492" s="77"/>
      <c r="F492" s="82"/>
      <c r="G492" s="82"/>
      <c r="H492" s="82"/>
      <c r="N492" s="60"/>
      <c r="O492" s="60"/>
      <c r="P492" s="60"/>
    </row>
    <row r="493" spans="2:16" ht="13" hidden="1" outlineLevel="1" x14ac:dyDescent="0.25">
      <c r="B493" s="74"/>
      <c r="C493" s="148"/>
      <c r="D493" s="76" t="str">
        <f t="shared" si="0"/>
        <v>kg</v>
      </c>
      <c r="E493" s="77"/>
      <c r="F493" s="82"/>
      <c r="G493" s="82"/>
      <c r="H493" s="82"/>
      <c r="N493" s="60"/>
      <c r="O493" s="60"/>
      <c r="P493" s="60"/>
    </row>
    <row r="494" spans="2:16" ht="13" hidden="1" outlineLevel="1" x14ac:dyDescent="0.25">
      <c r="B494" s="74"/>
      <c r="C494" s="148"/>
      <c r="D494" s="76" t="str">
        <f t="shared" si="0"/>
        <v>kg</v>
      </c>
      <c r="E494" s="77"/>
      <c r="F494" s="82"/>
      <c r="G494" s="82"/>
      <c r="H494" s="82"/>
      <c r="N494" s="60"/>
      <c r="O494" s="60"/>
      <c r="P494" s="60"/>
    </row>
    <row r="495" spans="2:16" ht="13.4" hidden="1" customHeight="1" outlineLevel="1" x14ac:dyDescent="0.25">
      <c r="B495" s="79"/>
      <c r="C495" s="147"/>
      <c r="D495" s="81"/>
      <c r="E495" s="77"/>
      <c r="F495" s="82"/>
      <c r="G495" s="82"/>
      <c r="H495" s="82"/>
      <c r="K495" s="34"/>
      <c r="N495" s="60"/>
      <c r="O495" s="60"/>
      <c r="P495" s="60"/>
    </row>
    <row r="496" spans="2:16" ht="13" hidden="1" outlineLevel="1" x14ac:dyDescent="0.25">
      <c r="B496" s="86" t="s">
        <v>7</v>
      </c>
      <c r="C496" s="149">
        <f>SUM(C481:C494)</f>
        <v>0</v>
      </c>
      <c r="D496" s="88" t="str">
        <f>D$472</f>
        <v>kg</v>
      </c>
      <c r="E496" s="77"/>
      <c r="F496" s="82"/>
      <c r="G496" s="82"/>
      <c r="H496" s="82"/>
      <c r="N496" s="60"/>
      <c r="O496" s="60"/>
      <c r="P496" s="60"/>
    </row>
    <row r="497" spans="2:16" ht="13" hidden="1" outlineLevel="1" x14ac:dyDescent="0.25">
      <c r="B497" s="79" t="s">
        <v>71</v>
      </c>
      <c r="C497" s="150"/>
      <c r="D497" s="81"/>
      <c r="E497" s="77"/>
      <c r="F497" s="82"/>
      <c r="G497" s="82"/>
      <c r="H497" s="82"/>
      <c r="N497" s="60"/>
      <c r="O497" s="60"/>
      <c r="P497" s="60"/>
    </row>
    <row r="498" spans="2:16" ht="13" hidden="1" outlineLevel="1" x14ac:dyDescent="0.25">
      <c r="B498" s="74"/>
      <c r="C498" s="148"/>
      <c r="D498" s="76" t="str">
        <f t="shared" ref="D498:D505" si="1">D$472</f>
        <v>kg</v>
      </c>
      <c r="E498" s="77"/>
      <c r="F498" s="82"/>
      <c r="G498" s="82"/>
      <c r="H498" s="82"/>
      <c r="N498" s="60"/>
      <c r="O498" s="60"/>
      <c r="P498" s="60"/>
    </row>
    <row r="499" spans="2:16" ht="13" hidden="1" outlineLevel="1" x14ac:dyDescent="0.25">
      <c r="B499" s="74"/>
      <c r="C499" s="148"/>
      <c r="D499" s="76" t="str">
        <f>D$472</f>
        <v>kg</v>
      </c>
      <c r="E499" s="77"/>
      <c r="F499" s="82"/>
      <c r="G499" s="82"/>
      <c r="H499" s="82"/>
      <c r="N499" s="60"/>
      <c r="O499" s="60"/>
      <c r="P499" s="60"/>
    </row>
    <row r="500" spans="2:16" ht="13" hidden="1" outlineLevel="1" x14ac:dyDescent="0.25">
      <c r="B500" s="74"/>
      <c r="C500" s="148"/>
      <c r="D500" s="76" t="str">
        <f>D$472</f>
        <v>kg</v>
      </c>
      <c r="E500" s="77"/>
      <c r="F500" s="82"/>
      <c r="G500" s="82"/>
      <c r="H500" s="82"/>
      <c r="N500" s="60"/>
      <c r="O500" s="60"/>
      <c r="P500" s="60"/>
    </row>
    <row r="501" spans="2:16" ht="13" hidden="1" outlineLevel="1" x14ac:dyDescent="0.25">
      <c r="B501" s="74"/>
      <c r="C501" s="148"/>
      <c r="D501" s="76" t="str">
        <f t="shared" si="1"/>
        <v>kg</v>
      </c>
      <c r="E501" s="77"/>
      <c r="F501" s="82"/>
      <c r="G501" s="82"/>
      <c r="H501" s="82"/>
      <c r="N501" s="60"/>
      <c r="O501" s="60"/>
      <c r="P501" s="60"/>
    </row>
    <row r="502" spans="2:16" ht="13" hidden="1" outlineLevel="1" x14ac:dyDescent="0.25">
      <c r="B502" s="74"/>
      <c r="C502" s="148"/>
      <c r="D502" s="76" t="str">
        <f t="shared" si="1"/>
        <v>kg</v>
      </c>
      <c r="E502" s="77"/>
      <c r="F502" s="82"/>
      <c r="G502" s="82"/>
      <c r="H502" s="82"/>
      <c r="N502" s="60"/>
      <c r="O502" s="60"/>
      <c r="P502" s="60"/>
    </row>
    <row r="503" spans="2:16" ht="13" hidden="1" outlineLevel="1" x14ac:dyDescent="0.25">
      <c r="B503" s="74"/>
      <c r="C503" s="148"/>
      <c r="D503" s="76" t="str">
        <f t="shared" si="1"/>
        <v>kg</v>
      </c>
      <c r="E503" s="77"/>
      <c r="F503" s="82"/>
      <c r="G503" s="82"/>
      <c r="H503" s="82"/>
      <c r="N503" s="60"/>
      <c r="O503" s="60"/>
      <c r="P503" s="60"/>
    </row>
    <row r="504" spans="2:16" ht="13" hidden="1" outlineLevel="1" x14ac:dyDescent="0.25">
      <c r="B504" s="74"/>
      <c r="C504" s="148"/>
      <c r="D504" s="76" t="str">
        <f t="shared" si="1"/>
        <v>kg</v>
      </c>
      <c r="E504" s="77"/>
      <c r="F504" s="82"/>
      <c r="G504" s="82"/>
      <c r="H504" s="82"/>
      <c r="N504" s="60"/>
      <c r="O504" s="60"/>
      <c r="P504" s="60"/>
    </row>
    <row r="505" spans="2:16" ht="13" hidden="1" outlineLevel="1" x14ac:dyDescent="0.25">
      <c r="B505" s="74"/>
      <c r="C505" s="148"/>
      <c r="D505" s="76" t="str">
        <f t="shared" si="1"/>
        <v>kg</v>
      </c>
      <c r="E505" s="77"/>
      <c r="F505" s="82"/>
      <c r="G505" s="82"/>
      <c r="H505" s="82"/>
      <c r="N505" s="60"/>
      <c r="O505" s="60"/>
      <c r="P505" s="60"/>
    </row>
    <row r="506" spans="2:16" ht="13" hidden="1" outlineLevel="1" x14ac:dyDescent="0.25">
      <c r="B506" s="79" t="s">
        <v>70</v>
      </c>
      <c r="C506" s="147"/>
      <c r="D506" s="81"/>
      <c r="E506" s="90"/>
      <c r="F506" s="82"/>
      <c r="G506" s="82"/>
      <c r="H506" s="82"/>
      <c r="N506" s="60"/>
      <c r="O506" s="60"/>
      <c r="P506" s="60"/>
    </row>
    <row r="507" spans="2:16" ht="13" hidden="1" outlineLevel="1" x14ac:dyDescent="0.25">
      <c r="B507" s="74"/>
      <c r="C507" s="148"/>
      <c r="D507" s="76" t="str">
        <f t="shared" ref="D507:D513" si="2">D$472</f>
        <v>kg</v>
      </c>
      <c r="E507" s="77"/>
      <c r="F507" s="82"/>
      <c r="G507" s="82"/>
      <c r="H507" s="82"/>
      <c r="N507" s="60"/>
      <c r="O507" s="60"/>
      <c r="P507" s="60"/>
    </row>
    <row r="508" spans="2:16" ht="13" hidden="1" outlineLevel="1" x14ac:dyDescent="0.25">
      <c r="B508" s="74"/>
      <c r="C508" s="148"/>
      <c r="D508" s="76" t="str">
        <f>D$472</f>
        <v>kg</v>
      </c>
      <c r="E508" s="77"/>
      <c r="F508" s="82"/>
      <c r="G508" s="82"/>
      <c r="H508" s="82"/>
      <c r="N508" s="60"/>
      <c r="O508" s="60"/>
      <c r="P508" s="60"/>
    </row>
    <row r="509" spans="2:16" ht="13" hidden="1" outlineLevel="1" x14ac:dyDescent="0.25">
      <c r="B509" s="74"/>
      <c r="C509" s="148"/>
      <c r="D509" s="76" t="str">
        <f>D$472</f>
        <v>kg</v>
      </c>
      <c r="E509" s="77"/>
      <c r="F509" s="82"/>
      <c r="G509" s="82"/>
      <c r="H509" s="82"/>
      <c r="N509" s="60"/>
      <c r="O509" s="60"/>
      <c r="P509" s="60"/>
    </row>
    <row r="510" spans="2:16" ht="13" hidden="1" outlineLevel="1" x14ac:dyDescent="0.25">
      <c r="B510" s="74"/>
      <c r="C510" s="148"/>
      <c r="D510" s="76" t="str">
        <f>D$472</f>
        <v>kg</v>
      </c>
      <c r="E510" s="77"/>
      <c r="F510" s="82"/>
      <c r="G510" s="82"/>
      <c r="H510" s="82"/>
      <c r="N510" s="60"/>
      <c r="O510" s="60"/>
      <c r="P510" s="60"/>
    </row>
    <row r="511" spans="2:16" ht="13" hidden="1" outlineLevel="1" x14ac:dyDescent="0.25">
      <c r="B511" s="74"/>
      <c r="C511" s="148"/>
      <c r="D511" s="76" t="str">
        <f t="shared" si="2"/>
        <v>kg</v>
      </c>
      <c r="E511" s="77"/>
      <c r="F511" s="82"/>
      <c r="G511" s="82"/>
      <c r="H511" s="82"/>
      <c r="N511" s="60"/>
      <c r="O511" s="60"/>
      <c r="P511" s="60"/>
    </row>
    <row r="512" spans="2:16" ht="13" hidden="1" outlineLevel="1" x14ac:dyDescent="0.25">
      <c r="B512" s="74"/>
      <c r="C512" s="148"/>
      <c r="D512" s="76" t="str">
        <f t="shared" si="2"/>
        <v>kg</v>
      </c>
      <c r="E512" s="77"/>
      <c r="F512" s="82"/>
      <c r="G512" s="82"/>
      <c r="H512" s="82"/>
      <c r="N512" s="60"/>
      <c r="O512" s="60"/>
      <c r="P512" s="60"/>
    </row>
    <row r="513" spans="2:16" ht="13" hidden="1" outlineLevel="1" x14ac:dyDescent="0.25">
      <c r="B513" s="74"/>
      <c r="C513" s="148"/>
      <c r="D513" s="76" t="str">
        <f t="shared" si="2"/>
        <v>kg</v>
      </c>
      <c r="E513" s="77"/>
      <c r="F513" s="82"/>
      <c r="G513" s="82"/>
      <c r="H513" s="82"/>
      <c r="N513" s="60"/>
      <c r="O513" s="60"/>
      <c r="P513" s="60"/>
    </row>
    <row r="514" spans="2:16" ht="13.4" hidden="1" customHeight="1" outlineLevel="1" x14ac:dyDescent="0.25">
      <c r="B514" s="79"/>
      <c r="C514" s="147"/>
      <c r="D514" s="81"/>
      <c r="E514" s="77"/>
      <c r="F514" s="82"/>
      <c r="G514" s="82"/>
      <c r="H514" s="82"/>
      <c r="K514" s="34"/>
      <c r="N514" s="60"/>
      <c r="O514" s="60"/>
      <c r="P514" s="60"/>
    </row>
    <row r="515" spans="2:16" ht="13" hidden="1" outlineLevel="1" x14ac:dyDescent="0.25">
      <c r="B515" s="86" t="s">
        <v>9</v>
      </c>
      <c r="C515" s="149">
        <f>SUM(C496:C513)</f>
        <v>0</v>
      </c>
      <c r="D515" s="91" t="str">
        <f>D$472</f>
        <v>kg</v>
      </c>
      <c r="E515" s="77"/>
      <c r="F515" s="82"/>
      <c r="G515" s="82"/>
      <c r="H515" s="82"/>
      <c r="N515" s="60"/>
      <c r="O515" s="60"/>
      <c r="P515" s="60"/>
    </row>
    <row r="516" spans="2:16" ht="13" hidden="1" outlineLevel="1" x14ac:dyDescent="0.25">
      <c r="B516" s="92"/>
      <c r="C516" s="93"/>
      <c r="D516" s="94"/>
      <c r="E516" s="77"/>
      <c r="F516" s="82"/>
      <c r="G516" s="82"/>
      <c r="H516" s="82"/>
      <c r="N516" s="60"/>
      <c r="O516" s="60"/>
      <c r="P516" s="60"/>
    </row>
    <row r="517" spans="2:16" ht="21.65" hidden="1" customHeight="1" outlineLevel="1" thickBot="1" x14ac:dyDescent="0.3">
      <c r="B517" s="426" t="s">
        <v>10</v>
      </c>
      <c r="C517" s="427"/>
      <c r="D517" s="428"/>
      <c r="E517" s="77"/>
      <c r="F517" s="82"/>
      <c r="G517" s="82"/>
      <c r="H517" s="82"/>
      <c r="N517" s="60"/>
      <c r="O517" s="60"/>
      <c r="P517" s="60"/>
    </row>
    <row r="518" spans="2:16" ht="13" hidden="1" outlineLevel="1" x14ac:dyDescent="0.25">
      <c r="B518" s="95" t="s">
        <v>23</v>
      </c>
      <c r="C518" s="96"/>
      <c r="D518" s="151">
        <f>SUM(C482:C483)</f>
        <v>0</v>
      </c>
      <c r="E518" s="98"/>
      <c r="F518" s="82"/>
      <c r="G518" s="82"/>
      <c r="H518" s="82"/>
      <c r="N518" s="60"/>
      <c r="O518" s="60"/>
      <c r="P518" s="60"/>
    </row>
    <row r="519" spans="2:16" ht="13" hidden="1" outlineLevel="1" x14ac:dyDescent="0.25">
      <c r="B519" s="99" t="s">
        <v>24</v>
      </c>
      <c r="C519" s="100"/>
      <c r="D519" s="152">
        <f>SUM(C485:C495)</f>
        <v>0</v>
      </c>
      <c r="E519" s="98"/>
      <c r="F519" s="82"/>
      <c r="G519" s="82"/>
      <c r="H519" s="82"/>
      <c r="N519" s="60"/>
      <c r="O519" s="60"/>
      <c r="P519" s="60"/>
    </row>
    <row r="520" spans="2:16" ht="13" hidden="1" outlineLevel="1" x14ac:dyDescent="0.25">
      <c r="B520" s="99" t="s">
        <v>25</v>
      </c>
      <c r="C520" s="100"/>
      <c r="D520" s="152">
        <f>SUM(C498:C506)</f>
        <v>0</v>
      </c>
      <c r="E520" s="98"/>
      <c r="F520" s="82"/>
      <c r="G520" s="82"/>
      <c r="H520" s="82"/>
      <c r="N520" s="60"/>
      <c r="O520" s="60"/>
      <c r="P520" s="60"/>
    </row>
    <row r="521" spans="2:16" ht="15" hidden="1" customHeight="1" outlineLevel="1" thickBot="1" x14ac:dyDescent="0.3">
      <c r="B521" s="102" t="s">
        <v>26</v>
      </c>
      <c r="C521" s="103"/>
      <c r="D521" s="153">
        <f>SUM(C507:C514)</f>
        <v>0</v>
      </c>
      <c r="E521" s="98"/>
      <c r="F521" s="82"/>
      <c r="G521" s="82"/>
      <c r="H521" s="82"/>
      <c r="N521" s="60"/>
      <c r="O521" s="60"/>
      <c r="P521" s="60"/>
    </row>
    <row r="522" spans="2:16" ht="18.5" hidden="1" outlineLevel="1" thickTop="1" x14ac:dyDescent="0.25">
      <c r="B522" s="105" t="s">
        <v>11</v>
      </c>
      <c r="C522" s="106"/>
      <c r="D522" s="107" t="e">
        <f>C496/C478</f>
        <v>#DIV/0!</v>
      </c>
      <c r="E522" s="77"/>
      <c r="F522" s="110" t="s">
        <v>86</v>
      </c>
      <c r="G522" s="109" t="s">
        <v>85</v>
      </c>
      <c r="H522" s="110"/>
      <c r="N522" s="60"/>
      <c r="O522" s="60"/>
      <c r="P522" s="60"/>
    </row>
    <row r="523" spans="2:16" ht="18.5" hidden="1" outlineLevel="1" thickBot="1" x14ac:dyDescent="0.3">
      <c r="B523" s="111" t="s">
        <v>12</v>
      </c>
      <c r="C523" s="112"/>
      <c r="D523" s="113" t="e">
        <f>(D518+D519+D520)/C478</f>
        <v>#DIV/0!</v>
      </c>
      <c r="E523" s="77"/>
      <c r="F523" s="154"/>
      <c r="G523" s="413"/>
      <c r="H523" s="414"/>
      <c r="N523" s="60"/>
      <c r="O523" s="60"/>
      <c r="P523" s="60"/>
    </row>
    <row r="524" spans="2:16" ht="18" hidden="1" outlineLevel="1" x14ac:dyDescent="0.25">
      <c r="B524" s="111" t="s">
        <v>13</v>
      </c>
      <c r="C524" s="112"/>
      <c r="D524" s="113" t="e">
        <f>D520/C478</f>
        <v>#DIV/0!</v>
      </c>
      <c r="E524" s="90"/>
      <c r="F524" s="64" t="s">
        <v>45</v>
      </c>
      <c r="G524" s="64" t="s">
        <v>45</v>
      </c>
      <c r="H524" s="155"/>
      <c r="N524" s="60"/>
      <c r="O524" s="60"/>
      <c r="P524" s="60"/>
    </row>
    <row r="525" spans="2:16" ht="18" hidden="1" outlineLevel="1" x14ac:dyDescent="0.25">
      <c r="B525" s="114" t="s">
        <v>14</v>
      </c>
      <c r="C525" s="115"/>
      <c r="D525" s="116" t="e">
        <f>D521/C478</f>
        <v>#DIV/0!</v>
      </c>
      <c r="E525" s="90"/>
      <c r="F525" s="110"/>
      <c r="G525" s="117" t="s">
        <v>46</v>
      </c>
      <c r="H525" s="110"/>
      <c r="N525" s="60"/>
      <c r="O525" s="60"/>
      <c r="P525" s="60"/>
    </row>
    <row r="526" spans="2:16" ht="18.5" hidden="1" outlineLevel="1" thickBot="1" x14ac:dyDescent="0.3">
      <c r="B526" s="114" t="s">
        <v>15</v>
      </c>
      <c r="C526" s="119"/>
      <c r="D526" s="116" t="e">
        <f>SUM(D518:D521)/C478</f>
        <v>#DIV/0!</v>
      </c>
      <c r="E526" s="90"/>
      <c r="F526" s="429"/>
      <c r="G526" s="430"/>
      <c r="H526" s="431"/>
      <c r="N526" s="60"/>
      <c r="O526" s="60"/>
      <c r="P526" s="60"/>
    </row>
    <row r="527" spans="2:16" ht="18.5" hidden="1" outlineLevel="1" thickTop="1" x14ac:dyDescent="0.25">
      <c r="B527" s="120" t="s">
        <v>16</v>
      </c>
      <c r="C527" s="121"/>
      <c r="D527" s="122" t="e">
        <f>((C482*D460)+D519+C483*MAX(1,F483))/C478</f>
        <v>#DIV/0!</v>
      </c>
      <c r="E527" s="77"/>
      <c r="F527" s="64" t="s">
        <v>45</v>
      </c>
      <c r="G527" s="64"/>
      <c r="H527" s="82"/>
      <c r="N527" s="60"/>
      <c r="O527" s="60"/>
      <c r="P527" s="60"/>
    </row>
    <row r="528" spans="2:16" ht="18" hidden="1" outlineLevel="1" x14ac:dyDescent="0.25">
      <c r="B528" s="123" t="s">
        <v>17</v>
      </c>
      <c r="C528" s="124"/>
      <c r="D528" s="125" t="e">
        <f>(C482*D461+D519+D520+C483*(MAX(1,F483)+G483))/C478</f>
        <v>#DIV/0!</v>
      </c>
      <c r="E528" s="77"/>
      <c r="F528" s="82"/>
      <c r="G528" s="82"/>
      <c r="H528" s="82"/>
      <c r="N528" s="60"/>
      <c r="O528" s="60"/>
      <c r="P528" s="60"/>
    </row>
    <row r="529" spans="2:16" ht="18" hidden="1" customHeight="1" outlineLevel="1" x14ac:dyDescent="0.25">
      <c r="B529" s="123" t="s">
        <v>18</v>
      </c>
      <c r="C529" s="124"/>
      <c r="D529" s="125" t="e">
        <f>((C482*D462)+D520+C483*G483)/C478</f>
        <v>#DIV/0!</v>
      </c>
      <c r="E529" s="77"/>
      <c r="F529" s="415" t="s">
        <v>61</v>
      </c>
      <c r="G529" s="416"/>
      <c r="H529" s="416"/>
      <c r="N529" s="60"/>
      <c r="O529" s="60"/>
      <c r="P529" s="60"/>
    </row>
    <row r="530" spans="2:16" ht="18" hidden="1" outlineLevel="1" x14ac:dyDescent="0.25">
      <c r="B530" s="126" t="s">
        <v>19</v>
      </c>
      <c r="C530" s="127"/>
      <c r="D530" s="128" t="e">
        <f>(C482*D463+D521+C483*H483)/C478</f>
        <v>#DIV/0!</v>
      </c>
      <c r="E530" s="77"/>
      <c r="F530" s="416"/>
      <c r="G530" s="416"/>
      <c r="H530" s="416"/>
      <c r="N530" s="60"/>
      <c r="O530" s="60"/>
      <c r="P530" s="60"/>
    </row>
    <row r="531" spans="2:16" ht="18.5" hidden="1" outlineLevel="1" thickBot="1" x14ac:dyDescent="0.3">
      <c r="B531" s="129" t="s">
        <v>20</v>
      </c>
      <c r="C531" s="130"/>
      <c r="D531" s="131" t="e">
        <f>((C482*D464)+SUM(D519:D521)+C483*(MAX(1,F483)+G483+H483))/C478</f>
        <v>#DIV/0!</v>
      </c>
      <c r="E531" s="77"/>
      <c r="F531" s="416"/>
      <c r="G531" s="416"/>
      <c r="H531" s="416"/>
      <c r="N531" s="60"/>
      <c r="O531" s="60"/>
      <c r="P531" s="60"/>
    </row>
    <row r="532" spans="2:16" ht="13" hidden="1" outlineLevel="1" thickTop="1" x14ac:dyDescent="0.25">
      <c r="B532" s="156" t="s">
        <v>76</v>
      </c>
      <c r="C532" s="424"/>
      <c r="D532" s="425"/>
      <c r="F532" s="416"/>
      <c r="G532" s="416"/>
      <c r="H532" s="416"/>
      <c r="N532" s="60"/>
      <c r="O532" s="60"/>
      <c r="P532" s="60"/>
    </row>
    <row r="533" spans="2:16" hidden="1" outlineLevel="1" x14ac:dyDescent="0.25">
      <c r="B533" s="157" t="s">
        <v>58</v>
      </c>
      <c r="C533" s="422"/>
      <c r="D533" s="423"/>
      <c r="F533" s="416"/>
      <c r="G533" s="416"/>
      <c r="H533" s="416"/>
      <c r="N533" s="60"/>
      <c r="O533" s="60"/>
      <c r="P533" s="60"/>
    </row>
    <row r="534" spans="2:16" ht="13" hidden="1" outlineLevel="1" thickBot="1" x14ac:dyDescent="0.3">
      <c r="B534" s="158" t="s">
        <v>59</v>
      </c>
      <c r="C534" s="420"/>
      <c r="D534" s="421"/>
      <c r="F534" s="416"/>
      <c r="G534" s="416"/>
      <c r="H534" s="416"/>
      <c r="N534" s="60"/>
      <c r="O534" s="60"/>
      <c r="P534" s="60"/>
    </row>
    <row r="535" spans="2:16" ht="13" hidden="1" outlineLevel="1" x14ac:dyDescent="0.25">
      <c r="F535" s="34"/>
      <c r="G535" s="34"/>
      <c r="H535" s="34"/>
      <c r="N535" s="60"/>
      <c r="O535" s="60"/>
      <c r="P535" s="60"/>
    </row>
    <row r="536" spans="2:16" ht="13" hidden="1" outlineLevel="1" x14ac:dyDescent="0.25">
      <c r="C536" s="25" t="s">
        <v>44</v>
      </c>
      <c r="D536" s="25" t="s">
        <v>42</v>
      </c>
      <c r="F536" s="34"/>
      <c r="G536" s="34"/>
      <c r="H536" s="34"/>
      <c r="N536" s="60"/>
      <c r="O536" s="60"/>
      <c r="P536" s="60"/>
    </row>
    <row r="537" spans="2:16" ht="21" hidden="1" outlineLevel="1" thickTop="1" thickBot="1" x14ac:dyDescent="0.3">
      <c r="B537" s="140" t="s">
        <v>73</v>
      </c>
      <c r="C537" s="29"/>
      <c r="D537" s="141"/>
      <c r="E537" s="31"/>
      <c r="F537" s="32" t="s">
        <v>27</v>
      </c>
      <c r="G537" s="33"/>
      <c r="H537" s="33"/>
    </row>
    <row r="538" spans="2:16" ht="14.5" hidden="1" outlineLevel="1" thickBot="1" x14ac:dyDescent="0.3">
      <c r="B538" s="37"/>
      <c r="C538" s="38" t="s">
        <v>0</v>
      </c>
      <c r="D538" s="39" t="s">
        <v>1</v>
      </c>
      <c r="E538" s="40"/>
      <c r="F538" s="41" t="s">
        <v>28</v>
      </c>
      <c r="G538" s="41" t="s">
        <v>21</v>
      </c>
      <c r="H538" s="41" t="s">
        <v>8</v>
      </c>
    </row>
    <row r="539" spans="2:16" ht="13" hidden="1" outlineLevel="1" x14ac:dyDescent="0.25">
      <c r="B539" s="43" t="s">
        <v>65</v>
      </c>
      <c r="C539" s="142"/>
      <c r="D539" s="45" t="s">
        <v>2</v>
      </c>
      <c r="E539" s="46"/>
      <c r="F539" s="47"/>
      <c r="G539" s="47"/>
      <c r="H539" s="47"/>
      <c r="N539" s="60"/>
      <c r="O539" s="60"/>
      <c r="P539" s="60"/>
    </row>
    <row r="540" spans="2:16" ht="13" hidden="1" outlineLevel="1" x14ac:dyDescent="0.25">
      <c r="B540" s="43" t="s">
        <v>64</v>
      </c>
      <c r="C540" s="143"/>
      <c r="D540" s="45" t="s">
        <v>3</v>
      </c>
      <c r="E540" s="46"/>
      <c r="F540" s="47"/>
      <c r="G540" s="47"/>
      <c r="H540" s="47"/>
      <c r="N540" s="60"/>
      <c r="O540" s="60"/>
      <c r="P540" s="60"/>
    </row>
    <row r="541" spans="2:16" ht="13" hidden="1" outlineLevel="1" x14ac:dyDescent="0.25">
      <c r="B541" s="51" t="s">
        <v>63</v>
      </c>
      <c r="C541" s="144">
        <f>C539*C540</f>
        <v>0</v>
      </c>
      <c r="D541" s="45" t="str">
        <f>D539</f>
        <v>kg</v>
      </c>
      <c r="E541" s="46"/>
      <c r="F541" s="47"/>
      <c r="G541" s="47"/>
      <c r="H541" s="47"/>
      <c r="N541" s="60"/>
      <c r="O541" s="60"/>
      <c r="P541" s="60"/>
    </row>
    <row r="542" spans="2:16" ht="14" hidden="1" outlineLevel="1" x14ac:dyDescent="0.25">
      <c r="B542" s="54" t="s">
        <v>37</v>
      </c>
      <c r="C542" s="145">
        <v>1</v>
      </c>
      <c r="D542" s="56"/>
      <c r="E542" s="57"/>
      <c r="F542" s="58"/>
      <c r="G542" s="58"/>
      <c r="H542" s="58"/>
      <c r="N542" s="60"/>
      <c r="O542" s="60"/>
      <c r="P542" s="60"/>
    </row>
    <row r="543" spans="2:16" ht="13" hidden="1" outlineLevel="1" x14ac:dyDescent="0.25">
      <c r="B543" s="43" t="s">
        <v>66</v>
      </c>
      <c r="C543" s="142"/>
      <c r="D543" s="45" t="str">
        <f>D539</f>
        <v>kg</v>
      </c>
      <c r="E543" s="46"/>
      <c r="F543" s="47"/>
      <c r="G543" s="47"/>
      <c r="H543" s="47"/>
      <c r="N543" s="60"/>
      <c r="O543" s="60"/>
      <c r="P543" s="60"/>
    </row>
    <row r="544" spans="2:16" ht="13" hidden="1" outlineLevel="1" x14ac:dyDescent="0.25">
      <c r="B544" s="43" t="s">
        <v>67</v>
      </c>
      <c r="C544" s="143"/>
      <c r="D544" s="45" t="s">
        <v>3</v>
      </c>
      <c r="E544" s="59"/>
      <c r="F544" s="47"/>
      <c r="G544" s="47"/>
      <c r="H544" s="47"/>
      <c r="N544" s="60"/>
      <c r="O544" s="60"/>
      <c r="P544" s="60"/>
    </row>
    <row r="545" spans="2:16" ht="13" hidden="1" outlineLevel="1" x14ac:dyDescent="0.25">
      <c r="B545" s="51" t="s">
        <v>68</v>
      </c>
      <c r="C545" s="144">
        <f>C543*C544</f>
        <v>0</v>
      </c>
      <c r="D545" s="45" t="str">
        <f>D539</f>
        <v>kg</v>
      </c>
      <c r="E545" s="46"/>
      <c r="F545" s="47"/>
      <c r="G545" s="47"/>
      <c r="H545" s="47"/>
      <c r="N545" s="60"/>
      <c r="O545" s="60"/>
      <c r="P545" s="60"/>
    </row>
    <row r="546" spans="2:16" ht="13.5" hidden="1" outlineLevel="1" thickBot="1" x14ac:dyDescent="0.3">
      <c r="B546" s="61"/>
      <c r="C546" s="62"/>
      <c r="D546" s="63"/>
      <c r="F546" s="64"/>
      <c r="G546" s="64"/>
      <c r="H546" s="64"/>
      <c r="N546" s="60"/>
      <c r="O546" s="60"/>
      <c r="P546" s="60"/>
    </row>
    <row r="547" spans="2:16" ht="14.5" hidden="1" outlineLevel="1" thickBot="1" x14ac:dyDescent="0.3">
      <c r="B547" s="65" t="s">
        <v>5</v>
      </c>
      <c r="C547" s="66" t="s">
        <v>6</v>
      </c>
      <c r="D547" s="67" t="s">
        <v>1</v>
      </c>
      <c r="E547" s="68"/>
      <c r="F547" s="69"/>
      <c r="G547" s="69"/>
      <c r="H547" s="69"/>
      <c r="N547" s="60"/>
      <c r="O547" s="60"/>
      <c r="P547" s="60"/>
    </row>
    <row r="548" spans="2:16" ht="13" hidden="1" outlineLevel="1" x14ac:dyDescent="0.25">
      <c r="B548" s="70" t="s">
        <v>43</v>
      </c>
      <c r="C548" s="71"/>
      <c r="D548" s="72"/>
      <c r="E548" s="73"/>
      <c r="F548" s="69"/>
      <c r="G548" s="69"/>
      <c r="H548" s="69"/>
      <c r="N548" s="60"/>
      <c r="O548" s="60"/>
      <c r="P548" s="60"/>
    </row>
    <row r="549" spans="2:16" ht="13" hidden="1" outlineLevel="1" x14ac:dyDescent="0.25">
      <c r="B549" s="74"/>
      <c r="C549" s="146">
        <f>C541</f>
        <v>0</v>
      </c>
      <c r="D549" s="76" t="str">
        <f>D539</f>
        <v>kg</v>
      </c>
      <c r="E549" s="98"/>
      <c r="F549" s="69"/>
      <c r="G549" s="69"/>
      <c r="H549" s="69"/>
      <c r="N549" s="60"/>
      <c r="O549" s="60"/>
      <c r="P549" s="60"/>
    </row>
    <row r="550" spans="2:16" ht="13.5" hidden="1" outlineLevel="1" thickBot="1" x14ac:dyDescent="0.3">
      <c r="B550" s="74"/>
      <c r="C550" s="146"/>
      <c r="D550" s="76" t="str">
        <f>D539</f>
        <v>kg</v>
      </c>
      <c r="E550" s="77"/>
      <c r="F550" s="78"/>
      <c r="G550" s="78"/>
      <c r="H550" s="78"/>
      <c r="N550" s="60"/>
      <c r="O550" s="60"/>
      <c r="P550" s="60"/>
    </row>
    <row r="551" spans="2:16" ht="13" hidden="1" outlineLevel="1" x14ac:dyDescent="0.25">
      <c r="B551" s="79" t="s">
        <v>69</v>
      </c>
      <c r="C551" s="147"/>
      <c r="D551" s="81"/>
      <c r="E551" s="77"/>
      <c r="F551" s="82"/>
      <c r="G551" s="82"/>
      <c r="H551" s="82"/>
      <c r="N551" s="60"/>
      <c r="O551" s="60"/>
      <c r="P551" s="60"/>
    </row>
    <row r="552" spans="2:16" ht="13" hidden="1" outlineLevel="1" x14ac:dyDescent="0.25">
      <c r="B552" s="74"/>
      <c r="C552" s="148"/>
      <c r="D552" s="76" t="str">
        <f>D539</f>
        <v>kg</v>
      </c>
      <c r="E552" s="77"/>
      <c r="F552" s="82"/>
      <c r="G552" s="82"/>
      <c r="H552" s="82"/>
      <c r="N552" s="60"/>
      <c r="O552" s="60"/>
      <c r="P552" s="60"/>
    </row>
    <row r="553" spans="2:16" ht="13" hidden="1" outlineLevel="1" x14ac:dyDescent="0.25">
      <c r="B553" s="74"/>
      <c r="C553" s="148"/>
      <c r="D553" s="76" t="str">
        <f>D539</f>
        <v>kg</v>
      </c>
      <c r="E553" s="77"/>
      <c r="F553" s="82"/>
      <c r="G553" s="82"/>
      <c r="H553" s="82"/>
      <c r="N553" s="60"/>
      <c r="O553" s="60"/>
      <c r="P553" s="60"/>
    </row>
    <row r="554" spans="2:16" ht="13" hidden="1" outlineLevel="1" x14ac:dyDescent="0.25">
      <c r="B554" s="74"/>
      <c r="C554" s="148"/>
      <c r="D554" s="76" t="str">
        <f>D539</f>
        <v>kg</v>
      </c>
      <c r="E554" s="77"/>
      <c r="F554" s="82"/>
      <c r="G554" s="82"/>
      <c r="H554" s="82"/>
      <c r="N554" s="60"/>
      <c r="O554" s="60"/>
      <c r="P554" s="60"/>
    </row>
    <row r="555" spans="2:16" ht="13" hidden="1" outlineLevel="1" x14ac:dyDescent="0.25">
      <c r="B555" s="74"/>
      <c r="C555" s="148"/>
      <c r="D555" s="76" t="str">
        <f>D539</f>
        <v>kg</v>
      </c>
      <c r="E555" s="77"/>
      <c r="F555" s="82"/>
      <c r="G555" s="82"/>
      <c r="H555" s="82"/>
      <c r="N555" s="60"/>
      <c r="O555" s="60"/>
      <c r="P555" s="60"/>
    </row>
    <row r="556" spans="2:16" ht="13" hidden="1" outlineLevel="1" x14ac:dyDescent="0.25">
      <c r="B556" s="74"/>
      <c r="C556" s="148"/>
      <c r="D556" s="76" t="str">
        <f>D539</f>
        <v>kg</v>
      </c>
      <c r="E556" s="77"/>
      <c r="F556" s="82"/>
      <c r="G556" s="82"/>
      <c r="H556" s="82"/>
      <c r="N556" s="60"/>
      <c r="O556" s="60"/>
      <c r="P556" s="60"/>
    </row>
    <row r="557" spans="2:16" ht="13" hidden="1" outlineLevel="1" x14ac:dyDescent="0.25">
      <c r="B557" s="74"/>
      <c r="C557" s="148"/>
      <c r="D557" s="76" t="str">
        <f>D539</f>
        <v>kg</v>
      </c>
      <c r="E557" s="77"/>
      <c r="F557" s="82"/>
      <c r="G557" s="82"/>
      <c r="H557" s="82"/>
      <c r="N557" s="60"/>
      <c r="O557" s="60"/>
      <c r="P557" s="60"/>
    </row>
    <row r="558" spans="2:16" ht="13" hidden="1" outlineLevel="1" x14ac:dyDescent="0.25">
      <c r="B558" s="74"/>
      <c r="C558" s="148"/>
      <c r="D558" s="76" t="str">
        <f>D539</f>
        <v>kg</v>
      </c>
      <c r="E558" s="77"/>
      <c r="F558" s="82"/>
      <c r="G558" s="82"/>
      <c r="H558" s="82"/>
      <c r="N558" s="60"/>
      <c r="O558" s="60"/>
      <c r="P558" s="60"/>
    </row>
    <row r="559" spans="2:16" ht="13" hidden="1" outlineLevel="1" x14ac:dyDescent="0.25">
      <c r="B559" s="74"/>
      <c r="C559" s="148"/>
      <c r="D559" s="76" t="str">
        <f>D539</f>
        <v>kg</v>
      </c>
      <c r="E559" s="77"/>
      <c r="F559" s="82"/>
      <c r="G559" s="82"/>
      <c r="H559" s="82"/>
      <c r="N559" s="60"/>
      <c r="O559" s="60"/>
      <c r="P559" s="60"/>
    </row>
    <row r="560" spans="2:16" ht="13" hidden="1" outlineLevel="1" x14ac:dyDescent="0.25">
      <c r="B560" s="74"/>
      <c r="C560" s="148"/>
      <c r="D560" s="76" t="str">
        <f>D539</f>
        <v>kg</v>
      </c>
      <c r="E560" s="77"/>
      <c r="F560" s="82"/>
      <c r="G560" s="82"/>
      <c r="H560" s="82"/>
      <c r="N560" s="60"/>
      <c r="O560" s="60"/>
      <c r="P560" s="60"/>
    </row>
    <row r="561" spans="2:16" ht="13" hidden="1" outlineLevel="1" x14ac:dyDescent="0.25">
      <c r="B561" s="74"/>
      <c r="C561" s="148"/>
      <c r="D561" s="76" t="str">
        <f>D539</f>
        <v>kg</v>
      </c>
      <c r="E561" s="77"/>
      <c r="F561" s="82"/>
      <c r="G561" s="82"/>
      <c r="H561" s="82"/>
      <c r="N561" s="60"/>
      <c r="O561" s="60"/>
      <c r="P561" s="60"/>
    </row>
    <row r="562" spans="2:16" ht="13.4" hidden="1" customHeight="1" outlineLevel="1" x14ac:dyDescent="0.25">
      <c r="B562" s="79"/>
      <c r="C562" s="147"/>
      <c r="D562" s="81"/>
      <c r="E562" s="77"/>
      <c r="F562" s="82"/>
      <c r="G562" s="82"/>
      <c r="H562" s="82"/>
      <c r="K562" s="34"/>
      <c r="N562" s="60"/>
      <c r="O562" s="60"/>
      <c r="P562" s="60"/>
    </row>
    <row r="563" spans="2:16" ht="13" hidden="1" outlineLevel="1" x14ac:dyDescent="0.25">
      <c r="B563" s="86" t="s">
        <v>7</v>
      </c>
      <c r="C563" s="149">
        <f>SUM(C548:C561)</f>
        <v>0</v>
      </c>
      <c r="D563" s="88" t="str">
        <f>D539</f>
        <v>kg</v>
      </c>
      <c r="E563" s="77"/>
      <c r="F563" s="82"/>
      <c r="G563" s="82"/>
      <c r="H563" s="82"/>
      <c r="N563" s="60"/>
      <c r="O563" s="60"/>
      <c r="P563" s="60"/>
    </row>
    <row r="564" spans="2:16" ht="13" hidden="1" outlineLevel="1" x14ac:dyDescent="0.25">
      <c r="B564" s="79" t="s">
        <v>71</v>
      </c>
      <c r="C564" s="150"/>
      <c r="D564" s="81"/>
      <c r="E564" s="77"/>
      <c r="F564" s="82"/>
      <c r="G564" s="82"/>
      <c r="H564" s="82"/>
      <c r="N564" s="60"/>
      <c r="O564" s="60"/>
      <c r="P564" s="60"/>
    </row>
    <row r="565" spans="2:16" ht="13" hidden="1" outlineLevel="1" x14ac:dyDescent="0.25">
      <c r="B565" s="74"/>
      <c r="C565" s="148"/>
      <c r="D565" s="76" t="str">
        <f>D539</f>
        <v>kg</v>
      </c>
      <c r="E565" s="77"/>
      <c r="F565" s="82"/>
      <c r="G565" s="82"/>
      <c r="H565" s="82"/>
      <c r="N565" s="60"/>
      <c r="O565" s="60"/>
      <c r="P565" s="60"/>
    </row>
    <row r="566" spans="2:16" ht="13" hidden="1" outlineLevel="1" x14ac:dyDescent="0.25">
      <c r="B566" s="74"/>
      <c r="C566" s="148"/>
      <c r="D566" s="76" t="str">
        <f>D539</f>
        <v>kg</v>
      </c>
      <c r="E566" s="77"/>
      <c r="F566" s="82"/>
      <c r="G566" s="82"/>
      <c r="H566" s="82"/>
      <c r="N566" s="60"/>
      <c r="O566" s="60"/>
      <c r="P566" s="60"/>
    </row>
    <row r="567" spans="2:16" ht="13" hidden="1" outlineLevel="1" x14ac:dyDescent="0.25">
      <c r="B567" s="74"/>
      <c r="C567" s="148"/>
      <c r="D567" s="76" t="str">
        <f>D539</f>
        <v>kg</v>
      </c>
      <c r="E567" s="77"/>
      <c r="F567" s="82"/>
      <c r="G567" s="82"/>
      <c r="H567" s="82"/>
      <c r="N567" s="60"/>
      <c r="O567" s="60"/>
      <c r="P567" s="60"/>
    </row>
    <row r="568" spans="2:16" ht="13" hidden="1" outlineLevel="1" x14ac:dyDescent="0.25">
      <c r="B568" s="74"/>
      <c r="C568" s="148"/>
      <c r="D568" s="76" t="str">
        <f>D539</f>
        <v>kg</v>
      </c>
      <c r="E568" s="77"/>
      <c r="F568" s="82"/>
      <c r="G568" s="82"/>
      <c r="H568" s="82"/>
      <c r="N568" s="60"/>
      <c r="O568" s="60"/>
      <c r="P568" s="60"/>
    </row>
    <row r="569" spans="2:16" ht="13" hidden="1" outlineLevel="1" x14ac:dyDescent="0.25">
      <c r="B569" s="74"/>
      <c r="C569" s="148"/>
      <c r="D569" s="76" t="str">
        <f>D539</f>
        <v>kg</v>
      </c>
      <c r="E569" s="77"/>
      <c r="F569" s="82"/>
      <c r="G569" s="82"/>
      <c r="H569" s="82"/>
      <c r="N569" s="60"/>
      <c r="O569" s="60"/>
      <c r="P569" s="60"/>
    </row>
    <row r="570" spans="2:16" ht="13" hidden="1" outlineLevel="1" x14ac:dyDescent="0.25">
      <c r="B570" s="74"/>
      <c r="C570" s="148"/>
      <c r="D570" s="76" t="str">
        <f>D539</f>
        <v>kg</v>
      </c>
      <c r="E570" s="77"/>
      <c r="F570" s="82"/>
      <c r="G570" s="82"/>
      <c r="H570" s="82"/>
      <c r="N570" s="60"/>
      <c r="O570" s="60"/>
      <c r="P570" s="60"/>
    </row>
    <row r="571" spans="2:16" ht="13" hidden="1" outlineLevel="1" x14ac:dyDescent="0.25">
      <c r="B571" s="74"/>
      <c r="C571" s="148"/>
      <c r="D571" s="76" t="str">
        <f>D539</f>
        <v>kg</v>
      </c>
      <c r="E571" s="77"/>
      <c r="F571" s="82"/>
      <c r="G571" s="82"/>
      <c r="H571" s="82"/>
      <c r="N571" s="60"/>
      <c r="O571" s="60"/>
      <c r="P571" s="60"/>
    </row>
    <row r="572" spans="2:16" ht="13" hidden="1" outlineLevel="1" x14ac:dyDescent="0.25">
      <c r="B572" s="74"/>
      <c r="C572" s="148"/>
      <c r="D572" s="76" t="str">
        <f>D539</f>
        <v>kg</v>
      </c>
      <c r="E572" s="77"/>
      <c r="F572" s="82"/>
      <c r="G572" s="82"/>
      <c r="H572" s="82"/>
      <c r="N572" s="60"/>
      <c r="O572" s="60"/>
      <c r="P572" s="60"/>
    </row>
    <row r="573" spans="2:16" ht="13" hidden="1" outlineLevel="1" x14ac:dyDescent="0.25">
      <c r="B573" s="79" t="s">
        <v>70</v>
      </c>
      <c r="C573" s="147"/>
      <c r="D573" s="81"/>
      <c r="E573" s="90"/>
      <c r="F573" s="82"/>
      <c r="G573" s="82"/>
      <c r="H573" s="82"/>
      <c r="N573" s="60"/>
      <c r="O573" s="60"/>
      <c r="P573" s="60"/>
    </row>
    <row r="574" spans="2:16" ht="13" hidden="1" outlineLevel="1" x14ac:dyDescent="0.25">
      <c r="B574" s="74"/>
      <c r="C574" s="148"/>
      <c r="D574" s="76" t="str">
        <f>D539</f>
        <v>kg</v>
      </c>
      <c r="E574" s="77"/>
      <c r="F574" s="82"/>
      <c r="G574" s="82"/>
      <c r="H574" s="82"/>
      <c r="N574" s="60"/>
      <c r="O574" s="60"/>
      <c r="P574" s="60"/>
    </row>
    <row r="575" spans="2:16" ht="13" hidden="1" outlineLevel="1" x14ac:dyDescent="0.25">
      <c r="B575" s="74"/>
      <c r="C575" s="148"/>
      <c r="D575" s="76" t="str">
        <f>D539</f>
        <v>kg</v>
      </c>
      <c r="E575" s="77"/>
      <c r="F575" s="82"/>
      <c r="G575" s="82"/>
      <c r="H575" s="82"/>
      <c r="N575" s="60"/>
      <c r="O575" s="60"/>
      <c r="P575" s="60"/>
    </row>
    <row r="576" spans="2:16" ht="13" hidden="1" outlineLevel="1" x14ac:dyDescent="0.25">
      <c r="B576" s="74"/>
      <c r="C576" s="148"/>
      <c r="D576" s="76" t="str">
        <f>D539</f>
        <v>kg</v>
      </c>
      <c r="E576" s="77"/>
      <c r="F576" s="82"/>
      <c r="G576" s="82"/>
      <c r="H576" s="82"/>
      <c r="N576" s="60"/>
      <c r="O576" s="60"/>
      <c r="P576" s="60"/>
    </row>
    <row r="577" spans="2:16" ht="13" hidden="1" outlineLevel="1" x14ac:dyDescent="0.25">
      <c r="B577" s="74"/>
      <c r="C577" s="148"/>
      <c r="D577" s="76" t="str">
        <f>D539</f>
        <v>kg</v>
      </c>
      <c r="E577" s="77"/>
      <c r="F577" s="82"/>
      <c r="G577" s="82"/>
      <c r="H577" s="82"/>
      <c r="N577" s="60"/>
      <c r="O577" s="60"/>
      <c r="P577" s="60"/>
    </row>
    <row r="578" spans="2:16" ht="13" hidden="1" outlineLevel="1" x14ac:dyDescent="0.25">
      <c r="B578" s="74"/>
      <c r="C578" s="148"/>
      <c r="D578" s="76" t="str">
        <f>D539</f>
        <v>kg</v>
      </c>
      <c r="E578" s="77"/>
      <c r="F578" s="82"/>
      <c r="G578" s="82"/>
      <c r="H578" s="82"/>
      <c r="N578" s="60"/>
      <c r="O578" s="60"/>
      <c r="P578" s="60"/>
    </row>
    <row r="579" spans="2:16" ht="13" hidden="1" outlineLevel="1" x14ac:dyDescent="0.25">
      <c r="B579" s="74"/>
      <c r="C579" s="148"/>
      <c r="D579" s="76" t="str">
        <f>D539</f>
        <v>kg</v>
      </c>
      <c r="E579" s="77"/>
      <c r="F579" s="82"/>
      <c r="G579" s="82"/>
      <c r="H579" s="82"/>
      <c r="N579" s="60"/>
      <c r="O579" s="60"/>
      <c r="P579" s="60"/>
    </row>
    <row r="580" spans="2:16" ht="13" hidden="1" outlineLevel="1" x14ac:dyDescent="0.25">
      <c r="B580" s="74"/>
      <c r="C580" s="148"/>
      <c r="D580" s="76" t="str">
        <f>D539</f>
        <v>kg</v>
      </c>
      <c r="E580" s="77"/>
      <c r="F580" s="82"/>
      <c r="G580" s="82"/>
      <c r="H580" s="82"/>
      <c r="N580" s="60"/>
      <c r="O580" s="60"/>
      <c r="P580" s="60"/>
    </row>
    <row r="581" spans="2:16" ht="13.4" hidden="1" customHeight="1" outlineLevel="1" x14ac:dyDescent="0.25">
      <c r="B581" s="79"/>
      <c r="C581" s="147"/>
      <c r="D581" s="81"/>
      <c r="E581" s="77"/>
      <c r="F581" s="82"/>
      <c r="G581" s="82"/>
      <c r="H581" s="82"/>
      <c r="K581" s="34"/>
      <c r="N581" s="60"/>
      <c r="O581" s="60"/>
      <c r="P581" s="60"/>
    </row>
    <row r="582" spans="2:16" ht="13" hidden="1" outlineLevel="1" x14ac:dyDescent="0.25">
      <c r="B582" s="86" t="s">
        <v>9</v>
      </c>
      <c r="C582" s="149">
        <f>SUM(C563:C580)</f>
        <v>0</v>
      </c>
      <c r="D582" s="91" t="str">
        <f>D539</f>
        <v>kg</v>
      </c>
      <c r="E582" s="77"/>
      <c r="F582" s="82"/>
      <c r="G582" s="82"/>
      <c r="H582" s="82"/>
      <c r="N582" s="60"/>
      <c r="O582" s="60"/>
      <c r="P582" s="60"/>
    </row>
    <row r="583" spans="2:16" ht="13" hidden="1" outlineLevel="1" x14ac:dyDescent="0.25">
      <c r="B583" s="92"/>
      <c r="C583" s="93"/>
      <c r="D583" s="94"/>
      <c r="E583" s="77"/>
      <c r="F583" s="82"/>
      <c r="G583" s="82"/>
      <c r="H583" s="82"/>
      <c r="N583" s="60"/>
      <c r="O583" s="60"/>
      <c r="P583" s="60"/>
    </row>
    <row r="584" spans="2:16" ht="20.5" hidden="1" outlineLevel="1" thickBot="1" x14ac:dyDescent="0.3">
      <c r="B584" s="426" t="s">
        <v>10</v>
      </c>
      <c r="C584" s="427"/>
      <c r="D584" s="428"/>
      <c r="E584" s="77"/>
      <c r="F584" s="82"/>
      <c r="G584" s="82"/>
      <c r="H584" s="82"/>
      <c r="N584" s="60"/>
      <c r="O584" s="60"/>
      <c r="P584" s="60"/>
    </row>
    <row r="585" spans="2:16" ht="13" hidden="1" outlineLevel="1" x14ac:dyDescent="0.25">
      <c r="B585" s="95" t="s">
        <v>23</v>
      </c>
      <c r="C585" s="96"/>
      <c r="D585" s="151">
        <f>SUM(C549:C550)</f>
        <v>0</v>
      </c>
      <c r="E585" s="98"/>
      <c r="F585" s="82"/>
      <c r="G585" s="82"/>
      <c r="H585" s="82"/>
      <c r="N585" s="60"/>
      <c r="O585" s="60"/>
      <c r="P585" s="60"/>
    </row>
    <row r="586" spans="2:16" ht="13" hidden="1" outlineLevel="1" x14ac:dyDescent="0.25">
      <c r="B586" s="99" t="s">
        <v>24</v>
      </c>
      <c r="C586" s="100"/>
      <c r="D586" s="152">
        <f>SUM(C552:C562)</f>
        <v>0</v>
      </c>
      <c r="E586" s="98"/>
      <c r="F586" s="82"/>
      <c r="G586" s="82"/>
      <c r="H586" s="82"/>
      <c r="N586" s="60"/>
      <c r="O586" s="60"/>
      <c r="P586" s="60"/>
    </row>
    <row r="587" spans="2:16" ht="13" hidden="1" outlineLevel="1" x14ac:dyDescent="0.25">
      <c r="B587" s="99" t="s">
        <v>25</v>
      </c>
      <c r="C587" s="100"/>
      <c r="D587" s="152">
        <f>SUM(C565:C573)</f>
        <v>0</v>
      </c>
      <c r="E587" s="98"/>
      <c r="F587" s="82"/>
      <c r="G587" s="82"/>
      <c r="H587" s="82"/>
      <c r="N587" s="60"/>
      <c r="O587" s="60"/>
      <c r="P587" s="60"/>
    </row>
    <row r="588" spans="2:16" ht="13" hidden="1" outlineLevel="1" x14ac:dyDescent="0.25">
      <c r="B588" s="102" t="s">
        <v>26</v>
      </c>
      <c r="C588" s="103"/>
      <c r="D588" s="153">
        <f>SUM(C574:C581)</f>
        <v>0</v>
      </c>
      <c r="E588" s="98"/>
      <c r="F588" s="82"/>
      <c r="G588" s="82"/>
      <c r="H588" s="82"/>
      <c r="N588" s="60"/>
      <c r="O588" s="60"/>
      <c r="P588" s="60"/>
    </row>
    <row r="589" spans="2:16" ht="18.5" hidden="1" outlineLevel="1" thickTop="1" x14ac:dyDescent="0.25">
      <c r="B589" s="105" t="s">
        <v>11</v>
      </c>
      <c r="C589" s="106"/>
      <c r="D589" s="107" t="e">
        <f>C563/C545</f>
        <v>#DIV/0!</v>
      </c>
      <c r="E589" s="77"/>
      <c r="F589" s="110" t="s">
        <v>86</v>
      </c>
      <c r="G589" s="109" t="s">
        <v>85</v>
      </c>
      <c r="H589" s="110"/>
      <c r="N589" s="60"/>
      <c r="O589" s="60"/>
      <c r="P589" s="60"/>
    </row>
    <row r="590" spans="2:16" ht="18.5" hidden="1" outlineLevel="1" thickBot="1" x14ac:dyDescent="0.3">
      <c r="B590" s="111" t="s">
        <v>12</v>
      </c>
      <c r="C590" s="112"/>
      <c r="D590" s="113" t="e">
        <f>(D585+D586+D587)/C545</f>
        <v>#DIV/0!</v>
      </c>
      <c r="E590" s="77"/>
      <c r="F590" s="154"/>
      <c r="G590" s="413"/>
      <c r="H590" s="414"/>
      <c r="N590" s="60"/>
      <c r="O590" s="60"/>
      <c r="P590" s="60"/>
    </row>
    <row r="591" spans="2:16" ht="18" hidden="1" outlineLevel="1" x14ac:dyDescent="0.25">
      <c r="B591" s="111" t="s">
        <v>13</v>
      </c>
      <c r="C591" s="112"/>
      <c r="D591" s="113" t="e">
        <f>D587/C545</f>
        <v>#DIV/0!</v>
      </c>
      <c r="E591" s="90"/>
      <c r="F591" s="64" t="s">
        <v>45</v>
      </c>
      <c r="G591" s="64" t="s">
        <v>45</v>
      </c>
      <c r="H591" s="155"/>
      <c r="N591" s="60"/>
      <c r="O591" s="60"/>
      <c r="P591" s="60"/>
    </row>
    <row r="592" spans="2:16" ht="18" hidden="1" outlineLevel="1" x14ac:dyDescent="0.25">
      <c r="B592" s="114" t="s">
        <v>14</v>
      </c>
      <c r="C592" s="115"/>
      <c r="D592" s="116" t="e">
        <f>D588/C545</f>
        <v>#DIV/0!</v>
      </c>
      <c r="E592" s="90"/>
      <c r="F592" s="110"/>
      <c r="G592" s="117" t="s">
        <v>46</v>
      </c>
      <c r="H592" s="110"/>
      <c r="N592" s="60"/>
      <c r="O592" s="60"/>
      <c r="P592" s="60"/>
    </row>
    <row r="593" spans="2:16" ht="18.5" hidden="1" outlineLevel="1" thickBot="1" x14ac:dyDescent="0.3">
      <c r="B593" s="114" t="s">
        <v>15</v>
      </c>
      <c r="C593" s="119"/>
      <c r="D593" s="116" t="e">
        <f>SUM(D585:D588)/C545</f>
        <v>#DIV/0!</v>
      </c>
      <c r="E593" s="90"/>
      <c r="F593" s="429"/>
      <c r="G593" s="430"/>
      <c r="H593" s="431"/>
      <c r="N593" s="60"/>
      <c r="O593" s="60"/>
      <c r="P593" s="60"/>
    </row>
    <row r="594" spans="2:16" ht="18.5" hidden="1" outlineLevel="1" thickTop="1" x14ac:dyDescent="0.25">
      <c r="B594" s="120" t="s">
        <v>16</v>
      </c>
      <c r="C594" s="121"/>
      <c r="D594" s="122" t="e">
        <f>((C549*D527)+D586+C550*MAX(1,F550))/C545</f>
        <v>#DIV/0!</v>
      </c>
      <c r="E594" s="77"/>
      <c r="F594" s="64" t="s">
        <v>45</v>
      </c>
      <c r="G594" s="64"/>
      <c r="H594" s="82"/>
      <c r="N594" s="60"/>
      <c r="O594" s="60"/>
      <c r="P594" s="60"/>
    </row>
    <row r="595" spans="2:16" ht="18" hidden="1" outlineLevel="1" x14ac:dyDescent="0.25">
      <c r="B595" s="123" t="s">
        <v>17</v>
      </c>
      <c r="C595" s="124"/>
      <c r="D595" s="125" t="e">
        <f>(C549*D528+D586+D587+C550*(MAX(1,F550)+G550))/C545</f>
        <v>#DIV/0!</v>
      </c>
      <c r="E595" s="77"/>
      <c r="F595" s="82"/>
      <c r="G595" s="82"/>
      <c r="H595" s="82"/>
      <c r="N595" s="60"/>
      <c r="O595" s="60"/>
      <c r="P595" s="60"/>
    </row>
    <row r="596" spans="2:16" ht="18" hidden="1" customHeight="1" outlineLevel="1" x14ac:dyDescent="0.25">
      <c r="B596" s="123" t="s">
        <v>18</v>
      </c>
      <c r="C596" s="124"/>
      <c r="D596" s="125" t="e">
        <f>((C549*D529)+D587+C550*G550)/C545</f>
        <v>#DIV/0!</v>
      </c>
      <c r="E596" s="77"/>
      <c r="F596" s="415" t="s">
        <v>61</v>
      </c>
      <c r="G596" s="416"/>
      <c r="H596" s="416"/>
      <c r="N596" s="60"/>
      <c r="O596" s="60"/>
      <c r="P596" s="60"/>
    </row>
    <row r="597" spans="2:16" ht="18" hidden="1" outlineLevel="1" x14ac:dyDescent="0.25">
      <c r="B597" s="126" t="s">
        <v>19</v>
      </c>
      <c r="C597" s="127"/>
      <c r="D597" s="128" t="e">
        <f>(C549*D530+D588+C550*H550)/C545</f>
        <v>#DIV/0!</v>
      </c>
      <c r="E597" s="77"/>
      <c r="F597" s="416"/>
      <c r="G597" s="416"/>
      <c r="H597" s="416"/>
      <c r="N597" s="60"/>
      <c r="O597" s="60"/>
      <c r="P597" s="60"/>
    </row>
    <row r="598" spans="2:16" ht="18.5" hidden="1" outlineLevel="1" thickBot="1" x14ac:dyDescent="0.3">
      <c r="B598" s="129" t="s">
        <v>20</v>
      </c>
      <c r="C598" s="130"/>
      <c r="D598" s="131" t="e">
        <f>((C549*D531)+SUM(D586:D588)+C550*(MAX(1,F550)+G550+H550))/C545</f>
        <v>#DIV/0!</v>
      </c>
      <c r="E598" s="77"/>
      <c r="F598" s="416"/>
      <c r="G598" s="416"/>
      <c r="H598" s="416"/>
      <c r="N598" s="60"/>
      <c r="O598" s="60"/>
      <c r="P598" s="60"/>
    </row>
    <row r="599" spans="2:16" ht="13" hidden="1" outlineLevel="1" thickTop="1" x14ac:dyDescent="0.25">
      <c r="B599" s="156" t="s">
        <v>76</v>
      </c>
      <c r="C599" s="424"/>
      <c r="D599" s="425"/>
      <c r="F599" s="416"/>
      <c r="G599" s="416"/>
      <c r="H599" s="416"/>
      <c r="N599" s="60"/>
      <c r="O599" s="60"/>
      <c r="P599" s="60"/>
    </row>
    <row r="600" spans="2:16" hidden="1" outlineLevel="1" x14ac:dyDescent="0.25">
      <c r="B600" s="157" t="s">
        <v>58</v>
      </c>
      <c r="C600" s="422"/>
      <c r="D600" s="423"/>
      <c r="F600" s="416"/>
      <c r="G600" s="416"/>
      <c r="H600" s="416"/>
      <c r="N600" s="60"/>
      <c r="O600" s="60"/>
      <c r="P600" s="60"/>
    </row>
    <row r="601" spans="2:16" ht="13" hidden="1" outlineLevel="1" thickBot="1" x14ac:dyDescent="0.3">
      <c r="B601" s="158" t="s">
        <v>59</v>
      </c>
      <c r="C601" s="420"/>
      <c r="D601" s="421"/>
      <c r="F601" s="416"/>
      <c r="G601" s="416"/>
      <c r="H601" s="416"/>
      <c r="N601" s="60"/>
      <c r="O601" s="60"/>
      <c r="P601" s="60"/>
    </row>
    <row r="602" spans="2:16" hidden="1" outlineLevel="1" x14ac:dyDescent="0.25">
      <c r="N602" s="60"/>
      <c r="O602" s="60"/>
      <c r="P602" s="60"/>
    </row>
    <row r="603" spans="2:16" hidden="1" outlineLevel="1" x14ac:dyDescent="0.25">
      <c r="C603" s="25" t="s">
        <v>44</v>
      </c>
      <c r="D603" s="25" t="s">
        <v>42</v>
      </c>
      <c r="N603" s="60"/>
      <c r="O603" s="60"/>
      <c r="P603" s="60"/>
    </row>
    <row r="604" spans="2:16" ht="21" hidden="1" outlineLevel="1" thickTop="1" thickBot="1" x14ac:dyDescent="0.3">
      <c r="B604" s="140" t="s">
        <v>73</v>
      </c>
      <c r="C604" s="29"/>
      <c r="D604" s="141"/>
      <c r="E604" s="31"/>
      <c r="F604" s="32" t="s">
        <v>27</v>
      </c>
      <c r="G604" s="33"/>
      <c r="H604" s="33"/>
    </row>
    <row r="605" spans="2:16" ht="14.5" hidden="1" outlineLevel="1" thickBot="1" x14ac:dyDescent="0.3">
      <c r="B605" s="37"/>
      <c r="C605" s="38" t="s">
        <v>0</v>
      </c>
      <c r="D605" s="39" t="s">
        <v>1</v>
      </c>
      <c r="E605" s="40"/>
      <c r="F605" s="41" t="s">
        <v>28</v>
      </c>
      <c r="G605" s="41" t="s">
        <v>21</v>
      </c>
      <c r="H605" s="41" t="s">
        <v>8</v>
      </c>
    </row>
    <row r="606" spans="2:16" ht="13" hidden="1" outlineLevel="1" x14ac:dyDescent="0.25">
      <c r="B606" s="43" t="s">
        <v>65</v>
      </c>
      <c r="C606" s="142"/>
      <c r="D606" s="45" t="s">
        <v>2</v>
      </c>
      <c r="E606" s="46"/>
      <c r="F606" s="47"/>
      <c r="G606" s="47"/>
      <c r="H606" s="47"/>
      <c r="N606" s="60"/>
      <c r="O606" s="60"/>
      <c r="P606" s="60"/>
    </row>
    <row r="607" spans="2:16" ht="13" hidden="1" outlineLevel="1" x14ac:dyDescent="0.25">
      <c r="B607" s="43" t="s">
        <v>64</v>
      </c>
      <c r="C607" s="143"/>
      <c r="D607" s="45" t="s">
        <v>3</v>
      </c>
      <c r="E607" s="46"/>
      <c r="F607" s="47"/>
      <c r="G607" s="47"/>
      <c r="H607" s="47"/>
      <c r="N607" s="60"/>
      <c r="O607" s="60"/>
      <c r="P607" s="60"/>
    </row>
    <row r="608" spans="2:16" ht="13" hidden="1" outlineLevel="1" x14ac:dyDescent="0.25">
      <c r="B608" s="51" t="s">
        <v>63</v>
      </c>
      <c r="C608" s="144">
        <f>C606*C607</f>
        <v>0</v>
      </c>
      <c r="D608" s="45" t="str">
        <f>D606</f>
        <v>kg</v>
      </c>
      <c r="E608" s="46"/>
      <c r="F608" s="47"/>
      <c r="G608" s="47"/>
      <c r="H608" s="47"/>
      <c r="N608" s="60"/>
      <c r="O608" s="60"/>
      <c r="P608" s="60"/>
    </row>
    <row r="609" spans="2:16" ht="14" hidden="1" outlineLevel="1" x14ac:dyDescent="0.25">
      <c r="B609" s="54" t="s">
        <v>37</v>
      </c>
      <c r="C609" s="145">
        <v>1</v>
      </c>
      <c r="D609" s="56"/>
      <c r="E609" s="57"/>
      <c r="F609" s="58"/>
      <c r="G609" s="58"/>
      <c r="H609" s="58"/>
      <c r="N609" s="60"/>
      <c r="O609" s="60"/>
      <c r="P609" s="60"/>
    </row>
    <row r="610" spans="2:16" ht="13" hidden="1" outlineLevel="1" x14ac:dyDescent="0.25">
      <c r="B610" s="43" t="s">
        <v>66</v>
      </c>
      <c r="C610" s="142"/>
      <c r="D610" s="45" t="str">
        <f>D606</f>
        <v>kg</v>
      </c>
      <c r="E610" s="46"/>
      <c r="F610" s="47"/>
      <c r="G610" s="47"/>
      <c r="H610" s="47"/>
      <c r="N610" s="60"/>
      <c r="O610" s="60"/>
      <c r="P610" s="60"/>
    </row>
    <row r="611" spans="2:16" ht="13" hidden="1" outlineLevel="1" x14ac:dyDescent="0.25">
      <c r="B611" s="43" t="s">
        <v>67</v>
      </c>
      <c r="C611" s="143"/>
      <c r="D611" s="45" t="s">
        <v>3</v>
      </c>
      <c r="E611" s="59"/>
      <c r="F611" s="47"/>
      <c r="G611" s="47"/>
      <c r="H611" s="47"/>
      <c r="N611" s="60"/>
      <c r="O611" s="60"/>
      <c r="P611" s="60"/>
    </row>
    <row r="612" spans="2:16" ht="13" hidden="1" outlineLevel="1" x14ac:dyDescent="0.25">
      <c r="B612" s="51" t="s">
        <v>68</v>
      </c>
      <c r="C612" s="144">
        <f>C610*C611</f>
        <v>0</v>
      </c>
      <c r="D612" s="45" t="str">
        <f>D606</f>
        <v>kg</v>
      </c>
      <c r="E612" s="46"/>
      <c r="F612" s="47"/>
      <c r="G612" s="47"/>
      <c r="H612" s="47"/>
      <c r="N612" s="60"/>
      <c r="O612" s="60"/>
      <c r="P612" s="60"/>
    </row>
    <row r="613" spans="2:16" ht="13.5" hidden="1" outlineLevel="1" thickBot="1" x14ac:dyDescent="0.3">
      <c r="B613" s="61"/>
      <c r="C613" s="62"/>
      <c r="D613" s="63"/>
      <c r="F613" s="64"/>
      <c r="G613" s="64"/>
      <c r="H613" s="64"/>
      <c r="N613" s="60"/>
      <c r="O613" s="60"/>
      <c r="P613" s="60"/>
    </row>
    <row r="614" spans="2:16" ht="14.5" hidden="1" outlineLevel="1" thickBot="1" x14ac:dyDescent="0.3">
      <c r="B614" s="65" t="s">
        <v>5</v>
      </c>
      <c r="C614" s="66" t="s">
        <v>6</v>
      </c>
      <c r="D614" s="67" t="s">
        <v>1</v>
      </c>
      <c r="E614" s="68"/>
      <c r="F614" s="69"/>
      <c r="G614" s="69"/>
      <c r="H614" s="69"/>
      <c r="N614" s="60"/>
      <c r="O614" s="60"/>
      <c r="P614" s="60"/>
    </row>
    <row r="615" spans="2:16" ht="13" hidden="1" outlineLevel="1" x14ac:dyDescent="0.25">
      <c r="B615" s="70" t="s">
        <v>43</v>
      </c>
      <c r="C615" s="71"/>
      <c r="D615" s="72"/>
      <c r="E615" s="73"/>
      <c r="F615" s="69"/>
      <c r="G615" s="69"/>
      <c r="H615" s="69"/>
      <c r="N615" s="60"/>
      <c r="O615" s="60"/>
      <c r="P615" s="60"/>
    </row>
    <row r="616" spans="2:16" ht="13" hidden="1" outlineLevel="1" x14ac:dyDescent="0.25">
      <c r="B616" s="74"/>
      <c r="C616" s="146">
        <f>C608</f>
        <v>0</v>
      </c>
      <c r="D616" s="76" t="str">
        <f>D606</f>
        <v>kg</v>
      </c>
      <c r="E616" s="98"/>
      <c r="F616" s="69"/>
      <c r="G616" s="69"/>
      <c r="H616" s="69"/>
      <c r="N616" s="60"/>
      <c r="O616" s="60"/>
      <c r="P616" s="60"/>
    </row>
    <row r="617" spans="2:16" ht="13.5" hidden="1" outlineLevel="1" thickBot="1" x14ac:dyDescent="0.3">
      <c r="B617" s="74"/>
      <c r="C617" s="146"/>
      <c r="D617" s="76" t="str">
        <f>D606</f>
        <v>kg</v>
      </c>
      <c r="E617" s="77"/>
      <c r="F617" s="78"/>
      <c r="G617" s="78"/>
      <c r="H617" s="78"/>
      <c r="N617" s="60"/>
      <c r="O617" s="60"/>
      <c r="P617" s="60"/>
    </row>
    <row r="618" spans="2:16" ht="13" hidden="1" outlineLevel="1" x14ac:dyDescent="0.25">
      <c r="B618" s="79" t="s">
        <v>69</v>
      </c>
      <c r="C618" s="147"/>
      <c r="D618" s="81"/>
      <c r="E618" s="77"/>
      <c r="F618" s="82"/>
      <c r="G618" s="82"/>
      <c r="H618" s="82"/>
      <c r="N618" s="60"/>
      <c r="O618" s="60"/>
      <c r="P618" s="60"/>
    </row>
    <row r="619" spans="2:16" ht="13" hidden="1" outlineLevel="1" x14ac:dyDescent="0.25">
      <c r="B619" s="74"/>
      <c r="C619" s="148"/>
      <c r="D619" s="76" t="str">
        <f>D606</f>
        <v>kg</v>
      </c>
      <c r="E619" s="77"/>
      <c r="F619" s="82"/>
      <c r="G619" s="82"/>
      <c r="H619" s="82"/>
      <c r="N619" s="60"/>
      <c r="O619" s="60"/>
      <c r="P619" s="60"/>
    </row>
    <row r="620" spans="2:16" ht="13" hidden="1" outlineLevel="1" x14ac:dyDescent="0.25">
      <c r="B620" s="74"/>
      <c r="C620" s="148"/>
      <c r="D620" s="76" t="str">
        <f>D606</f>
        <v>kg</v>
      </c>
      <c r="E620" s="77"/>
      <c r="F620" s="82"/>
      <c r="G620" s="82"/>
      <c r="H620" s="82"/>
      <c r="N620" s="60"/>
      <c r="O620" s="60"/>
      <c r="P620" s="60"/>
    </row>
    <row r="621" spans="2:16" ht="13" hidden="1" outlineLevel="1" x14ac:dyDescent="0.25">
      <c r="B621" s="74"/>
      <c r="C621" s="148"/>
      <c r="D621" s="76" t="str">
        <f>D606</f>
        <v>kg</v>
      </c>
      <c r="E621" s="77"/>
      <c r="F621" s="82"/>
      <c r="G621" s="82"/>
      <c r="H621" s="82"/>
      <c r="N621" s="60"/>
      <c r="O621" s="60"/>
      <c r="P621" s="60"/>
    </row>
    <row r="622" spans="2:16" ht="13" hidden="1" outlineLevel="1" x14ac:dyDescent="0.25">
      <c r="B622" s="74"/>
      <c r="C622" s="148"/>
      <c r="D622" s="76" t="str">
        <f>D606</f>
        <v>kg</v>
      </c>
      <c r="E622" s="77"/>
      <c r="F622" s="82"/>
      <c r="G622" s="82"/>
      <c r="H622" s="82"/>
      <c r="N622" s="60"/>
      <c r="O622" s="60"/>
      <c r="P622" s="60"/>
    </row>
    <row r="623" spans="2:16" ht="13" hidden="1" outlineLevel="1" x14ac:dyDescent="0.25">
      <c r="B623" s="74"/>
      <c r="C623" s="148"/>
      <c r="D623" s="76" t="str">
        <f>D606</f>
        <v>kg</v>
      </c>
      <c r="E623" s="77"/>
      <c r="F623" s="82"/>
      <c r="G623" s="82"/>
      <c r="H623" s="82"/>
      <c r="N623" s="60"/>
      <c r="O623" s="60"/>
      <c r="P623" s="60"/>
    </row>
    <row r="624" spans="2:16" ht="13" hidden="1" outlineLevel="1" x14ac:dyDescent="0.25">
      <c r="B624" s="74"/>
      <c r="C624" s="148"/>
      <c r="D624" s="76" t="str">
        <f>D606</f>
        <v>kg</v>
      </c>
      <c r="E624" s="77"/>
      <c r="F624" s="82"/>
      <c r="G624" s="82"/>
      <c r="H624" s="82"/>
      <c r="N624" s="60"/>
      <c r="O624" s="60"/>
      <c r="P624" s="60"/>
    </row>
    <row r="625" spans="2:16" ht="13" hidden="1" outlineLevel="1" x14ac:dyDescent="0.25">
      <c r="B625" s="74"/>
      <c r="C625" s="148"/>
      <c r="D625" s="76" t="str">
        <f>D606</f>
        <v>kg</v>
      </c>
      <c r="E625" s="77"/>
      <c r="F625" s="82"/>
      <c r="G625" s="82"/>
      <c r="H625" s="82"/>
      <c r="N625" s="60"/>
      <c r="O625" s="60"/>
      <c r="P625" s="60"/>
    </row>
    <row r="626" spans="2:16" ht="13" hidden="1" outlineLevel="1" x14ac:dyDescent="0.25">
      <c r="B626" s="74"/>
      <c r="C626" s="148"/>
      <c r="D626" s="76" t="str">
        <f>D606</f>
        <v>kg</v>
      </c>
      <c r="E626" s="77"/>
      <c r="F626" s="82"/>
      <c r="G626" s="82"/>
      <c r="H626" s="82"/>
      <c r="N626" s="60"/>
      <c r="O626" s="60"/>
      <c r="P626" s="60"/>
    </row>
    <row r="627" spans="2:16" ht="13" hidden="1" outlineLevel="1" x14ac:dyDescent="0.25">
      <c r="B627" s="74"/>
      <c r="C627" s="148"/>
      <c r="D627" s="76" t="str">
        <f>D606</f>
        <v>kg</v>
      </c>
      <c r="E627" s="77"/>
      <c r="F627" s="82"/>
      <c r="G627" s="82"/>
      <c r="H627" s="82"/>
      <c r="N627" s="60"/>
      <c r="O627" s="60"/>
      <c r="P627" s="60"/>
    </row>
    <row r="628" spans="2:16" ht="13" hidden="1" outlineLevel="1" x14ac:dyDescent="0.25">
      <c r="B628" s="74"/>
      <c r="C628" s="148"/>
      <c r="D628" s="76" t="str">
        <f>D606</f>
        <v>kg</v>
      </c>
      <c r="E628" s="77"/>
      <c r="F628" s="82"/>
      <c r="G628" s="82"/>
      <c r="H628" s="82"/>
      <c r="N628" s="60"/>
      <c r="O628" s="60"/>
      <c r="P628" s="60"/>
    </row>
    <row r="629" spans="2:16" ht="13.4" hidden="1" customHeight="1" outlineLevel="1" x14ac:dyDescent="0.25">
      <c r="B629" s="79"/>
      <c r="C629" s="147"/>
      <c r="D629" s="81"/>
      <c r="E629" s="77"/>
      <c r="F629" s="82"/>
      <c r="G629" s="82"/>
      <c r="H629" s="82"/>
      <c r="K629" s="34"/>
      <c r="N629" s="60"/>
      <c r="O629" s="60"/>
      <c r="P629" s="60"/>
    </row>
    <row r="630" spans="2:16" ht="13" hidden="1" outlineLevel="1" x14ac:dyDescent="0.25">
      <c r="B630" s="86" t="s">
        <v>7</v>
      </c>
      <c r="C630" s="149">
        <f>SUM(C615:C628)</f>
        <v>0</v>
      </c>
      <c r="D630" s="88" t="str">
        <f>D606</f>
        <v>kg</v>
      </c>
      <c r="E630" s="77"/>
      <c r="F630" s="82"/>
      <c r="G630" s="82"/>
      <c r="H630" s="82"/>
      <c r="N630" s="60"/>
      <c r="O630" s="60"/>
      <c r="P630" s="60"/>
    </row>
    <row r="631" spans="2:16" ht="13" hidden="1" outlineLevel="1" x14ac:dyDescent="0.25">
      <c r="B631" s="79" t="s">
        <v>71</v>
      </c>
      <c r="C631" s="150"/>
      <c r="D631" s="81"/>
      <c r="E631" s="77"/>
      <c r="F631" s="82"/>
      <c r="G631" s="82"/>
      <c r="H631" s="82"/>
      <c r="N631" s="60"/>
      <c r="O631" s="60"/>
      <c r="P631" s="60"/>
    </row>
    <row r="632" spans="2:16" ht="13" hidden="1" outlineLevel="1" x14ac:dyDescent="0.25">
      <c r="B632" s="74"/>
      <c r="C632" s="148"/>
      <c r="D632" s="76" t="str">
        <f>D606</f>
        <v>kg</v>
      </c>
      <c r="E632" s="77"/>
      <c r="F632" s="82"/>
      <c r="G632" s="82"/>
      <c r="H632" s="82"/>
    </row>
    <row r="633" spans="2:16" ht="13" hidden="1" outlineLevel="1" x14ac:dyDescent="0.25">
      <c r="B633" s="74"/>
      <c r="C633" s="148"/>
      <c r="D633" s="76" t="str">
        <f>D606</f>
        <v>kg</v>
      </c>
      <c r="E633" s="77"/>
      <c r="F633" s="82"/>
      <c r="G633" s="82"/>
      <c r="H633" s="82"/>
    </row>
    <row r="634" spans="2:16" ht="13" hidden="1" outlineLevel="1" x14ac:dyDescent="0.25">
      <c r="B634" s="74"/>
      <c r="C634" s="148"/>
      <c r="D634" s="76" t="str">
        <f>D606</f>
        <v>kg</v>
      </c>
      <c r="E634" s="77"/>
      <c r="F634" s="82"/>
      <c r="G634" s="82"/>
      <c r="H634" s="82"/>
    </row>
    <row r="635" spans="2:16" ht="13" hidden="1" outlineLevel="1" x14ac:dyDescent="0.25">
      <c r="B635" s="74"/>
      <c r="C635" s="148"/>
      <c r="D635" s="76" t="str">
        <f>D606</f>
        <v>kg</v>
      </c>
      <c r="E635" s="77"/>
      <c r="F635" s="82"/>
      <c r="G635" s="82"/>
      <c r="H635" s="82"/>
    </row>
    <row r="636" spans="2:16" ht="13" hidden="1" outlineLevel="1" x14ac:dyDescent="0.25">
      <c r="B636" s="74"/>
      <c r="C636" s="148"/>
      <c r="D636" s="76" t="str">
        <f>D606</f>
        <v>kg</v>
      </c>
      <c r="E636" s="77"/>
      <c r="F636" s="82"/>
      <c r="G636" s="82"/>
      <c r="H636" s="82"/>
    </row>
    <row r="637" spans="2:16" ht="13" hidden="1" outlineLevel="1" x14ac:dyDescent="0.25">
      <c r="B637" s="74"/>
      <c r="C637" s="148"/>
      <c r="D637" s="76" t="str">
        <f>D606</f>
        <v>kg</v>
      </c>
      <c r="E637" s="77"/>
      <c r="F637" s="82"/>
      <c r="G637" s="82"/>
      <c r="H637" s="82"/>
    </row>
    <row r="638" spans="2:16" ht="13" hidden="1" outlineLevel="1" x14ac:dyDescent="0.25">
      <c r="B638" s="74"/>
      <c r="C638" s="148"/>
      <c r="D638" s="76" t="str">
        <f>D606</f>
        <v>kg</v>
      </c>
      <c r="E638" s="77"/>
      <c r="F638" s="82"/>
      <c r="G638" s="82"/>
      <c r="H638" s="82"/>
    </row>
    <row r="639" spans="2:16" ht="13" hidden="1" outlineLevel="1" x14ac:dyDescent="0.25">
      <c r="B639" s="74"/>
      <c r="C639" s="148"/>
      <c r="D639" s="76" t="str">
        <f>D606</f>
        <v>kg</v>
      </c>
      <c r="E639" s="77"/>
      <c r="F639" s="82"/>
      <c r="G639" s="82"/>
      <c r="H639" s="82"/>
    </row>
    <row r="640" spans="2:16" ht="13" hidden="1" outlineLevel="1" x14ac:dyDescent="0.25">
      <c r="B640" s="79" t="s">
        <v>70</v>
      </c>
      <c r="C640" s="147"/>
      <c r="D640" s="81"/>
      <c r="E640" s="90"/>
      <c r="F640" s="82"/>
      <c r="G640" s="82"/>
      <c r="H640" s="82"/>
    </row>
    <row r="641" spans="2:11" ht="13" hidden="1" outlineLevel="1" x14ac:dyDescent="0.25">
      <c r="B641" s="74"/>
      <c r="C641" s="148"/>
      <c r="D641" s="76" t="str">
        <f>D606</f>
        <v>kg</v>
      </c>
      <c r="E641" s="77"/>
      <c r="F641" s="82"/>
      <c r="G641" s="82"/>
      <c r="H641" s="82"/>
    </row>
    <row r="642" spans="2:11" ht="13" hidden="1" outlineLevel="1" x14ac:dyDescent="0.25">
      <c r="B642" s="74"/>
      <c r="C642" s="148"/>
      <c r="D642" s="76" t="str">
        <f>D606</f>
        <v>kg</v>
      </c>
      <c r="E642" s="77"/>
      <c r="F642" s="82"/>
      <c r="G642" s="82"/>
      <c r="H642" s="82"/>
    </row>
    <row r="643" spans="2:11" ht="13" hidden="1" outlineLevel="1" x14ac:dyDescent="0.25">
      <c r="B643" s="74"/>
      <c r="C643" s="148"/>
      <c r="D643" s="76" t="str">
        <f>D606</f>
        <v>kg</v>
      </c>
      <c r="E643" s="77"/>
      <c r="F643" s="82"/>
      <c r="G643" s="82"/>
      <c r="H643" s="82"/>
    </row>
    <row r="644" spans="2:11" ht="13" hidden="1" outlineLevel="1" x14ac:dyDescent="0.25">
      <c r="B644" s="74"/>
      <c r="C644" s="148"/>
      <c r="D644" s="76" t="str">
        <f>D606</f>
        <v>kg</v>
      </c>
      <c r="E644" s="77"/>
      <c r="F644" s="82"/>
      <c r="G644" s="82"/>
      <c r="H644" s="82"/>
    </row>
    <row r="645" spans="2:11" ht="13" hidden="1" outlineLevel="1" x14ac:dyDescent="0.25">
      <c r="B645" s="74"/>
      <c r="C645" s="148"/>
      <c r="D645" s="76" t="str">
        <f>D606</f>
        <v>kg</v>
      </c>
      <c r="E645" s="77"/>
      <c r="F645" s="82"/>
      <c r="G645" s="82"/>
      <c r="H645" s="82"/>
    </row>
    <row r="646" spans="2:11" ht="13" hidden="1" outlineLevel="1" x14ac:dyDescent="0.25">
      <c r="B646" s="74"/>
      <c r="C646" s="148"/>
      <c r="D646" s="76" t="str">
        <f>D606</f>
        <v>kg</v>
      </c>
      <c r="E646" s="77"/>
      <c r="F646" s="82"/>
      <c r="G646" s="82"/>
      <c r="H646" s="82"/>
    </row>
    <row r="647" spans="2:11" ht="13" hidden="1" outlineLevel="1" x14ac:dyDescent="0.25">
      <c r="B647" s="74"/>
      <c r="C647" s="148"/>
      <c r="D647" s="76" t="str">
        <f>D606</f>
        <v>kg</v>
      </c>
      <c r="E647" s="77"/>
      <c r="F647" s="82"/>
      <c r="G647" s="82"/>
      <c r="H647" s="82"/>
    </row>
    <row r="648" spans="2:11" ht="13.4" hidden="1" customHeight="1" outlineLevel="1" x14ac:dyDescent="0.25">
      <c r="B648" s="79"/>
      <c r="C648" s="147"/>
      <c r="D648" s="81"/>
      <c r="E648" s="77"/>
      <c r="F648" s="82"/>
      <c r="G648" s="82"/>
      <c r="H648" s="82"/>
      <c r="K648" s="34"/>
    </row>
    <row r="649" spans="2:11" ht="13" hidden="1" outlineLevel="1" x14ac:dyDescent="0.25">
      <c r="B649" s="86" t="s">
        <v>9</v>
      </c>
      <c r="C649" s="149">
        <f>SUM(C630:C647)</f>
        <v>0</v>
      </c>
      <c r="D649" s="91" t="str">
        <f>D606</f>
        <v>kg</v>
      </c>
      <c r="E649" s="77"/>
      <c r="F649" s="82"/>
      <c r="G649" s="82"/>
      <c r="H649" s="82"/>
    </row>
    <row r="650" spans="2:11" ht="13" hidden="1" outlineLevel="1" x14ac:dyDescent="0.25">
      <c r="B650" s="92"/>
      <c r="C650" s="93"/>
      <c r="D650" s="94"/>
      <c r="E650" s="77"/>
      <c r="F650" s="82"/>
      <c r="G650" s="82"/>
      <c r="H650" s="82"/>
    </row>
    <row r="651" spans="2:11" ht="20.5" hidden="1" outlineLevel="1" thickBot="1" x14ac:dyDescent="0.3">
      <c r="B651" s="426" t="s">
        <v>10</v>
      </c>
      <c r="C651" s="427"/>
      <c r="D651" s="428"/>
      <c r="E651" s="77"/>
      <c r="F651" s="82"/>
      <c r="G651" s="82"/>
      <c r="H651" s="82"/>
    </row>
    <row r="652" spans="2:11" ht="13" hidden="1" outlineLevel="1" x14ac:dyDescent="0.25">
      <c r="B652" s="95" t="s">
        <v>23</v>
      </c>
      <c r="C652" s="96"/>
      <c r="D652" s="151">
        <f>SUM(C616:C617)</f>
        <v>0</v>
      </c>
      <c r="E652" s="98"/>
      <c r="F652" s="82"/>
      <c r="G652" s="82"/>
      <c r="H652" s="82"/>
    </row>
    <row r="653" spans="2:11" ht="13" hidden="1" outlineLevel="1" x14ac:dyDescent="0.25">
      <c r="B653" s="99" t="s">
        <v>24</v>
      </c>
      <c r="C653" s="100"/>
      <c r="D653" s="152">
        <f>SUM(C619:C629)</f>
        <v>0</v>
      </c>
      <c r="E653" s="98"/>
      <c r="F653" s="82"/>
      <c r="G653" s="82"/>
      <c r="H653" s="82"/>
    </row>
    <row r="654" spans="2:11" ht="13" hidden="1" outlineLevel="1" x14ac:dyDescent="0.25">
      <c r="B654" s="99" t="s">
        <v>25</v>
      </c>
      <c r="C654" s="100"/>
      <c r="D654" s="152">
        <f>SUM(C632:C640)</f>
        <v>0</v>
      </c>
      <c r="E654" s="98"/>
      <c r="F654" s="82"/>
      <c r="G654" s="82"/>
      <c r="H654" s="82"/>
    </row>
    <row r="655" spans="2:11" ht="13" hidden="1" outlineLevel="1" x14ac:dyDescent="0.25">
      <c r="B655" s="102" t="s">
        <v>26</v>
      </c>
      <c r="C655" s="103"/>
      <c r="D655" s="153">
        <f>SUM(C641:C648)</f>
        <v>0</v>
      </c>
      <c r="E655" s="98"/>
      <c r="F655" s="82"/>
      <c r="G655" s="82"/>
      <c r="H655" s="82"/>
    </row>
    <row r="656" spans="2:11" ht="18.5" hidden="1" outlineLevel="1" thickTop="1" x14ac:dyDescent="0.25">
      <c r="B656" s="105" t="s">
        <v>11</v>
      </c>
      <c r="C656" s="106"/>
      <c r="D656" s="107" t="e">
        <f>C630/C612</f>
        <v>#DIV/0!</v>
      </c>
      <c r="E656" s="77"/>
      <c r="F656" s="110" t="s">
        <v>86</v>
      </c>
      <c r="G656" s="109" t="s">
        <v>85</v>
      </c>
      <c r="H656" s="110"/>
    </row>
    <row r="657" spans="2:8" ht="18.5" hidden="1" outlineLevel="1" thickBot="1" x14ac:dyDescent="0.3">
      <c r="B657" s="111" t="s">
        <v>12</v>
      </c>
      <c r="C657" s="112"/>
      <c r="D657" s="113" t="e">
        <f>(D652+D653+D654)/C612</f>
        <v>#DIV/0!</v>
      </c>
      <c r="E657" s="77"/>
      <c r="F657" s="154"/>
      <c r="G657" s="413"/>
      <c r="H657" s="414"/>
    </row>
    <row r="658" spans="2:8" ht="18" hidden="1" outlineLevel="1" x14ac:dyDescent="0.25">
      <c r="B658" s="111" t="s">
        <v>13</v>
      </c>
      <c r="C658" s="112"/>
      <c r="D658" s="113" t="e">
        <f>D654/C612</f>
        <v>#DIV/0!</v>
      </c>
      <c r="E658" s="90"/>
      <c r="F658" s="64" t="s">
        <v>45</v>
      </c>
      <c r="G658" s="64" t="s">
        <v>45</v>
      </c>
      <c r="H658" s="155"/>
    </row>
    <row r="659" spans="2:8" ht="18" hidden="1" outlineLevel="1" x14ac:dyDescent="0.25">
      <c r="B659" s="114" t="s">
        <v>14</v>
      </c>
      <c r="C659" s="115"/>
      <c r="D659" s="116" t="e">
        <f>D655/C612</f>
        <v>#DIV/0!</v>
      </c>
      <c r="E659" s="90"/>
      <c r="F659" s="110"/>
      <c r="G659" s="117" t="s">
        <v>46</v>
      </c>
      <c r="H659" s="110"/>
    </row>
    <row r="660" spans="2:8" ht="18.5" hidden="1" outlineLevel="1" thickBot="1" x14ac:dyDescent="0.3">
      <c r="B660" s="114" t="s">
        <v>15</v>
      </c>
      <c r="C660" s="119"/>
      <c r="D660" s="116" t="e">
        <f>SUM(D652:D655)/C612</f>
        <v>#DIV/0!</v>
      </c>
      <c r="E660" s="90"/>
      <c r="F660" s="429"/>
      <c r="G660" s="430"/>
      <c r="H660" s="431"/>
    </row>
    <row r="661" spans="2:8" ht="18.5" hidden="1" outlineLevel="1" thickTop="1" x14ac:dyDescent="0.25">
      <c r="B661" s="120" t="s">
        <v>16</v>
      </c>
      <c r="C661" s="121"/>
      <c r="D661" s="122" t="e">
        <f>((C616*D594)+D653+C617*MAX(1,F617))/C612</f>
        <v>#DIV/0!</v>
      </c>
      <c r="E661" s="77"/>
      <c r="F661" s="64" t="s">
        <v>45</v>
      </c>
      <c r="G661" s="64"/>
      <c r="H661" s="82"/>
    </row>
    <row r="662" spans="2:8" ht="18" hidden="1" outlineLevel="1" x14ac:dyDescent="0.25">
      <c r="B662" s="123" t="s">
        <v>17</v>
      </c>
      <c r="C662" s="124"/>
      <c r="D662" s="125" t="e">
        <f>(C616*D595+D653+D654+C617*(MAX(1,F617)+G617))/C612</f>
        <v>#DIV/0!</v>
      </c>
      <c r="E662" s="77"/>
      <c r="F662" s="82"/>
      <c r="G662" s="82"/>
      <c r="H662" s="82"/>
    </row>
    <row r="663" spans="2:8" ht="18" hidden="1" customHeight="1" outlineLevel="1" x14ac:dyDescent="0.25">
      <c r="B663" s="123" t="s">
        <v>18</v>
      </c>
      <c r="C663" s="124"/>
      <c r="D663" s="125" t="e">
        <f>((C616*D596)+D654+C617*G617)/C612</f>
        <v>#DIV/0!</v>
      </c>
      <c r="E663" s="77"/>
      <c r="F663" s="415" t="s">
        <v>61</v>
      </c>
      <c r="G663" s="416"/>
      <c r="H663" s="416"/>
    </row>
    <row r="664" spans="2:8" ht="18" hidden="1" outlineLevel="1" x14ac:dyDescent="0.25">
      <c r="B664" s="126" t="s">
        <v>19</v>
      </c>
      <c r="C664" s="127"/>
      <c r="D664" s="128" t="e">
        <f>(C616*D597+D655+C617*H617)/C612</f>
        <v>#DIV/0!</v>
      </c>
      <c r="E664" s="77"/>
      <c r="F664" s="416"/>
      <c r="G664" s="416"/>
      <c r="H664" s="416"/>
    </row>
    <row r="665" spans="2:8" ht="18.5" hidden="1" outlineLevel="1" thickBot="1" x14ac:dyDescent="0.3">
      <c r="B665" s="129" t="s">
        <v>20</v>
      </c>
      <c r="C665" s="130"/>
      <c r="D665" s="131" t="e">
        <f>((C616*D598)+SUM(D653:D655)+C617*(MAX(1,F617)+G617+H617))/C612</f>
        <v>#DIV/0!</v>
      </c>
      <c r="E665" s="77"/>
      <c r="F665" s="416"/>
      <c r="G665" s="416"/>
      <c r="H665" s="416"/>
    </row>
    <row r="666" spans="2:8" ht="13" hidden="1" outlineLevel="1" thickTop="1" x14ac:dyDescent="0.25">
      <c r="B666" s="156" t="s">
        <v>76</v>
      </c>
      <c r="C666" s="424"/>
      <c r="D666" s="425"/>
      <c r="F666" s="416"/>
      <c r="G666" s="416"/>
      <c r="H666" s="416"/>
    </row>
    <row r="667" spans="2:8" hidden="1" outlineLevel="1" x14ac:dyDescent="0.25">
      <c r="B667" s="157" t="s">
        <v>58</v>
      </c>
      <c r="C667" s="422"/>
      <c r="D667" s="423"/>
      <c r="F667" s="416"/>
      <c r="G667" s="416"/>
      <c r="H667" s="416"/>
    </row>
    <row r="668" spans="2:8" ht="13" hidden="1" outlineLevel="1" thickBot="1" x14ac:dyDescent="0.3">
      <c r="B668" s="158" t="s">
        <v>59</v>
      </c>
      <c r="C668" s="420"/>
      <c r="D668" s="421"/>
      <c r="F668" s="416"/>
      <c r="G668" s="416"/>
      <c r="H668" s="416"/>
    </row>
    <row r="669" spans="2:8" hidden="1" outlineLevel="1" x14ac:dyDescent="0.25"/>
    <row r="670" spans="2:8" hidden="1" outlineLevel="1" x14ac:dyDescent="0.25">
      <c r="C670" s="25" t="s">
        <v>44</v>
      </c>
      <c r="D670" s="25" t="s">
        <v>42</v>
      </c>
    </row>
    <row r="671" spans="2:8" ht="21" hidden="1" outlineLevel="1" thickTop="1" thickBot="1" x14ac:dyDescent="0.3">
      <c r="B671" s="140" t="s">
        <v>73</v>
      </c>
      <c r="C671" s="29"/>
      <c r="D671" s="141"/>
      <c r="E671" s="31"/>
      <c r="F671" s="32" t="s">
        <v>27</v>
      </c>
      <c r="G671" s="33"/>
      <c r="H671" s="33"/>
    </row>
    <row r="672" spans="2:8" ht="14.5" hidden="1" outlineLevel="1" thickBot="1" x14ac:dyDescent="0.3">
      <c r="B672" s="37"/>
      <c r="C672" s="38" t="s">
        <v>0</v>
      </c>
      <c r="D672" s="39" t="s">
        <v>1</v>
      </c>
      <c r="E672" s="40"/>
      <c r="F672" s="41" t="s">
        <v>28</v>
      </c>
      <c r="G672" s="41" t="s">
        <v>21</v>
      </c>
      <c r="H672" s="41" t="s">
        <v>8</v>
      </c>
    </row>
    <row r="673" spans="2:8" ht="13" hidden="1" outlineLevel="1" x14ac:dyDescent="0.25">
      <c r="B673" s="43" t="s">
        <v>65</v>
      </c>
      <c r="C673" s="142"/>
      <c r="D673" s="45" t="s">
        <v>2</v>
      </c>
      <c r="E673" s="46"/>
      <c r="F673" s="47"/>
      <c r="G673" s="47"/>
      <c r="H673" s="47"/>
    </row>
    <row r="674" spans="2:8" ht="13" hidden="1" outlineLevel="1" x14ac:dyDescent="0.25">
      <c r="B674" s="43" t="s">
        <v>64</v>
      </c>
      <c r="C674" s="143"/>
      <c r="D674" s="45" t="s">
        <v>3</v>
      </c>
      <c r="E674" s="46"/>
      <c r="F674" s="47"/>
      <c r="G674" s="47"/>
      <c r="H674" s="47"/>
    </row>
    <row r="675" spans="2:8" ht="13" hidden="1" outlineLevel="1" x14ac:dyDescent="0.25">
      <c r="B675" s="51" t="s">
        <v>63</v>
      </c>
      <c r="C675" s="144">
        <f>C673*C674</f>
        <v>0</v>
      </c>
      <c r="D675" s="45" t="str">
        <f>D673</f>
        <v>kg</v>
      </c>
      <c r="E675" s="46"/>
      <c r="F675" s="47"/>
      <c r="G675" s="47"/>
      <c r="H675" s="47"/>
    </row>
    <row r="676" spans="2:8" ht="14" hidden="1" outlineLevel="1" x14ac:dyDescent="0.25">
      <c r="B676" s="54" t="s">
        <v>37</v>
      </c>
      <c r="C676" s="145">
        <v>1</v>
      </c>
      <c r="D676" s="56"/>
      <c r="E676" s="57"/>
      <c r="F676" s="58"/>
      <c r="G676" s="58"/>
      <c r="H676" s="58"/>
    </row>
    <row r="677" spans="2:8" ht="13" hidden="1" outlineLevel="1" x14ac:dyDescent="0.25">
      <c r="B677" s="43" t="s">
        <v>66</v>
      </c>
      <c r="C677" s="142"/>
      <c r="D677" s="45" t="str">
        <f>D673</f>
        <v>kg</v>
      </c>
      <c r="E677" s="46"/>
      <c r="F677" s="47"/>
      <c r="G677" s="47"/>
      <c r="H677" s="47"/>
    </row>
    <row r="678" spans="2:8" ht="13" hidden="1" outlineLevel="1" x14ac:dyDescent="0.25">
      <c r="B678" s="43" t="s">
        <v>67</v>
      </c>
      <c r="C678" s="143"/>
      <c r="D678" s="45" t="s">
        <v>3</v>
      </c>
      <c r="E678" s="59"/>
      <c r="F678" s="47"/>
      <c r="G678" s="47"/>
      <c r="H678" s="47"/>
    </row>
    <row r="679" spans="2:8" ht="13" hidden="1" outlineLevel="1" x14ac:dyDescent="0.25">
      <c r="B679" s="51" t="s">
        <v>68</v>
      </c>
      <c r="C679" s="144">
        <f>C677*C678</f>
        <v>0</v>
      </c>
      <c r="D679" s="45" t="str">
        <f>D673</f>
        <v>kg</v>
      </c>
      <c r="E679" s="46"/>
      <c r="F679" s="47"/>
      <c r="G679" s="47"/>
      <c r="H679" s="47"/>
    </row>
    <row r="680" spans="2:8" ht="13.5" hidden="1" outlineLevel="1" thickBot="1" x14ac:dyDescent="0.3">
      <c r="B680" s="61"/>
      <c r="C680" s="62"/>
      <c r="D680" s="63"/>
      <c r="F680" s="64"/>
      <c r="G680" s="64"/>
      <c r="H680" s="64"/>
    </row>
    <row r="681" spans="2:8" ht="14.5" hidden="1" outlineLevel="1" thickBot="1" x14ac:dyDescent="0.3">
      <c r="B681" s="65" t="s">
        <v>5</v>
      </c>
      <c r="C681" s="66" t="s">
        <v>6</v>
      </c>
      <c r="D681" s="67" t="s">
        <v>1</v>
      </c>
      <c r="E681" s="68"/>
      <c r="F681" s="69"/>
      <c r="G681" s="69"/>
      <c r="H681" s="69"/>
    </row>
    <row r="682" spans="2:8" ht="13" hidden="1" outlineLevel="1" x14ac:dyDescent="0.25">
      <c r="B682" s="70" t="s">
        <v>43</v>
      </c>
      <c r="C682" s="71"/>
      <c r="D682" s="72"/>
      <c r="E682" s="73"/>
      <c r="F682" s="69"/>
      <c r="G682" s="69"/>
      <c r="H682" s="69"/>
    </row>
    <row r="683" spans="2:8" ht="13" hidden="1" outlineLevel="1" x14ac:dyDescent="0.25">
      <c r="B683" s="74"/>
      <c r="C683" s="146">
        <f>C675</f>
        <v>0</v>
      </c>
      <c r="D683" s="76" t="str">
        <f>D673</f>
        <v>kg</v>
      </c>
      <c r="E683" s="98"/>
      <c r="F683" s="69"/>
      <c r="G683" s="69"/>
      <c r="H683" s="69"/>
    </row>
    <row r="684" spans="2:8" ht="13.5" hidden="1" outlineLevel="1" thickBot="1" x14ac:dyDescent="0.3">
      <c r="B684" s="74"/>
      <c r="C684" s="146"/>
      <c r="D684" s="76" t="str">
        <f>D673</f>
        <v>kg</v>
      </c>
      <c r="E684" s="77"/>
      <c r="F684" s="78"/>
      <c r="G684" s="78"/>
      <c r="H684" s="78"/>
    </row>
    <row r="685" spans="2:8" ht="13" hidden="1" outlineLevel="1" x14ac:dyDescent="0.25">
      <c r="B685" s="79" t="s">
        <v>69</v>
      </c>
      <c r="C685" s="147"/>
      <c r="D685" s="81"/>
      <c r="E685" s="77"/>
      <c r="F685" s="82"/>
      <c r="G685" s="82"/>
      <c r="H685" s="82"/>
    </row>
    <row r="686" spans="2:8" ht="13" hidden="1" outlineLevel="1" x14ac:dyDescent="0.25">
      <c r="B686" s="74"/>
      <c r="C686" s="148"/>
      <c r="D686" s="76" t="str">
        <f>D673</f>
        <v>kg</v>
      </c>
      <c r="E686" s="77"/>
      <c r="F686" s="82"/>
      <c r="G686" s="82"/>
      <c r="H686" s="82"/>
    </row>
    <row r="687" spans="2:8" ht="13" hidden="1" outlineLevel="1" x14ac:dyDescent="0.25">
      <c r="B687" s="74"/>
      <c r="C687" s="148"/>
      <c r="D687" s="76" t="str">
        <f>D673</f>
        <v>kg</v>
      </c>
      <c r="E687" s="77"/>
      <c r="F687" s="82"/>
      <c r="G687" s="82"/>
      <c r="H687" s="82"/>
    </row>
    <row r="688" spans="2:8" ht="13" hidden="1" outlineLevel="1" x14ac:dyDescent="0.25">
      <c r="B688" s="74"/>
      <c r="C688" s="148"/>
      <c r="D688" s="76" t="str">
        <f>D673</f>
        <v>kg</v>
      </c>
      <c r="E688" s="77"/>
      <c r="F688" s="82"/>
      <c r="G688" s="82"/>
      <c r="H688" s="82"/>
    </row>
    <row r="689" spans="2:11" ht="13" hidden="1" outlineLevel="1" x14ac:dyDescent="0.25">
      <c r="B689" s="74"/>
      <c r="C689" s="148"/>
      <c r="D689" s="76" t="str">
        <f>D673</f>
        <v>kg</v>
      </c>
      <c r="E689" s="77"/>
      <c r="F689" s="82"/>
      <c r="G689" s="82"/>
      <c r="H689" s="82"/>
    </row>
    <row r="690" spans="2:11" ht="13" hidden="1" outlineLevel="1" x14ac:dyDescent="0.25">
      <c r="B690" s="74"/>
      <c r="C690" s="148"/>
      <c r="D690" s="76" t="str">
        <f>D673</f>
        <v>kg</v>
      </c>
      <c r="E690" s="77"/>
      <c r="F690" s="82"/>
      <c r="G690" s="82"/>
      <c r="H690" s="82"/>
    </row>
    <row r="691" spans="2:11" ht="13" hidden="1" outlineLevel="1" x14ac:dyDescent="0.25">
      <c r="B691" s="74"/>
      <c r="C691" s="148"/>
      <c r="D691" s="76" t="str">
        <f>D673</f>
        <v>kg</v>
      </c>
      <c r="E691" s="77"/>
      <c r="F691" s="82"/>
      <c r="G691" s="82"/>
      <c r="H691" s="82"/>
    </row>
    <row r="692" spans="2:11" ht="13" hidden="1" outlineLevel="1" x14ac:dyDescent="0.25">
      <c r="B692" s="74"/>
      <c r="C692" s="148"/>
      <c r="D692" s="76" t="str">
        <f>D673</f>
        <v>kg</v>
      </c>
      <c r="E692" s="77"/>
      <c r="F692" s="82"/>
      <c r="G692" s="82"/>
      <c r="H692" s="82"/>
    </row>
    <row r="693" spans="2:11" ht="13" hidden="1" outlineLevel="1" x14ac:dyDescent="0.25">
      <c r="B693" s="74"/>
      <c r="C693" s="148"/>
      <c r="D693" s="76" t="str">
        <f>D673</f>
        <v>kg</v>
      </c>
      <c r="E693" s="77"/>
      <c r="F693" s="82"/>
      <c r="G693" s="82"/>
      <c r="H693" s="82"/>
    </row>
    <row r="694" spans="2:11" ht="13" hidden="1" outlineLevel="1" x14ac:dyDescent="0.25">
      <c r="B694" s="74"/>
      <c r="C694" s="148"/>
      <c r="D694" s="76" t="str">
        <f>D673</f>
        <v>kg</v>
      </c>
      <c r="E694" s="77"/>
      <c r="F694" s="82"/>
      <c r="G694" s="82"/>
      <c r="H694" s="82"/>
    </row>
    <row r="695" spans="2:11" ht="13" hidden="1" outlineLevel="1" x14ac:dyDescent="0.25">
      <c r="B695" s="74"/>
      <c r="C695" s="148"/>
      <c r="D695" s="76" t="str">
        <f>D673</f>
        <v>kg</v>
      </c>
      <c r="E695" s="77"/>
      <c r="F695" s="82"/>
      <c r="G695" s="82"/>
      <c r="H695" s="82"/>
    </row>
    <row r="696" spans="2:11" ht="13" hidden="1" outlineLevel="1" x14ac:dyDescent="0.25">
      <c r="B696" s="79"/>
      <c r="C696" s="147"/>
      <c r="D696" s="81"/>
      <c r="E696" s="77"/>
      <c r="F696" s="82"/>
      <c r="G696" s="82"/>
      <c r="H696" s="82"/>
      <c r="K696" s="34"/>
    </row>
    <row r="697" spans="2:11" ht="13" hidden="1" outlineLevel="1" x14ac:dyDescent="0.25">
      <c r="B697" s="86" t="s">
        <v>7</v>
      </c>
      <c r="C697" s="149">
        <f>SUM(C682:C695)</f>
        <v>0</v>
      </c>
      <c r="D697" s="88" t="str">
        <f>D673</f>
        <v>kg</v>
      </c>
      <c r="E697" s="77"/>
      <c r="F697" s="82"/>
      <c r="G697" s="82"/>
      <c r="H697" s="82"/>
    </row>
    <row r="698" spans="2:11" ht="13" hidden="1" outlineLevel="1" x14ac:dyDescent="0.25">
      <c r="B698" s="79" t="s">
        <v>71</v>
      </c>
      <c r="C698" s="150"/>
      <c r="D698" s="81"/>
      <c r="E698" s="77"/>
      <c r="F698" s="82"/>
      <c r="G698" s="82"/>
      <c r="H698" s="82"/>
    </row>
    <row r="699" spans="2:11" ht="13" hidden="1" outlineLevel="1" x14ac:dyDescent="0.25">
      <c r="B699" s="74"/>
      <c r="C699" s="148"/>
      <c r="D699" s="76" t="str">
        <f>D673</f>
        <v>kg</v>
      </c>
      <c r="E699" s="77"/>
      <c r="F699" s="82"/>
      <c r="G699" s="82"/>
      <c r="H699" s="82"/>
    </row>
    <row r="700" spans="2:11" ht="13" hidden="1" outlineLevel="1" x14ac:dyDescent="0.25">
      <c r="B700" s="74"/>
      <c r="C700" s="148"/>
      <c r="D700" s="76" t="str">
        <f>D673</f>
        <v>kg</v>
      </c>
      <c r="E700" s="77"/>
      <c r="F700" s="82"/>
      <c r="G700" s="82"/>
      <c r="H700" s="82"/>
    </row>
    <row r="701" spans="2:11" ht="13" hidden="1" outlineLevel="1" x14ac:dyDescent="0.25">
      <c r="B701" s="74"/>
      <c r="C701" s="148"/>
      <c r="D701" s="76" t="str">
        <f>D673</f>
        <v>kg</v>
      </c>
      <c r="E701" s="77"/>
      <c r="F701" s="82"/>
      <c r="G701" s="82"/>
      <c r="H701" s="82"/>
    </row>
    <row r="702" spans="2:11" ht="13" hidden="1" outlineLevel="1" x14ac:dyDescent="0.25">
      <c r="B702" s="74"/>
      <c r="C702" s="148"/>
      <c r="D702" s="76" t="str">
        <f>D673</f>
        <v>kg</v>
      </c>
      <c r="E702" s="77"/>
      <c r="F702" s="82"/>
      <c r="G702" s="82"/>
      <c r="H702" s="82"/>
    </row>
    <row r="703" spans="2:11" ht="13" hidden="1" outlineLevel="1" x14ac:dyDescent="0.25">
      <c r="B703" s="74"/>
      <c r="C703" s="148"/>
      <c r="D703" s="76" t="str">
        <f>D673</f>
        <v>kg</v>
      </c>
      <c r="E703" s="77"/>
      <c r="F703" s="82"/>
      <c r="G703" s="82"/>
      <c r="H703" s="82"/>
    </row>
    <row r="704" spans="2:11" ht="13" hidden="1" outlineLevel="1" x14ac:dyDescent="0.25">
      <c r="B704" s="74"/>
      <c r="C704" s="148"/>
      <c r="D704" s="76" t="str">
        <f>D673</f>
        <v>kg</v>
      </c>
      <c r="E704" s="77"/>
      <c r="F704" s="82"/>
      <c r="G704" s="82"/>
      <c r="H704" s="82"/>
    </row>
    <row r="705" spans="2:11" ht="13" hidden="1" outlineLevel="1" x14ac:dyDescent="0.25">
      <c r="B705" s="74"/>
      <c r="C705" s="148"/>
      <c r="D705" s="76" t="str">
        <f>D673</f>
        <v>kg</v>
      </c>
      <c r="E705" s="77"/>
      <c r="F705" s="82"/>
      <c r="G705" s="82"/>
      <c r="H705" s="82"/>
    </row>
    <row r="706" spans="2:11" ht="13" hidden="1" outlineLevel="1" x14ac:dyDescent="0.25">
      <c r="B706" s="74"/>
      <c r="C706" s="148"/>
      <c r="D706" s="76" t="str">
        <f>D673</f>
        <v>kg</v>
      </c>
      <c r="E706" s="77"/>
      <c r="F706" s="82"/>
      <c r="G706" s="82"/>
      <c r="H706" s="82"/>
    </row>
    <row r="707" spans="2:11" ht="13" hidden="1" outlineLevel="1" x14ac:dyDescent="0.25">
      <c r="B707" s="79" t="s">
        <v>70</v>
      </c>
      <c r="C707" s="147"/>
      <c r="D707" s="81"/>
      <c r="E707" s="90"/>
      <c r="F707" s="82"/>
      <c r="G707" s="82"/>
      <c r="H707" s="82"/>
    </row>
    <row r="708" spans="2:11" ht="13" hidden="1" outlineLevel="1" x14ac:dyDescent="0.25">
      <c r="B708" s="74"/>
      <c r="C708" s="148"/>
      <c r="D708" s="76" t="str">
        <f>D673</f>
        <v>kg</v>
      </c>
      <c r="E708" s="77"/>
      <c r="F708" s="82"/>
      <c r="G708" s="82"/>
      <c r="H708" s="82"/>
    </row>
    <row r="709" spans="2:11" ht="13" hidden="1" outlineLevel="1" x14ac:dyDescent="0.25">
      <c r="B709" s="74"/>
      <c r="C709" s="148"/>
      <c r="D709" s="76" t="str">
        <f>D673</f>
        <v>kg</v>
      </c>
      <c r="E709" s="77"/>
      <c r="F709" s="82"/>
      <c r="G709" s="82"/>
      <c r="H709" s="82"/>
    </row>
    <row r="710" spans="2:11" ht="13" hidden="1" outlineLevel="1" x14ac:dyDescent="0.25">
      <c r="B710" s="74"/>
      <c r="C710" s="148"/>
      <c r="D710" s="76" t="str">
        <f>D673</f>
        <v>kg</v>
      </c>
      <c r="E710" s="77"/>
      <c r="F710" s="82"/>
      <c r="G710" s="82"/>
      <c r="H710" s="82"/>
    </row>
    <row r="711" spans="2:11" ht="13" hidden="1" outlineLevel="1" x14ac:dyDescent="0.25">
      <c r="B711" s="74"/>
      <c r="C711" s="148"/>
      <c r="D711" s="76" t="str">
        <f>D673</f>
        <v>kg</v>
      </c>
      <c r="E711" s="77"/>
      <c r="F711" s="82"/>
      <c r="G711" s="82"/>
      <c r="H711" s="82"/>
    </row>
    <row r="712" spans="2:11" ht="13" hidden="1" outlineLevel="1" x14ac:dyDescent="0.25">
      <c r="B712" s="74"/>
      <c r="C712" s="148"/>
      <c r="D712" s="76" t="str">
        <f>D673</f>
        <v>kg</v>
      </c>
      <c r="E712" s="77"/>
      <c r="F712" s="82"/>
      <c r="G712" s="82"/>
      <c r="H712" s="82"/>
    </row>
    <row r="713" spans="2:11" ht="13" hidden="1" outlineLevel="1" x14ac:dyDescent="0.25">
      <c r="B713" s="74"/>
      <c r="C713" s="148"/>
      <c r="D713" s="76" t="str">
        <f>D673</f>
        <v>kg</v>
      </c>
      <c r="E713" s="77"/>
      <c r="F713" s="82"/>
      <c r="G713" s="82"/>
      <c r="H713" s="82"/>
    </row>
    <row r="714" spans="2:11" ht="13" hidden="1" outlineLevel="1" x14ac:dyDescent="0.25">
      <c r="B714" s="74"/>
      <c r="C714" s="148"/>
      <c r="D714" s="76" t="str">
        <f>D673</f>
        <v>kg</v>
      </c>
      <c r="E714" s="77"/>
      <c r="F714" s="82"/>
      <c r="G714" s="82"/>
      <c r="H714" s="82"/>
    </row>
    <row r="715" spans="2:11" ht="13" hidden="1" outlineLevel="1" x14ac:dyDescent="0.25">
      <c r="B715" s="79"/>
      <c r="C715" s="147"/>
      <c r="D715" s="81"/>
      <c r="E715" s="77"/>
      <c r="F715" s="82"/>
      <c r="G715" s="82"/>
      <c r="H715" s="82"/>
      <c r="K715" s="34"/>
    </row>
    <row r="716" spans="2:11" ht="13" hidden="1" outlineLevel="1" x14ac:dyDescent="0.25">
      <c r="B716" s="86" t="s">
        <v>9</v>
      </c>
      <c r="C716" s="149">
        <f>SUM(C697:C714)</f>
        <v>0</v>
      </c>
      <c r="D716" s="91" t="str">
        <f>D673</f>
        <v>kg</v>
      </c>
      <c r="E716" s="77"/>
      <c r="F716" s="82"/>
      <c r="G716" s="82"/>
      <c r="H716" s="82"/>
    </row>
    <row r="717" spans="2:11" ht="13" hidden="1" outlineLevel="1" x14ac:dyDescent="0.25">
      <c r="B717" s="92"/>
      <c r="C717" s="93"/>
      <c r="D717" s="94"/>
      <c r="E717" s="77"/>
      <c r="F717" s="82"/>
      <c r="G717" s="82"/>
      <c r="H717" s="82"/>
    </row>
    <row r="718" spans="2:11" ht="20.5" hidden="1" outlineLevel="1" thickBot="1" x14ac:dyDescent="0.3">
      <c r="B718" s="426" t="s">
        <v>10</v>
      </c>
      <c r="C718" s="427"/>
      <c r="D718" s="428"/>
      <c r="E718" s="77"/>
      <c r="F718" s="82"/>
      <c r="G718" s="82"/>
      <c r="H718" s="82"/>
    </row>
    <row r="719" spans="2:11" ht="13" hidden="1" outlineLevel="1" x14ac:dyDescent="0.25">
      <c r="B719" s="95" t="s">
        <v>23</v>
      </c>
      <c r="C719" s="96"/>
      <c r="D719" s="151">
        <f>SUM(C683:C684)</f>
        <v>0</v>
      </c>
      <c r="E719" s="98"/>
      <c r="F719" s="82"/>
      <c r="G719" s="82"/>
      <c r="H719" s="82"/>
    </row>
    <row r="720" spans="2:11" ht="13" hidden="1" outlineLevel="1" x14ac:dyDescent="0.25">
      <c r="B720" s="99" t="s">
        <v>24</v>
      </c>
      <c r="C720" s="100"/>
      <c r="D720" s="152">
        <f>SUM(C686:C696)</f>
        <v>0</v>
      </c>
      <c r="E720" s="98"/>
      <c r="F720" s="82"/>
      <c r="G720" s="82"/>
      <c r="H720" s="82"/>
    </row>
    <row r="721" spans="2:8" ht="13" hidden="1" outlineLevel="1" x14ac:dyDescent="0.25">
      <c r="B721" s="99" t="s">
        <v>25</v>
      </c>
      <c r="C721" s="100"/>
      <c r="D721" s="152">
        <f>SUM(C699:C707)</f>
        <v>0</v>
      </c>
      <c r="E721" s="98"/>
      <c r="F721" s="82"/>
      <c r="G721" s="82"/>
      <c r="H721" s="82"/>
    </row>
    <row r="722" spans="2:8" ht="13" hidden="1" outlineLevel="1" x14ac:dyDescent="0.25">
      <c r="B722" s="102" t="s">
        <v>26</v>
      </c>
      <c r="C722" s="103"/>
      <c r="D722" s="153">
        <f>SUM(C708:C715)</f>
        <v>0</v>
      </c>
      <c r="E722" s="98"/>
      <c r="F722" s="82"/>
      <c r="G722" s="82"/>
      <c r="H722" s="82"/>
    </row>
    <row r="723" spans="2:8" ht="18.5" hidden="1" outlineLevel="1" thickTop="1" x14ac:dyDescent="0.25">
      <c r="B723" s="105" t="s">
        <v>11</v>
      </c>
      <c r="C723" s="106"/>
      <c r="D723" s="107" t="e">
        <f>C697/C679</f>
        <v>#DIV/0!</v>
      </c>
      <c r="E723" s="77"/>
      <c r="F723" s="110" t="s">
        <v>86</v>
      </c>
      <c r="G723" s="109" t="s">
        <v>85</v>
      </c>
      <c r="H723" s="110"/>
    </row>
    <row r="724" spans="2:8" ht="18.5" hidden="1" outlineLevel="1" thickBot="1" x14ac:dyDescent="0.3">
      <c r="B724" s="111" t="s">
        <v>12</v>
      </c>
      <c r="C724" s="112"/>
      <c r="D724" s="113" t="e">
        <f>(D719+D720+D721)/C679</f>
        <v>#DIV/0!</v>
      </c>
      <c r="E724" s="77"/>
      <c r="F724" s="154"/>
      <c r="G724" s="413"/>
      <c r="H724" s="414"/>
    </row>
    <row r="725" spans="2:8" ht="18" hidden="1" outlineLevel="1" x14ac:dyDescent="0.25">
      <c r="B725" s="111" t="s">
        <v>13</v>
      </c>
      <c r="C725" s="112"/>
      <c r="D725" s="113" t="e">
        <f>D721/C679</f>
        <v>#DIV/0!</v>
      </c>
      <c r="E725" s="90"/>
      <c r="F725" s="64" t="s">
        <v>45</v>
      </c>
      <c r="G725" s="64" t="s">
        <v>45</v>
      </c>
      <c r="H725" s="155"/>
    </row>
    <row r="726" spans="2:8" ht="18" hidden="1" outlineLevel="1" x14ac:dyDescent="0.25">
      <c r="B726" s="114" t="s">
        <v>14</v>
      </c>
      <c r="C726" s="115"/>
      <c r="D726" s="116" t="e">
        <f>D722/C679</f>
        <v>#DIV/0!</v>
      </c>
      <c r="E726" s="90"/>
      <c r="F726" s="110"/>
      <c r="G726" s="117" t="s">
        <v>46</v>
      </c>
      <c r="H726" s="110"/>
    </row>
    <row r="727" spans="2:8" ht="18.5" hidden="1" outlineLevel="1" thickBot="1" x14ac:dyDescent="0.3">
      <c r="B727" s="114" t="s">
        <v>15</v>
      </c>
      <c r="C727" s="119"/>
      <c r="D727" s="116" t="e">
        <f>SUM(D719:D722)/C679</f>
        <v>#DIV/0!</v>
      </c>
      <c r="E727" s="90"/>
      <c r="F727" s="429"/>
      <c r="G727" s="430"/>
      <c r="H727" s="431"/>
    </row>
    <row r="728" spans="2:8" ht="18.5" hidden="1" outlineLevel="1" thickTop="1" x14ac:dyDescent="0.25">
      <c r="B728" s="120" t="s">
        <v>16</v>
      </c>
      <c r="C728" s="121"/>
      <c r="D728" s="122" t="e">
        <f>((C683*D661)+D720+C684*MAX(1,F684))/C679</f>
        <v>#DIV/0!</v>
      </c>
      <c r="E728" s="77"/>
      <c r="F728" s="64" t="s">
        <v>45</v>
      </c>
      <c r="G728" s="64"/>
      <c r="H728" s="82"/>
    </row>
    <row r="729" spans="2:8" ht="18" hidden="1" outlineLevel="1" x14ac:dyDescent="0.25">
      <c r="B729" s="123" t="s">
        <v>17</v>
      </c>
      <c r="C729" s="124"/>
      <c r="D729" s="125" t="e">
        <f>(C683*D662+D720+D721+C684*(MAX(1,F684)+G684))/C679</f>
        <v>#DIV/0!</v>
      </c>
      <c r="E729" s="77"/>
      <c r="F729" s="82"/>
      <c r="G729" s="82"/>
      <c r="H729" s="82"/>
    </row>
    <row r="730" spans="2:8" ht="18" hidden="1" outlineLevel="1" x14ac:dyDescent="0.25">
      <c r="B730" s="123" t="s">
        <v>18</v>
      </c>
      <c r="C730" s="124"/>
      <c r="D730" s="125" t="e">
        <f>((C683*D663)+D721+C684*G684)/C679</f>
        <v>#DIV/0!</v>
      </c>
      <c r="E730" s="77"/>
      <c r="F730" s="415" t="s">
        <v>61</v>
      </c>
      <c r="G730" s="416"/>
      <c r="H730" s="416"/>
    </row>
    <row r="731" spans="2:8" ht="18" hidden="1" outlineLevel="1" x14ac:dyDescent="0.25">
      <c r="B731" s="126" t="s">
        <v>19</v>
      </c>
      <c r="C731" s="127"/>
      <c r="D731" s="128" t="e">
        <f>(C683*D664+D722+C684*H684)/C679</f>
        <v>#DIV/0!</v>
      </c>
      <c r="E731" s="77"/>
      <c r="F731" s="416"/>
      <c r="G731" s="416"/>
      <c r="H731" s="416"/>
    </row>
    <row r="732" spans="2:8" ht="18.5" hidden="1" outlineLevel="1" thickBot="1" x14ac:dyDescent="0.3">
      <c r="B732" s="129" t="s">
        <v>20</v>
      </c>
      <c r="C732" s="130"/>
      <c r="D732" s="131" t="e">
        <f>((C683*D665)+SUM(D720:D722)+C684*(MAX(1,F684)+G684+H684))/C679</f>
        <v>#DIV/0!</v>
      </c>
      <c r="E732" s="77"/>
      <c r="F732" s="416"/>
      <c r="G732" s="416"/>
      <c r="H732" s="416"/>
    </row>
    <row r="733" spans="2:8" ht="13" hidden="1" outlineLevel="1" thickTop="1" x14ac:dyDescent="0.25">
      <c r="B733" s="156" t="s">
        <v>76</v>
      </c>
      <c r="C733" s="424"/>
      <c r="D733" s="425"/>
      <c r="F733" s="416"/>
      <c r="G733" s="416"/>
      <c r="H733" s="416"/>
    </row>
    <row r="734" spans="2:8" hidden="1" outlineLevel="1" x14ac:dyDescent="0.25">
      <c r="B734" s="157" t="s">
        <v>58</v>
      </c>
      <c r="C734" s="422"/>
      <c r="D734" s="423"/>
      <c r="F734" s="416"/>
      <c r="G734" s="416"/>
      <c r="H734" s="416"/>
    </row>
    <row r="735" spans="2:8" ht="13" hidden="1" outlineLevel="1" thickBot="1" x14ac:dyDescent="0.3">
      <c r="B735" s="158" t="s">
        <v>59</v>
      </c>
      <c r="C735" s="420"/>
      <c r="D735" s="421"/>
      <c r="F735" s="416"/>
      <c r="G735" s="416"/>
      <c r="H735" s="416"/>
    </row>
    <row r="736" spans="2:8" hidden="1" outlineLevel="1" x14ac:dyDescent="0.25"/>
    <row r="737" spans="2:8" hidden="1" outlineLevel="1" x14ac:dyDescent="0.25">
      <c r="C737" s="25" t="s">
        <v>44</v>
      </c>
      <c r="D737" s="25" t="s">
        <v>42</v>
      </c>
    </row>
    <row r="738" spans="2:8" ht="21" hidden="1" outlineLevel="1" thickTop="1" thickBot="1" x14ac:dyDescent="0.3">
      <c r="B738" s="140" t="s">
        <v>73</v>
      </c>
      <c r="C738" s="29"/>
      <c r="D738" s="141"/>
      <c r="E738" s="31"/>
      <c r="F738" s="32" t="s">
        <v>27</v>
      </c>
      <c r="G738" s="33"/>
      <c r="H738" s="33"/>
    </row>
    <row r="739" spans="2:8" ht="14.5" hidden="1" outlineLevel="1" thickBot="1" x14ac:dyDescent="0.3">
      <c r="B739" s="37"/>
      <c r="C739" s="38" t="s">
        <v>0</v>
      </c>
      <c r="D739" s="39" t="s">
        <v>1</v>
      </c>
      <c r="E739" s="40"/>
      <c r="F739" s="41" t="s">
        <v>28</v>
      </c>
      <c r="G739" s="41" t="s">
        <v>21</v>
      </c>
      <c r="H739" s="41" t="s">
        <v>8</v>
      </c>
    </row>
    <row r="740" spans="2:8" ht="13" hidden="1" outlineLevel="1" x14ac:dyDescent="0.25">
      <c r="B740" s="43" t="s">
        <v>65</v>
      </c>
      <c r="C740" s="142"/>
      <c r="D740" s="45" t="s">
        <v>2</v>
      </c>
      <c r="E740" s="46"/>
      <c r="F740" s="47"/>
      <c r="G740" s="47"/>
      <c r="H740" s="47"/>
    </row>
    <row r="741" spans="2:8" ht="13" hidden="1" outlineLevel="1" x14ac:dyDescent="0.25">
      <c r="B741" s="43" t="s">
        <v>64</v>
      </c>
      <c r="C741" s="143"/>
      <c r="D741" s="45" t="s">
        <v>3</v>
      </c>
      <c r="E741" s="46"/>
      <c r="F741" s="47"/>
      <c r="G741" s="47"/>
      <c r="H741" s="47"/>
    </row>
    <row r="742" spans="2:8" ht="13" hidden="1" outlineLevel="1" x14ac:dyDescent="0.25">
      <c r="B742" s="51" t="s">
        <v>63</v>
      </c>
      <c r="C742" s="144">
        <f>C740*C741</f>
        <v>0</v>
      </c>
      <c r="D742" s="45" t="str">
        <f>D740</f>
        <v>kg</v>
      </c>
      <c r="E742" s="46"/>
      <c r="F742" s="47"/>
      <c r="G742" s="47"/>
      <c r="H742" s="47"/>
    </row>
    <row r="743" spans="2:8" ht="14" hidden="1" outlineLevel="1" x14ac:dyDescent="0.25">
      <c r="B743" s="54" t="s">
        <v>37</v>
      </c>
      <c r="C743" s="145">
        <v>1</v>
      </c>
      <c r="D743" s="56"/>
      <c r="E743" s="57"/>
      <c r="F743" s="58"/>
      <c r="G743" s="58"/>
      <c r="H743" s="58"/>
    </row>
    <row r="744" spans="2:8" ht="13" hidden="1" outlineLevel="1" x14ac:dyDescent="0.25">
      <c r="B744" s="43" t="s">
        <v>66</v>
      </c>
      <c r="C744" s="142"/>
      <c r="D744" s="45" t="str">
        <f>D740</f>
        <v>kg</v>
      </c>
      <c r="E744" s="46"/>
      <c r="F744" s="47"/>
      <c r="G744" s="47"/>
      <c r="H744" s="47"/>
    </row>
    <row r="745" spans="2:8" ht="13" hidden="1" outlineLevel="1" x14ac:dyDescent="0.25">
      <c r="B745" s="43" t="s">
        <v>67</v>
      </c>
      <c r="C745" s="143"/>
      <c r="D745" s="45" t="s">
        <v>3</v>
      </c>
      <c r="E745" s="59"/>
      <c r="F745" s="47"/>
      <c r="G745" s="47"/>
      <c r="H745" s="47"/>
    </row>
    <row r="746" spans="2:8" ht="13" hidden="1" outlineLevel="1" x14ac:dyDescent="0.25">
      <c r="B746" s="51" t="s">
        <v>68</v>
      </c>
      <c r="C746" s="144">
        <f>C744*C745</f>
        <v>0</v>
      </c>
      <c r="D746" s="45" t="str">
        <f>D740</f>
        <v>kg</v>
      </c>
      <c r="E746" s="46"/>
      <c r="F746" s="47"/>
      <c r="G746" s="47"/>
      <c r="H746" s="47"/>
    </row>
    <row r="747" spans="2:8" ht="13.5" hidden="1" outlineLevel="1" thickBot="1" x14ac:dyDescent="0.3">
      <c r="B747" s="61"/>
      <c r="C747" s="62"/>
      <c r="D747" s="63"/>
      <c r="F747" s="64"/>
      <c r="G747" s="64"/>
      <c r="H747" s="64"/>
    </row>
    <row r="748" spans="2:8" ht="14.5" hidden="1" outlineLevel="1" thickBot="1" x14ac:dyDescent="0.3">
      <c r="B748" s="65" t="s">
        <v>5</v>
      </c>
      <c r="C748" s="66" t="s">
        <v>6</v>
      </c>
      <c r="D748" s="67" t="s">
        <v>1</v>
      </c>
      <c r="E748" s="68"/>
      <c r="F748" s="69"/>
      <c r="G748" s="69"/>
      <c r="H748" s="69"/>
    </row>
    <row r="749" spans="2:8" ht="13" hidden="1" outlineLevel="1" x14ac:dyDescent="0.25">
      <c r="B749" s="70" t="s">
        <v>43</v>
      </c>
      <c r="C749" s="71"/>
      <c r="D749" s="72"/>
      <c r="E749" s="73"/>
      <c r="F749" s="69"/>
      <c r="G749" s="69"/>
      <c r="H749" s="69"/>
    </row>
    <row r="750" spans="2:8" ht="13" hidden="1" outlineLevel="1" x14ac:dyDescent="0.25">
      <c r="B750" s="74"/>
      <c r="C750" s="146">
        <f>C742</f>
        <v>0</v>
      </c>
      <c r="D750" s="76" t="str">
        <f>D740</f>
        <v>kg</v>
      </c>
      <c r="E750" s="98"/>
      <c r="F750" s="69"/>
      <c r="G750" s="69"/>
      <c r="H750" s="69"/>
    </row>
    <row r="751" spans="2:8" ht="13.5" hidden="1" outlineLevel="1" thickBot="1" x14ac:dyDescent="0.3">
      <c r="B751" s="74"/>
      <c r="C751" s="146"/>
      <c r="D751" s="76" t="str">
        <f>D740</f>
        <v>kg</v>
      </c>
      <c r="E751" s="77"/>
      <c r="F751" s="78"/>
      <c r="G751" s="78"/>
      <c r="H751" s="78"/>
    </row>
    <row r="752" spans="2:8" ht="13" hidden="1" outlineLevel="1" x14ac:dyDescent="0.25">
      <c r="B752" s="79" t="s">
        <v>69</v>
      </c>
      <c r="C752" s="147"/>
      <c r="D752" s="81"/>
      <c r="E752" s="77"/>
      <c r="F752" s="82"/>
      <c r="G752" s="82"/>
      <c r="H752" s="82"/>
    </row>
    <row r="753" spans="2:11" ht="13" hidden="1" outlineLevel="1" x14ac:dyDescent="0.25">
      <c r="B753" s="74"/>
      <c r="C753" s="148"/>
      <c r="D753" s="76" t="str">
        <f>D740</f>
        <v>kg</v>
      </c>
      <c r="E753" s="77"/>
      <c r="F753" s="82"/>
      <c r="G753" s="82"/>
      <c r="H753" s="82"/>
    </row>
    <row r="754" spans="2:11" ht="13" hidden="1" outlineLevel="1" x14ac:dyDescent="0.25">
      <c r="B754" s="74"/>
      <c r="C754" s="148"/>
      <c r="D754" s="76" t="str">
        <f>D740</f>
        <v>kg</v>
      </c>
      <c r="E754" s="77"/>
      <c r="F754" s="82"/>
      <c r="G754" s="82"/>
      <c r="H754" s="82"/>
    </row>
    <row r="755" spans="2:11" ht="13" hidden="1" outlineLevel="1" x14ac:dyDescent="0.25">
      <c r="B755" s="74"/>
      <c r="C755" s="148"/>
      <c r="D755" s="76" t="str">
        <f>D740</f>
        <v>kg</v>
      </c>
      <c r="E755" s="77"/>
      <c r="F755" s="82"/>
      <c r="G755" s="82"/>
      <c r="H755" s="82"/>
    </row>
    <row r="756" spans="2:11" ht="13" hidden="1" outlineLevel="1" x14ac:dyDescent="0.25">
      <c r="B756" s="74"/>
      <c r="C756" s="148"/>
      <c r="D756" s="76" t="str">
        <f>D740</f>
        <v>kg</v>
      </c>
      <c r="E756" s="77"/>
      <c r="F756" s="82"/>
      <c r="G756" s="82"/>
      <c r="H756" s="82"/>
    </row>
    <row r="757" spans="2:11" ht="13" hidden="1" outlineLevel="1" x14ac:dyDescent="0.25">
      <c r="B757" s="74"/>
      <c r="C757" s="148"/>
      <c r="D757" s="76" t="str">
        <f>D740</f>
        <v>kg</v>
      </c>
      <c r="E757" s="77"/>
      <c r="F757" s="82"/>
      <c r="G757" s="82"/>
      <c r="H757" s="82"/>
    </row>
    <row r="758" spans="2:11" ht="13" hidden="1" outlineLevel="1" x14ac:dyDescent="0.25">
      <c r="B758" s="74"/>
      <c r="C758" s="148"/>
      <c r="D758" s="76" t="str">
        <f>D740</f>
        <v>kg</v>
      </c>
      <c r="E758" s="77"/>
      <c r="F758" s="82"/>
      <c r="G758" s="82"/>
      <c r="H758" s="82"/>
    </row>
    <row r="759" spans="2:11" ht="13" hidden="1" outlineLevel="1" x14ac:dyDescent="0.25">
      <c r="B759" s="74"/>
      <c r="C759" s="148"/>
      <c r="D759" s="76" t="str">
        <f>D740</f>
        <v>kg</v>
      </c>
      <c r="E759" s="77"/>
      <c r="F759" s="82"/>
      <c r="G759" s="82"/>
      <c r="H759" s="82"/>
    </row>
    <row r="760" spans="2:11" ht="13" hidden="1" outlineLevel="1" x14ac:dyDescent="0.25">
      <c r="B760" s="74"/>
      <c r="C760" s="148"/>
      <c r="D760" s="76" t="str">
        <f>D740</f>
        <v>kg</v>
      </c>
      <c r="E760" s="77"/>
      <c r="F760" s="82"/>
      <c r="G760" s="82"/>
      <c r="H760" s="82"/>
    </row>
    <row r="761" spans="2:11" ht="13" hidden="1" outlineLevel="1" x14ac:dyDescent="0.25">
      <c r="B761" s="74"/>
      <c r="C761" s="148"/>
      <c r="D761" s="76" t="str">
        <f>D740</f>
        <v>kg</v>
      </c>
      <c r="E761" s="77"/>
      <c r="F761" s="82"/>
      <c r="G761" s="82"/>
      <c r="H761" s="82"/>
    </row>
    <row r="762" spans="2:11" ht="13" hidden="1" outlineLevel="1" x14ac:dyDescent="0.25">
      <c r="B762" s="74"/>
      <c r="C762" s="148"/>
      <c r="D762" s="76" t="str">
        <f>D740</f>
        <v>kg</v>
      </c>
      <c r="E762" s="77"/>
      <c r="F762" s="82"/>
      <c r="G762" s="82"/>
      <c r="H762" s="82"/>
    </row>
    <row r="763" spans="2:11" ht="13" hidden="1" outlineLevel="1" x14ac:dyDescent="0.25">
      <c r="B763" s="79"/>
      <c r="C763" s="147"/>
      <c r="D763" s="81"/>
      <c r="E763" s="77"/>
      <c r="F763" s="82"/>
      <c r="G763" s="82"/>
      <c r="H763" s="82"/>
      <c r="K763" s="34"/>
    </row>
    <row r="764" spans="2:11" ht="13" hidden="1" outlineLevel="1" x14ac:dyDescent="0.25">
      <c r="B764" s="86" t="s">
        <v>7</v>
      </c>
      <c r="C764" s="149">
        <f>SUM(C749:C762)</f>
        <v>0</v>
      </c>
      <c r="D764" s="88" t="str">
        <f>D740</f>
        <v>kg</v>
      </c>
      <c r="E764" s="77"/>
      <c r="F764" s="82"/>
      <c r="G764" s="82"/>
      <c r="H764" s="82"/>
    </row>
    <row r="765" spans="2:11" ht="13" hidden="1" outlineLevel="1" x14ac:dyDescent="0.25">
      <c r="B765" s="79" t="s">
        <v>71</v>
      </c>
      <c r="C765" s="150"/>
      <c r="D765" s="81"/>
      <c r="E765" s="77"/>
      <c r="F765" s="82"/>
      <c r="G765" s="82"/>
      <c r="H765" s="82"/>
    </row>
    <row r="766" spans="2:11" ht="13" hidden="1" outlineLevel="1" x14ac:dyDescent="0.25">
      <c r="B766" s="74"/>
      <c r="C766" s="148"/>
      <c r="D766" s="76" t="str">
        <f>D740</f>
        <v>kg</v>
      </c>
      <c r="E766" s="77"/>
      <c r="F766" s="82"/>
      <c r="G766" s="82"/>
      <c r="H766" s="82"/>
    </row>
    <row r="767" spans="2:11" ht="13" hidden="1" outlineLevel="1" x14ac:dyDescent="0.25">
      <c r="B767" s="74"/>
      <c r="C767" s="148"/>
      <c r="D767" s="76" t="str">
        <f>D740</f>
        <v>kg</v>
      </c>
      <c r="E767" s="77"/>
      <c r="F767" s="82"/>
      <c r="G767" s="82"/>
      <c r="H767" s="82"/>
    </row>
    <row r="768" spans="2:11" ht="13" hidden="1" outlineLevel="1" x14ac:dyDescent="0.25">
      <c r="B768" s="74"/>
      <c r="C768" s="148"/>
      <c r="D768" s="76" t="str">
        <f>D740</f>
        <v>kg</v>
      </c>
      <c r="E768" s="77"/>
      <c r="F768" s="82"/>
      <c r="G768" s="82"/>
      <c r="H768" s="82"/>
    </row>
    <row r="769" spans="2:11" ht="13" hidden="1" outlineLevel="1" x14ac:dyDescent="0.25">
      <c r="B769" s="74"/>
      <c r="C769" s="148"/>
      <c r="D769" s="76" t="str">
        <f>D740</f>
        <v>kg</v>
      </c>
      <c r="E769" s="77"/>
      <c r="F769" s="82"/>
      <c r="G769" s="82"/>
      <c r="H769" s="82"/>
    </row>
    <row r="770" spans="2:11" ht="13" hidden="1" outlineLevel="1" x14ac:dyDescent="0.25">
      <c r="B770" s="74"/>
      <c r="C770" s="148"/>
      <c r="D770" s="76" t="str">
        <f>D740</f>
        <v>kg</v>
      </c>
      <c r="E770" s="77"/>
      <c r="F770" s="82"/>
      <c r="G770" s="82"/>
      <c r="H770" s="82"/>
    </row>
    <row r="771" spans="2:11" ht="13" hidden="1" outlineLevel="1" x14ac:dyDescent="0.25">
      <c r="B771" s="74"/>
      <c r="C771" s="148"/>
      <c r="D771" s="76" t="str">
        <f>D740</f>
        <v>kg</v>
      </c>
      <c r="E771" s="77"/>
      <c r="F771" s="82"/>
      <c r="G771" s="82"/>
      <c r="H771" s="82"/>
    </row>
    <row r="772" spans="2:11" ht="13" hidden="1" outlineLevel="1" x14ac:dyDescent="0.25">
      <c r="B772" s="74"/>
      <c r="C772" s="148"/>
      <c r="D772" s="76" t="str">
        <f>D740</f>
        <v>kg</v>
      </c>
      <c r="E772" s="77"/>
      <c r="F772" s="82"/>
      <c r="G772" s="82"/>
      <c r="H772" s="82"/>
    </row>
    <row r="773" spans="2:11" ht="13" hidden="1" outlineLevel="1" x14ac:dyDescent="0.25">
      <c r="B773" s="74"/>
      <c r="C773" s="148"/>
      <c r="D773" s="76" t="str">
        <f>D740</f>
        <v>kg</v>
      </c>
      <c r="E773" s="77"/>
      <c r="F773" s="82"/>
      <c r="G773" s="82"/>
      <c r="H773" s="82"/>
    </row>
    <row r="774" spans="2:11" ht="13" hidden="1" outlineLevel="1" x14ac:dyDescent="0.25">
      <c r="B774" s="79" t="s">
        <v>70</v>
      </c>
      <c r="C774" s="147"/>
      <c r="D774" s="81"/>
      <c r="E774" s="90"/>
      <c r="F774" s="82"/>
      <c r="G774" s="82"/>
      <c r="H774" s="82"/>
    </row>
    <row r="775" spans="2:11" ht="13" hidden="1" outlineLevel="1" x14ac:dyDescent="0.25">
      <c r="B775" s="74"/>
      <c r="C775" s="148"/>
      <c r="D775" s="76" t="str">
        <f>D740</f>
        <v>kg</v>
      </c>
      <c r="E775" s="77"/>
      <c r="F775" s="82"/>
      <c r="G775" s="82"/>
      <c r="H775" s="82"/>
    </row>
    <row r="776" spans="2:11" ht="13" hidden="1" outlineLevel="1" x14ac:dyDescent="0.25">
      <c r="B776" s="74"/>
      <c r="C776" s="148"/>
      <c r="D776" s="76" t="str">
        <f>D740</f>
        <v>kg</v>
      </c>
      <c r="E776" s="77"/>
      <c r="F776" s="82"/>
      <c r="G776" s="82"/>
      <c r="H776" s="82"/>
    </row>
    <row r="777" spans="2:11" ht="13" hidden="1" outlineLevel="1" x14ac:dyDescent="0.25">
      <c r="B777" s="74"/>
      <c r="C777" s="148"/>
      <c r="D777" s="76" t="str">
        <f>D740</f>
        <v>kg</v>
      </c>
      <c r="E777" s="77"/>
      <c r="F777" s="82"/>
      <c r="G777" s="82"/>
      <c r="H777" s="82"/>
    </row>
    <row r="778" spans="2:11" ht="13" hidden="1" outlineLevel="1" x14ac:dyDescent="0.25">
      <c r="B778" s="74"/>
      <c r="C778" s="148"/>
      <c r="D778" s="76" t="str">
        <f>D740</f>
        <v>kg</v>
      </c>
      <c r="E778" s="77"/>
      <c r="F778" s="82"/>
      <c r="G778" s="82"/>
      <c r="H778" s="82"/>
    </row>
    <row r="779" spans="2:11" ht="13" hidden="1" outlineLevel="1" x14ac:dyDescent="0.25">
      <c r="B779" s="74"/>
      <c r="C779" s="148"/>
      <c r="D779" s="76" t="str">
        <f>D740</f>
        <v>kg</v>
      </c>
      <c r="E779" s="77"/>
      <c r="F779" s="82"/>
      <c r="G779" s="82"/>
      <c r="H779" s="82"/>
    </row>
    <row r="780" spans="2:11" ht="13" hidden="1" outlineLevel="1" x14ac:dyDescent="0.25">
      <c r="B780" s="74"/>
      <c r="C780" s="148"/>
      <c r="D780" s="76" t="str">
        <f>D740</f>
        <v>kg</v>
      </c>
      <c r="E780" s="77"/>
      <c r="F780" s="82"/>
      <c r="G780" s="82"/>
      <c r="H780" s="82"/>
    </row>
    <row r="781" spans="2:11" ht="13" hidden="1" outlineLevel="1" x14ac:dyDescent="0.25">
      <c r="B781" s="74"/>
      <c r="C781" s="148"/>
      <c r="D781" s="76" t="str">
        <f>D740</f>
        <v>kg</v>
      </c>
      <c r="E781" s="77"/>
      <c r="F781" s="82"/>
      <c r="G781" s="82"/>
      <c r="H781" s="82"/>
    </row>
    <row r="782" spans="2:11" ht="13" hidden="1" outlineLevel="1" x14ac:dyDescent="0.25">
      <c r="B782" s="79"/>
      <c r="C782" s="147"/>
      <c r="D782" s="81"/>
      <c r="E782" s="77"/>
      <c r="F782" s="82"/>
      <c r="G782" s="82"/>
      <c r="H782" s="82"/>
      <c r="K782" s="34"/>
    </row>
    <row r="783" spans="2:11" ht="13" hidden="1" outlineLevel="1" x14ac:dyDescent="0.25">
      <c r="B783" s="86" t="s">
        <v>9</v>
      </c>
      <c r="C783" s="149">
        <f>SUM(C764:C781)</f>
        <v>0</v>
      </c>
      <c r="D783" s="91" t="str">
        <f>D740</f>
        <v>kg</v>
      </c>
      <c r="E783" s="77"/>
      <c r="F783" s="82"/>
      <c r="G783" s="82"/>
      <c r="H783" s="82"/>
    </row>
    <row r="784" spans="2:11" ht="13" hidden="1" outlineLevel="1" x14ac:dyDescent="0.25">
      <c r="B784" s="92"/>
      <c r="C784" s="93"/>
      <c r="D784" s="94"/>
      <c r="E784" s="77"/>
      <c r="F784" s="82"/>
      <c r="G784" s="82"/>
      <c r="H784" s="82"/>
    </row>
    <row r="785" spans="2:8" ht="20.5" hidden="1" outlineLevel="1" thickBot="1" x14ac:dyDescent="0.3">
      <c r="B785" s="426" t="s">
        <v>10</v>
      </c>
      <c r="C785" s="427"/>
      <c r="D785" s="428"/>
      <c r="E785" s="77"/>
      <c r="F785" s="82"/>
      <c r="G785" s="82"/>
      <c r="H785" s="82"/>
    </row>
    <row r="786" spans="2:8" ht="13" hidden="1" outlineLevel="1" x14ac:dyDescent="0.25">
      <c r="B786" s="95" t="s">
        <v>23</v>
      </c>
      <c r="C786" s="96"/>
      <c r="D786" s="151">
        <f>SUM(C750:C751)</f>
        <v>0</v>
      </c>
      <c r="E786" s="98"/>
      <c r="F786" s="82"/>
      <c r="G786" s="82"/>
      <c r="H786" s="82"/>
    </row>
    <row r="787" spans="2:8" ht="13" hidden="1" outlineLevel="1" x14ac:dyDescent="0.25">
      <c r="B787" s="99" t="s">
        <v>24</v>
      </c>
      <c r="C787" s="100"/>
      <c r="D787" s="152">
        <f>SUM(C753:C763)</f>
        <v>0</v>
      </c>
      <c r="E787" s="98"/>
      <c r="F787" s="82"/>
      <c r="G787" s="82"/>
      <c r="H787" s="82"/>
    </row>
    <row r="788" spans="2:8" ht="13" hidden="1" outlineLevel="1" x14ac:dyDescent="0.25">
      <c r="B788" s="99" t="s">
        <v>25</v>
      </c>
      <c r="C788" s="100"/>
      <c r="D788" s="152">
        <f>SUM(C766:C774)</f>
        <v>0</v>
      </c>
      <c r="E788" s="98"/>
      <c r="F788" s="82"/>
      <c r="G788" s="82"/>
      <c r="H788" s="82"/>
    </row>
    <row r="789" spans="2:8" ht="13" hidden="1" outlineLevel="1" x14ac:dyDescent="0.25">
      <c r="B789" s="102" t="s">
        <v>26</v>
      </c>
      <c r="C789" s="103"/>
      <c r="D789" s="153">
        <f>SUM(C775:C782)</f>
        <v>0</v>
      </c>
      <c r="E789" s="98"/>
      <c r="F789" s="82"/>
      <c r="G789" s="82"/>
      <c r="H789" s="82"/>
    </row>
    <row r="790" spans="2:8" ht="18.5" hidden="1" outlineLevel="1" thickTop="1" x14ac:dyDescent="0.25">
      <c r="B790" s="105" t="s">
        <v>11</v>
      </c>
      <c r="C790" s="106"/>
      <c r="D790" s="107" t="e">
        <f>C764/C746</f>
        <v>#DIV/0!</v>
      </c>
      <c r="E790" s="77"/>
      <c r="F790" s="110" t="s">
        <v>86</v>
      </c>
      <c r="G790" s="109" t="s">
        <v>85</v>
      </c>
      <c r="H790" s="110"/>
    </row>
    <row r="791" spans="2:8" ht="18.5" hidden="1" outlineLevel="1" thickBot="1" x14ac:dyDescent="0.3">
      <c r="B791" s="111" t="s">
        <v>12</v>
      </c>
      <c r="C791" s="112"/>
      <c r="D791" s="113" t="e">
        <f>(D786+D787+D788)/C746</f>
        <v>#DIV/0!</v>
      </c>
      <c r="E791" s="77"/>
      <c r="F791" s="154"/>
      <c r="G791" s="413"/>
      <c r="H791" s="414"/>
    </row>
    <row r="792" spans="2:8" ht="18" hidden="1" outlineLevel="1" x14ac:dyDescent="0.25">
      <c r="B792" s="111" t="s">
        <v>13</v>
      </c>
      <c r="C792" s="112"/>
      <c r="D792" s="113" t="e">
        <f>D788/C746</f>
        <v>#DIV/0!</v>
      </c>
      <c r="E792" s="90"/>
      <c r="F792" s="64" t="s">
        <v>45</v>
      </c>
      <c r="G792" s="64" t="s">
        <v>45</v>
      </c>
      <c r="H792" s="155"/>
    </row>
    <row r="793" spans="2:8" ht="18" hidden="1" outlineLevel="1" x14ac:dyDescent="0.25">
      <c r="B793" s="114" t="s">
        <v>14</v>
      </c>
      <c r="C793" s="115"/>
      <c r="D793" s="116" t="e">
        <f>D789/C746</f>
        <v>#DIV/0!</v>
      </c>
      <c r="E793" s="90"/>
      <c r="F793" s="110"/>
      <c r="G793" s="117" t="s">
        <v>46</v>
      </c>
      <c r="H793" s="110"/>
    </row>
    <row r="794" spans="2:8" ht="18.5" hidden="1" outlineLevel="1" thickBot="1" x14ac:dyDescent="0.3">
      <c r="B794" s="114" t="s">
        <v>15</v>
      </c>
      <c r="C794" s="119"/>
      <c r="D794" s="116" t="e">
        <f>SUM(D786:D789)/C746</f>
        <v>#DIV/0!</v>
      </c>
      <c r="E794" s="90"/>
      <c r="F794" s="429"/>
      <c r="G794" s="430"/>
      <c r="H794" s="431"/>
    </row>
    <row r="795" spans="2:8" ht="18.5" hidden="1" outlineLevel="1" thickTop="1" x14ac:dyDescent="0.25">
      <c r="B795" s="120" t="s">
        <v>16</v>
      </c>
      <c r="C795" s="121"/>
      <c r="D795" s="122" t="e">
        <f>((C750*D728)+D787+C751*MAX(1,F751))/C746</f>
        <v>#DIV/0!</v>
      </c>
      <c r="E795" s="77"/>
      <c r="F795" s="64" t="s">
        <v>45</v>
      </c>
      <c r="G795" s="64"/>
      <c r="H795" s="82"/>
    </row>
    <row r="796" spans="2:8" ht="18" hidden="1" outlineLevel="1" x14ac:dyDescent="0.25">
      <c r="B796" s="123" t="s">
        <v>17</v>
      </c>
      <c r="C796" s="124"/>
      <c r="D796" s="125" t="e">
        <f>(C750*D729+D787+D788+C751*(MAX(1,F751)+G751))/C746</f>
        <v>#DIV/0!</v>
      </c>
      <c r="E796" s="77"/>
      <c r="F796" s="82"/>
      <c r="G796" s="82"/>
      <c r="H796" s="82"/>
    </row>
    <row r="797" spans="2:8" ht="18" hidden="1" outlineLevel="1" x14ac:dyDescent="0.25">
      <c r="B797" s="123" t="s">
        <v>18</v>
      </c>
      <c r="C797" s="124"/>
      <c r="D797" s="125" t="e">
        <f>((C750*D730)+D788+C751*G751)/C746</f>
        <v>#DIV/0!</v>
      </c>
      <c r="E797" s="77"/>
      <c r="F797" s="415" t="s">
        <v>61</v>
      </c>
      <c r="G797" s="416"/>
      <c r="H797" s="416"/>
    </row>
    <row r="798" spans="2:8" ht="18" hidden="1" outlineLevel="1" x14ac:dyDescent="0.25">
      <c r="B798" s="126" t="s">
        <v>19</v>
      </c>
      <c r="C798" s="127"/>
      <c r="D798" s="128" t="e">
        <f>(C750*D731+D789+C751*H751)/C746</f>
        <v>#DIV/0!</v>
      </c>
      <c r="E798" s="77"/>
      <c r="F798" s="416"/>
      <c r="G798" s="416"/>
      <c r="H798" s="416"/>
    </row>
    <row r="799" spans="2:8" ht="18.5" hidden="1" outlineLevel="1" thickBot="1" x14ac:dyDescent="0.3">
      <c r="B799" s="129" t="s">
        <v>20</v>
      </c>
      <c r="C799" s="130"/>
      <c r="D799" s="131" t="e">
        <f>((C750*D732)+SUM(D787:D789)+C751*(MAX(1,F751)+G751+H751))/C746</f>
        <v>#DIV/0!</v>
      </c>
      <c r="E799" s="77"/>
      <c r="F799" s="416"/>
      <c r="G799" s="416"/>
      <c r="H799" s="416"/>
    </row>
    <row r="800" spans="2:8" ht="13" hidden="1" outlineLevel="1" thickTop="1" x14ac:dyDescent="0.25">
      <c r="B800" s="156" t="s">
        <v>76</v>
      </c>
      <c r="C800" s="424"/>
      <c r="D800" s="425"/>
      <c r="F800" s="416"/>
      <c r="G800" s="416"/>
      <c r="H800" s="416"/>
    </row>
    <row r="801" spans="2:8" hidden="1" outlineLevel="1" x14ac:dyDescent="0.25">
      <c r="B801" s="157" t="s">
        <v>58</v>
      </c>
      <c r="C801" s="422"/>
      <c r="D801" s="423"/>
      <c r="F801" s="416"/>
      <c r="G801" s="416"/>
      <c r="H801" s="416"/>
    </row>
    <row r="802" spans="2:8" ht="13" hidden="1" outlineLevel="1" thickBot="1" x14ac:dyDescent="0.3">
      <c r="B802" s="158" t="s">
        <v>59</v>
      </c>
      <c r="C802" s="420"/>
      <c r="D802" s="421"/>
      <c r="F802" s="416"/>
      <c r="G802" s="416"/>
      <c r="H802" s="416"/>
    </row>
    <row r="803" spans="2:8" hidden="1" outlineLevel="1" x14ac:dyDescent="0.25"/>
    <row r="804" spans="2:8" hidden="1" outlineLevel="1" x14ac:dyDescent="0.25">
      <c r="C804" s="25" t="s">
        <v>44</v>
      </c>
      <c r="D804" s="25" t="s">
        <v>42</v>
      </c>
    </row>
    <row r="805" spans="2:8" ht="21" hidden="1" outlineLevel="1" thickTop="1" thickBot="1" x14ac:dyDescent="0.3">
      <c r="B805" s="140" t="s">
        <v>73</v>
      </c>
      <c r="C805" s="29"/>
      <c r="D805" s="141"/>
      <c r="E805" s="31"/>
      <c r="F805" s="32" t="s">
        <v>27</v>
      </c>
      <c r="G805" s="33"/>
      <c r="H805" s="33"/>
    </row>
    <row r="806" spans="2:8" ht="14.5" hidden="1" outlineLevel="1" thickBot="1" x14ac:dyDescent="0.3">
      <c r="B806" s="37"/>
      <c r="C806" s="38" t="s">
        <v>0</v>
      </c>
      <c r="D806" s="39" t="s">
        <v>1</v>
      </c>
      <c r="E806" s="40"/>
      <c r="F806" s="41" t="s">
        <v>28</v>
      </c>
      <c r="G806" s="41" t="s">
        <v>21</v>
      </c>
      <c r="H806" s="41" t="s">
        <v>8</v>
      </c>
    </row>
    <row r="807" spans="2:8" ht="13" hidden="1" outlineLevel="1" x14ac:dyDescent="0.25">
      <c r="B807" s="43" t="s">
        <v>65</v>
      </c>
      <c r="C807" s="142"/>
      <c r="D807" s="45" t="s">
        <v>2</v>
      </c>
      <c r="E807" s="46"/>
      <c r="F807" s="47"/>
      <c r="G807" s="47"/>
      <c r="H807" s="47"/>
    </row>
    <row r="808" spans="2:8" ht="13" hidden="1" outlineLevel="1" x14ac:dyDescent="0.25">
      <c r="B808" s="43" t="s">
        <v>64</v>
      </c>
      <c r="C808" s="143"/>
      <c r="D808" s="45" t="s">
        <v>3</v>
      </c>
      <c r="E808" s="46"/>
      <c r="F808" s="47"/>
      <c r="G808" s="47"/>
      <c r="H808" s="47"/>
    </row>
    <row r="809" spans="2:8" ht="13" hidden="1" outlineLevel="1" x14ac:dyDescent="0.25">
      <c r="B809" s="51" t="s">
        <v>63</v>
      </c>
      <c r="C809" s="144">
        <f>C807*C808</f>
        <v>0</v>
      </c>
      <c r="D809" s="45" t="str">
        <f>D807</f>
        <v>kg</v>
      </c>
      <c r="E809" s="46"/>
      <c r="F809" s="47"/>
      <c r="G809" s="47"/>
      <c r="H809" s="47"/>
    </row>
    <row r="810" spans="2:8" ht="14" hidden="1" outlineLevel="1" x14ac:dyDescent="0.25">
      <c r="B810" s="54" t="s">
        <v>37</v>
      </c>
      <c r="C810" s="145">
        <v>1</v>
      </c>
      <c r="D810" s="56"/>
      <c r="E810" s="57"/>
      <c r="F810" s="58"/>
      <c r="G810" s="58"/>
      <c r="H810" s="58"/>
    </row>
    <row r="811" spans="2:8" ht="13" hidden="1" outlineLevel="1" x14ac:dyDescent="0.25">
      <c r="B811" s="43" t="s">
        <v>66</v>
      </c>
      <c r="C811" s="142"/>
      <c r="D811" s="45" t="str">
        <f>D807</f>
        <v>kg</v>
      </c>
      <c r="E811" s="46"/>
      <c r="F811" s="47"/>
      <c r="G811" s="47"/>
      <c r="H811" s="47"/>
    </row>
    <row r="812" spans="2:8" ht="13" hidden="1" outlineLevel="1" x14ac:dyDescent="0.25">
      <c r="B812" s="43" t="s">
        <v>67</v>
      </c>
      <c r="C812" s="143"/>
      <c r="D812" s="45" t="s">
        <v>3</v>
      </c>
      <c r="E812" s="59"/>
      <c r="F812" s="47"/>
      <c r="G812" s="47"/>
      <c r="H812" s="47"/>
    </row>
    <row r="813" spans="2:8" ht="13" hidden="1" outlineLevel="1" x14ac:dyDescent="0.25">
      <c r="B813" s="51" t="s">
        <v>68</v>
      </c>
      <c r="C813" s="144">
        <f>C811*C812</f>
        <v>0</v>
      </c>
      <c r="D813" s="45" t="str">
        <f>D807</f>
        <v>kg</v>
      </c>
      <c r="E813" s="46"/>
      <c r="F813" s="47"/>
      <c r="G813" s="47"/>
      <c r="H813" s="47"/>
    </row>
    <row r="814" spans="2:8" ht="13.5" hidden="1" outlineLevel="1" thickBot="1" x14ac:dyDescent="0.3">
      <c r="B814" s="61"/>
      <c r="C814" s="62"/>
      <c r="D814" s="63"/>
      <c r="F814" s="64"/>
      <c r="G814" s="64"/>
      <c r="H814" s="64"/>
    </row>
    <row r="815" spans="2:8" ht="14.5" hidden="1" outlineLevel="1" thickBot="1" x14ac:dyDescent="0.3">
      <c r="B815" s="65" t="s">
        <v>5</v>
      </c>
      <c r="C815" s="66" t="s">
        <v>6</v>
      </c>
      <c r="D815" s="67" t="s">
        <v>1</v>
      </c>
      <c r="E815" s="68"/>
      <c r="F815" s="69"/>
      <c r="G815" s="69"/>
      <c r="H815" s="69"/>
    </row>
    <row r="816" spans="2:8" ht="13" hidden="1" outlineLevel="1" x14ac:dyDescent="0.25">
      <c r="B816" s="70" t="s">
        <v>43</v>
      </c>
      <c r="C816" s="71"/>
      <c r="D816" s="72"/>
      <c r="E816" s="73"/>
      <c r="F816" s="69"/>
      <c r="G816" s="69"/>
      <c r="H816" s="69"/>
    </row>
    <row r="817" spans="2:11" ht="13" hidden="1" outlineLevel="1" x14ac:dyDescent="0.25">
      <c r="B817" s="74"/>
      <c r="C817" s="146">
        <f>C809</f>
        <v>0</v>
      </c>
      <c r="D817" s="76" t="str">
        <f>D807</f>
        <v>kg</v>
      </c>
      <c r="E817" s="98"/>
      <c r="F817" s="69"/>
      <c r="G817" s="69"/>
      <c r="H817" s="69"/>
    </row>
    <row r="818" spans="2:11" ht="13.5" hidden="1" outlineLevel="1" thickBot="1" x14ac:dyDescent="0.3">
      <c r="B818" s="74"/>
      <c r="C818" s="146"/>
      <c r="D818" s="76" t="str">
        <f>D807</f>
        <v>kg</v>
      </c>
      <c r="E818" s="77"/>
      <c r="F818" s="78"/>
      <c r="G818" s="78"/>
      <c r="H818" s="78"/>
    </row>
    <row r="819" spans="2:11" ht="13" hidden="1" outlineLevel="1" x14ac:dyDescent="0.25">
      <c r="B819" s="79" t="s">
        <v>69</v>
      </c>
      <c r="C819" s="147"/>
      <c r="D819" s="81"/>
      <c r="E819" s="77"/>
      <c r="F819" s="82"/>
      <c r="G819" s="82"/>
      <c r="H819" s="82"/>
    </row>
    <row r="820" spans="2:11" ht="13" hidden="1" outlineLevel="1" x14ac:dyDescent="0.25">
      <c r="B820" s="74"/>
      <c r="C820" s="148"/>
      <c r="D820" s="76" t="str">
        <f>D807</f>
        <v>kg</v>
      </c>
      <c r="E820" s="77"/>
      <c r="F820" s="82"/>
      <c r="G820" s="82"/>
      <c r="H820" s="82"/>
    </row>
    <row r="821" spans="2:11" ht="13" hidden="1" outlineLevel="1" x14ac:dyDescent="0.25">
      <c r="B821" s="74"/>
      <c r="C821" s="148"/>
      <c r="D821" s="76" t="str">
        <f>D807</f>
        <v>kg</v>
      </c>
      <c r="E821" s="77"/>
      <c r="F821" s="82"/>
      <c r="G821" s="82"/>
      <c r="H821" s="82"/>
    </row>
    <row r="822" spans="2:11" ht="13" hidden="1" outlineLevel="1" x14ac:dyDescent="0.25">
      <c r="B822" s="74"/>
      <c r="C822" s="148"/>
      <c r="D822" s="76" t="str">
        <f>D807</f>
        <v>kg</v>
      </c>
      <c r="E822" s="77"/>
      <c r="F822" s="82"/>
      <c r="G822" s="82"/>
      <c r="H822" s="82"/>
    </row>
    <row r="823" spans="2:11" ht="13" hidden="1" outlineLevel="1" x14ac:dyDescent="0.25">
      <c r="B823" s="74"/>
      <c r="C823" s="148"/>
      <c r="D823" s="76" t="str">
        <f>D807</f>
        <v>kg</v>
      </c>
      <c r="E823" s="77"/>
      <c r="F823" s="82"/>
      <c r="G823" s="82"/>
      <c r="H823" s="82"/>
    </row>
    <row r="824" spans="2:11" ht="13" hidden="1" outlineLevel="1" x14ac:dyDescent="0.25">
      <c r="B824" s="74"/>
      <c r="C824" s="148"/>
      <c r="D824" s="76" t="str">
        <f>D807</f>
        <v>kg</v>
      </c>
      <c r="E824" s="77"/>
      <c r="F824" s="82"/>
      <c r="G824" s="82"/>
      <c r="H824" s="82"/>
    </row>
    <row r="825" spans="2:11" ht="13" hidden="1" outlineLevel="1" x14ac:dyDescent="0.25">
      <c r="B825" s="74"/>
      <c r="C825" s="148"/>
      <c r="D825" s="76" t="str">
        <f>D807</f>
        <v>kg</v>
      </c>
      <c r="E825" s="77"/>
      <c r="F825" s="82"/>
      <c r="G825" s="82"/>
      <c r="H825" s="82"/>
    </row>
    <row r="826" spans="2:11" ht="13" hidden="1" outlineLevel="1" x14ac:dyDescent="0.25">
      <c r="B826" s="74"/>
      <c r="C826" s="148"/>
      <c r="D826" s="76" t="str">
        <f>D807</f>
        <v>kg</v>
      </c>
      <c r="E826" s="77"/>
      <c r="F826" s="82"/>
      <c r="G826" s="82"/>
      <c r="H826" s="82"/>
    </row>
    <row r="827" spans="2:11" ht="13" hidden="1" outlineLevel="1" x14ac:dyDescent="0.25">
      <c r="B827" s="74"/>
      <c r="C827" s="148"/>
      <c r="D827" s="76" t="str">
        <f>D807</f>
        <v>kg</v>
      </c>
      <c r="E827" s="77"/>
      <c r="F827" s="82"/>
      <c r="G827" s="82"/>
      <c r="H827" s="82"/>
    </row>
    <row r="828" spans="2:11" ht="13" hidden="1" outlineLevel="1" x14ac:dyDescent="0.25">
      <c r="B828" s="74"/>
      <c r="C828" s="148"/>
      <c r="D828" s="76" t="str">
        <f>D807</f>
        <v>kg</v>
      </c>
      <c r="E828" s="77"/>
      <c r="F828" s="82"/>
      <c r="G828" s="82"/>
      <c r="H828" s="82"/>
    </row>
    <row r="829" spans="2:11" ht="13" hidden="1" outlineLevel="1" x14ac:dyDescent="0.25">
      <c r="B829" s="74"/>
      <c r="C829" s="148"/>
      <c r="D829" s="76" t="str">
        <f>D807</f>
        <v>kg</v>
      </c>
      <c r="E829" s="77"/>
      <c r="F829" s="82"/>
      <c r="G829" s="82"/>
      <c r="H829" s="82"/>
    </row>
    <row r="830" spans="2:11" ht="13" hidden="1" outlineLevel="1" x14ac:dyDescent="0.25">
      <c r="B830" s="79"/>
      <c r="C830" s="147"/>
      <c r="D830" s="81"/>
      <c r="E830" s="77"/>
      <c r="F830" s="82"/>
      <c r="G830" s="82"/>
      <c r="H830" s="82"/>
      <c r="K830" s="34"/>
    </row>
    <row r="831" spans="2:11" ht="13" hidden="1" outlineLevel="1" x14ac:dyDescent="0.25">
      <c r="B831" s="86" t="s">
        <v>7</v>
      </c>
      <c r="C831" s="149">
        <f>SUM(C816:C829)</f>
        <v>0</v>
      </c>
      <c r="D831" s="88" t="str">
        <f>D807</f>
        <v>kg</v>
      </c>
      <c r="E831" s="77"/>
      <c r="F831" s="82"/>
      <c r="G831" s="82"/>
      <c r="H831" s="82"/>
    </row>
    <row r="832" spans="2:11" ht="13" hidden="1" outlineLevel="1" x14ac:dyDescent="0.25">
      <c r="B832" s="79" t="s">
        <v>71</v>
      </c>
      <c r="C832" s="150"/>
      <c r="D832" s="81"/>
      <c r="E832" s="77"/>
      <c r="F832" s="82"/>
      <c r="G832" s="82"/>
      <c r="H832" s="82"/>
    </row>
    <row r="833" spans="2:8" ht="13" hidden="1" outlineLevel="1" x14ac:dyDescent="0.25">
      <c r="B833" s="74"/>
      <c r="C833" s="148"/>
      <c r="D833" s="76" t="str">
        <f>D807</f>
        <v>kg</v>
      </c>
      <c r="E833" s="77"/>
      <c r="F833" s="82"/>
      <c r="G833" s="82"/>
      <c r="H833" s="82"/>
    </row>
    <row r="834" spans="2:8" ht="13" hidden="1" outlineLevel="1" x14ac:dyDescent="0.25">
      <c r="B834" s="74"/>
      <c r="C834" s="148"/>
      <c r="D834" s="76" t="str">
        <f>D807</f>
        <v>kg</v>
      </c>
      <c r="E834" s="77"/>
      <c r="F834" s="82"/>
      <c r="G834" s="82"/>
      <c r="H834" s="82"/>
    </row>
    <row r="835" spans="2:8" ht="13" hidden="1" outlineLevel="1" x14ac:dyDescent="0.25">
      <c r="B835" s="74"/>
      <c r="C835" s="148"/>
      <c r="D835" s="76" t="str">
        <f>D807</f>
        <v>kg</v>
      </c>
      <c r="E835" s="77"/>
      <c r="F835" s="82"/>
      <c r="G835" s="82"/>
      <c r="H835" s="82"/>
    </row>
    <row r="836" spans="2:8" ht="13" hidden="1" outlineLevel="1" x14ac:dyDescent="0.25">
      <c r="B836" s="74"/>
      <c r="C836" s="148"/>
      <c r="D836" s="76" t="str">
        <f>D807</f>
        <v>kg</v>
      </c>
      <c r="E836" s="77"/>
      <c r="F836" s="82"/>
      <c r="G836" s="82"/>
      <c r="H836" s="82"/>
    </row>
    <row r="837" spans="2:8" ht="13" hidden="1" outlineLevel="1" x14ac:dyDescent="0.25">
      <c r="B837" s="74"/>
      <c r="C837" s="148"/>
      <c r="D837" s="76" t="str">
        <f>D807</f>
        <v>kg</v>
      </c>
      <c r="E837" s="77"/>
      <c r="F837" s="82"/>
      <c r="G837" s="82"/>
      <c r="H837" s="82"/>
    </row>
    <row r="838" spans="2:8" ht="13" hidden="1" outlineLevel="1" x14ac:dyDescent="0.25">
      <c r="B838" s="74"/>
      <c r="C838" s="148"/>
      <c r="D838" s="76" t="str">
        <f>D807</f>
        <v>kg</v>
      </c>
      <c r="E838" s="77"/>
      <c r="F838" s="82"/>
      <c r="G838" s="82"/>
      <c r="H838" s="82"/>
    </row>
    <row r="839" spans="2:8" ht="13" hidden="1" outlineLevel="1" x14ac:dyDescent="0.25">
      <c r="B839" s="74"/>
      <c r="C839" s="148"/>
      <c r="D839" s="76" t="str">
        <f>D807</f>
        <v>kg</v>
      </c>
      <c r="E839" s="77"/>
      <c r="F839" s="82"/>
      <c r="G839" s="82"/>
      <c r="H839" s="82"/>
    </row>
    <row r="840" spans="2:8" ht="13" hidden="1" outlineLevel="1" x14ac:dyDescent="0.25">
      <c r="B840" s="74"/>
      <c r="C840" s="148"/>
      <c r="D840" s="76" t="str">
        <f>D807</f>
        <v>kg</v>
      </c>
      <c r="E840" s="77"/>
      <c r="F840" s="82"/>
      <c r="G840" s="82"/>
      <c r="H840" s="82"/>
    </row>
    <row r="841" spans="2:8" ht="13" hidden="1" outlineLevel="1" x14ac:dyDescent="0.25">
      <c r="B841" s="79" t="s">
        <v>70</v>
      </c>
      <c r="C841" s="147"/>
      <c r="D841" s="81"/>
      <c r="E841" s="90"/>
      <c r="F841" s="82"/>
      <c r="G841" s="82"/>
      <c r="H841" s="82"/>
    </row>
    <row r="842" spans="2:8" ht="13" hidden="1" outlineLevel="1" x14ac:dyDescent="0.25">
      <c r="B842" s="74"/>
      <c r="C842" s="148"/>
      <c r="D842" s="76" t="str">
        <f>D807</f>
        <v>kg</v>
      </c>
      <c r="E842" s="77"/>
      <c r="F842" s="82"/>
      <c r="G842" s="82"/>
      <c r="H842" s="82"/>
    </row>
    <row r="843" spans="2:8" ht="13" hidden="1" outlineLevel="1" x14ac:dyDescent="0.25">
      <c r="B843" s="74"/>
      <c r="C843" s="148"/>
      <c r="D843" s="76" t="str">
        <f>D807</f>
        <v>kg</v>
      </c>
      <c r="E843" s="77"/>
      <c r="F843" s="82"/>
      <c r="G843" s="82"/>
      <c r="H843" s="82"/>
    </row>
    <row r="844" spans="2:8" ht="13" hidden="1" outlineLevel="1" x14ac:dyDescent="0.25">
      <c r="B844" s="74"/>
      <c r="C844" s="148"/>
      <c r="D844" s="76" t="str">
        <f>D807</f>
        <v>kg</v>
      </c>
      <c r="E844" s="77"/>
      <c r="F844" s="82"/>
      <c r="G844" s="82"/>
      <c r="H844" s="82"/>
    </row>
    <row r="845" spans="2:8" ht="13" hidden="1" outlineLevel="1" x14ac:dyDescent="0.25">
      <c r="B845" s="74"/>
      <c r="C845" s="148"/>
      <c r="D845" s="76" t="str">
        <f>D807</f>
        <v>kg</v>
      </c>
      <c r="E845" s="77"/>
      <c r="F845" s="82"/>
      <c r="G845" s="82"/>
      <c r="H845" s="82"/>
    </row>
    <row r="846" spans="2:8" ht="13" hidden="1" outlineLevel="1" x14ac:dyDescent="0.25">
      <c r="B846" s="74"/>
      <c r="C846" s="148"/>
      <c r="D846" s="76" t="str">
        <f>D807</f>
        <v>kg</v>
      </c>
      <c r="E846" s="77"/>
      <c r="F846" s="82"/>
      <c r="G846" s="82"/>
      <c r="H846" s="82"/>
    </row>
    <row r="847" spans="2:8" ht="13" hidden="1" outlineLevel="1" x14ac:dyDescent="0.25">
      <c r="B847" s="74"/>
      <c r="C847" s="148"/>
      <c r="D847" s="76" t="str">
        <f>D807</f>
        <v>kg</v>
      </c>
      <c r="E847" s="77"/>
      <c r="F847" s="82"/>
      <c r="G847" s="82"/>
      <c r="H847" s="82"/>
    </row>
    <row r="848" spans="2:8" ht="13" hidden="1" outlineLevel="1" x14ac:dyDescent="0.25">
      <c r="B848" s="74"/>
      <c r="C848" s="148"/>
      <c r="D848" s="76" t="str">
        <f>D807</f>
        <v>kg</v>
      </c>
      <c r="E848" s="77"/>
      <c r="F848" s="82"/>
      <c r="G848" s="82"/>
      <c r="H848" s="82"/>
    </row>
    <row r="849" spans="2:11" ht="13" hidden="1" outlineLevel="1" x14ac:dyDescent="0.25">
      <c r="B849" s="79"/>
      <c r="C849" s="147"/>
      <c r="D849" s="81"/>
      <c r="E849" s="77"/>
      <c r="F849" s="82"/>
      <c r="G849" s="82"/>
      <c r="H849" s="82"/>
      <c r="K849" s="34"/>
    </row>
    <row r="850" spans="2:11" ht="13" hidden="1" outlineLevel="1" x14ac:dyDescent="0.25">
      <c r="B850" s="86" t="s">
        <v>9</v>
      </c>
      <c r="C850" s="149">
        <f>SUM(C831:C848)</f>
        <v>0</v>
      </c>
      <c r="D850" s="91" t="str">
        <f>D807</f>
        <v>kg</v>
      </c>
      <c r="E850" s="77"/>
      <c r="F850" s="82"/>
      <c r="G850" s="82"/>
      <c r="H850" s="82"/>
    </row>
    <row r="851" spans="2:11" ht="13" hidden="1" outlineLevel="1" x14ac:dyDescent="0.25">
      <c r="B851" s="92"/>
      <c r="C851" s="93"/>
      <c r="D851" s="94"/>
      <c r="E851" s="77"/>
      <c r="F851" s="82"/>
      <c r="G851" s="82"/>
      <c r="H851" s="82"/>
    </row>
    <row r="852" spans="2:11" ht="20.5" hidden="1" outlineLevel="1" thickBot="1" x14ac:dyDescent="0.3">
      <c r="B852" s="426" t="s">
        <v>10</v>
      </c>
      <c r="C852" s="427"/>
      <c r="D852" s="428"/>
      <c r="E852" s="77"/>
      <c r="F852" s="82"/>
      <c r="G852" s="82"/>
      <c r="H852" s="82"/>
    </row>
    <row r="853" spans="2:11" ht="13" hidden="1" outlineLevel="1" x14ac:dyDescent="0.25">
      <c r="B853" s="95" t="s">
        <v>23</v>
      </c>
      <c r="C853" s="96"/>
      <c r="D853" s="151">
        <f>SUM(C817:C818)</f>
        <v>0</v>
      </c>
      <c r="E853" s="98"/>
      <c r="F853" s="82"/>
      <c r="G853" s="82"/>
      <c r="H853" s="82"/>
    </row>
    <row r="854" spans="2:11" ht="13" hidden="1" outlineLevel="1" x14ac:dyDescent="0.25">
      <c r="B854" s="99" t="s">
        <v>24</v>
      </c>
      <c r="C854" s="100"/>
      <c r="D854" s="152">
        <f>SUM(C820:C830)</f>
        <v>0</v>
      </c>
      <c r="E854" s="98"/>
      <c r="F854" s="82"/>
      <c r="G854" s="82"/>
      <c r="H854" s="82"/>
    </row>
    <row r="855" spans="2:11" ht="13" hidden="1" outlineLevel="1" x14ac:dyDescent="0.25">
      <c r="B855" s="99" t="s">
        <v>25</v>
      </c>
      <c r="C855" s="100"/>
      <c r="D855" s="152">
        <f>SUM(C833:C841)</f>
        <v>0</v>
      </c>
      <c r="E855" s="98"/>
      <c r="F855" s="82"/>
      <c r="G855" s="82"/>
      <c r="H855" s="82"/>
    </row>
    <row r="856" spans="2:11" ht="13" hidden="1" outlineLevel="1" x14ac:dyDescent="0.25">
      <c r="B856" s="102" t="s">
        <v>26</v>
      </c>
      <c r="C856" s="103"/>
      <c r="D856" s="153">
        <f>SUM(C842:C849)</f>
        <v>0</v>
      </c>
      <c r="E856" s="98"/>
      <c r="F856" s="82"/>
      <c r="G856" s="82"/>
      <c r="H856" s="82"/>
    </row>
    <row r="857" spans="2:11" ht="18.5" hidden="1" outlineLevel="1" thickTop="1" x14ac:dyDescent="0.25">
      <c r="B857" s="105" t="s">
        <v>11</v>
      </c>
      <c r="C857" s="106"/>
      <c r="D857" s="107" t="e">
        <f>C831/C813</f>
        <v>#DIV/0!</v>
      </c>
      <c r="E857" s="77"/>
      <c r="F857" s="110" t="s">
        <v>86</v>
      </c>
      <c r="G857" s="109" t="s">
        <v>85</v>
      </c>
      <c r="H857" s="110"/>
    </row>
    <row r="858" spans="2:11" ht="18.5" hidden="1" outlineLevel="1" thickBot="1" x14ac:dyDescent="0.3">
      <c r="B858" s="111" t="s">
        <v>12</v>
      </c>
      <c r="C858" s="112"/>
      <c r="D858" s="113" t="e">
        <f>(D853+D854+D855)/C813</f>
        <v>#DIV/0!</v>
      </c>
      <c r="E858" s="77"/>
      <c r="F858" s="154"/>
      <c r="G858" s="413"/>
      <c r="H858" s="414"/>
    </row>
    <row r="859" spans="2:11" ht="18" hidden="1" outlineLevel="1" x14ac:dyDescent="0.25">
      <c r="B859" s="111" t="s">
        <v>13</v>
      </c>
      <c r="C859" s="112"/>
      <c r="D859" s="113" t="e">
        <f>D855/C813</f>
        <v>#DIV/0!</v>
      </c>
      <c r="E859" s="90"/>
      <c r="F859" s="64" t="s">
        <v>45</v>
      </c>
      <c r="G859" s="64" t="s">
        <v>45</v>
      </c>
      <c r="H859" s="155"/>
    </row>
    <row r="860" spans="2:11" ht="18" hidden="1" outlineLevel="1" x14ac:dyDescent="0.25">
      <c r="B860" s="114" t="s">
        <v>14</v>
      </c>
      <c r="C860" s="115"/>
      <c r="D860" s="116" t="e">
        <f>D856/C813</f>
        <v>#DIV/0!</v>
      </c>
      <c r="E860" s="90"/>
      <c r="F860" s="110"/>
      <c r="G860" s="117" t="s">
        <v>46</v>
      </c>
      <c r="H860" s="110"/>
    </row>
    <row r="861" spans="2:11" ht="18.5" hidden="1" outlineLevel="1" thickBot="1" x14ac:dyDescent="0.3">
      <c r="B861" s="114" t="s">
        <v>15</v>
      </c>
      <c r="C861" s="119"/>
      <c r="D861" s="116" t="e">
        <f>SUM(D853:D856)/C813</f>
        <v>#DIV/0!</v>
      </c>
      <c r="E861" s="90"/>
      <c r="F861" s="429"/>
      <c r="G861" s="430"/>
      <c r="H861" s="431"/>
    </row>
    <row r="862" spans="2:11" ht="18.5" hidden="1" outlineLevel="1" thickTop="1" x14ac:dyDescent="0.25">
      <c r="B862" s="120" t="s">
        <v>16</v>
      </c>
      <c r="C862" s="121"/>
      <c r="D862" s="122" t="e">
        <f>((C817*D795)+D854+C818*MAX(1,F818))/C813</f>
        <v>#DIV/0!</v>
      </c>
      <c r="E862" s="77"/>
      <c r="F862" s="64" t="s">
        <v>45</v>
      </c>
      <c r="G862" s="64"/>
      <c r="H862" s="82"/>
    </row>
    <row r="863" spans="2:11" ht="18" hidden="1" outlineLevel="1" x14ac:dyDescent="0.25">
      <c r="B863" s="123" t="s">
        <v>17</v>
      </c>
      <c r="C863" s="124"/>
      <c r="D863" s="125" t="e">
        <f>(C817*D796+D854+D855+C818*(MAX(1,F818)+G818))/C813</f>
        <v>#DIV/0!</v>
      </c>
      <c r="E863" s="77"/>
      <c r="F863" s="82"/>
      <c r="G863" s="82"/>
      <c r="H863" s="82"/>
    </row>
    <row r="864" spans="2:11" ht="18" hidden="1" outlineLevel="1" x14ac:dyDescent="0.25">
      <c r="B864" s="123" t="s">
        <v>18</v>
      </c>
      <c r="C864" s="124"/>
      <c r="D864" s="125" t="e">
        <f>((C817*D797)+D855+C818*G818)/C813</f>
        <v>#DIV/0!</v>
      </c>
      <c r="E864" s="77"/>
      <c r="F864" s="415" t="s">
        <v>61</v>
      </c>
      <c r="G864" s="416"/>
      <c r="H864" s="416"/>
    </row>
    <row r="865" spans="2:8" ht="18" hidden="1" outlineLevel="1" x14ac:dyDescent="0.25">
      <c r="B865" s="126" t="s">
        <v>19</v>
      </c>
      <c r="C865" s="127"/>
      <c r="D865" s="128" t="e">
        <f>(C817*D798+D856+C818*H818)/C813</f>
        <v>#DIV/0!</v>
      </c>
      <c r="E865" s="77"/>
      <c r="F865" s="416"/>
      <c r="G865" s="416"/>
      <c r="H865" s="416"/>
    </row>
    <row r="866" spans="2:8" ht="18.5" hidden="1" outlineLevel="1" thickBot="1" x14ac:dyDescent="0.3">
      <c r="B866" s="129" t="s">
        <v>20</v>
      </c>
      <c r="C866" s="130"/>
      <c r="D866" s="131" t="e">
        <f>((C817*D799)+SUM(D854:D856)+C818*(MAX(1,F818)+G818+H818))/C813</f>
        <v>#DIV/0!</v>
      </c>
      <c r="E866" s="77"/>
      <c r="F866" s="416"/>
      <c r="G866" s="416"/>
      <c r="H866" s="416"/>
    </row>
    <row r="867" spans="2:8" ht="13" hidden="1" outlineLevel="1" thickTop="1" x14ac:dyDescent="0.25">
      <c r="B867" s="156" t="s">
        <v>76</v>
      </c>
      <c r="C867" s="424"/>
      <c r="D867" s="425"/>
      <c r="F867" s="416"/>
      <c r="G867" s="416"/>
      <c r="H867" s="416"/>
    </row>
    <row r="868" spans="2:8" hidden="1" outlineLevel="1" x14ac:dyDescent="0.25">
      <c r="B868" s="157" t="s">
        <v>58</v>
      </c>
      <c r="C868" s="422"/>
      <c r="D868" s="423"/>
      <c r="F868" s="416"/>
      <c r="G868" s="416"/>
      <c r="H868" s="416"/>
    </row>
    <row r="869" spans="2:8" ht="13" hidden="1" outlineLevel="1" thickBot="1" x14ac:dyDescent="0.3">
      <c r="B869" s="158" t="s">
        <v>59</v>
      </c>
      <c r="C869" s="420"/>
      <c r="D869" s="421"/>
      <c r="F869" s="416"/>
      <c r="G869" s="416"/>
      <c r="H869" s="416"/>
    </row>
    <row r="870" spans="2:8" hidden="1" outlineLevel="1" x14ac:dyDescent="0.25"/>
    <row r="871" spans="2:8" hidden="1" outlineLevel="1" x14ac:dyDescent="0.25">
      <c r="C871" s="25" t="s">
        <v>44</v>
      </c>
      <c r="D871" s="25" t="s">
        <v>42</v>
      </c>
    </row>
    <row r="872" spans="2:8" ht="21" hidden="1" outlineLevel="1" thickTop="1" thickBot="1" x14ac:dyDescent="0.3">
      <c r="B872" s="140" t="s">
        <v>73</v>
      </c>
      <c r="C872" s="29"/>
      <c r="D872" s="141"/>
      <c r="E872" s="31"/>
      <c r="F872" s="32" t="s">
        <v>27</v>
      </c>
      <c r="G872" s="33"/>
      <c r="H872" s="33"/>
    </row>
    <row r="873" spans="2:8" ht="14.5" hidden="1" outlineLevel="1" thickBot="1" x14ac:dyDescent="0.3">
      <c r="B873" s="37"/>
      <c r="C873" s="38" t="s">
        <v>0</v>
      </c>
      <c r="D873" s="39" t="s">
        <v>1</v>
      </c>
      <c r="E873" s="40"/>
      <c r="F873" s="41" t="s">
        <v>28</v>
      </c>
      <c r="G873" s="41" t="s">
        <v>21</v>
      </c>
      <c r="H873" s="41" t="s">
        <v>8</v>
      </c>
    </row>
    <row r="874" spans="2:8" ht="13" hidden="1" outlineLevel="1" x14ac:dyDescent="0.25">
      <c r="B874" s="43" t="s">
        <v>65</v>
      </c>
      <c r="C874" s="142"/>
      <c r="D874" s="45" t="s">
        <v>2</v>
      </c>
      <c r="E874" s="46"/>
      <c r="F874" s="47"/>
      <c r="G874" s="47"/>
      <c r="H874" s="47"/>
    </row>
    <row r="875" spans="2:8" ht="13" hidden="1" outlineLevel="1" x14ac:dyDescent="0.25">
      <c r="B875" s="43" t="s">
        <v>64</v>
      </c>
      <c r="C875" s="143"/>
      <c r="D875" s="45" t="s">
        <v>3</v>
      </c>
      <c r="E875" s="46"/>
      <c r="F875" s="47"/>
      <c r="G875" s="47"/>
      <c r="H875" s="47"/>
    </row>
    <row r="876" spans="2:8" ht="13" hidden="1" outlineLevel="1" x14ac:dyDescent="0.25">
      <c r="B876" s="51" t="s">
        <v>63</v>
      </c>
      <c r="C876" s="144">
        <f>C874*C875</f>
        <v>0</v>
      </c>
      <c r="D876" s="45" t="str">
        <f>D874</f>
        <v>kg</v>
      </c>
      <c r="E876" s="46"/>
      <c r="F876" s="47"/>
      <c r="G876" s="47"/>
      <c r="H876" s="47"/>
    </row>
    <row r="877" spans="2:8" ht="14" hidden="1" outlineLevel="1" x14ac:dyDescent="0.25">
      <c r="B877" s="54" t="s">
        <v>37</v>
      </c>
      <c r="C877" s="145">
        <v>1</v>
      </c>
      <c r="D877" s="56"/>
      <c r="E877" s="57"/>
      <c r="F877" s="58"/>
      <c r="G877" s="58"/>
      <c r="H877" s="58"/>
    </row>
    <row r="878" spans="2:8" ht="13" hidden="1" outlineLevel="1" x14ac:dyDescent="0.25">
      <c r="B878" s="43" t="s">
        <v>66</v>
      </c>
      <c r="C878" s="142"/>
      <c r="D878" s="45" t="str">
        <f>D874</f>
        <v>kg</v>
      </c>
      <c r="E878" s="46"/>
      <c r="F878" s="47"/>
      <c r="G878" s="47"/>
      <c r="H878" s="47"/>
    </row>
    <row r="879" spans="2:8" ht="13" hidden="1" outlineLevel="1" x14ac:dyDescent="0.25">
      <c r="B879" s="43" t="s">
        <v>67</v>
      </c>
      <c r="C879" s="143"/>
      <c r="D879" s="45" t="s">
        <v>3</v>
      </c>
      <c r="E879" s="59"/>
      <c r="F879" s="47"/>
      <c r="G879" s="47"/>
      <c r="H879" s="47"/>
    </row>
    <row r="880" spans="2:8" ht="13" hidden="1" outlineLevel="1" x14ac:dyDescent="0.25">
      <c r="B880" s="51" t="s">
        <v>68</v>
      </c>
      <c r="C880" s="144">
        <f>C878*C879</f>
        <v>0</v>
      </c>
      <c r="D880" s="45" t="str">
        <f>D874</f>
        <v>kg</v>
      </c>
      <c r="E880" s="46"/>
      <c r="F880" s="47"/>
      <c r="G880" s="47"/>
      <c r="H880" s="47"/>
    </row>
    <row r="881" spans="2:8" ht="13.5" hidden="1" outlineLevel="1" thickBot="1" x14ac:dyDescent="0.3">
      <c r="B881" s="61"/>
      <c r="C881" s="62"/>
      <c r="D881" s="63"/>
      <c r="F881" s="64"/>
      <c r="G881" s="64"/>
      <c r="H881" s="64"/>
    </row>
    <row r="882" spans="2:8" ht="14.5" hidden="1" outlineLevel="1" thickBot="1" x14ac:dyDescent="0.3">
      <c r="B882" s="65" t="s">
        <v>5</v>
      </c>
      <c r="C882" s="66" t="s">
        <v>6</v>
      </c>
      <c r="D882" s="67" t="s">
        <v>1</v>
      </c>
      <c r="E882" s="68"/>
      <c r="F882" s="69"/>
      <c r="G882" s="69"/>
      <c r="H882" s="69"/>
    </row>
    <row r="883" spans="2:8" ht="13" hidden="1" outlineLevel="1" x14ac:dyDescent="0.25">
      <c r="B883" s="70" t="s">
        <v>43</v>
      </c>
      <c r="C883" s="71"/>
      <c r="D883" s="72"/>
      <c r="E883" s="73"/>
      <c r="F883" s="69"/>
      <c r="G883" s="69"/>
      <c r="H883" s="69"/>
    </row>
    <row r="884" spans="2:8" ht="13" hidden="1" outlineLevel="1" x14ac:dyDescent="0.25">
      <c r="B884" s="74"/>
      <c r="C884" s="146">
        <f>C876</f>
        <v>0</v>
      </c>
      <c r="D884" s="76" t="str">
        <f>D874</f>
        <v>kg</v>
      </c>
      <c r="E884" s="98"/>
      <c r="F884" s="69"/>
      <c r="G884" s="69"/>
      <c r="H884" s="69"/>
    </row>
    <row r="885" spans="2:8" ht="13.5" hidden="1" outlineLevel="1" thickBot="1" x14ac:dyDescent="0.3">
      <c r="B885" s="74"/>
      <c r="C885" s="146"/>
      <c r="D885" s="76" t="str">
        <f>D874</f>
        <v>kg</v>
      </c>
      <c r="E885" s="77"/>
      <c r="F885" s="78"/>
      <c r="G885" s="78"/>
      <c r="H885" s="78"/>
    </row>
    <row r="886" spans="2:8" ht="13" hidden="1" outlineLevel="1" x14ac:dyDescent="0.25">
      <c r="B886" s="79" t="s">
        <v>69</v>
      </c>
      <c r="C886" s="147"/>
      <c r="D886" s="81"/>
      <c r="E886" s="77"/>
      <c r="F886" s="82"/>
      <c r="G886" s="82"/>
      <c r="H886" s="82"/>
    </row>
    <row r="887" spans="2:8" ht="13" hidden="1" outlineLevel="1" x14ac:dyDescent="0.25">
      <c r="B887" s="74"/>
      <c r="C887" s="148"/>
      <c r="D887" s="76" t="str">
        <f>D874</f>
        <v>kg</v>
      </c>
      <c r="E887" s="77"/>
      <c r="F887" s="82"/>
      <c r="G887" s="82"/>
      <c r="H887" s="82"/>
    </row>
    <row r="888" spans="2:8" ht="13" hidden="1" outlineLevel="1" x14ac:dyDescent="0.25">
      <c r="B888" s="74"/>
      <c r="C888" s="148"/>
      <c r="D888" s="76" t="str">
        <f>D874</f>
        <v>kg</v>
      </c>
      <c r="E888" s="77"/>
      <c r="F888" s="82"/>
      <c r="G888" s="82"/>
      <c r="H888" s="82"/>
    </row>
    <row r="889" spans="2:8" ht="13" hidden="1" outlineLevel="1" x14ac:dyDescent="0.25">
      <c r="B889" s="74"/>
      <c r="C889" s="148"/>
      <c r="D889" s="76" t="str">
        <f>D874</f>
        <v>kg</v>
      </c>
      <c r="E889" s="77"/>
      <c r="F889" s="82"/>
      <c r="G889" s="82"/>
      <c r="H889" s="82"/>
    </row>
    <row r="890" spans="2:8" ht="13" hidden="1" outlineLevel="1" x14ac:dyDescent="0.25">
      <c r="B890" s="74"/>
      <c r="C890" s="148"/>
      <c r="D890" s="76" t="str">
        <f>D874</f>
        <v>kg</v>
      </c>
      <c r="E890" s="77"/>
      <c r="F890" s="82"/>
      <c r="G890" s="82"/>
      <c r="H890" s="82"/>
    </row>
    <row r="891" spans="2:8" ht="13" hidden="1" outlineLevel="1" x14ac:dyDescent="0.25">
      <c r="B891" s="74"/>
      <c r="C891" s="148"/>
      <c r="D891" s="76" t="str">
        <f>D874</f>
        <v>kg</v>
      </c>
      <c r="E891" s="77"/>
      <c r="F891" s="82"/>
      <c r="G891" s="82"/>
      <c r="H891" s="82"/>
    </row>
    <row r="892" spans="2:8" ht="13" hidden="1" outlineLevel="1" x14ac:dyDescent="0.25">
      <c r="B892" s="74"/>
      <c r="C892" s="148"/>
      <c r="D892" s="76" t="str">
        <f>D874</f>
        <v>kg</v>
      </c>
      <c r="E892" s="77"/>
      <c r="F892" s="82"/>
      <c r="G892" s="82"/>
      <c r="H892" s="82"/>
    </row>
    <row r="893" spans="2:8" ht="13" hidden="1" outlineLevel="1" x14ac:dyDescent="0.25">
      <c r="B893" s="74"/>
      <c r="C893" s="148"/>
      <c r="D893" s="76" t="str">
        <f>D874</f>
        <v>kg</v>
      </c>
      <c r="E893" s="77"/>
      <c r="F893" s="82"/>
      <c r="G893" s="82"/>
      <c r="H893" s="82"/>
    </row>
    <row r="894" spans="2:8" ht="13" hidden="1" outlineLevel="1" x14ac:dyDescent="0.25">
      <c r="B894" s="74"/>
      <c r="C894" s="148"/>
      <c r="D894" s="76" t="str">
        <f>D874</f>
        <v>kg</v>
      </c>
      <c r="E894" s="77"/>
      <c r="F894" s="82"/>
      <c r="G894" s="82"/>
      <c r="H894" s="82"/>
    </row>
    <row r="895" spans="2:8" ht="13" hidden="1" outlineLevel="1" x14ac:dyDescent="0.25">
      <c r="B895" s="74"/>
      <c r="C895" s="148"/>
      <c r="D895" s="76" t="str">
        <f>D874</f>
        <v>kg</v>
      </c>
      <c r="E895" s="77"/>
      <c r="F895" s="82"/>
      <c r="G895" s="82"/>
      <c r="H895" s="82"/>
    </row>
    <row r="896" spans="2:8" ht="13" hidden="1" outlineLevel="1" x14ac:dyDescent="0.25">
      <c r="B896" s="74"/>
      <c r="C896" s="148"/>
      <c r="D896" s="76" t="str">
        <f>D874</f>
        <v>kg</v>
      </c>
      <c r="E896" s="77"/>
      <c r="F896" s="82"/>
      <c r="G896" s="82"/>
      <c r="H896" s="82"/>
    </row>
    <row r="897" spans="2:11" ht="13" hidden="1" outlineLevel="1" x14ac:dyDescent="0.25">
      <c r="B897" s="79"/>
      <c r="C897" s="147"/>
      <c r="D897" s="81"/>
      <c r="E897" s="77"/>
      <c r="F897" s="82"/>
      <c r="G897" s="82"/>
      <c r="H897" s="82"/>
      <c r="K897" s="34"/>
    </row>
    <row r="898" spans="2:11" ht="13" hidden="1" outlineLevel="1" x14ac:dyDescent="0.25">
      <c r="B898" s="86" t="s">
        <v>7</v>
      </c>
      <c r="C898" s="149">
        <f>SUM(C883:C896)</f>
        <v>0</v>
      </c>
      <c r="D898" s="88" t="str">
        <f>D874</f>
        <v>kg</v>
      </c>
      <c r="E898" s="77"/>
      <c r="F898" s="82"/>
      <c r="G898" s="82"/>
      <c r="H898" s="82"/>
    </row>
    <row r="899" spans="2:11" ht="13" hidden="1" outlineLevel="1" x14ac:dyDescent="0.25">
      <c r="B899" s="79" t="s">
        <v>71</v>
      </c>
      <c r="C899" s="150"/>
      <c r="D899" s="81"/>
      <c r="E899" s="77"/>
      <c r="F899" s="82"/>
      <c r="G899" s="82"/>
      <c r="H899" s="82"/>
    </row>
    <row r="900" spans="2:11" ht="13" hidden="1" outlineLevel="1" x14ac:dyDescent="0.25">
      <c r="B900" s="74"/>
      <c r="C900" s="148"/>
      <c r="D900" s="76" t="str">
        <f>D874</f>
        <v>kg</v>
      </c>
      <c r="E900" s="77"/>
      <c r="F900" s="82"/>
      <c r="G900" s="82"/>
      <c r="H900" s="82"/>
    </row>
    <row r="901" spans="2:11" ht="13" hidden="1" outlineLevel="1" x14ac:dyDescent="0.25">
      <c r="B901" s="74"/>
      <c r="C901" s="148"/>
      <c r="D901" s="76" t="str">
        <f>D874</f>
        <v>kg</v>
      </c>
      <c r="E901" s="77"/>
      <c r="F901" s="82"/>
      <c r="G901" s="82"/>
      <c r="H901" s="82"/>
    </row>
    <row r="902" spans="2:11" ht="13" hidden="1" outlineLevel="1" x14ac:dyDescent="0.25">
      <c r="B902" s="74"/>
      <c r="C902" s="148"/>
      <c r="D902" s="76" t="str">
        <f>D874</f>
        <v>kg</v>
      </c>
      <c r="E902" s="77"/>
      <c r="F902" s="82"/>
      <c r="G902" s="82"/>
      <c r="H902" s="82"/>
    </row>
    <row r="903" spans="2:11" ht="13" hidden="1" outlineLevel="1" x14ac:dyDescent="0.25">
      <c r="B903" s="74"/>
      <c r="C903" s="148"/>
      <c r="D903" s="76" t="str">
        <f>D874</f>
        <v>kg</v>
      </c>
      <c r="E903" s="77"/>
      <c r="F903" s="82"/>
      <c r="G903" s="82"/>
      <c r="H903" s="82"/>
    </row>
    <row r="904" spans="2:11" ht="13" hidden="1" outlineLevel="1" x14ac:dyDescent="0.25">
      <c r="B904" s="74"/>
      <c r="C904" s="148"/>
      <c r="D904" s="76" t="str">
        <f>D874</f>
        <v>kg</v>
      </c>
      <c r="E904" s="77"/>
      <c r="F904" s="82"/>
      <c r="G904" s="82"/>
      <c r="H904" s="82"/>
    </row>
    <row r="905" spans="2:11" ht="13" hidden="1" outlineLevel="1" x14ac:dyDescent="0.25">
      <c r="B905" s="74"/>
      <c r="C905" s="148"/>
      <c r="D905" s="76" t="str">
        <f>D874</f>
        <v>kg</v>
      </c>
      <c r="E905" s="77"/>
      <c r="F905" s="82"/>
      <c r="G905" s="82"/>
      <c r="H905" s="82"/>
    </row>
    <row r="906" spans="2:11" ht="13" hidden="1" outlineLevel="1" x14ac:dyDescent="0.25">
      <c r="B906" s="74"/>
      <c r="C906" s="148"/>
      <c r="D906" s="76" t="str">
        <f>D874</f>
        <v>kg</v>
      </c>
      <c r="E906" s="77"/>
      <c r="F906" s="82"/>
      <c r="G906" s="82"/>
      <c r="H906" s="82"/>
    </row>
    <row r="907" spans="2:11" ht="13" hidden="1" outlineLevel="1" x14ac:dyDescent="0.25">
      <c r="B907" s="74"/>
      <c r="C907" s="148"/>
      <c r="D907" s="76" t="str">
        <f>D874</f>
        <v>kg</v>
      </c>
      <c r="E907" s="77"/>
      <c r="F907" s="82"/>
      <c r="G907" s="82"/>
      <c r="H907" s="82"/>
    </row>
    <row r="908" spans="2:11" ht="13" hidden="1" outlineLevel="1" x14ac:dyDescent="0.25">
      <c r="B908" s="79" t="s">
        <v>70</v>
      </c>
      <c r="C908" s="147"/>
      <c r="D908" s="81"/>
      <c r="E908" s="90"/>
      <c r="F908" s="82"/>
      <c r="G908" s="82"/>
      <c r="H908" s="82"/>
    </row>
    <row r="909" spans="2:11" ht="13" hidden="1" outlineLevel="1" x14ac:dyDescent="0.25">
      <c r="B909" s="74"/>
      <c r="C909" s="148"/>
      <c r="D909" s="76" t="str">
        <f>D874</f>
        <v>kg</v>
      </c>
      <c r="E909" s="77"/>
      <c r="F909" s="82"/>
      <c r="G909" s="82"/>
      <c r="H909" s="82"/>
    </row>
    <row r="910" spans="2:11" ht="13" hidden="1" outlineLevel="1" x14ac:dyDescent="0.25">
      <c r="B910" s="74"/>
      <c r="C910" s="148"/>
      <c r="D910" s="76" t="str">
        <f>D874</f>
        <v>kg</v>
      </c>
      <c r="E910" s="77"/>
      <c r="F910" s="82"/>
      <c r="G910" s="82"/>
      <c r="H910" s="82"/>
    </row>
    <row r="911" spans="2:11" ht="13" hidden="1" outlineLevel="1" x14ac:dyDescent="0.25">
      <c r="B911" s="74"/>
      <c r="C911" s="148"/>
      <c r="D911" s="76" t="str">
        <f>D874</f>
        <v>kg</v>
      </c>
      <c r="E911" s="77"/>
      <c r="F911" s="82"/>
      <c r="G911" s="82"/>
      <c r="H911" s="82"/>
    </row>
    <row r="912" spans="2:11" ht="13" hidden="1" outlineLevel="1" x14ac:dyDescent="0.25">
      <c r="B912" s="74"/>
      <c r="C912" s="148"/>
      <c r="D912" s="76" t="str">
        <f>D874</f>
        <v>kg</v>
      </c>
      <c r="E912" s="77"/>
      <c r="F912" s="82"/>
      <c r="G912" s="82"/>
      <c r="H912" s="82"/>
    </row>
    <row r="913" spans="2:11" ht="13" hidden="1" outlineLevel="1" x14ac:dyDescent="0.25">
      <c r="B913" s="74"/>
      <c r="C913" s="148"/>
      <c r="D913" s="76" t="str">
        <f>D874</f>
        <v>kg</v>
      </c>
      <c r="E913" s="77"/>
      <c r="F913" s="82"/>
      <c r="G913" s="82"/>
      <c r="H913" s="82"/>
    </row>
    <row r="914" spans="2:11" ht="13" hidden="1" outlineLevel="1" x14ac:dyDescent="0.25">
      <c r="B914" s="74"/>
      <c r="C914" s="148"/>
      <c r="D914" s="76" t="str">
        <f>D874</f>
        <v>kg</v>
      </c>
      <c r="E914" s="77"/>
      <c r="F914" s="82"/>
      <c r="G914" s="82"/>
      <c r="H914" s="82"/>
    </row>
    <row r="915" spans="2:11" ht="13" hidden="1" outlineLevel="1" x14ac:dyDescent="0.25">
      <c r="B915" s="74"/>
      <c r="C915" s="148"/>
      <c r="D915" s="76" t="str">
        <f>D874</f>
        <v>kg</v>
      </c>
      <c r="E915" s="77"/>
      <c r="F915" s="82"/>
      <c r="G915" s="82"/>
      <c r="H915" s="82"/>
    </row>
    <row r="916" spans="2:11" ht="13" hidden="1" outlineLevel="1" x14ac:dyDescent="0.25">
      <c r="B916" s="79"/>
      <c r="C916" s="147"/>
      <c r="D916" s="81"/>
      <c r="E916" s="77"/>
      <c r="F916" s="82"/>
      <c r="G916" s="82"/>
      <c r="H916" s="82"/>
      <c r="K916" s="34"/>
    </row>
    <row r="917" spans="2:11" ht="13" hidden="1" outlineLevel="1" x14ac:dyDescent="0.25">
      <c r="B917" s="86" t="s">
        <v>9</v>
      </c>
      <c r="C917" s="149">
        <f>SUM(C898:C915)</f>
        <v>0</v>
      </c>
      <c r="D917" s="91" t="str">
        <f>D874</f>
        <v>kg</v>
      </c>
      <c r="E917" s="77"/>
      <c r="F917" s="82"/>
      <c r="G917" s="82"/>
      <c r="H917" s="82"/>
    </row>
    <row r="918" spans="2:11" ht="13" hidden="1" outlineLevel="1" x14ac:dyDescent="0.25">
      <c r="B918" s="92"/>
      <c r="C918" s="93"/>
      <c r="D918" s="94"/>
      <c r="E918" s="77"/>
      <c r="F918" s="82"/>
      <c r="G918" s="82"/>
      <c r="H918" s="82"/>
    </row>
    <row r="919" spans="2:11" ht="20.5" hidden="1" outlineLevel="1" thickBot="1" x14ac:dyDescent="0.3">
      <c r="B919" s="426" t="s">
        <v>10</v>
      </c>
      <c r="C919" s="427"/>
      <c r="D919" s="428"/>
      <c r="E919" s="77"/>
      <c r="F919" s="82"/>
      <c r="G919" s="82"/>
      <c r="H919" s="82"/>
    </row>
    <row r="920" spans="2:11" ht="13" hidden="1" outlineLevel="1" x14ac:dyDescent="0.25">
      <c r="B920" s="95" t="s">
        <v>23</v>
      </c>
      <c r="C920" s="96"/>
      <c r="D920" s="151">
        <f>SUM(C884:C885)</f>
        <v>0</v>
      </c>
      <c r="E920" s="98"/>
      <c r="F920" s="82"/>
      <c r="G920" s="82"/>
      <c r="H920" s="82"/>
    </row>
    <row r="921" spans="2:11" ht="13" hidden="1" outlineLevel="1" x14ac:dyDescent="0.25">
      <c r="B921" s="99" t="s">
        <v>24</v>
      </c>
      <c r="C921" s="100"/>
      <c r="D921" s="152">
        <f>SUM(C887:C897)</f>
        <v>0</v>
      </c>
      <c r="E921" s="98"/>
      <c r="F921" s="82"/>
      <c r="G921" s="82"/>
      <c r="H921" s="82"/>
    </row>
    <row r="922" spans="2:11" ht="13" hidden="1" outlineLevel="1" x14ac:dyDescent="0.25">
      <c r="B922" s="99" t="s">
        <v>25</v>
      </c>
      <c r="C922" s="100"/>
      <c r="D922" s="152">
        <f>SUM(C900:C908)</f>
        <v>0</v>
      </c>
      <c r="E922" s="98"/>
      <c r="F922" s="82"/>
      <c r="G922" s="82"/>
      <c r="H922" s="82"/>
    </row>
    <row r="923" spans="2:11" ht="13" hidden="1" outlineLevel="1" x14ac:dyDescent="0.25">
      <c r="B923" s="102" t="s">
        <v>26</v>
      </c>
      <c r="C923" s="103"/>
      <c r="D923" s="153">
        <f>SUM(C909:C916)</f>
        <v>0</v>
      </c>
      <c r="E923" s="98"/>
      <c r="F923" s="82"/>
      <c r="G923" s="82"/>
      <c r="H923" s="82"/>
    </row>
    <row r="924" spans="2:11" ht="18.5" hidden="1" outlineLevel="1" thickTop="1" x14ac:dyDescent="0.25">
      <c r="B924" s="105" t="s">
        <v>11</v>
      </c>
      <c r="C924" s="106"/>
      <c r="D924" s="107" t="e">
        <f>C898/C880</f>
        <v>#DIV/0!</v>
      </c>
      <c r="E924" s="77"/>
      <c r="F924" s="110" t="s">
        <v>86</v>
      </c>
      <c r="G924" s="109" t="s">
        <v>85</v>
      </c>
      <c r="H924" s="110"/>
    </row>
    <row r="925" spans="2:11" ht="18.5" hidden="1" outlineLevel="1" thickBot="1" x14ac:dyDescent="0.3">
      <c r="B925" s="111" t="s">
        <v>12</v>
      </c>
      <c r="C925" s="112"/>
      <c r="D925" s="113" t="e">
        <f>(D920+D921+D922)/C880</f>
        <v>#DIV/0!</v>
      </c>
      <c r="E925" s="77"/>
      <c r="F925" s="154"/>
      <c r="G925" s="413"/>
      <c r="H925" s="414"/>
    </row>
    <row r="926" spans="2:11" ht="18" hidden="1" outlineLevel="1" x14ac:dyDescent="0.25">
      <c r="B926" s="111" t="s">
        <v>13</v>
      </c>
      <c r="C926" s="112"/>
      <c r="D926" s="113" t="e">
        <f>D922/C880</f>
        <v>#DIV/0!</v>
      </c>
      <c r="E926" s="90"/>
      <c r="F926" s="64" t="s">
        <v>45</v>
      </c>
      <c r="G926" s="64" t="s">
        <v>45</v>
      </c>
      <c r="H926" s="155"/>
    </row>
    <row r="927" spans="2:11" ht="18" hidden="1" outlineLevel="1" x14ac:dyDescent="0.25">
      <c r="B927" s="114" t="s">
        <v>14</v>
      </c>
      <c r="C927" s="115"/>
      <c r="D927" s="116" t="e">
        <f>D923/C880</f>
        <v>#DIV/0!</v>
      </c>
      <c r="E927" s="90"/>
      <c r="F927" s="110"/>
      <c r="G927" s="117" t="s">
        <v>46</v>
      </c>
      <c r="H927" s="110"/>
    </row>
    <row r="928" spans="2:11" ht="18.5" hidden="1" outlineLevel="1" thickBot="1" x14ac:dyDescent="0.3">
      <c r="B928" s="114" t="s">
        <v>15</v>
      </c>
      <c r="C928" s="119"/>
      <c r="D928" s="116" t="e">
        <f>SUM(D920:D923)/C880</f>
        <v>#DIV/0!</v>
      </c>
      <c r="E928" s="90"/>
      <c r="F928" s="429"/>
      <c r="G928" s="430"/>
      <c r="H928" s="431"/>
    </row>
    <row r="929" spans="2:8" ht="18.5" hidden="1" outlineLevel="1" thickTop="1" x14ac:dyDescent="0.25">
      <c r="B929" s="120" t="s">
        <v>16</v>
      </c>
      <c r="C929" s="121"/>
      <c r="D929" s="122" t="e">
        <f>((C884*D862)+D921+C885*MAX(1,F885))/C880</f>
        <v>#DIV/0!</v>
      </c>
      <c r="E929" s="77"/>
      <c r="F929" s="64" t="s">
        <v>45</v>
      </c>
      <c r="G929" s="64"/>
      <c r="H929" s="82"/>
    </row>
    <row r="930" spans="2:8" ht="18" hidden="1" outlineLevel="1" x14ac:dyDescent="0.25">
      <c r="B930" s="123" t="s">
        <v>17</v>
      </c>
      <c r="C930" s="124"/>
      <c r="D930" s="125" t="e">
        <f>(C884*D863+D921+D922+C885*(MAX(1,F885)+G885))/C880</f>
        <v>#DIV/0!</v>
      </c>
      <c r="E930" s="77"/>
      <c r="F930" s="82"/>
      <c r="G930" s="82"/>
      <c r="H930" s="82"/>
    </row>
    <row r="931" spans="2:8" ht="18" hidden="1" outlineLevel="1" x14ac:dyDescent="0.25">
      <c r="B931" s="123" t="s">
        <v>18</v>
      </c>
      <c r="C931" s="124"/>
      <c r="D931" s="125" t="e">
        <f>((C884*D864)+D922+C885*G885)/C880</f>
        <v>#DIV/0!</v>
      </c>
      <c r="E931" s="77"/>
      <c r="F931" s="415" t="s">
        <v>61</v>
      </c>
      <c r="G931" s="416"/>
      <c r="H931" s="416"/>
    </row>
    <row r="932" spans="2:8" ht="18" hidden="1" outlineLevel="1" x14ac:dyDescent="0.25">
      <c r="B932" s="126" t="s">
        <v>19</v>
      </c>
      <c r="C932" s="127"/>
      <c r="D932" s="128" t="e">
        <f>(C884*D865+D923+C885*H885)/C880</f>
        <v>#DIV/0!</v>
      </c>
      <c r="E932" s="77"/>
      <c r="F932" s="416"/>
      <c r="G932" s="416"/>
      <c r="H932" s="416"/>
    </row>
    <row r="933" spans="2:8" ht="18.5" hidden="1" outlineLevel="1" thickBot="1" x14ac:dyDescent="0.3">
      <c r="B933" s="129" t="s">
        <v>20</v>
      </c>
      <c r="C933" s="130"/>
      <c r="D933" s="131" t="e">
        <f>((C884*D866)+SUM(D921:D923)+C885*(MAX(1,F885)+G885+H885))/C880</f>
        <v>#DIV/0!</v>
      </c>
      <c r="E933" s="77"/>
      <c r="F933" s="416"/>
      <c r="G933" s="416"/>
      <c r="H933" s="416"/>
    </row>
    <row r="934" spans="2:8" ht="13" hidden="1" outlineLevel="1" thickTop="1" x14ac:dyDescent="0.25">
      <c r="B934" s="156" t="s">
        <v>76</v>
      </c>
      <c r="C934" s="424"/>
      <c r="D934" s="425"/>
      <c r="F934" s="416"/>
      <c r="G934" s="416"/>
      <c r="H934" s="416"/>
    </row>
    <row r="935" spans="2:8" hidden="1" outlineLevel="1" x14ac:dyDescent="0.25">
      <c r="B935" s="157" t="s">
        <v>58</v>
      </c>
      <c r="C935" s="422"/>
      <c r="D935" s="423"/>
      <c r="F935" s="416"/>
      <c r="G935" s="416"/>
      <c r="H935" s="416"/>
    </row>
    <row r="936" spans="2:8" ht="13" hidden="1" outlineLevel="1" thickBot="1" x14ac:dyDescent="0.3">
      <c r="B936" s="158" t="s">
        <v>59</v>
      </c>
      <c r="C936" s="420"/>
      <c r="D936" s="421"/>
      <c r="F936" s="416"/>
      <c r="G936" s="416"/>
      <c r="H936" s="416"/>
    </row>
    <row r="937" spans="2:8" hidden="1" outlineLevel="1" x14ac:dyDescent="0.25"/>
    <row r="938" spans="2:8" hidden="1" outlineLevel="1" x14ac:dyDescent="0.25">
      <c r="C938" s="25" t="s">
        <v>44</v>
      </c>
      <c r="D938" s="25" t="s">
        <v>42</v>
      </c>
    </row>
    <row r="939" spans="2:8" ht="21" hidden="1" outlineLevel="1" thickTop="1" thickBot="1" x14ac:dyDescent="0.3">
      <c r="B939" s="140" t="s">
        <v>73</v>
      </c>
      <c r="C939" s="29"/>
      <c r="D939" s="141"/>
      <c r="E939" s="31"/>
      <c r="F939" s="32" t="s">
        <v>27</v>
      </c>
      <c r="G939" s="33"/>
      <c r="H939" s="33"/>
    </row>
    <row r="940" spans="2:8" ht="14.5" hidden="1" outlineLevel="1" thickBot="1" x14ac:dyDescent="0.3">
      <c r="B940" s="37"/>
      <c r="C940" s="38" t="s">
        <v>0</v>
      </c>
      <c r="D940" s="39" t="s">
        <v>1</v>
      </c>
      <c r="E940" s="40"/>
      <c r="F940" s="41" t="s">
        <v>28</v>
      </c>
      <c r="G940" s="41" t="s">
        <v>21</v>
      </c>
      <c r="H940" s="41" t="s">
        <v>8</v>
      </c>
    </row>
    <row r="941" spans="2:8" ht="13" hidden="1" outlineLevel="1" x14ac:dyDescent="0.25">
      <c r="B941" s="43" t="s">
        <v>65</v>
      </c>
      <c r="C941" s="142"/>
      <c r="D941" s="45" t="s">
        <v>2</v>
      </c>
      <c r="E941" s="46"/>
      <c r="F941" s="47"/>
      <c r="G941" s="47"/>
      <c r="H941" s="47"/>
    </row>
    <row r="942" spans="2:8" ht="13" hidden="1" outlineLevel="1" x14ac:dyDescent="0.25">
      <c r="B942" s="43" t="s">
        <v>64</v>
      </c>
      <c r="C942" s="143"/>
      <c r="D942" s="45" t="s">
        <v>3</v>
      </c>
      <c r="E942" s="46"/>
      <c r="F942" s="47"/>
      <c r="G942" s="47"/>
      <c r="H942" s="47"/>
    </row>
    <row r="943" spans="2:8" ht="13" hidden="1" outlineLevel="1" x14ac:dyDescent="0.25">
      <c r="B943" s="51" t="s">
        <v>63</v>
      </c>
      <c r="C943" s="144">
        <f>C941*C942</f>
        <v>0</v>
      </c>
      <c r="D943" s="45" t="str">
        <f>D941</f>
        <v>kg</v>
      </c>
      <c r="E943" s="46"/>
      <c r="F943" s="47"/>
      <c r="G943" s="47"/>
      <c r="H943" s="47"/>
    </row>
    <row r="944" spans="2:8" ht="14" hidden="1" outlineLevel="1" x14ac:dyDescent="0.25">
      <c r="B944" s="54" t="s">
        <v>37</v>
      </c>
      <c r="C944" s="145">
        <v>1</v>
      </c>
      <c r="D944" s="56"/>
      <c r="E944" s="57"/>
      <c r="F944" s="58"/>
      <c r="G944" s="58"/>
      <c r="H944" s="58"/>
    </row>
    <row r="945" spans="2:8" ht="13" hidden="1" outlineLevel="1" x14ac:dyDescent="0.25">
      <c r="B945" s="43" t="s">
        <v>66</v>
      </c>
      <c r="C945" s="142"/>
      <c r="D945" s="45" t="str">
        <f>D941</f>
        <v>kg</v>
      </c>
      <c r="E945" s="46"/>
      <c r="F945" s="47"/>
      <c r="G945" s="47"/>
      <c r="H945" s="47"/>
    </row>
    <row r="946" spans="2:8" ht="13" hidden="1" outlineLevel="1" x14ac:dyDescent="0.25">
      <c r="B946" s="43" t="s">
        <v>67</v>
      </c>
      <c r="C946" s="143"/>
      <c r="D946" s="45" t="s">
        <v>3</v>
      </c>
      <c r="E946" s="59"/>
      <c r="F946" s="47"/>
      <c r="G946" s="47"/>
      <c r="H946" s="47"/>
    </row>
    <row r="947" spans="2:8" ht="13" hidden="1" outlineLevel="1" x14ac:dyDescent="0.25">
      <c r="B947" s="51" t="s">
        <v>68</v>
      </c>
      <c r="C947" s="144">
        <f>C945*C946</f>
        <v>0</v>
      </c>
      <c r="D947" s="45" t="str">
        <f>D941</f>
        <v>kg</v>
      </c>
      <c r="E947" s="46"/>
      <c r="F947" s="47"/>
      <c r="G947" s="47"/>
      <c r="H947" s="47"/>
    </row>
    <row r="948" spans="2:8" ht="13.5" hidden="1" outlineLevel="1" thickBot="1" x14ac:dyDescent="0.3">
      <c r="B948" s="61"/>
      <c r="C948" s="62"/>
      <c r="D948" s="63"/>
      <c r="F948" s="64"/>
      <c r="G948" s="64"/>
      <c r="H948" s="64"/>
    </row>
    <row r="949" spans="2:8" ht="14.5" hidden="1" outlineLevel="1" thickBot="1" x14ac:dyDescent="0.3">
      <c r="B949" s="65" t="s">
        <v>5</v>
      </c>
      <c r="C949" s="66" t="s">
        <v>6</v>
      </c>
      <c r="D949" s="67" t="s">
        <v>1</v>
      </c>
      <c r="E949" s="68"/>
      <c r="F949" s="69"/>
      <c r="G949" s="69"/>
      <c r="H949" s="69"/>
    </row>
    <row r="950" spans="2:8" ht="13" hidden="1" outlineLevel="1" x14ac:dyDescent="0.25">
      <c r="B950" s="70" t="s">
        <v>43</v>
      </c>
      <c r="C950" s="71"/>
      <c r="D950" s="72"/>
      <c r="E950" s="73"/>
      <c r="F950" s="69"/>
      <c r="G950" s="69"/>
      <c r="H950" s="69"/>
    </row>
    <row r="951" spans="2:8" ht="13" hidden="1" outlineLevel="1" x14ac:dyDescent="0.25">
      <c r="B951" s="74"/>
      <c r="C951" s="146">
        <f>C943</f>
        <v>0</v>
      </c>
      <c r="D951" s="76" t="str">
        <f>D941</f>
        <v>kg</v>
      </c>
      <c r="E951" s="98"/>
      <c r="F951" s="69"/>
      <c r="G951" s="69"/>
      <c r="H951" s="69"/>
    </row>
    <row r="952" spans="2:8" ht="13.5" hidden="1" outlineLevel="1" thickBot="1" x14ac:dyDescent="0.3">
      <c r="B952" s="74"/>
      <c r="C952" s="146"/>
      <c r="D952" s="76" t="str">
        <f>D941</f>
        <v>kg</v>
      </c>
      <c r="E952" s="77"/>
      <c r="F952" s="78"/>
      <c r="G952" s="78"/>
      <c r="H952" s="78"/>
    </row>
    <row r="953" spans="2:8" ht="13" hidden="1" outlineLevel="1" x14ac:dyDescent="0.25">
      <c r="B953" s="79" t="s">
        <v>69</v>
      </c>
      <c r="C953" s="147"/>
      <c r="D953" s="81"/>
      <c r="E953" s="77"/>
      <c r="F953" s="82"/>
      <c r="G953" s="82"/>
      <c r="H953" s="82"/>
    </row>
    <row r="954" spans="2:8" ht="13" hidden="1" outlineLevel="1" x14ac:dyDescent="0.25">
      <c r="B954" s="74"/>
      <c r="C954" s="148"/>
      <c r="D954" s="76" t="str">
        <f>D941</f>
        <v>kg</v>
      </c>
      <c r="E954" s="77"/>
      <c r="F954" s="82"/>
      <c r="G954" s="82"/>
      <c r="H954" s="82"/>
    </row>
    <row r="955" spans="2:8" ht="13" hidden="1" outlineLevel="1" x14ac:dyDescent="0.25">
      <c r="B955" s="74"/>
      <c r="C955" s="148"/>
      <c r="D955" s="76" t="str">
        <f>D941</f>
        <v>kg</v>
      </c>
      <c r="E955" s="77"/>
      <c r="F955" s="82"/>
      <c r="G955" s="82"/>
      <c r="H955" s="82"/>
    </row>
    <row r="956" spans="2:8" ht="13" hidden="1" outlineLevel="1" x14ac:dyDescent="0.25">
      <c r="B956" s="74"/>
      <c r="C956" s="148"/>
      <c r="D956" s="76" t="str">
        <f>D941</f>
        <v>kg</v>
      </c>
      <c r="E956" s="77"/>
      <c r="F956" s="82"/>
      <c r="G956" s="82"/>
      <c r="H956" s="82"/>
    </row>
    <row r="957" spans="2:8" ht="13" hidden="1" outlineLevel="1" x14ac:dyDescent="0.25">
      <c r="B957" s="74"/>
      <c r="C957" s="148"/>
      <c r="D957" s="76" t="str">
        <f>D941</f>
        <v>kg</v>
      </c>
      <c r="E957" s="77"/>
      <c r="F957" s="82"/>
      <c r="G957" s="82"/>
      <c r="H957" s="82"/>
    </row>
    <row r="958" spans="2:8" ht="13" hidden="1" outlineLevel="1" x14ac:dyDescent="0.25">
      <c r="B958" s="74"/>
      <c r="C958" s="148"/>
      <c r="D958" s="76" t="str">
        <f>D941</f>
        <v>kg</v>
      </c>
      <c r="E958" s="77"/>
      <c r="F958" s="82"/>
      <c r="G958" s="82"/>
      <c r="H958" s="82"/>
    </row>
    <row r="959" spans="2:8" ht="13" hidden="1" outlineLevel="1" x14ac:dyDescent="0.25">
      <c r="B959" s="74"/>
      <c r="C959" s="148"/>
      <c r="D959" s="76" t="str">
        <f>D941</f>
        <v>kg</v>
      </c>
      <c r="E959" s="77"/>
      <c r="F959" s="82"/>
      <c r="G959" s="82"/>
      <c r="H959" s="82"/>
    </row>
    <row r="960" spans="2:8" ht="13" hidden="1" outlineLevel="1" x14ac:dyDescent="0.25">
      <c r="B960" s="74"/>
      <c r="C960" s="148"/>
      <c r="D960" s="76" t="str">
        <f>D941</f>
        <v>kg</v>
      </c>
      <c r="E960" s="77"/>
      <c r="F960" s="82"/>
      <c r="G960" s="82"/>
      <c r="H960" s="82"/>
    </row>
    <row r="961" spans="2:11" ht="13" hidden="1" outlineLevel="1" x14ac:dyDescent="0.25">
      <c r="B961" s="74"/>
      <c r="C961" s="148"/>
      <c r="D961" s="76" t="str">
        <f>D941</f>
        <v>kg</v>
      </c>
      <c r="E961" s="77"/>
      <c r="F961" s="82"/>
      <c r="G961" s="82"/>
      <c r="H961" s="82"/>
    </row>
    <row r="962" spans="2:11" ht="13" hidden="1" outlineLevel="1" x14ac:dyDescent="0.25">
      <c r="B962" s="74"/>
      <c r="C962" s="148"/>
      <c r="D962" s="76" t="str">
        <f>D941</f>
        <v>kg</v>
      </c>
      <c r="E962" s="77"/>
      <c r="F962" s="82"/>
      <c r="G962" s="82"/>
      <c r="H962" s="82"/>
    </row>
    <row r="963" spans="2:11" ht="13" hidden="1" outlineLevel="1" x14ac:dyDescent="0.25">
      <c r="B963" s="74"/>
      <c r="C963" s="148"/>
      <c r="D963" s="76" t="str">
        <f>D941</f>
        <v>kg</v>
      </c>
      <c r="E963" s="77"/>
      <c r="F963" s="82"/>
      <c r="G963" s="82"/>
      <c r="H963" s="82"/>
    </row>
    <row r="964" spans="2:11" ht="13" hidden="1" outlineLevel="1" x14ac:dyDescent="0.25">
      <c r="B964" s="79"/>
      <c r="C964" s="147"/>
      <c r="D964" s="81"/>
      <c r="E964" s="77"/>
      <c r="F964" s="82"/>
      <c r="G964" s="82"/>
      <c r="H964" s="82"/>
      <c r="K964" s="34"/>
    </row>
    <row r="965" spans="2:11" ht="13" hidden="1" outlineLevel="1" x14ac:dyDescent="0.25">
      <c r="B965" s="86" t="s">
        <v>7</v>
      </c>
      <c r="C965" s="149">
        <f>SUM(C950:C963)</f>
        <v>0</v>
      </c>
      <c r="D965" s="88" t="str">
        <f>D941</f>
        <v>kg</v>
      </c>
      <c r="E965" s="77"/>
      <c r="F965" s="82"/>
      <c r="G965" s="82"/>
      <c r="H965" s="82"/>
    </row>
    <row r="966" spans="2:11" ht="13" hidden="1" outlineLevel="1" x14ac:dyDescent="0.25">
      <c r="B966" s="79" t="s">
        <v>71</v>
      </c>
      <c r="C966" s="150"/>
      <c r="D966" s="81"/>
      <c r="E966" s="77"/>
      <c r="F966" s="82"/>
      <c r="G966" s="82"/>
      <c r="H966" s="82"/>
    </row>
    <row r="967" spans="2:11" ht="13" hidden="1" outlineLevel="1" x14ac:dyDescent="0.25">
      <c r="B967" s="74"/>
      <c r="C967" s="148"/>
      <c r="D967" s="76" t="str">
        <f>D941</f>
        <v>kg</v>
      </c>
      <c r="E967" s="77"/>
      <c r="F967" s="82"/>
      <c r="G967" s="82"/>
      <c r="H967" s="82"/>
    </row>
    <row r="968" spans="2:11" ht="13" hidden="1" outlineLevel="1" x14ac:dyDescent="0.25">
      <c r="B968" s="74"/>
      <c r="C968" s="148"/>
      <c r="D968" s="76" t="str">
        <f>D941</f>
        <v>kg</v>
      </c>
      <c r="E968" s="77"/>
      <c r="F968" s="82"/>
      <c r="G968" s="82"/>
      <c r="H968" s="82"/>
    </row>
    <row r="969" spans="2:11" ht="13" hidden="1" outlineLevel="1" x14ac:dyDescent="0.25">
      <c r="B969" s="74"/>
      <c r="C969" s="148"/>
      <c r="D969" s="76" t="str">
        <f>D941</f>
        <v>kg</v>
      </c>
      <c r="E969" s="77"/>
      <c r="F969" s="82"/>
      <c r="G969" s="82"/>
      <c r="H969" s="82"/>
    </row>
    <row r="970" spans="2:11" ht="13" hidden="1" outlineLevel="1" x14ac:dyDescent="0.25">
      <c r="B970" s="74"/>
      <c r="C970" s="148"/>
      <c r="D970" s="76" t="str">
        <f>D941</f>
        <v>kg</v>
      </c>
      <c r="E970" s="77"/>
      <c r="F970" s="82"/>
      <c r="G970" s="82"/>
      <c r="H970" s="82"/>
    </row>
    <row r="971" spans="2:11" ht="13" hidden="1" outlineLevel="1" x14ac:dyDescent="0.25">
      <c r="B971" s="74"/>
      <c r="C971" s="148"/>
      <c r="D971" s="76" t="str">
        <f>D941</f>
        <v>kg</v>
      </c>
      <c r="E971" s="77"/>
      <c r="F971" s="82"/>
      <c r="G971" s="82"/>
      <c r="H971" s="82"/>
    </row>
    <row r="972" spans="2:11" ht="13" hidden="1" outlineLevel="1" x14ac:dyDescent="0.25">
      <c r="B972" s="74"/>
      <c r="C972" s="148"/>
      <c r="D972" s="76" t="str">
        <f>D941</f>
        <v>kg</v>
      </c>
      <c r="E972" s="77"/>
      <c r="F972" s="82"/>
      <c r="G972" s="82"/>
      <c r="H972" s="82"/>
    </row>
    <row r="973" spans="2:11" ht="13" hidden="1" outlineLevel="1" x14ac:dyDescent="0.25">
      <c r="B973" s="74"/>
      <c r="C973" s="148"/>
      <c r="D973" s="76" t="str">
        <f>D941</f>
        <v>kg</v>
      </c>
      <c r="E973" s="77"/>
      <c r="F973" s="82"/>
      <c r="G973" s="82"/>
      <c r="H973" s="82"/>
    </row>
    <row r="974" spans="2:11" ht="13" hidden="1" outlineLevel="1" x14ac:dyDescent="0.25">
      <c r="B974" s="74"/>
      <c r="C974" s="148"/>
      <c r="D974" s="76" t="str">
        <f>D941</f>
        <v>kg</v>
      </c>
      <c r="E974" s="77"/>
      <c r="F974" s="82"/>
      <c r="G974" s="82"/>
      <c r="H974" s="82"/>
    </row>
    <row r="975" spans="2:11" ht="13" hidden="1" outlineLevel="1" x14ac:dyDescent="0.25">
      <c r="B975" s="79" t="s">
        <v>70</v>
      </c>
      <c r="C975" s="147"/>
      <c r="D975" s="81"/>
      <c r="E975" s="90"/>
      <c r="F975" s="82"/>
      <c r="G975" s="82"/>
      <c r="H975" s="82"/>
    </row>
    <row r="976" spans="2:11" ht="13" hidden="1" outlineLevel="1" x14ac:dyDescent="0.25">
      <c r="B976" s="74"/>
      <c r="C976" s="148"/>
      <c r="D976" s="76" t="str">
        <f>D941</f>
        <v>kg</v>
      </c>
      <c r="E976" s="77"/>
      <c r="F976" s="82"/>
      <c r="G976" s="82"/>
      <c r="H976" s="82"/>
    </row>
    <row r="977" spans="2:11" ht="13" hidden="1" outlineLevel="1" x14ac:dyDescent="0.25">
      <c r="B977" s="74"/>
      <c r="C977" s="148"/>
      <c r="D977" s="76" t="str">
        <f>D941</f>
        <v>kg</v>
      </c>
      <c r="E977" s="77"/>
      <c r="F977" s="82"/>
      <c r="G977" s="82"/>
      <c r="H977" s="82"/>
    </row>
    <row r="978" spans="2:11" ht="13" hidden="1" outlineLevel="1" x14ac:dyDescent="0.25">
      <c r="B978" s="74"/>
      <c r="C978" s="148"/>
      <c r="D978" s="76" t="str">
        <f>D941</f>
        <v>kg</v>
      </c>
      <c r="E978" s="77"/>
      <c r="F978" s="82"/>
      <c r="G978" s="82"/>
      <c r="H978" s="82"/>
    </row>
    <row r="979" spans="2:11" ht="13" hidden="1" outlineLevel="1" x14ac:dyDescent="0.25">
      <c r="B979" s="74"/>
      <c r="C979" s="148"/>
      <c r="D979" s="76" t="str">
        <f>D941</f>
        <v>kg</v>
      </c>
      <c r="E979" s="77"/>
      <c r="F979" s="82"/>
      <c r="G979" s="82"/>
      <c r="H979" s="82"/>
    </row>
    <row r="980" spans="2:11" ht="13" hidden="1" outlineLevel="1" x14ac:dyDescent="0.25">
      <c r="B980" s="74"/>
      <c r="C980" s="148"/>
      <c r="D980" s="76" t="str">
        <f>D941</f>
        <v>kg</v>
      </c>
      <c r="E980" s="77"/>
      <c r="F980" s="82"/>
      <c r="G980" s="82"/>
      <c r="H980" s="82"/>
    </row>
    <row r="981" spans="2:11" ht="13" hidden="1" outlineLevel="1" x14ac:dyDescent="0.25">
      <c r="B981" s="74"/>
      <c r="C981" s="148"/>
      <c r="D981" s="76" t="str">
        <f>D941</f>
        <v>kg</v>
      </c>
      <c r="E981" s="77"/>
      <c r="F981" s="82"/>
      <c r="G981" s="82"/>
      <c r="H981" s="82"/>
    </row>
    <row r="982" spans="2:11" ht="13" hidden="1" outlineLevel="1" x14ac:dyDescent="0.25">
      <c r="B982" s="74"/>
      <c r="C982" s="148"/>
      <c r="D982" s="76" t="str">
        <f>D941</f>
        <v>kg</v>
      </c>
      <c r="E982" s="77"/>
      <c r="F982" s="82"/>
      <c r="G982" s="82"/>
      <c r="H982" s="82"/>
    </row>
    <row r="983" spans="2:11" ht="13" hidden="1" outlineLevel="1" x14ac:dyDescent="0.25">
      <c r="B983" s="79"/>
      <c r="C983" s="147"/>
      <c r="D983" s="81"/>
      <c r="E983" s="77"/>
      <c r="F983" s="82"/>
      <c r="G983" s="82"/>
      <c r="H983" s="82"/>
      <c r="K983" s="34"/>
    </row>
    <row r="984" spans="2:11" ht="13" hidden="1" outlineLevel="1" x14ac:dyDescent="0.25">
      <c r="B984" s="86" t="s">
        <v>9</v>
      </c>
      <c r="C984" s="149">
        <f>SUM(C965:C982)</f>
        <v>0</v>
      </c>
      <c r="D984" s="91" t="str">
        <f>D941</f>
        <v>kg</v>
      </c>
      <c r="E984" s="77"/>
      <c r="F984" s="82"/>
      <c r="G984" s="82"/>
      <c r="H984" s="82"/>
    </row>
    <row r="985" spans="2:11" ht="13" hidden="1" outlineLevel="1" x14ac:dyDescent="0.25">
      <c r="B985" s="92"/>
      <c r="C985" s="93"/>
      <c r="D985" s="94"/>
      <c r="E985" s="77"/>
      <c r="F985" s="82"/>
      <c r="G985" s="82"/>
      <c r="H985" s="82"/>
    </row>
    <row r="986" spans="2:11" ht="20.5" hidden="1" outlineLevel="1" thickBot="1" x14ac:dyDescent="0.3">
      <c r="B986" s="426" t="s">
        <v>10</v>
      </c>
      <c r="C986" s="427"/>
      <c r="D986" s="428"/>
      <c r="E986" s="77"/>
      <c r="F986" s="82"/>
      <c r="G986" s="82"/>
      <c r="H986" s="82"/>
    </row>
    <row r="987" spans="2:11" ht="13" hidden="1" outlineLevel="1" x14ac:dyDescent="0.25">
      <c r="B987" s="95" t="s">
        <v>23</v>
      </c>
      <c r="C987" s="96"/>
      <c r="D987" s="151">
        <f>SUM(C951:C952)</f>
        <v>0</v>
      </c>
      <c r="E987" s="98"/>
      <c r="F987" s="82"/>
      <c r="G987" s="82"/>
      <c r="H987" s="82"/>
    </row>
    <row r="988" spans="2:11" ht="13" hidden="1" outlineLevel="1" x14ac:dyDescent="0.25">
      <c r="B988" s="99" t="s">
        <v>24</v>
      </c>
      <c r="C988" s="100"/>
      <c r="D988" s="152">
        <f>SUM(C954:C964)</f>
        <v>0</v>
      </c>
      <c r="E988" s="98"/>
      <c r="F988" s="82"/>
      <c r="G988" s="82"/>
      <c r="H988" s="82"/>
    </row>
    <row r="989" spans="2:11" ht="13" hidden="1" outlineLevel="1" x14ac:dyDescent="0.25">
      <c r="B989" s="99" t="s">
        <v>25</v>
      </c>
      <c r="C989" s="100"/>
      <c r="D989" s="152">
        <f>SUM(C967:C975)</f>
        <v>0</v>
      </c>
      <c r="E989" s="98"/>
      <c r="F989" s="82"/>
      <c r="G989" s="82"/>
      <c r="H989" s="82"/>
    </row>
    <row r="990" spans="2:11" ht="13" hidden="1" outlineLevel="1" x14ac:dyDescent="0.25">
      <c r="B990" s="102" t="s">
        <v>26</v>
      </c>
      <c r="C990" s="103"/>
      <c r="D990" s="153">
        <f>SUM(C976:C983)</f>
        <v>0</v>
      </c>
      <c r="E990" s="98"/>
      <c r="F990" s="82"/>
      <c r="G990" s="82"/>
      <c r="H990" s="82"/>
    </row>
    <row r="991" spans="2:11" ht="18.5" hidden="1" outlineLevel="1" thickTop="1" x14ac:dyDescent="0.25">
      <c r="B991" s="105" t="s">
        <v>11</v>
      </c>
      <c r="C991" s="106"/>
      <c r="D991" s="107" t="e">
        <f>C965/C947</f>
        <v>#DIV/0!</v>
      </c>
      <c r="E991" s="77"/>
      <c r="F991" s="110" t="s">
        <v>86</v>
      </c>
      <c r="G991" s="109" t="s">
        <v>85</v>
      </c>
      <c r="H991" s="110"/>
    </row>
    <row r="992" spans="2:11" ht="18.5" hidden="1" outlineLevel="1" thickBot="1" x14ac:dyDescent="0.3">
      <c r="B992" s="111" t="s">
        <v>12</v>
      </c>
      <c r="C992" s="112"/>
      <c r="D992" s="113" t="e">
        <f>(D987+D988+D989)/C947</f>
        <v>#DIV/0!</v>
      </c>
      <c r="E992" s="77"/>
      <c r="F992" s="154"/>
      <c r="G992" s="413"/>
      <c r="H992" s="414"/>
    </row>
    <row r="993" spans="2:8" ht="18" hidden="1" outlineLevel="1" x14ac:dyDescent="0.25">
      <c r="B993" s="111" t="s">
        <v>13</v>
      </c>
      <c r="C993" s="112"/>
      <c r="D993" s="113" t="e">
        <f>D989/C947</f>
        <v>#DIV/0!</v>
      </c>
      <c r="E993" s="90"/>
      <c r="F993" s="64" t="s">
        <v>45</v>
      </c>
      <c r="G993" s="64" t="s">
        <v>45</v>
      </c>
      <c r="H993" s="155"/>
    </row>
    <row r="994" spans="2:8" ht="18" hidden="1" outlineLevel="1" x14ac:dyDescent="0.25">
      <c r="B994" s="114" t="s">
        <v>14</v>
      </c>
      <c r="C994" s="115"/>
      <c r="D994" s="116" t="e">
        <f>D990/C947</f>
        <v>#DIV/0!</v>
      </c>
      <c r="E994" s="90"/>
      <c r="F994" s="110"/>
      <c r="G994" s="117" t="s">
        <v>46</v>
      </c>
      <c r="H994" s="110"/>
    </row>
    <row r="995" spans="2:8" ht="18.5" hidden="1" outlineLevel="1" thickBot="1" x14ac:dyDescent="0.3">
      <c r="B995" s="114" t="s">
        <v>15</v>
      </c>
      <c r="C995" s="119"/>
      <c r="D995" s="116" t="e">
        <f>SUM(D987:D990)/C947</f>
        <v>#DIV/0!</v>
      </c>
      <c r="E995" s="90"/>
      <c r="F995" s="429"/>
      <c r="G995" s="430"/>
      <c r="H995" s="431"/>
    </row>
    <row r="996" spans="2:8" ht="18.5" hidden="1" outlineLevel="1" thickTop="1" x14ac:dyDescent="0.25">
      <c r="B996" s="120" t="s">
        <v>16</v>
      </c>
      <c r="C996" s="121"/>
      <c r="D996" s="122" t="e">
        <f>((C951*D929)+D988+C952*MAX(1,F952))/C947</f>
        <v>#DIV/0!</v>
      </c>
      <c r="E996" s="77"/>
      <c r="F996" s="64" t="s">
        <v>45</v>
      </c>
      <c r="G996" s="64"/>
      <c r="H996" s="82"/>
    </row>
    <row r="997" spans="2:8" ht="18" hidden="1" outlineLevel="1" x14ac:dyDescent="0.25">
      <c r="B997" s="123" t="s">
        <v>17</v>
      </c>
      <c r="C997" s="124"/>
      <c r="D997" s="125" t="e">
        <f>(C951*D930+D988+D989+C952*(MAX(1,F952)+G952))/C947</f>
        <v>#DIV/0!</v>
      </c>
      <c r="E997" s="77"/>
      <c r="F997" s="82"/>
      <c r="G997" s="82"/>
      <c r="H997" s="82"/>
    </row>
    <row r="998" spans="2:8" ht="18" hidden="1" outlineLevel="1" x14ac:dyDescent="0.25">
      <c r="B998" s="123" t="s">
        <v>18</v>
      </c>
      <c r="C998" s="124"/>
      <c r="D998" s="125" t="e">
        <f>((C951*D931)+D989+C952*G952)/C947</f>
        <v>#DIV/0!</v>
      </c>
      <c r="E998" s="77"/>
      <c r="F998" s="415" t="s">
        <v>61</v>
      </c>
      <c r="G998" s="416"/>
      <c r="H998" s="416"/>
    </row>
    <row r="999" spans="2:8" ht="18" hidden="1" outlineLevel="1" x14ac:dyDescent="0.25">
      <c r="B999" s="126" t="s">
        <v>19</v>
      </c>
      <c r="C999" s="127"/>
      <c r="D999" s="128" t="e">
        <f>(C951*D932+D990+C952*H952)/C947</f>
        <v>#DIV/0!</v>
      </c>
      <c r="E999" s="77"/>
      <c r="F999" s="416"/>
      <c r="G999" s="416"/>
      <c r="H999" s="416"/>
    </row>
    <row r="1000" spans="2:8" ht="18.5" hidden="1" outlineLevel="1" thickBot="1" x14ac:dyDescent="0.3">
      <c r="B1000" s="129" t="s">
        <v>20</v>
      </c>
      <c r="C1000" s="130"/>
      <c r="D1000" s="131" t="e">
        <f>((C951*D933)+SUM(D988:D990)+C952*(MAX(1,F952)+G952+H952))/C947</f>
        <v>#DIV/0!</v>
      </c>
      <c r="E1000" s="77"/>
      <c r="F1000" s="416"/>
      <c r="G1000" s="416"/>
      <c r="H1000" s="416"/>
    </row>
    <row r="1001" spans="2:8" ht="13" hidden="1" outlineLevel="1" thickTop="1" x14ac:dyDescent="0.25">
      <c r="B1001" s="156" t="s">
        <v>76</v>
      </c>
      <c r="C1001" s="424"/>
      <c r="D1001" s="425"/>
      <c r="F1001" s="416"/>
      <c r="G1001" s="416"/>
      <c r="H1001" s="416"/>
    </row>
    <row r="1002" spans="2:8" hidden="1" outlineLevel="1" x14ac:dyDescent="0.25">
      <c r="B1002" s="157" t="s">
        <v>58</v>
      </c>
      <c r="C1002" s="422"/>
      <c r="D1002" s="423"/>
      <c r="F1002" s="416"/>
      <c r="G1002" s="416"/>
      <c r="H1002" s="416"/>
    </row>
    <row r="1003" spans="2:8" ht="13" hidden="1" outlineLevel="1" thickBot="1" x14ac:dyDescent="0.3">
      <c r="B1003" s="158" t="s">
        <v>59</v>
      </c>
      <c r="C1003" s="420"/>
      <c r="D1003" s="421"/>
      <c r="F1003" s="416"/>
      <c r="G1003" s="416"/>
      <c r="H1003" s="416"/>
    </row>
    <row r="1004" spans="2:8" hidden="1" outlineLevel="1" x14ac:dyDescent="0.25"/>
    <row r="1005" spans="2:8" hidden="1" outlineLevel="1" x14ac:dyDescent="0.25">
      <c r="C1005" s="25" t="s">
        <v>44</v>
      </c>
      <c r="D1005" s="25" t="s">
        <v>42</v>
      </c>
    </row>
    <row r="1006" spans="2:8" ht="21" hidden="1" outlineLevel="1" thickTop="1" thickBot="1" x14ac:dyDescent="0.3">
      <c r="B1006" s="140" t="s">
        <v>73</v>
      </c>
      <c r="C1006" s="29"/>
      <c r="D1006" s="141"/>
      <c r="E1006" s="31"/>
      <c r="F1006" s="32" t="s">
        <v>27</v>
      </c>
      <c r="G1006" s="33"/>
      <c r="H1006" s="33"/>
    </row>
    <row r="1007" spans="2:8" ht="14.5" hidden="1" outlineLevel="1" thickBot="1" x14ac:dyDescent="0.3">
      <c r="B1007" s="37"/>
      <c r="C1007" s="38" t="s">
        <v>0</v>
      </c>
      <c r="D1007" s="39" t="s">
        <v>1</v>
      </c>
      <c r="E1007" s="40"/>
      <c r="F1007" s="41" t="s">
        <v>28</v>
      </c>
      <c r="G1007" s="41" t="s">
        <v>21</v>
      </c>
      <c r="H1007" s="41" t="s">
        <v>8</v>
      </c>
    </row>
    <row r="1008" spans="2:8" ht="13" hidden="1" outlineLevel="1" x14ac:dyDescent="0.25">
      <c r="B1008" s="43" t="s">
        <v>65</v>
      </c>
      <c r="C1008" s="142"/>
      <c r="D1008" s="45" t="s">
        <v>2</v>
      </c>
      <c r="E1008" s="46"/>
      <c r="F1008" s="47"/>
      <c r="G1008" s="47"/>
      <c r="H1008" s="47"/>
    </row>
    <row r="1009" spans="2:8" ht="13" hidden="1" outlineLevel="1" x14ac:dyDescent="0.25">
      <c r="B1009" s="43" t="s">
        <v>64</v>
      </c>
      <c r="C1009" s="143"/>
      <c r="D1009" s="45" t="s">
        <v>3</v>
      </c>
      <c r="E1009" s="46"/>
      <c r="F1009" s="47"/>
      <c r="G1009" s="47"/>
      <c r="H1009" s="47"/>
    </row>
    <row r="1010" spans="2:8" ht="13" hidden="1" outlineLevel="1" x14ac:dyDescent="0.25">
      <c r="B1010" s="51" t="s">
        <v>63</v>
      </c>
      <c r="C1010" s="144">
        <f>C1008*C1009</f>
        <v>0</v>
      </c>
      <c r="D1010" s="45" t="str">
        <f>D1008</f>
        <v>kg</v>
      </c>
      <c r="E1010" s="46"/>
      <c r="F1010" s="47"/>
      <c r="G1010" s="47"/>
      <c r="H1010" s="47"/>
    </row>
    <row r="1011" spans="2:8" ht="14" hidden="1" outlineLevel="1" x14ac:dyDescent="0.25">
      <c r="B1011" s="54" t="s">
        <v>37</v>
      </c>
      <c r="C1011" s="145">
        <v>1</v>
      </c>
      <c r="D1011" s="56"/>
      <c r="E1011" s="57"/>
      <c r="F1011" s="58"/>
      <c r="G1011" s="58"/>
      <c r="H1011" s="58"/>
    </row>
    <row r="1012" spans="2:8" ht="13" hidden="1" outlineLevel="1" x14ac:dyDescent="0.25">
      <c r="B1012" s="43" t="s">
        <v>66</v>
      </c>
      <c r="C1012" s="142"/>
      <c r="D1012" s="45" t="str">
        <f>D1008</f>
        <v>kg</v>
      </c>
      <c r="E1012" s="46"/>
      <c r="F1012" s="47"/>
      <c r="G1012" s="47"/>
      <c r="H1012" s="47"/>
    </row>
    <row r="1013" spans="2:8" ht="13" hidden="1" outlineLevel="1" x14ac:dyDescent="0.25">
      <c r="B1013" s="43" t="s">
        <v>67</v>
      </c>
      <c r="C1013" s="143"/>
      <c r="D1013" s="45" t="s">
        <v>3</v>
      </c>
      <c r="E1013" s="59"/>
      <c r="F1013" s="47"/>
      <c r="G1013" s="47"/>
      <c r="H1013" s="47"/>
    </row>
    <row r="1014" spans="2:8" ht="13" hidden="1" outlineLevel="1" x14ac:dyDescent="0.25">
      <c r="B1014" s="51" t="s">
        <v>68</v>
      </c>
      <c r="C1014" s="144">
        <f>C1012*C1013</f>
        <v>0</v>
      </c>
      <c r="D1014" s="45" t="str">
        <f>D1008</f>
        <v>kg</v>
      </c>
      <c r="E1014" s="46"/>
      <c r="F1014" s="47"/>
      <c r="G1014" s="47"/>
      <c r="H1014" s="47"/>
    </row>
    <row r="1015" spans="2:8" ht="13.5" hidden="1" outlineLevel="1" thickBot="1" x14ac:dyDescent="0.3">
      <c r="B1015" s="61"/>
      <c r="C1015" s="62"/>
      <c r="D1015" s="63"/>
      <c r="F1015" s="64"/>
      <c r="G1015" s="64"/>
      <c r="H1015" s="64"/>
    </row>
    <row r="1016" spans="2:8" ht="14.5" hidden="1" outlineLevel="1" thickBot="1" x14ac:dyDescent="0.3">
      <c r="B1016" s="65" t="s">
        <v>5</v>
      </c>
      <c r="C1016" s="66" t="s">
        <v>6</v>
      </c>
      <c r="D1016" s="67" t="s">
        <v>1</v>
      </c>
      <c r="E1016" s="68"/>
      <c r="F1016" s="69"/>
      <c r="G1016" s="69"/>
      <c r="H1016" s="69"/>
    </row>
    <row r="1017" spans="2:8" ht="13" hidden="1" outlineLevel="1" x14ac:dyDescent="0.25">
      <c r="B1017" s="70" t="s">
        <v>43</v>
      </c>
      <c r="C1017" s="71"/>
      <c r="D1017" s="72"/>
      <c r="E1017" s="73"/>
      <c r="F1017" s="69"/>
      <c r="G1017" s="69"/>
      <c r="H1017" s="69"/>
    </row>
    <row r="1018" spans="2:8" ht="13" hidden="1" outlineLevel="1" x14ac:dyDescent="0.25">
      <c r="B1018" s="74"/>
      <c r="C1018" s="146">
        <f>C1010</f>
        <v>0</v>
      </c>
      <c r="D1018" s="76" t="str">
        <f>D1008</f>
        <v>kg</v>
      </c>
      <c r="E1018" s="98"/>
      <c r="F1018" s="69"/>
      <c r="G1018" s="69"/>
      <c r="H1018" s="69"/>
    </row>
    <row r="1019" spans="2:8" ht="13.5" hidden="1" outlineLevel="1" thickBot="1" x14ac:dyDescent="0.3">
      <c r="B1019" s="74"/>
      <c r="C1019" s="146"/>
      <c r="D1019" s="76" t="str">
        <f>D1008</f>
        <v>kg</v>
      </c>
      <c r="E1019" s="77"/>
      <c r="F1019" s="78"/>
      <c r="G1019" s="78"/>
      <c r="H1019" s="78"/>
    </row>
    <row r="1020" spans="2:8" ht="13" hidden="1" outlineLevel="1" x14ac:dyDescent="0.25">
      <c r="B1020" s="79" t="s">
        <v>69</v>
      </c>
      <c r="C1020" s="147"/>
      <c r="D1020" s="81"/>
      <c r="E1020" s="77"/>
      <c r="F1020" s="82"/>
      <c r="G1020" s="82"/>
      <c r="H1020" s="82"/>
    </row>
    <row r="1021" spans="2:8" ht="13" hidden="1" outlineLevel="1" x14ac:dyDescent="0.25">
      <c r="B1021" s="74"/>
      <c r="C1021" s="148"/>
      <c r="D1021" s="76" t="str">
        <f>D1008</f>
        <v>kg</v>
      </c>
      <c r="E1021" s="77"/>
      <c r="F1021" s="82"/>
      <c r="G1021" s="82"/>
      <c r="H1021" s="82"/>
    </row>
    <row r="1022" spans="2:8" ht="13" hidden="1" outlineLevel="1" x14ac:dyDescent="0.25">
      <c r="B1022" s="74"/>
      <c r="C1022" s="148"/>
      <c r="D1022" s="76" t="str">
        <f>D1008</f>
        <v>kg</v>
      </c>
      <c r="E1022" s="77"/>
      <c r="F1022" s="82"/>
      <c r="G1022" s="82"/>
      <c r="H1022" s="82"/>
    </row>
    <row r="1023" spans="2:8" ht="13" hidden="1" outlineLevel="1" x14ac:dyDescent="0.25">
      <c r="B1023" s="74"/>
      <c r="C1023" s="148"/>
      <c r="D1023" s="76" t="str">
        <f>D1008</f>
        <v>kg</v>
      </c>
      <c r="E1023" s="77"/>
      <c r="F1023" s="82"/>
      <c r="G1023" s="82"/>
      <c r="H1023" s="82"/>
    </row>
    <row r="1024" spans="2:8" ht="13" hidden="1" outlineLevel="1" x14ac:dyDescent="0.25">
      <c r="B1024" s="74"/>
      <c r="C1024" s="148"/>
      <c r="D1024" s="76" t="str">
        <f>D1008</f>
        <v>kg</v>
      </c>
      <c r="E1024" s="77"/>
      <c r="F1024" s="82"/>
      <c r="G1024" s="82"/>
      <c r="H1024" s="82"/>
    </row>
    <row r="1025" spans="2:11" ht="13" hidden="1" outlineLevel="1" x14ac:dyDescent="0.25">
      <c r="B1025" s="74"/>
      <c r="C1025" s="148"/>
      <c r="D1025" s="76" t="str">
        <f>D1008</f>
        <v>kg</v>
      </c>
      <c r="E1025" s="77"/>
      <c r="F1025" s="82"/>
      <c r="G1025" s="82"/>
      <c r="H1025" s="82"/>
    </row>
    <row r="1026" spans="2:11" ht="13" hidden="1" outlineLevel="1" x14ac:dyDescent="0.25">
      <c r="B1026" s="74"/>
      <c r="C1026" s="148"/>
      <c r="D1026" s="76" t="str">
        <f>D1008</f>
        <v>kg</v>
      </c>
      <c r="E1026" s="77"/>
      <c r="F1026" s="82"/>
      <c r="G1026" s="82"/>
      <c r="H1026" s="82"/>
    </row>
    <row r="1027" spans="2:11" ht="13" hidden="1" outlineLevel="1" x14ac:dyDescent="0.25">
      <c r="B1027" s="74"/>
      <c r="C1027" s="148"/>
      <c r="D1027" s="76" t="str">
        <f>D1008</f>
        <v>kg</v>
      </c>
      <c r="E1027" s="77"/>
      <c r="F1027" s="82"/>
      <c r="G1027" s="82"/>
      <c r="H1027" s="82"/>
    </row>
    <row r="1028" spans="2:11" ht="13" hidden="1" outlineLevel="1" x14ac:dyDescent="0.25">
      <c r="B1028" s="74"/>
      <c r="C1028" s="148"/>
      <c r="D1028" s="76" t="str">
        <f>D1008</f>
        <v>kg</v>
      </c>
      <c r="E1028" s="77"/>
      <c r="F1028" s="82"/>
      <c r="G1028" s="82"/>
      <c r="H1028" s="82"/>
    </row>
    <row r="1029" spans="2:11" ht="13" hidden="1" outlineLevel="1" x14ac:dyDescent="0.25">
      <c r="B1029" s="74"/>
      <c r="C1029" s="148"/>
      <c r="D1029" s="76" t="str">
        <f>D1008</f>
        <v>kg</v>
      </c>
      <c r="E1029" s="77"/>
      <c r="F1029" s="82"/>
      <c r="G1029" s="82"/>
      <c r="H1029" s="82"/>
    </row>
    <row r="1030" spans="2:11" ht="13" hidden="1" outlineLevel="1" x14ac:dyDescent="0.25">
      <c r="B1030" s="74"/>
      <c r="C1030" s="148"/>
      <c r="D1030" s="76" t="str">
        <f>D1008</f>
        <v>kg</v>
      </c>
      <c r="E1030" s="77"/>
      <c r="F1030" s="82"/>
      <c r="G1030" s="82"/>
      <c r="H1030" s="82"/>
    </row>
    <row r="1031" spans="2:11" ht="13" hidden="1" outlineLevel="1" x14ac:dyDescent="0.25">
      <c r="B1031" s="79"/>
      <c r="C1031" s="147"/>
      <c r="D1031" s="81"/>
      <c r="E1031" s="77"/>
      <c r="F1031" s="82"/>
      <c r="G1031" s="82"/>
      <c r="H1031" s="82"/>
      <c r="K1031" s="34"/>
    </row>
    <row r="1032" spans="2:11" ht="13" hidden="1" outlineLevel="1" x14ac:dyDescent="0.25">
      <c r="B1032" s="86" t="s">
        <v>7</v>
      </c>
      <c r="C1032" s="149">
        <f>SUM(C1017:C1030)</f>
        <v>0</v>
      </c>
      <c r="D1032" s="88" t="str">
        <f>D1008</f>
        <v>kg</v>
      </c>
      <c r="E1032" s="77"/>
      <c r="F1032" s="82"/>
      <c r="G1032" s="82"/>
      <c r="H1032" s="82"/>
    </row>
    <row r="1033" spans="2:11" ht="13" hidden="1" outlineLevel="1" x14ac:dyDescent="0.25">
      <c r="B1033" s="79" t="s">
        <v>71</v>
      </c>
      <c r="C1033" s="150"/>
      <c r="D1033" s="81"/>
      <c r="E1033" s="77"/>
      <c r="F1033" s="82"/>
      <c r="G1033" s="82"/>
      <c r="H1033" s="82"/>
    </row>
    <row r="1034" spans="2:11" ht="13" hidden="1" outlineLevel="1" x14ac:dyDescent="0.25">
      <c r="B1034" s="74"/>
      <c r="C1034" s="148"/>
      <c r="D1034" s="76" t="str">
        <f>D1008</f>
        <v>kg</v>
      </c>
      <c r="E1034" s="77"/>
      <c r="F1034" s="82"/>
      <c r="G1034" s="82"/>
      <c r="H1034" s="82"/>
    </row>
    <row r="1035" spans="2:11" ht="13" hidden="1" outlineLevel="1" x14ac:dyDescent="0.25">
      <c r="B1035" s="74"/>
      <c r="C1035" s="148"/>
      <c r="D1035" s="76" t="str">
        <f>D1008</f>
        <v>kg</v>
      </c>
      <c r="E1035" s="77"/>
      <c r="F1035" s="82"/>
      <c r="G1035" s="82"/>
      <c r="H1035" s="82"/>
    </row>
    <row r="1036" spans="2:11" ht="13" hidden="1" outlineLevel="1" x14ac:dyDescent="0.25">
      <c r="B1036" s="74"/>
      <c r="C1036" s="148"/>
      <c r="D1036" s="76" t="str">
        <f>D1008</f>
        <v>kg</v>
      </c>
      <c r="E1036" s="77"/>
      <c r="F1036" s="82"/>
      <c r="G1036" s="82"/>
      <c r="H1036" s="82"/>
    </row>
    <row r="1037" spans="2:11" ht="13" hidden="1" outlineLevel="1" x14ac:dyDescent="0.25">
      <c r="B1037" s="74"/>
      <c r="C1037" s="148"/>
      <c r="D1037" s="76" t="str">
        <f>D1008</f>
        <v>kg</v>
      </c>
      <c r="E1037" s="77"/>
      <c r="F1037" s="82"/>
      <c r="G1037" s="82"/>
      <c r="H1037" s="82"/>
    </row>
    <row r="1038" spans="2:11" ht="13" hidden="1" outlineLevel="1" x14ac:dyDescent="0.25">
      <c r="B1038" s="74"/>
      <c r="C1038" s="148"/>
      <c r="D1038" s="76" t="str">
        <f>D1008</f>
        <v>kg</v>
      </c>
      <c r="E1038" s="77"/>
      <c r="F1038" s="82"/>
      <c r="G1038" s="82"/>
      <c r="H1038" s="82"/>
    </row>
    <row r="1039" spans="2:11" ht="13" hidden="1" outlineLevel="1" x14ac:dyDescent="0.25">
      <c r="B1039" s="74"/>
      <c r="C1039" s="148"/>
      <c r="D1039" s="76" t="str">
        <f>D1008</f>
        <v>kg</v>
      </c>
      <c r="E1039" s="77"/>
      <c r="F1039" s="82"/>
      <c r="G1039" s="82"/>
      <c r="H1039" s="82"/>
    </row>
    <row r="1040" spans="2:11" ht="13" hidden="1" outlineLevel="1" x14ac:dyDescent="0.25">
      <c r="B1040" s="74"/>
      <c r="C1040" s="148"/>
      <c r="D1040" s="76" t="str">
        <f>D1008</f>
        <v>kg</v>
      </c>
      <c r="E1040" s="77"/>
      <c r="F1040" s="82"/>
      <c r="G1040" s="82"/>
      <c r="H1040" s="82"/>
    </row>
    <row r="1041" spans="2:11" ht="13" hidden="1" outlineLevel="1" x14ac:dyDescent="0.25">
      <c r="B1041" s="74"/>
      <c r="C1041" s="148"/>
      <c r="D1041" s="76" t="str">
        <f>D1008</f>
        <v>kg</v>
      </c>
      <c r="E1041" s="77"/>
      <c r="F1041" s="82"/>
      <c r="G1041" s="82"/>
      <c r="H1041" s="82"/>
    </row>
    <row r="1042" spans="2:11" ht="13" hidden="1" outlineLevel="1" x14ac:dyDescent="0.25">
      <c r="B1042" s="79" t="s">
        <v>70</v>
      </c>
      <c r="C1042" s="147"/>
      <c r="D1042" s="81"/>
      <c r="E1042" s="90"/>
      <c r="F1042" s="82"/>
      <c r="G1042" s="82"/>
      <c r="H1042" s="82"/>
    </row>
    <row r="1043" spans="2:11" ht="13" hidden="1" outlineLevel="1" x14ac:dyDescent="0.25">
      <c r="B1043" s="74"/>
      <c r="C1043" s="148"/>
      <c r="D1043" s="76" t="str">
        <f>D1008</f>
        <v>kg</v>
      </c>
      <c r="E1043" s="77"/>
      <c r="F1043" s="82"/>
      <c r="G1043" s="82"/>
      <c r="H1043" s="82"/>
    </row>
    <row r="1044" spans="2:11" ht="13" hidden="1" outlineLevel="1" x14ac:dyDescent="0.25">
      <c r="B1044" s="74"/>
      <c r="C1044" s="148"/>
      <c r="D1044" s="76" t="str">
        <f>D1008</f>
        <v>kg</v>
      </c>
      <c r="E1044" s="77"/>
      <c r="F1044" s="82"/>
      <c r="G1044" s="82"/>
      <c r="H1044" s="82"/>
    </row>
    <row r="1045" spans="2:11" ht="13" hidden="1" outlineLevel="1" x14ac:dyDescent="0.25">
      <c r="B1045" s="74"/>
      <c r="C1045" s="148"/>
      <c r="D1045" s="76" t="str">
        <f>D1008</f>
        <v>kg</v>
      </c>
      <c r="E1045" s="77"/>
      <c r="F1045" s="82"/>
      <c r="G1045" s="82"/>
      <c r="H1045" s="82"/>
    </row>
    <row r="1046" spans="2:11" ht="13" hidden="1" outlineLevel="1" x14ac:dyDescent="0.25">
      <c r="B1046" s="74"/>
      <c r="C1046" s="148"/>
      <c r="D1046" s="76" t="str">
        <f>D1008</f>
        <v>kg</v>
      </c>
      <c r="E1046" s="77"/>
      <c r="F1046" s="82"/>
      <c r="G1046" s="82"/>
      <c r="H1046" s="82"/>
    </row>
    <row r="1047" spans="2:11" ht="13" hidden="1" outlineLevel="1" x14ac:dyDescent="0.25">
      <c r="B1047" s="74"/>
      <c r="C1047" s="148"/>
      <c r="D1047" s="76" t="str">
        <f>D1008</f>
        <v>kg</v>
      </c>
      <c r="E1047" s="77"/>
      <c r="F1047" s="82"/>
      <c r="G1047" s="82"/>
      <c r="H1047" s="82"/>
    </row>
    <row r="1048" spans="2:11" ht="13" hidden="1" outlineLevel="1" x14ac:dyDescent="0.25">
      <c r="B1048" s="74"/>
      <c r="C1048" s="148"/>
      <c r="D1048" s="76" t="str">
        <f>D1008</f>
        <v>kg</v>
      </c>
      <c r="E1048" s="77"/>
      <c r="F1048" s="82"/>
      <c r="G1048" s="82"/>
      <c r="H1048" s="82"/>
    </row>
    <row r="1049" spans="2:11" ht="13" hidden="1" outlineLevel="1" x14ac:dyDescent="0.25">
      <c r="B1049" s="74"/>
      <c r="C1049" s="148"/>
      <c r="D1049" s="76" t="str">
        <f>D1008</f>
        <v>kg</v>
      </c>
      <c r="E1049" s="77"/>
      <c r="F1049" s="82"/>
      <c r="G1049" s="82"/>
      <c r="H1049" s="82"/>
    </row>
    <row r="1050" spans="2:11" ht="13" hidden="1" outlineLevel="1" x14ac:dyDescent="0.25">
      <c r="B1050" s="79"/>
      <c r="C1050" s="147"/>
      <c r="D1050" s="81"/>
      <c r="E1050" s="77"/>
      <c r="F1050" s="82"/>
      <c r="G1050" s="82"/>
      <c r="H1050" s="82"/>
      <c r="K1050" s="34"/>
    </row>
    <row r="1051" spans="2:11" ht="13" hidden="1" outlineLevel="1" x14ac:dyDescent="0.25">
      <c r="B1051" s="86" t="s">
        <v>9</v>
      </c>
      <c r="C1051" s="149">
        <f>SUM(C1032:C1049)</f>
        <v>0</v>
      </c>
      <c r="D1051" s="91" t="str">
        <f>D1008</f>
        <v>kg</v>
      </c>
      <c r="E1051" s="77"/>
      <c r="F1051" s="82"/>
      <c r="G1051" s="82"/>
      <c r="H1051" s="82"/>
    </row>
    <row r="1052" spans="2:11" ht="13" hidden="1" outlineLevel="1" x14ac:dyDescent="0.25">
      <c r="B1052" s="92"/>
      <c r="C1052" s="93"/>
      <c r="D1052" s="94"/>
      <c r="E1052" s="77"/>
      <c r="F1052" s="82"/>
      <c r="G1052" s="82"/>
      <c r="H1052" s="82"/>
    </row>
    <row r="1053" spans="2:11" ht="20.5" hidden="1" outlineLevel="1" thickBot="1" x14ac:dyDescent="0.3">
      <c r="B1053" s="426" t="s">
        <v>10</v>
      </c>
      <c r="C1053" s="427"/>
      <c r="D1053" s="428"/>
      <c r="E1053" s="77"/>
      <c r="F1053" s="82"/>
      <c r="G1053" s="82"/>
      <c r="H1053" s="82"/>
    </row>
    <row r="1054" spans="2:11" ht="13" hidden="1" outlineLevel="1" x14ac:dyDescent="0.25">
      <c r="B1054" s="95" t="s">
        <v>23</v>
      </c>
      <c r="C1054" s="96"/>
      <c r="D1054" s="151">
        <f>SUM(C1018:C1019)</f>
        <v>0</v>
      </c>
      <c r="E1054" s="98"/>
      <c r="F1054" s="82"/>
      <c r="G1054" s="82"/>
      <c r="H1054" s="82"/>
    </row>
    <row r="1055" spans="2:11" ht="13" hidden="1" outlineLevel="1" x14ac:dyDescent="0.25">
      <c r="B1055" s="99" t="s">
        <v>24</v>
      </c>
      <c r="C1055" s="100"/>
      <c r="D1055" s="152">
        <f>SUM(C1021:C1031)</f>
        <v>0</v>
      </c>
      <c r="E1055" s="98"/>
      <c r="F1055" s="82"/>
      <c r="G1055" s="82"/>
      <c r="H1055" s="82"/>
    </row>
    <row r="1056" spans="2:11" ht="13" hidden="1" outlineLevel="1" x14ac:dyDescent="0.25">
      <c r="B1056" s="99" t="s">
        <v>25</v>
      </c>
      <c r="C1056" s="100"/>
      <c r="D1056" s="152">
        <f>SUM(C1034:C1042)</f>
        <v>0</v>
      </c>
      <c r="E1056" s="98"/>
      <c r="F1056" s="82"/>
      <c r="G1056" s="82"/>
      <c r="H1056" s="82"/>
    </row>
    <row r="1057" spans="2:8" ht="13" hidden="1" outlineLevel="1" x14ac:dyDescent="0.25">
      <c r="B1057" s="102" t="s">
        <v>26</v>
      </c>
      <c r="C1057" s="103"/>
      <c r="D1057" s="153">
        <f>SUM(C1043:C1050)</f>
        <v>0</v>
      </c>
      <c r="E1057" s="98"/>
      <c r="F1057" s="82"/>
      <c r="G1057" s="82"/>
      <c r="H1057" s="82"/>
    </row>
    <row r="1058" spans="2:8" ht="18.5" hidden="1" outlineLevel="1" thickTop="1" x14ac:dyDescent="0.25">
      <c r="B1058" s="105" t="s">
        <v>11</v>
      </c>
      <c r="C1058" s="106"/>
      <c r="D1058" s="107" t="e">
        <f>C1032/C1014</f>
        <v>#DIV/0!</v>
      </c>
      <c r="E1058" s="77"/>
      <c r="F1058" s="110" t="s">
        <v>86</v>
      </c>
      <c r="G1058" s="109" t="s">
        <v>85</v>
      </c>
      <c r="H1058" s="110"/>
    </row>
    <row r="1059" spans="2:8" ht="18.5" hidden="1" outlineLevel="1" thickBot="1" x14ac:dyDescent="0.3">
      <c r="B1059" s="111" t="s">
        <v>12</v>
      </c>
      <c r="C1059" s="112"/>
      <c r="D1059" s="113" t="e">
        <f>(D1054+D1055+D1056)/C1014</f>
        <v>#DIV/0!</v>
      </c>
      <c r="E1059" s="77"/>
      <c r="F1059" s="154"/>
      <c r="G1059" s="413"/>
      <c r="H1059" s="414"/>
    </row>
    <row r="1060" spans="2:8" ht="18" hidden="1" outlineLevel="1" x14ac:dyDescent="0.25">
      <c r="B1060" s="111" t="s">
        <v>13</v>
      </c>
      <c r="C1060" s="112"/>
      <c r="D1060" s="113" t="e">
        <f>D1056/C1014</f>
        <v>#DIV/0!</v>
      </c>
      <c r="E1060" s="90"/>
      <c r="F1060" s="64" t="s">
        <v>45</v>
      </c>
      <c r="G1060" s="64" t="s">
        <v>45</v>
      </c>
      <c r="H1060" s="155"/>
    </row>
    <row r="1061" spans="2:8" ht="18" hidden="1" outlineLevel="1" x14ac:dyDescent="0.25">
      <c r="B1061" s="114" t="s">
        <v>14</v>
      </c>
      <c r="C1061" s="115"/>
      <c r="D1061" s="116" t="e">
        <f>D1057/C1014</f>
        <v>#DIV/0!</v>
      </c>
      <c r="E1061" s="90"/>
      <c r="F1061" s="110"/>
      <c r="G1061" s="117" t="s">
        <v>46</v>
      </c>
      <c r="H1061" s="110"/>
    </row>
    <row r="1062" spans="2:8" ht="18.5" hidden="1" outlineLevel="1" thickBot="1" x14ac:dyDescent="0.3">
      <c r="B1062" s="114" t="s">
        <v>15</v>
      </c>
      <c r="C1062" s="119"/>
      <c r="D1062" s="116" t="e">
        <f>SUM(D1054:D1057)/C1014</f>
        <v>#DIV/0!</v>
      </c>
      <c r="E1062" s="90"/>
      <c r="F1062" s="429"/>
      <c r="G1062" s="430"/>
      <c r="H1062" s="431"/>
    </row>
    <row r="1063" spans="2:8" ht="18.5" hidden="1" outlineLevel="1" thickTop="1" x14ac:dyDescent="0.25">
      <c r="B1063" s="120" t="s">
        <v>16</v>
      </c>
      <c r="C1063" s="121"/>
      <c r="D1063" s="122" t="e">
        <f>((C1018*D996)+D1055+C1019*MAX(1,F1019))/C1014</f>
        <v>#DIV/0!</v>
      </c>
      <c r="E1063" s="77"/>
      <c r="F1063" s="64" t="s">
        <v>45</v>
      </c>
      <c r="G1063" s="64"/>
      <c r="H1063" s="82"/>
    </row>
    <row r="1064" spans="2:8" ht="18" hidden="1" outlineLevel="1" x14ac:dyDescent="0.25">
      <c r="B1064" s="123" t="s">
        <v>17</v>
      </c>
      <c r="C1064" s="124"/>
      <c r="D1064" s="125" t="e">
        <f>(C1018*D997+D1055+D1056+C1019*(MAX(1,F1019)+G1019))/C1014</f>
        <v>#DIV/0!</v>
      </c>
      <c r="E1064" s="77"/>
      <c r="F1064" s="82"/>
      <c r="G1064" s="82"/>
      <c r="H1064" s="82"/>
    </row>
    <row r="1065" spans="2:8" ht="18" hidden="1" outlineLevel="1" x14ac:dyDescent="0.25">
      <c r="B1065" s="123" t="s">
        <v>18</v>
      </c>
      <c r="C1065" s="124"/>
      <c r="D1065" s="125" t="e">
        <f>((C1018*D998)+D1056+C1019*G1019)/C1014</f>
        <v>#DIV/0!</v>
      </c>
      <c r="E1065" s="77"/>
      <c r="F1065" s="415" t="s">
        <v>61</v>
      </c>
      <c r="G1065" s="416"/>
      <c r="H1065" s="416"/>
    </row>
    <row r="1066" spans="2:8" ht="18" hidden="1" outlineLevel="1" x14ac:dyDescent="0.25">
      <c r="B1066" s="126" t="s">
        <v>19</v>
      </c>
      <c r="C1066" s="127"/>
      <c r="D1066" s="128" t="e">
        <f>(C1018*D999+D1057+C1019*H1019)/C1014</f>
        <v>#DIV/0!</v>
      </c>
      <c r="E1066" s="77"/>
      <c r="F1066" s="416"/>
      <c r="G1066" s="416"/>
      <c r="H1066" s="416"/>
    </row>
    <row r="1067" spans="2:8" ht="18.5" hidden="1" outlineLevel="1" thickBot="1" x14ac:dyDescent="0.3">
      <c r="B1067" s="129" t="s">
        <v>20</v>
      </c>
      <c r="C1067" s="130"/>
      <c r="D1067" s="131" t="e">
        <f>((C1018*D1000)+SUM(D1055:D1057)+C1019*(MAX(1,F1019)+G1019+H1019))/C1014</f>
        <v>#DIV/0!</v>
      </c>
      <c r="E1067" s="77"/>
      <c r="F1067" s="416"/>
      <c r="G1067" s="416"/>
      <c r="H1067" s="416"/>
    </row>
    <row r="1068" spans="2:8" ht="13" hidden="1" outlineLevel="1" thickTop="1" x14ac:dyDescent="0.25">
      <c r="B1068" s="156" t="s">
        <v>76</v>
      </c>
      <c r="C1068" s="424"/>
      <c r="D1068" s="425"/>
      <c r="F1068" s="416"/>
      <c r="G1068" s="416"/>
      <c r="H1068" s="416"/>
    </row>
    <row r="1069" spans="2:8" hidden="1" outlineLevel="1" x14ac:dyDescent="0.25">
      <c r="B1069" s="157" t="s">
        <v>58</v>
      </c>
      <c r="C1069" s="422"/>
      <c r="D1069" s="423"/>
      <c r="F1069" s="416"/>
      <c r="G1069" s="416"/>
      <c r="H1069" s="416"/>
    </row>
    <row r="1070" spans="2:8" ht="13" hidden="1" outlineLevel="1" thickBot="1" x14ac:dyDescent="0.3">
      <c r="B1070" s="158" t="s">
        <v>59</v>
      </c>
      <c r="C1070" s="420"/>
      <c r="D1070" s="421"/>
      <c r="F1070" s="416"/>
      <c r="G1070" s="416"/>
      <c r="H1070" s="416"/>
    </row>
    <row r="1071" spans="2:8" hidden="1" outlineLevel="1" x14ac:dyDescent="0.25"/>
    <row r="1072" spans="2:8" hidden="1" outlineLevel="1" x14ac:dyDescent="0.25">
      <c r="C1072" s="25" t="s">
        <v>44</v>
      </c>
      <c r="D1072" s="25" t="s">
        <v>42</v>
      </c>
    </row>
    <row r="1073" spans="2:8" ht="21" hidden="1" outlineLevel="1" thickTop="1" thickBot="1" x14ac:dyDescent="0.3">
      <c r="B1073" s="140" t="s">
        <v>73</v>
      </c>
      <c r="C1073" s="29"/>
      <c r="D1073" s="141"/>
      <c r="E1073" s="31"/>
      <c r="F1073" s="32" t="s">
        <v>27</v>
      </c>
      <c r="G1073" s="33"/>
      <c r="H1073" s="33"/>
    </row>
    <row r="1074" spans="2:8" ht="14.5" hidden="1" outlineLevel="1" thickBot="1" x14ac:dyDescent="0.3">
      <c r="B1074" s="37"/>
      <c r="C1074" s="38" t="s">
        <v>0</v>
      </c>
      <c r="D1074" s="39" t="s">
        <v>1</v>
      </c>
      <c r="E1074" s="40"/>
      <c r="F1074" s="41" t="s">
        <v>28</v>
      </c>
      <c r="G1074" s="41" t="s">
        <v>21</v>
      </c>
      <c r="H1074" s="41" t="s">
        <v>8</v>
      </c>
    </row>
    <row r="1075" spans="2:8" ht="13" hidden="1" outlineLevel="1" x14ac:dyDescent="0.25">
      <c r="B1075" s="43" t="s">
        <v>65</v>
      </c>
      <c r="C1075" s="142"/>
      <c r="D1075" s="45" t="s">
        <v>2</v>
      </c>
      <c r="E1075" s="46"/>
      <c r="F1075" s="47"/>
      <c r="G1075" s="47"/>
      <c r="H1075" s="47"/>
    </row>
    <row r="1076" spans="2:8" ht="13" hidden="1" outlineLevel="1" x14ac:dyDescent="0.25">
      <c r="B1076" s="43" t="s">
        <v>64</v>
      </c>
      <c r="C1076" s="143"/>
      <c r="D1076" s="45" t="s">
        <v>3</v>
      </c>
      <c r="E1076" s="46"/>
      <c r="F1076" s="47"/>
      <c r="G1076" s="47"/>
      <c r="H1076" s="47"/>
    </row>
    <row r="1077" spans="2:8" ht="13" hidden="1" outlineLevel="1" x14ac:dyDescent="0.25">
      <c r="B1077" s="51" t="s">
        <v>63</v>
      </c>
      <c r="C1077" s="144">
        <f>C1075*C1076</f>
        <v>0</v>
      </c>
      <c r="D1077" s="45" t="str">
        <f>D1075</f>
        <v>kg</v>
      </c>
      <c r="E1077" s="46"/>
      <c r="F1077" s="47"/>
      <c r="G1077" s="47"/>
      <c r="H1077" s="47"/>
    </row>
    <row r="1078" spans="2:8" ht="14" hidden="1" outlineLevel="1" x14ac:dyDescent="0.25">
      <c r="B1078" s="54" t="s">
        <v>37</v>
      </c>
      <c r="C1078" s="145">
        <v>1</v>
      </c>
      <c r="D1078" s="56"/>
      <c r="E1078" s="57"/>
      <c r="F1078" s="58"/>
      <c r="G1078" s="58"/>
      <c r="H1078" s="58"/>
    </row>
    <row r="1079" spans="2:8" ht="13" hidden="1" outlineLevel="1" x14ac:dyDescent="0.25">
      <c r="B1079" s="43" t="s">
        <v>66</v>
      </c>
      <c r="C1079" s="142"/>
      <c r="D1079" s="45" t="str">
        <f>D1075</f>
        <v>kg</v>
      </c>
      <c r="E1079" s="46"/>
      <c r="F1079" s="47"/>
      <c r="G1079" s="47"/>
      <c r="H1079" s="47"/>
    </row>
    <row r="1080" spans="2:8" ht="13" hidden="1" outlineLevel="1" x14ac:dyDescent="0.25">
      <c r="B1080" s="43" t="s">
        <v>67</v>
      </c>
      <c r="C1080" s="143"/>
      <c r="D1080" s="45" t="s">
        <v>3</v>
      </c>
      <c r="E1080" s="59"/>
      <c r="F1080" s="47"/>
      <c r="G1080" s="47"/>
      <c r="H1080" s="47"/>
    </row>
    <row r="1081" spans="2:8" ht="13" hidden="1" outlineLevel="1" x14ac:dyDescent="0.25">
      <c r="B1081" s="51" t="s">
        <v>68</v>
      </c>
      <c r="C1081" s="144">
        <f>C1079*C1080</f>
        <v>0</v>
      </c>
      <c r="D1081" s="45" t="str">
        <f>D1075</f>
        <v>kg</v>
      </c>
      <c r="E1081" s="46"/>
      <c r="F1081" s="47"/>
      <c r="G1081" s="47"/>
      <c r="H1081" s="47"/>
    </row>
    <row r="1082" spans="2:8" ht="13.5" hidden="1" outlineLevel="1" thickBot="1" x14ac:dyDescent="0.3">
      <c r="B1082" s="61"/>
      <c r="C1082" s="62"/>
      <c r="D1082" s="63"/>
      <c r="F1082" s="64"/>
      <c r="G1082" s="64"/>
      <c r="H1082" s="64"/>
    </row>
    <row r="1083" spans="2:8" ht="14.5" hidden="1" outlineLevel="1" thickBot="1" x14ac:dyDescent="0.3">
      <c r="B1083" s="65" t="s">
        <v>5</v>
      </c>
      <c r="C1083" s="66" t="s">
        <v>6</v>
      </c>
      <c r="D1083" s="67" t="s">
        <v>1</v>
      </c>
      <c r="E1083" s="68"/>
      <c r="F1083" s="69"/>
      <c r="G1083" s="69"/>
      <c r="H1083" s="69"/>
    </row>
    <row r="1084" spans="2:8" ht="13" hidden="1" outlineLevel="1" x14ac:dyDescent="0.25">
      <c r="B1084" s="70" t="s">
        <v>43</v>
      </c>
      <c r="C1084" s="71"/>
      <c r="D1084" s="72"/>
      <c r="E1084" s="73"/>
      <c r="F1084" s="69"/>
      <c r="G1084" s="69"/>
      <c r="H1084" s="69"/>
    </row>
    <row r="1085" spans="2:8" ht="13" hidden="1" outlineLevel="1" x14ac:dyDescent="0.25">
      <c r="B1085" s="74"/>
      <c r="C1085" s="146">
        <f>C1077</f>
        <v>0</v>
      </c>
      <c r="D1085" s="76" t="str">
        <f>D1075</f>
        <v>kg</v>
      </c>
      <c r="E1085" s="98"/>
      <c r="F1085" s="69"/>
      <c r="G1085" s="69"/>
      <c r="H1085" s="69"/>
    </row>
    <row r="1086" spans="2:8" ht="13.5" hidden="1" outlineLevel="1" thickBot="1" x14ac:dyDescent="0.3">
      <c r="B1086" s="74"/>
      <c r="C1086" s="146"/>
      <c r="D1086" s="76" t="str">
        <f>D1075</f>
        <v>kg</v>
      </c>
      <c r="E1086" s="77"/>
      <c r="F1086" s="78"/>
      <c r="G1086" s="78"/>
      <c r="H1086" s="78"/>
    </row>
    <row r="1087" spans="2:8" ht="13" hidden="1" outlineLevel="1" x14ac:dyDescent="0.25">
      <c r="B1087" s="79" t="s">
        <v>69</v>
      </c>
      <c r="C1087" s="147"/>
      <c r="D1087" s="81"/>
      <c r="E1087" s="77"/>
      <c r="F1087" s="82"/>
      <c r="G1087" s="82"/>
      <c r="H1087" s="82"/>
    </row>
    <row r="1088" spans="2:8" ht="13" hidden="1" outlineLevel="1" x14ac:dyDescent="0.25">
      <c r="B1088" s="74"/>
      <c r="C1088" s="148"/>
      <c r="D1088" s="76" t="str">
        <f>D1075</f>
        <v>kg</v>
      </c>
      <c r="E1088" s="77"/>
      <c r="F1088" s="82"/>
      <c r="G1088" s="82"/>
      <c r="H1088" s="82"/>
    </row>
    <row r="1089" spans="2:11" ht="13" hidden="1" outlineLevel="1" x14ac:dyDescent="0.25">
      <c r="B1089" s="74"/>
      <c r="C1089" s="148"/>
      <c r="D1089" s="76" t="str">
        <f>D1075</f>
        <v>kg</v>
      </c>
      <c r="E1089" s="77"/>
      <c r="F1089" s="82"/>
      <c r="G1089" s="82"/>
      <c r="H1089" s="82"/>
    </row>
    <row r="1090" spans="2:11" ht="13" hidden="1" outlineLevel="1" x14ac:dyDescent="0.25">
      <c r="B1090" s="74"/>
      <c r="C1090" s="148"/>
      <c r="D1090" s="76" t="str">
        <f>D1075</f>
        <v>kg</v>
      </c>
      <c r="E1090" s="77"/>
      <c r="F1090" s="82"/>
      <c r="G1090" s="82"/>
      <c r="H1090" s="82"/>
    </row>
    <row r="1091" spans="2:11" ht="13" hidden="1" outlineLevel="1" x14ac:dyDescent="0.25">
      <c r="B1091" s="74"/>
      <c r="C1091" s="148"/>
      <c r="D1091" s="76" t="str">
        <f>D1075</f>
        <v>kg</v>
      </c>
      <c r="E1091" s="77"/>
      <c r="F1091" s="82"/>
      <c r="G1091" s="82"/>
      <c r="H1091" s="82"/>
    </row>
    <row r="1092" spans="2:11" ht="13" hidden="1" outlineLevel="1" x14ac:dyDescent="0.25">
      <c r="B1092" s="74"/>
      <c r="C1092" s="148"/>
      <c r="D1092" s="76" t="str">
        <f>D1075</f>
        <v>kg</v>
      </c>
      <c r="E1092" s="77"/>
      <c r="F1092" s="82"/>
      <c r="G1092" s="82"/>
      <c r="H1092" s="82"/>
    </row>
    <row r="1093" spans="2:11" ht="13" hidden="1" outlineLevel="1" x14ac:dyDescent="0.25">
      <c r="B1093" s="74"/>
      <c r="C1093" s="148"/>
      <c r="D1093" s="76" t="str">
        <f>D1075</f>
        <v>kg</v>
      </c>
      <c r="E1093" s="77"/>
      <c r="F1093" s="82"/>
      <c r="G1093" s="82"/>
      <c r="H1093" s="82"/>
    </row>
    <row r="1094" spans="2:11" ht="13" hidden="1" outlineLevel="1" x14ac:dyDescent="0.25">
      <c r="B1094" s="74"/>
      <c r="C1094" s="148"/>
      <c r="D1094" s="76" t="str">
        <f>D1075</f>
        <v>kg</v>
      </c>
      <c r="E1094" s="77"/>
      <c r="F1094" s="82"/>
      <c r="G1094" s="82"/>
      <c r="H1094" s="82"/>
    </row>
    <row r="1095" spans="2:11" ht="13" hidden="1" outlineLevel="1" x14ac:dyDescent="0.25">
      <c r="B1095" s="74"/>
      <c r="C1095" s="148"/>
      <c r="D1095" s="76" t="str">
        <f>D1075</f>
        <v>kg</v>
      </c>
      <c r="E1095" s="77"/>
      <c r="F1095" s="82"/>
      <c r="G1095" s="82"/>
      <c r="H1095" s="82"/>
    </row>
    <row r="1096" spans="2:11" ht="13" hidden="1" outlineLevel="1" x14ac:dyDescent="0.25">
      <c r="B1096" s="74"/>
      <c r="C1096" s="148"/>
      <c r="D1096" s="76" t="str">
        <f>D1075</f>
        <v>kg</v>
      </c>
      <c r="E1096" s="77"/>
      <c r="F1096" s="82"/>
      <c r="G1096" s="82"/>
      <c r="H1096" s="82"/>
    </row>
    <row r="1097" spans="2:11" ht="13" hidden="1" outlineLevel="1" x14ac:dyDescent="0.25">
      <c r="B1097" s="74"/>
      <c r="C1097" s="148"/>
      <c r="D1097" s="76" t="str">
        <f>D1075</f>
        <v>kg</v>
      </c>
      <c r="E1097" s="77"/>
      <c r="F1097" s="82"/>
      <c r="G1097" s="82"/>
      <c r="H1097" s="82"/>
    </row>
    <row r="1098" spans="2:11" ht="13" hidden="1" outlineLevel="1" x14ac:dyDescent="0.25">
      <c r="B1098" s="79"/>
      <c r="C1098" s="147"/>
      <c r="D1098" s="81"/>
      <c r="E1098" s="77"/>
      <c r="F1098" s="82"/>
      <c r="G1098" s="82"/>
      <c r="H1098" s="82"/>
      <c r="K1098" s="34"/>
    </row>
    <row r="1099" spans="2:11" ht="13" hidden="1" outlineLevel="1" x14ac:dyDescent="0.25">
      <c r="B1099" s="86" t="s">
        <v>7</v>
      </c>
      <c r="C1099" s="149">
        <f>SUM(C1084:C1097)</f>
        <v>0</v>
      </c>
      <c r="D1099" s="88" t="str">
        <f>D1075</f>
        <v>kg</v>
      </c>
      <c r="E1099" s="77"/>
      <c r="F1099" s="82"/>
      <c r="G1099" s="82"/>
      <c r="H1099" s="82"/>
    </row>
    <row r="1100" spans="2:11" ht="13" hidden="1" outlineLevel="1" x14ac:dyDescent="0.25">
      <c r="B1100" s="79" t="s">
        <v>71</v>
      </c>
      <c r="C1100" s="150"/>
      <c r="D1100" s="81"/>
      <c r="E1100" s="77"/>
      <c r="F1100" s="82"/>
      <c r="G1100" s="82"/>
      <c r="H1100" s="82"/>
    </row>
    <row r="1101" spans="2:11" ht="13" hidden="1" outlineLevel="1" x14ac:dyDescent="0.25">
      <c r="B1101" s="74"/>
      <c r="C1101" s="148"/>
      <c r="D1101" s="76" t="str">
        <f>D1075</f>
        <v>kg</v>
      </c>
      <c r="E1101" s="77"/>
      <c r="F1101" s="82"/>
      <c r="G1101" s="82"/>
      <c r="H1101" s="82"/>
    </row>
    <row r="1102" spans="2:11" ht="13" hidden="1" outlineLevel="1" x14ac:dyDescent="0.25">
      <c r="B1102" s="74"/>
      <c r="C1102" s="148"/>
      <c r="D1102" s="76" t="str">
        <f>D1075</f>
        <v>kg</v>
      </c>
      <c r="E1102" s="77"/>
      <c r="F1102" s="82"/>
      <c r="G1102" s="82"/>
      <c r="H1102" s="82"/>
    </row>
    <row r="1103" spans="2:11" ht="13" hidden="1" outlineLevel="1" x14ac:dyDescent="0.25">
      <c r="B1103" s="74"/>
      <c r="C1103" s="148"/>
      <c r="D1103" s="76" t="str">
        <f>D1075</f>
        <v>kg</v>
      </c>
      <c r="E1103" s="77"/>
      <c r="F1103" s="82"/>
      <c r="G1103" s="82"/>
      <c r="H1103" s="82"/>
    </row>
    <row r="1104" spans="2:11" ht="13" hidden="1" outlineLevel="1" x14ac:dyDescent="0.25">
      <c r="B1104" s="74"/>
      <c r="C1104" s="148"/>
      <c r="D1104" s="76" t="str">
        <f>D1075</f>
        <v>kg</v>
      </c>
      <c r="E1104" s="77"/>
      <c r="F1104" s="82"/>
      <c r="G1104" s="82"/>
      <c r="H1104" s="82"/>
    </row>
    <row r="1105" spans="2:11" ht="13" hidden="1" outlineLevel="1" x14ac:dyDescent="0.25">
      <c r="B1105" s="74"/>
      <c r="C1105" s="148"/>
      <c r="D1105" s="76" t="str">
        <f>D1075</f>
        <v>kg</v>
      </c>
      <c r="E1105" s="77"/>
      <c r="F1105" s="82"/>
      <c r="G1105" s="82"/>
      <c r="H1105" s="82"/>
    </row>
    <row r="1106" spans="2:11" ht="13" hidden="1" outlineLevel="1" x14ac:dyDescent="0.25">
      <c r="B1106" s="74"/>
      <c r="C1106" s="148"/>
      <c r="D1106" s="76" t="str">
        <f>D1075</f>
        <v>kg</v>
      </c>
      <c r="E1106" s="77"/>
      <c r="F1106" s="82"/>
      <c r="G1106" s="82"/>
      <c r="H1106" s="82"/>
    </row>
    <row r="1107" spans="2:11" ht="13" hidden="1" outlineLevel="1" x14ac:dyDescent="0.25">
      <c r="B1107" s="74"/>
      <c r="C1107" s="148"/>
      <c r="D1107" s="76" t="str">
        <f>D1075</f>
        <v>kg</v>
      </c>
      <c r="E1107" s="77"/>
      <c r="F1107" s="82"/>
      <c r="G1107" s="82"/>
      <c r="H1107" s="82"/>
    </row>
    <row r="1108" spans="2:11" ht="13" hidden="1" outlineLevel="1" x14ac:dyDescent="0.25">
      <c r="B1108" s="74"/>
      <c r="C1108" s="148"/>
      <c r="D1108" s="76" t="str">
        <f>D1075</f>
        <v>kg</v>
      </c>
      <c r="E1108" s="77"/>
      <c r="F1108" s="82"/>
      <c r="G1108" s="82"/>
      <c r="H1108" s="82"/>
    </row>
    <row r="1109" spans="2:11" ht="13" hidden="1" outlineLevel="1" x14ac:dyDescent="0.25">
      <c r="B1109" s="79" t="s">
        <v>70</v>
      </c>
      <c r="C1109" s="147"/>
      <c r="D1109" s="81"/>
      <c r="E1109" s="90"/>
      <c r="F1109" s="82"/>
      <c r="G1109" s="82"/>
      <c r="H1109" s="82"/>
    </row>
    <row r="1110" spans="2:11" ht="13" hidden="1" outlineLevel="1" x14ac:dyDescent="0.25">
      <c r="B1110" s="74"/>
      <c r="C1110" s="148"/>
      <c r="D1110" s="76" t="str">
        <f>D1075</f>
        <v>kg</v>
      </c>
      <c r="E1110" s="77"/>
      <c r="F1110" s="82"/>
      <c r="G1110" s="82"/>
      <c r="H1110" s="82"/>
    </row>
    <row r="1111" spans="2:11" ht="13" hidden="1" outlineLevel="1" x14ac:dyDescent="0.25">
      <c r="B1111" s="74"/>
      <c r="C1111" s="148"/>
      <c r="D1111" s="76" t="str">
        <f>D1075</f>
        <v>kg</v>
      </c>
      <c r="E1111" s="77"/>
      <c r="F1111" s="82"/>
      <c r="G1111" s="82"/>
      <c r="H1111" s="82"/>
    </row>
    <row r="1112" spans="2:11" ht="13" hidden="1" outlineLevel="1" x14ac:dyDescent="0.25">
      <c r="B1112" s="74"/>
      <c r="C1112" s="148"/>
      <c r="D1112" s="76" t="str">
        <f>D1075</f>
        <v>kg</v>
      </c>
      <c r="E1112" s="77"/>
      <c r="F1112" s="82"/>
      <c r="G1112" s="82"/>
      <c r="H1112" s="82"/>
    </row>
    <row r="1113" spans="2:11" ht="13" hidden="1" outlineLevel="1" x14ac:dyDescent="0.25">
      <c r="B1113" s="74"/>
      <c r="C1113" s="148"/>
      <c r="D1113" s="76" t="str">
        <f>D1075</f>
        <v>kg</v>
      </c>
      <c r="E1113" s="77"/>
      <c r="F1113" s="82"/>
      <c r="G1113" s="82"/>
      <c r="H1113" s="82"/>
    </row>
    <row r="1114" spans="2:11" ht="13" hidden="1" outlineLevel="1" x14ac:dyDescent="0.25">
      <c r="B1114" s="74"/>
      <c r="C1114" s="148"/>
      <c r="D1114" s="76" t="str">
        <f>D1075</f>
        <v>kg</v>
      </c>
      <c r="E1114" s="77"/>
      <c r="F1114" s="82"/>
      <c r="G1114" s="82"/>
      <c r="H1114" s="82"/>
    </row>
    <row r="1115" spans="2:11" ht="13" hidden="1" outlineLevel="1" x14ac:dyDescent="0.25">
      <c r="B1115" s="74"/>
      <c r="C1115" s="148"/>
      <c r="D1115" s="76" t="str">
        <f>D1075</f>
        <v>kg</v>
      </c>
      <c r="E1115" s="77"/>
      <c r="F1115" s="82"/>
      <c r="G1115" s="82"/>
      <c r="H1115" s="82"/>
    </row>
    <row r="1116" spans="2:11" ht="13" hidden="1" outlineLevel="1" x14ac:dyDescent="0.25">
      <c r="B1116" s="74"/>
      <c r="C1116" s="148"/>
      <c r="D1116" s="76" t="str">
        <f>D1075</f>
        <v>kg</v>
      </c>
      <c r="E1116" s="77"/>
      <c r="F1116" s="82"/>
      <c r="G1116" s="82"/>
      <c r="H1116" s="82"/>
    </row>
    <row r="1117" spans="2:11" ht="13" hidden="1" outlineLevel="1" x14ac:dyDescent="0.25">
      <c r="B1117" s="79"/>
      <c r="C1117" s="147"/>
      <c r="D1117" s="81"/>
      <c r="E1117" s="77"/>
      <c r="F1117" s="82"/>
      <c r="G1117" s="82"/>
      <c r="H1117" s="82"/>
      <c r="K1117" s="34"/>
    </row>
    <row r="1118" spans="2:11" ht="13" hidden="1" outlineLevel="1" x14ac:dyDescent="0.25">
      <c r="B1118" s="86" t="s">
        <v>9</v>
      </c>
      <c r="C1118" s="149">
        <f>SUM(C1099:C1116)</f>
        <v>0</v>
      </c>
      <c r="D1118" s="91" t="str">
        <f>D1075</f>
        <v>kg</v>
      </c>
      <c r="E1118" s="77"/>
      <c r="F1118" s="82"/>
      <c r="G1118" s="82"/>
      <c r="H1118" s="82"/>
    </row>
    <row r="1119" spans="2:11" ht="13" hidden="1" outlineLevel="1" x14ac:dyDescent="0.25">
      <c r="B1119" s="92"/>
      <c r="C1119" s="93"/>
      <c r="D1119" s="94"/>
      <c r="E1119" s="77"/>
      <c r="F1119" s="82"/>
      <c r="G1119" s="82"/>
      <c r="H1119" s="82"/>
    </row>
    <row r="1120" spans="2:11" ht="20.5" hidden="1" outlineLevel="1" thickBot="1" x14ac:dyDescent="0.3">
      <c r="B1120" s="426" t="s">
        <v>10</v>
      </c>
      <c r="C1120" s="427"/>
      <c r="D1120" s="428"/>
      <c r="E1120" s="77"/>
      <c r="F1120" s="82"/>
      <c r="G1120" s="82"/>
      <c r="H1120" s="82"/>
    </row>
    <row r="1121" spans="2:8" ht="13" hidden="1" outlineLevel="1" x14ac:dyDescent="0.25">
      <c r="B1121" s="95" t="s">
        <v>23</v>
      </c>
      <c r="C1121" s="96"/>
      <c r="D1121" s="151">
        <f>SUM(C1085:C1086)</f>
        <v>0</v>
      </c>
      <c r="E1121" s="98"/>
      <c r="F1121" s="82"/>
      <c r="G1121" s="82"/>
      <c r="H1121" s="82"/>
    </row>
    <row r="1122" spans="2:8" ht="13" hidden="1" outlineLevel="1" x14ac:dyDescent="0.25">
      <c r="B1122" s="99" t="s">
        <v>24</v>
      </c>
      <c r="C1122" s="100"/>
      <c r="D1122" s="152">
        <f>SUM(C1088:C1098)</f>
        <v>0</v>
      </c>
      <c r="E1122" s="98"/>
      <c r="F1122" s="82"/>
      <c r="G1122" s="82"/>
      <c r="H1122" s="82"/>
    </row>
    <row r="1123" spans="2:8" ht="13" hidden="1" outlineLevel="1" x14ac:dyDescent="0.25">
      <c r="B1123" s="99" t="s">
        <v>25</v>
      </c>
      <c r="C1123" s="100"/>
      <c r="D1123" s="152">
        <f>SUM(C1101:C1109)</f>
        <v>0</v>
      </c>
      <c r="E1123" s="98"/>
      <c r="F1123" s="82"/>
      <c r="G1123" s="82"/>
      <c r="H1123" s="82"/>
    </row>
    <row r="1124" spans="2:8" ht="13" hidden="1" outlineLevel="1" x14ac:dyDescent="0.25">
      <c r="B1124" s="102" t="s">
        <v>26</v>
      </c>
      <c r="C1124" s="103"/>
      <c r="D1124" s="153">
        <f>SUM(C1110:C1117)</f>
        <v>0</v>
      </c>
      <c r="E1124" s="98"/>
      <c r="F1124" s="82"/>
      <c r="G1124" s="82"/>
      <c r="H1124" s="82"/>
    </row>
    <row r="1125" spans="2:8" ht="18.5" hidden="1" outlineLevel="1" thickTop="1" x14ac:dyDescent="0.25">
      <c r="B1125" s="105" t="s">
        <v>11</v>
      </c>
      <c r="C1125" s="106"/>
      <c r="D1125" s="107" t="e">
        <f>C1099/C1081</f>
        <v>#DIV/0!</v>
      </c>
      <c r="E1125" s="77"/>
      <c r="F1125" s="110" t="s">
        <v>86</v>
      </c>
      <c r="G1125" s="109" t="s">
        <v>85</v>
      </c>
      <c r="H1125" s="110"/>
    </row>
    <row r="1126" spans="2:8" ht="18.5" hidden="1" outlineLevel="1" thickBot="1" x14ac:dyDescent="0.3">
      <c r="B1126" s="111" t="s">
        <v>12</v>
      </c>
      <c r="C1126" s="112"/>
      <c r="D1126" s="113" t="e">
        <f>(D1121+D1122+D1123)/C1081</f>
        <v>#DIV/0!</v>
      </c>
      <c r="E1126" s="77"/>
      <c r="F1126" s="154"/>
      <c r="G1126" s="413"/>
      <c r="H1126" s="414"/>
    </row>
    <row r="1127" spans="2:8" ht="18" hidden="1" outlineLevel="1" x14ac:dyDescent="0.25">
      <c r="B1127" s="111" t="s">
        <v>13</v>
      </c>
      <c r="C1127" s="112"/>
      <c r="D1127" s="113" t="e">
        <f>D1123/C1081</f>
        <v>#DIV/0!</v>
      </c>
      <c r="E1127" s="90"/>
      <c r="F1127" s="64" t="s">
        <v>45</v>
      </c>
      <c r="G1127" s="64" t="s">
        <v>45</v>
      </c>
      <c r="H1127" s="155"/>
    </row>
    <row r="1128" spans="2:8" ht="18" hidden="1" outlineLevel="1" x14ac:dyDescent="0.25">
      <c r="B1128" s="114" t="s">
        <v>14</v>
      </c>
      <c r="C1128" s="115"/>
      <c r="D1128" s="116" t="e">
        <f>D1124/C1081</f>
        <v>#DIV/0!</v>
      </c>
      <c r="E1128" s="90"/>
      <c r="F1128" s="110"/>
      <c r="G1128" s="117" t="s">
        <v>46</v>
      </c>
      <c r="H1128" s="110"/>
    </row>
    <row r="1129" spans="2:8" ht="18.5" hidden="1" outlineLevel="1" thickBot="1" x14ac:dyDescent="0.3">
      <c r="B1129" s="114" t="s">
        <v>15</v>
      </c>
      <c r="C1129" s="119"/>
      <c r="D1129" s="116" t="e">
        <f>SUM(D1121:D1124)/C1081</f>
        <v>#DIV/0!</v>
      </c>
      <c r="E1129" s="90"/>
      <c r="F1129" s="429"/>
      <c r="G1129" s="430"/>
      <c r="H1129" s="431"/>
    </row>
    <row r="1130" spans="2:8" ht="18.5" hidden="1" outlineLevel="1" thickTop="1" x14ac:dyDescent="0.25">
      <c r="B1130" s="120" t="s">
        <v>16</v>
      </c>
      <c r="C1130" s="121"/>
      <c r="D1130" s="122" t="e">
        <f>((C1085*D1063)+D1122+C1086*MAX(1,F1086))/C1081</f>
        <v>#DIV/0!</v>
      </c>
      <c r="E1130" s="77"/>
      <c r="F1130" s="64" t="s">
        <v>45</v>
      </c>
      <c r="G1130" s="64"/>
      <c r="H1130" s="82"/>
    </row>
    <row r="1131" spans="2:8" ht="18" hidden="1" outlineLevel="1" x14ac:dyDescent="0.25">
      <c r="B1131" s="123" t="s">
        <v>17</v>
      </c>
      <c r="C1131" s="124"/>
      <c r="D1131" s="125" t="e">
        <f>(C1085*D1064+D1122+D1123+C1086*(MAX(1,F1086)+G1086))/C1081</f>
        <v>#DIV/0!</v>
      </c>
      <c r="E1131" s="77"/>
      <c r="F1131" s="82"/>
      <c r="G1131" s="82"/>
      <c r="H1131" s="82"/>
    </row>
    <row r="1132" spans="2:8" ht="18" hidden="1" outlineLevel="1" x14ac:dyDescent="0.25">
      <c r="B1132" s="123" t="s">
        <v>18</v>
      </c>
      <c r="C1132" s="124"/>
      <c r="D1132" s="125" t="e">
        <f>((C1085*D1065)+D1123+C1086*G1086)/C1081</f>
        <v>#DIV/0!</v>
      </c>
      <c r="E1132" s="77"/>
      <c r="F1132" s="415" t="s">
        <v>61</v>
      </c>
      <c r="G1132" s="416"/>
      <c r="H1132" s="416"/>
    </row>
    <row r="1133" spans="2:8" ht="18" hidden="1" outlineLevel="1" x14ac:dyDescent="0.25">
      <c r="B1133" s="126" t="s">
        <v>19</v>
      </c>
      <c r="C1133" s="127"/>
      <c r="D1133" s="128" t="e">
        <f>(C1085*D1066+D1124+C1086*H1086)/C1081</f>
        <v>#DIV/0!</v>
      </c>
      <c r="E1133" s="77"/>
      <c r="F1133" s="416"/>
      <c r="G1133" s="416"/>
      <c r="H1133" s="416"/>
    </row>
    <row r="1134" spans="2:8" ht="18.5" hidden="1" outlineLevel="1" thickBot="1" x14ac:dyDescent="0.3">
      <c r="B1134" s="129" t="s">
        <v>20</v>
      </c>
      <c r="C1134" s="130"/>
      <c r="D1134" s="131" t="e">
        <f>((C1085*D1067)+SUM(D1122:D1124)+C1086*(MAX(1,F1086)+G1086+H1086))/C1081</f>
        <v>#DIV/0!</v>
      </c>
      <c r="E1134" s="77"/>
      <c r="F1134" s="416"/>
      <c r="G1134" s="416"/>
      <c r="H1134" s="416"/>
    </row>
    <row r="1135" spans="2:8" ht="13" hidden="1" outlineLevel="1" thickTop="1" x14ac:dyDescent="0.25">
      <c r="B1135" s="156" t="s">
        <v>76</v>
      </c>
      <c r="C1135" s="424"/>
      <c r="D1135" s="425"/>
      <c r="F1135" s="416"/>
      <c r="G1135" s="416"/>
      <c r="H1135" s="416"/>
    </row>
    <row r="1136" spans="2:8" hidden="1" outlineLevel="1" x14ac:dyDescent="0.25">
      <c r="B1136" s="157" t="s">
        <v>58</v>
      </c>
      <c r="C1136" s="422"/>
      <c r="D1136" s="423"/>
      <c r="F1136" s="416"/>
      <c r="G1136" s="416"/>
      <c r="H1136" s="416"/>
    </row>
    <row r="1137" spans="2:8" ht="13" hidden="1" outlineLevel="1" thickBot="1" x14ac:dyDescent="0.3">
      <c r="B1137" s="158" t="s">
        <v>59</v>
      </c>
      <c r="C1137" s="420"/>
      <c r="D1137" s="421"/>
      <c r="F1137" s="416"/>
      <c r="G1137" s="416"/>
      <c r="H1137" s="416"/>
    </row>
    <row r="1138" spans="2:8" hidden="1" outlineLevel="1" x14ac:dyDescent="0.25"/>
    <row r="1139" spans="2:8" hidden="1" outlineLevel="1" x14ac:dyDescent="0.25">
      <c r="C1139" s="25" t="s">
        <v>44</v>
      </c>
      <c r="D1139" s="25" t="s">
        <v>42</v>
      </c>
    </row>
    <row r="1140" spans="2:8" ht="21" hidden="1" outlineLevel="1" thickTop="1" thickBot="1" x14ac:dyDescent="0.3">
      <c r="B1140" s="140" t="s">
        <v>73</v>
      </c>
      <c r="C1140" s="29"/>
      <c r="D1140" s="141"/>
      <c r="E1140" s="31"/>
      <c r="F1140" s="32" t="s">
        <v>27</v>
      </c>
      <c r="G1140" s="33"/>
      <c r="H1140" s="33"/>
    </row>
    <row r="1141" spans="2:8" ht="14.5" hidden="1" outlineLevel="1" thickBot="1" x14ac:dyDescent="0.3">
      <c r="B1141" s="37"/>
      <c r="C1141" s="38" t="s">
        <v>0</v>
      </c>
      <c r="D1141" s="39" t="s">
        <v>1</v>
      </c>
      <c r="E1141" s="40"/>
      <c r="F1141" s="41" t="s">
        <v>28</v>
      </c>
      <c r="G1141" s="41" t="s">
        <v>21</v>
      </c>
      <c r="H1141" s="41" t="s">
        <v>8</v>
      </c>
    </row>
    <row r="1142" spans="2:8" ht="13" hidden="1" outlineLevel="1" x14ac:dyDescent="0.25">
      <c r="B1142" s="43" t="s">
        <v>65</v>
      </c>
      <c r="C1142" s="142"/>
      <c r="D1142" s="45" t="s">
        <v>2</v>
      </c>
      <c r="E1142" s="46"/>
      <c r="F1142" s="47"/>
      <c r="G1142" s="47"/>
      <c r="H1142" s="47"/>
    </row>
    <row r="1143" spans="2:8" ht="13" hidden="1" outlineLevel="1" x14ac:dyDescent="0.25">
      <c r="B1143" s="43" t="s">
        <v>64</v>
      </c>
      <c r="C1143" s="143"/>
      <c r="D1143" s="45" t="s">
        <v>3</v>
      </c>
      <c r="E1143" s="46"/>
      <c r="F1143" s="47"/>
      <c r="G1143" s="47"/>
      <c r="H1143" s="47"/>
    </row>
    <row r="1144" spans="2:8" ht="13" hidden="1" outlineLevel="1" x14ac:dyDescent="0.25">
      <c r="B1144" s="51" t="s">
        <v>63</v>
      </c>
      <c r="C1144" s="144">
        <f>C1142*C1143</f>
        <v>0</v>
      </c>
      <c r="D1144" s="45" t="str">
        <f>D1142</f>
        <v>kg</v>
      </c>
      <c r="E1144" s="46"/>
      <c r="F1144" s="47"/>
      <c r="G1144" s="47"/>
      <c r="H1144" s="47"/>
    </row>
    <row r="1145" spans="2:8" ht="14" hidden="1" outlineLevel="1" x14ac:dyDescent="0.25">
      <c r="B1145" s="54" t="s">
        <v>37</v>
      </c>
      <c r="C1145" s="145">
        <v>1</v>
      </c>
      <c r="D1145" s="56"/>
      <c r="E1145" s="57"/>
      <c r="F1145" s="58"/>
      <c r="G1145" s="58"/>
      <c r="H1145" s="58"/>
    </row>
    <row r="1146" spans="2:8" ht="13" hidden="1" outlineLevel="1" x14ac:dyDescent="0.25">
      <c r="B1146" s="43" t="s">
        <v>66</v>
      </c>
      <c r="C1146" s="142"/>
      <c r="D1146" s="45" t="str">
        <f>D1142</f>
        <v>kg</v>
      </c>
      <c r="E1146" s="46"/>
      <c r="F1146" s="47"/>
      <c r="G1146" s="47"/>
      <c r="H1146" s="47"/>
    </row>
    <row r="1147" spans="2:8" ht="13" hidden="1" outlineLevel="1" x14ac:dyDescent="0.25">
      <c r="B1147" s="43" t="s">
        <v>67</v>
      </c>
      <c r="C1147" s="143"/>
      <c r="D1147" s="45" t="s">
        <v>3</v>
      </c>
      <c r="E1147" s="59"/>
      <c r="F1147" s="47"/>
      <c r="G1147" s="47"/>
      <c r="H1147" s="47"/>
    </row>
    <row r="1148" spans="2:8" ht="13" hidden="1" outlineLevel="1" x14ac:dyDescent="0.25">
      <c r="B1148" s="51" t="s">
        <v>68</v>
      </c>
      <c r="C1148" s="144">
        <f>C1146*C1147</f>
        <v>0</v>
      </c>
      <c r="D1148" s="45" t="str">
        <f>D1142</f>
        <v>kg</v>
      </c>
      <c r="E1148" s="46"/>
      <c r="F1148" s="47"/>
      <c r="G1148" s="47"/>
      <c r="H1148" s="47"/>
    </row>
    <row r="1149" spans="2:8" ht="13.5" hidden="1" outlineLevel="1" thickBot="1" x14ac:dyDescent="0.3">
      <c r="B1149" s="61"/>
      <c r="C1149" s="62"/>
      <c r="D1149" s="63"/>
      <c r="F1149" s="64"/>
      <c r="G1149" s="64"/>
      <c r="H1149" s="64"/>
    </row>
    <row r="1150" spans="2:8" ht="14.5" hidden="1" outlineLevel="1" thickBot="1" x14ac:dyDescent="0.3">
      <c r="B1150" s="65" t="s">
        <v>5</v>
      </c>
      <c r="C1150" s="66" t="s">
        <v>6</v>
      </c>
      <c r="D1150" s="67" t="s">
        <v>1</v>
      </c>
      <c r="E1150" s="68"/>
      <c r="F1150" s="69"/>
      <c r="G1150" s="69"/>
      <c r="H1150" s="69"/>
    </row>
    <row r="1151" spans="2:8" ht="13" hidden="1" outlineLevel="1" x14ac:dyDescent="0.25">
      <c r="B1151" s="70" t="s">
        <v>43</v>
      </c>
      <c r="C1151" s="71"/>
      <c r="D1151" s="72"/>
      <c r="E1151" s="73"/>
      <c r="F1151" s="69"/>
      <c r="G1151" s="69"/>
      <c r="H1151" s="69"/>
    </row>
    <row r="1152" spans="2:8" ht="13" hidden="1" outlineLevel="1" x14ac:dyDescent="0.25">
      <c r="B1152" s="74"/>
      <c r="C1152" s="146">
        <f>C1144</f>
        <v>0</v>
      </c>
      <c r="D1152" s="76" t="str">
        <f>D1142</f>
        <v>kg</v>
      </c>
      <c r="E1152" s="98"/>
      <c r="F1152" s="69"/>
      <c r="G1152" s="69"/>
      <c r="H1152" s="69"/>
    </row>
    <row r="1153" spans="2:11" ht="13.5" hidden="1" outlineLevel="1" thickBot="1" x14ac:dyDescent="0.3">
      <c r="B1153" s="74"/>
      <c r="C1153" s="146"/>
      <c r="D1153" s="76" t="str">
        <f>D1142</f>
        <v>kg</v>
      </c>
      <c r="E1153" s="77"/>
      <c r="F1153" s="78"/>
      <c r="G1153" s="78"/>
      <c r="H1153" s="78"/>
    </row>
    <row r="1154" spans="2:11" ht="13" hidden="1" outlineLevel="1" x14ac:dyDescent="0.25">
      <c r="B1154" s="79" t="s">
        <v>69</v>
      </c>
      <c r="C1154" s="147"/>
      <c r="D1154" s="81"/>
      <c r="E1154" s="77"/>
      <c r="F1154" s="82"/>
      <c r="G1154" s="82"/>
      <c r="H1154" s="82"/>
    </row>
    <row r="1155" spans="2:11" ht="13" hidden="1" outlineLevel="1" x14ac:dyDescent="0.25">
      <c r="B1155" s="74"/>
      <c r="C1155" s="148"/>
      <c r="D1155" s="76" t="str">
        <f>D1142</f>
        <v>kg</v>
      </c>
      <c r="E1155" s="77"/>
      <c r="F1155" s="82"/>
      <c r="G1155" s="82"/>
      <c r="H1155" s="82"/>
    </row>
    <row r="1156" spans="2:11" ht="13" hidden="1" outlineLevel="1" x14ac:dyDescent="0.25">
      <c r="B1156" s="74"/>
      <c r="C1156" s="148"/>
      <c r="D1156" s="76" t="str">
        <f>D1142</f>
        <v>kg</v>
      </c>
      <c r="E1156" s="77"/>
      <c r="F1156" s="82"/>
      <c r="G1156" s="82"/>
      <c r="H1156" s="82"/>
    </row>
    <row r="1157" spans="2:11" ht="13" hidden="1" outlineLevel="1" x14ac:dyDescent="0.25">
      <c r="B1157" s="74"/>
      <c r="C1157" s="148"/>
      <c r="D1157" s="76" t="str">
        <f>D1142</f>
        <v>kg</v>
      </c>
      <c r="E1157" s="77"/>
      <c r="F1157" s="82"/>
      <c r="G1157" s="82"/>
      <c r="H1157" s="82"/>
    </row>
    <row r="1158" spans="2:11" ht="13" hidden="1" outlineLevel="1" x14ac:dyDescent="0.25">
      <c r="B1158" s="74"/>
      <c r="C1158" s="148"/>
      <c r="D1158" s="76" t="str">
        <f>D1142</f>
        <v>kg</v>
      </c>
      <c r="E1158" s="77"/>
      <c r="F1158" s="82"/>
      <c r="G1158" s="82"/>
      <c r="H1158" s="82"/>
    </row>
    <row r="1159" spans="2:11" ht="13" hidden="1" outlineLevel="1" x14ac:dyDescent="0.25">
      <c r="B1159" s="74"/>
      <c r="C1159" s="148"/>
      <c r="D1159" s="76" t="str">
        <f>D1142</f>
        <v>kg</v>
      </c>
      <c r="E1159" s="77"/>
      <c r="F1159" s="82"/>
      <c r="G1159" s="82"/>
      <c r="H1159" s="82"/>
    </row>
    <row r="1160" spans="2:11" ht="13" hidden="1" outlineLevel="1" x14ac:dyDescent="0.25">
      <c r="B1160" s="74"/>
      <c r="C1160" s="148"/>
      <c r="D1160" s="76" t="str">
        <f>D1142</f>
        <v>kg</v>
      </c>
      <c r="E1160" s="77"/>
      <c r="F1160" s="82"/>
      <c r="G1160" s="82"/>
      <c r="H1160" s="82"/>
    </row>
    <row r="1161" spans="2:11" ht="13" hidden="1" outlineLevel="1" x14ac:dyDescent="0.25">
      <c r="B1161" s="74"/>
      <c r="C1161" s="148"/>
      <c r="D1161" s="76" t="str">
        <f>D1142</f>
        <v>kg</v>
      </c>
      <c r="E1161" s="77"/>
      <c r="F1161" s="82"/>
      <c r="G1161" s="82"/>
      <c r="H1161" s="82"/>
    </row>
    <row r="1162" spans="2:11" ht="13" hidden="1" outlineLevel="1" x14ac:dyDescent="0.25">
      <c r="B1162" s="74"/>
      <c r="C1162" s="148"/>
      <c r="D1162" s="76" t="str">
        <f>D1142</f>
        <v>kg</v>
      </c>
      <c r="E1162" s="77"/>
      <c r="F1162" s="82"/>
      <c r="G1162" s="82"/>
      <c r="H1162" s="82"/>
    </row>
    <row r="1163" spans="2:11" ht="13" hidden="1" outlineLevel="1" x14ac:dyDescent="0.25">
      <c r="B1163" s="74"/>
      <c r="C1163" s="148"/>
      <c r="D1163" s="76" t="str">
        <f>D1142</f>
        <v>kg</v>
      </c>
      <c r="E1163" s="77"/>
      <c r="F1163" s="82"/>
      <c r="G1163" s="82"/>
      <c r="H1163" s="82"/>
    </row>
    <row r="1164" spans="2:11" ht="13" hidden="1" outlineLevel="1" x14ac:dyDescent="0.25">
      <c r="B1164" s="74"/>
      <c r="C1164" s="148"/>
      <c r="D1164" s="76" t="str">
        <f>D1142</f>
        <v>kg</v>
      </c>
      <c r="E1164" s="77"/>
      <c r="F1164" s="82"/>
      <c r="G1164" s="82"/>
      <c r="H1164" s="82"/>
    </row>
    <row r="1165" spans="2:11" ht="13" hidden="1" outlineLevel="1" x14ac:dyDescent="0.25">
      <c r="B1165" s="79"/>
      <c r="C1165" s="147"/>
      <c r="D1165" s="81"/>
      <c r="E1165" s="77"/>
      <c r="F1165" s="82"/>
      <c r="G1165" s="82"/>
      <c r="H1165" s="82"/>
      <c r="K1165" s="34"/>
    </row>
    <row r="1166" spans="2:11" ht="13" hidden="1" outlineLevel="1" x14ac:dyDescent="0.25">
      <c r="B1166" s="86" t="s">
        <v>7</v>
      </c>
      <c r="C1166" s="149">
        <f>SUM(C1151:C1164)</f>
        <v>0</v>
      </c>
      <c r="D1166" s="88" t="str">
        <f>D1142</f>
        <v>kg</v>
      </c>
      <c r="E1166" s="77"/>
      <c r="F1166" s="82"/>
      <c r="G1166" s="82"/>
      <c r="H1166" s="82"/>
    </row>
    <row r="1167" spans="2:11" ht="13" hidden="1" outlineLevel="1" x14ac:dyDescent="0.25">
      <c r="B1167" s="79" t="s">
        <v>71</v>
      </c>
      <c r="C1167" s="150"/>
      <c r="D1167" s="81"/>
      <c r="E1167" s="77"/>
      <c r="F1167" s="82"/>
      <c r="G1167" s="82"/>
      <c r="H1167" s="82"/>
    </row>
    <row r="1168" spans="2:11" ht="13" hidden="1" outlineLevel="1" x14ac:dyDescent="0.25">
      <c r="B1168" s="74"/>
      <c r="C1168" s="148"/>
      <c r="D1168" s="76" t="str">
        <f>D1142</f>
        <v>kg</v>
      </c>
      <c r="E1168" s="77"/>
      <c r="F1168" s="82"/>
      <c r="G1168" s="82"/>
      <c r="H1168" s="82"/>
    </row>
    <row r="1169" spans="2:11" ht="13" hidden="1" outlineLevel="1" x14ac:dyDescent="0.25">
      <c r="B1169" s="74"/>
      <c r="C1169" s="148"/>
      <c r="D1169" s="76" t="str">
        <f>D1142</f>
        <v>kg</v>
      </c>
      <c r="E1169" s="77"/>
      <c r="F1169" s="82"/>
      <c r="G1169" s="82"/>
      <c r="H1169" s="82"/>
    </row>
    <row r="1170" spans="2:11" ht="13" hidden="1" outlineLevel="1" x14ac:dyDescent="0.25">
      <c r="B1170" s="74"/>
      <c r="C1170" s="148"/>
      <c r="D1170" s="76" t="str">
        <f>D1142</f>
        <v>kg</v>
      </c>
      <c r="E1170" s="77"/>
      <c r="F1170" s="82"/>
      <c r="G1170" s="82"/>
      <c r="H1170" s="82"/>
    </row>
    <row r="1171" spans="2:11" ht="13" hidden="1" outlineLevel="1" x14ac:dyDescent="0.25">
      <c r="B1171" s="74"/>
      <c r="C1171" s="148"/>
      <c r="D1171" s="76" t="str">
        <f>D1142</f>
        <v>kg</v>
      </c>
      <c r="E1171" s="77"/>
      <c r="F1171" s="82"/>
      <c r="G1171" s="82"/>
      <c r="H1171" s="82"/>
    </row>
    <row r="1172" spans="2:11" ht="13" hidden="1" outlineLevel="1" x14ac:dyDescent="0.25">
      <c r="B1172" s="74"/>
      <c r="C1172" s="148"/>
      <c r="D1172" s="76" t="str">
        <f>D1142</f>
        <v>kg</v>
      </c>
      <c r="E1172" s="77"/>
      <c r="F1172" s="82"/>
      <c r="G1172" s="82"/>
      <c r="H1172" s="82"/>
    </row>
    <row r="1173" spans="2:11" ht="13" hidden="1" outlineLevel="1" x14ac:dyDescent="0.25">
      <c r="B1173" s="74"/>
      <c r="C1173" s="148"/>
      <c r="D1173" s="76" t="str">
        <f>D1142</f>
        <v>kg</v>
      </c>
      <c r="E1173" s="77"/>
      <c r="F1173" s="82"/>
      <c r="G1173" s="82"/>
      <c r="H1173" s="82"/>
    </row>
    <row r="1174" spans="2:11" ht="13" hidden="1" outlineLevel="1" x14ac:dyDescent="0.25">
      <c r="B1174" s="74"/>
      <c r="C1174" s="148"/>
      <c r="D1174" s="76" t="str">
        <f>D1142</f>
        <v>kg</v>
      </c>
      <c r="E1174" s="77"/>
      <c r="F1174" s="82"/>
      <c r="G1174" s="82"/>
      <c r="H1174" s="82"/>
    </row>
    <row r="1175" spans="2:11" ht="13" hidden="1" outlineLevel="1" x14ac:dyDescent="0.25">
      <c r="B1175" s="74"/>
      <c r="C1175" s="148"/>
      <c r="D1175" s="76" t="str">
        <f>D1142</f>
        <v>kg</v>
      </c>
      <c r="E1175" s="77"/>
      <c r="F1175" s="82"/>
      <c r="G1175" s="82"/>
      <c r="H1175" s="82"/>
    </row>
    <row r="1176" spans="2:11" ht="13" hidden="1" outlineLevel="1" x14ac:dyDescent="0.25">
      <c r="B1176" s="79" t="s">
        <v>70</v>
      </c>
      <c r="C1176" s="147"/>
      <c r="D1176" s="81"/>
      <c r="E1176" s="90"/>
      <c r="F1176" s="82"/>
      <c r="G1176" s="82"/>
      <c r="H1176" s="82"/>
    </row>
    <row r="1177" spans="2:11" ht="13" hidden="1" outlineLevel="1" x14ac:dyDescent="0.25">
      <c r="B1177" s="74"/>
      <c r="C1177" s="148"/>
      <c r="D1177" s="76" t="str">
        <f>D1142</f>
        <v>kg</v>
      </c>
      <c r="E1177" s="77"/>
      <c r="F1177" s="82"/>
      <c r="G1177" s="82"/>
      <c r="H1177" s="82"/>
    </row>
    <row r="1178" spans="2:11" ht="13" hidden="1" outlineLevel="1" x14ac:dyDescent="0.25">
      <c r="B1178" s="74"/>
      <c r="C1178" s="148"/>
      <c r="D1178" s="76" t="str">
        <f>D1142</f>
        <v>kg</v>
      </c>
      <c r="E1178" s="77"/>
      <c r="F1178" s="82"/>
      <c r="G1178" s="82"/>
      <c r="H1178" s="82"/>
    </row>
    <row r="1179" spans="2:11" ht="13" hidden="1" outlineLevel="1" x14ac:dyDescent="0.25">
      <c r="B1179" s="74"/>
      <c r="C1179" s="148"/>
      <c r="D1179" s="76" t="str">
        <f>D1142</f>
        <v>kg</v>
      </c>
      <c r="E1179" s="77"/>
      <c r="F1179" s="82"/>
      <c r="G1179" s="82"/>
      <c r="H1179" s="82"/>
    </row>
    <row r="1180" spans="2:11" ht="13" hidden="1" outlineLevel="1" x14ac:dyDescent="0.25">
      <c r="B1180" s="74"/>
      <c r="C1180" s="148"/>
      <c r="D1180" s="76" t="str">
        <f>D1142</f>
        <v>kg</v>
      </c>
      <c r="E1180" s="77"/>
      <c r="F1180" s="82"/>
      <c r="G1180" s="82"/>
      <c r="H1180" s="82"/>
    </row>
    <row r="1181" spans="2:11" ht="13" hidden="1" outlineLevel="1" x14ac:dyDescent="0.25">
      <c r="B1181" s="74"/>
      <c r="C1181" s="148"/>
      <c r="D1181" s="76" t="str">
        <f>D1142</f>
        <v>kg</v>
      </c>
      <c r="E1181" s="77"/>
      <c r="F1181" s="82"/>
      <c r="G1181" s="82"/>
      <c r="H1181" s="82"/>
    </row>
    <row r="1182" spans="2:11" ht="13" hidden="1" outlineLevel="1" x14ac:dyDescent="0.25">
      <c r="B1182" s="74"/>
      <c r="C1182" s="148"/>
      <c r="D1182" s="76" t="str">
        <f>D1142</f>
        <v>kg</v>
      </c>
      <c r="E1182" s="77"/>
      <c r="F1182" s="82"/>
      <c r="G1182" s="82"/>
      <c r="H1182" s="82"/>
    </row>
    <row r="1183" spans="2:11" ht="13" hidden="1" outlineLevel="1" x14ac:dyDescent="0.25">
      <c r="B1183" s="74"/>
      <c r="C1183" s="148"/>
      <c r="D1183" s="76" t="str">
        <f>D1142</f>
        <v>kg</v>
      </c>
      <c r="E1183" s="77"/>
      <c r="F1183" s="82"/>
      <c r="G1183" s="82"/>
      <c r="H1183" s="82"/>
    </row>
    <row r="1184" spans="2:11" ht="13" hidden="1" outlineLevel="1" x14ac:dyDescent="0.25">
      <c r="B1184" s="79"/>
      <c r="C1184" s="147"/>
      <c r="D1184" s="81"/>
      <c r="E1184" s="77"/>
      <c r="F1184" s="82"/>
      <c r="G1184" s="82"/>
      <c r="H1184" s="82"/>
      <c r="K1184" s="34"/>
    </row>
    <row r="1185" spans="2:8" ht="13" hidden="1" outlineLevel="1" x14ac:dyDescent="0.25">
      <c r="B1185" s="86" t="s">
        <v>9</v>
      </c>
      <c r="C1185" s="149">
        <f>SUM(C1166:C1183)</f>
        <v>0</v>
      </c>
      <c r="D1185" s="91" t="str">
        <f>D1142</f>
        <v>kg</v>
      </c>
      <c r="E1185" s="77"/>
      <c r="F1185" s="82"/>
      <c r="G1185" s="82"/>
      <c r="H1185" s="82"/>
    </row>
    <row r="1186" spans="2:8" ht="13" hidden="1" outlineLevel="1" x14ac:dyDescent="0.25">
      <c r="B1186" s="92"/>
      <c r="C1186" s="93"/>
      <c r="D1186" s="94"/>
      <c r="E1186" s="77"/>
      <c r="F1186" s="82"/>
      <c r="G1186" s="82"/>
      <c r="H1186" s="82"/>
    </row>
    <row r="1187" spans="2:8" ht="20.5" hidden="1" outlineLevel="1" thickBot="1" x14ac:dyDescent="0.3">
      <c r="B1187" s="426" t="s">
        <v>10</v>
      </c>
      <c r="C1187" s="427"/>
      <c r="D1187" s="428"/>
      <c r="E1187" s="77"/>
      <c r="F1187" s="82"/>
      <c r="G1187" s="82"/>
      <c r="H1187" s="82"/>
    </row>
    <row r="1188" spans="2:8" ht="13" hidden="1" outlineLevel="1" x14ac:dyDescent="0.25">
      <c r="B1188" s="95" t="s">
        <v>23</v>
      </c>
      <c r="C1188" s="96"/>
      <c r="D1188" s="151">
        <f>SUM(C1152:C1153)</f>
        <v>0</v>
      </c>
      <c r="E1188" s="98"/>
      <c r="F1188" s="82"/>
      <c r="G1188" s="82"/>
      <c r="H1188" s="82"/>
    </row>
    <row r="1189" spans="2:8" ht="13" hidden="1" outlineLevel="1" x14ac:dyDescent="0.25">
      <c r="B1189" s="99" t="s">
        <v>24</v>
      </c>
      <c r="C1189" s="100"/>
      <c r="D1189" s="152">
        <f>SUM(C1155:C1165)</f>
        <v>0</v>
      </c>
      <c r="E1189" s="98"/>
      <c r="F1189" s="82"/>
      <c r="G1189" s="82"/>
      <c r="H1189" s="82"/>
    </row>
    <row r="1190" spans="2:8" ht="13" hidden="1" outlineLevel="1" x14ac:dyDescent="0.25">
      <c r="B1190" s="99" t="s">
        <v>25</v>
      </c>
      <c r="C1190" s="100"/>
      <c r="D1190" s="152">
        <f>SUM(C1168:C1176)</f>
        <v>0</v>
      </c>
      <c r="E1190" s="98"/>
      <c r="F1190" s="82"/>
      <c r="G1190" s="82"/>
      <c r="H1190" s="82"/>
    </row>
    <row r="1191" spans="2:8" ht="13" hidden="1" outlineLevel="1" x14ac:dyDescent="0.25">
      <c r="B1191" s="102" t="s">
        <v>26</v>
      </c>
      <c r="C1191" s="103"/>
      <c r="D1191" s="153">
        <f>SUM(C1177:C1184)</f>
        <v>0</v>
      </c>
      <c r="E1191" s="98"/>
      <c r="F1191" s="82"/>
      <c r="G1191" s="82"/>
      <c r="H1191" s="82"/>
    </row>
    <row r="1192" spans="2:8" ht="18.5" hidden="1" outlineLevel="1" thickTop="1" x14ac:dyDescent="0.25">
      <c r="B1192" s="105" t="s">
        <v>11</v>
      </c>
      <c r="C1192" s="106"/>
      <c r="D1192" s="107" t="e">
        <f>C1166/C1148</f>
        <v>#DIV/0!</v>
      </c>
      <c r="E1192" s="77"/>
      <c r="F1192" s="110" t="s">
        <v>86</v>
      </c>
      <c r="G1192" s="109" t="s">
        <v>85</v>
      </c>
      <c r="H1192" s="110"/>
    </row>
    <row r="1193" spans="2:8" ht="18.5" hidden="1" outlineLevel="1" thickBot="1" x14ac:dyDescent="0.3">
      <c r="B1193" s="111" t="s">
        <v>12</v>
      </c>
      <c r="C1193" s="112"/>
      <c r="D1193" s="113" t="e">
        <f>(D1188+D1189+D1190)/C1148</f>
        <v>#DIV/0!</v>
      </c>
      <c r="E1193" s="77"/>
      <c r="F1193" s="154"/>
      <c r="G1193" s="413"/>
      <c r="H1193" s="414"/>
    </row>
    <row r="1194" spans="2:8" ht="18" hidden="1" outlineLevel="1" x14ac:dyDescent="0.25">
      <c r="B1194" s="111" t="s">
        <v>13</v>
      </c>
      <c r="C1194" s="112"/>
      <c r="D1194" s="113" t="e">
        <f>D1190/C1148</f>
        <v>#DIV/0!</v>
      </c>
      <c r="E1194" s="90"/>
      <c r="F1194" s="64" t="s">
        <v>45</v>
      </c>
      <c r="G1194" s="64" t="s">
        <v>45</v>
      </c>
      <c r="H1194" s="155"/>
    </row>
    <row r="1195" spans="2:8" ht="18" hidden="1" outlineLevel="1" x14ac:dyDescent="0.25">
      <c r="B1195" s="114" t="s">
        <v>14</v>
      </c>
      <c r="C1195" s="115"/>
      <c r="D1195" s="116" t="e">
        <f>D1191/C1148</f>
        <v>#DIV/0!</v>
      </c>
      <c r="E1195" s="90"/>
      <c r="F1195" s="110"/>
      <c r="G1195" s="117" t="s">
        <v>46</v>
      </c>
      <c r="H1195" s="110"/>
    </row>
    <row r="1196" spans="2:8" ht="18.5" hidden="1" outlineLevel="1" thickBot="1" x14ac:dyDescent="0.3">
      <c r="B1196" s="114" t="s">
        <v>15</v>
      </c>
      <c r="C1196" s="119"/>
      <c r="D1196" s="116" t="e">
        <f>SUM(D1188:D1191)/C1148</f>
        <v>#DIV/0!</v>
      </c>
      <c r="E1196" s="90"/>
      <c r="F1196" s="429"/>
      <c r="G1196" s="430"/>
      <c r="H1196" s="431"/>
    </row>
    <row r="1197" spans="2:8" ht="18.5" hidden="1" outlineLevel="1" thickTop="1" x14ac:dyDescent="0.25">
      <c r="B1197" s="120" t="s">
        <v>16</v>
      </c>
      <c r="C1197" s="121"/>
      <c r="D1197" s="122" t="e">
        <f>((C1152*D1130)+D1189+C1153*MAX(1,F1153))/C1148</f>
        <v>#DIV/0!</v>
      </c>
      <c r="E1197" s="77"/>
      <c r="F1197" s="64" t="s">
        <v>45</v>
      </c>
      <c r="G1197" s="64"/>
      <c r="H1197" s="82"/>
    </row>
    <row r="1198" spans="2:8" ht="18" hidden="1" outlineLevel="1" x14ac:dyDescent="0.25">
      <c r="B1198" s="123" t="s">
        <v>17</v>
      </c>
      <c r="C1198" s="124"/>
      <c r="D1198" s="125" t="e">
        <f>(C1152*D1131+D1189+D1190+C1153*(MAX(1,F1153)+G1153))/C1148</f>
        <v>#DIV/0!</v>
      </c>
      <c r="E1198" s="77"/>
      <c r="F1198" s="82"/>
      <c r="G1198" s="82"/>
      <c r="H1198" s="82"/>
    </row>
    <row r="1199" spans="2:8" ht="18" hidden="1" outlineLevel="1" x14ac:dyDescent="0.25">
      <c r="B1199" s="123" t="s">
        <v>18</v>
      </c>
      <c r="C1199" s="124"/>
      <c r="D1199" s="125" t="e">
        <f>((C1152*D1132)+D1190+C1153*G1153)/C1148</f>
        <v>#DIV/0!</v>
      </c>
      <c r="E1199" s="77"/>
      <c r="F1199" s="415" t="s">
        <v>61</v>
      </c>
      <c r="G1199" s="416"/>
      <c r="H1199" s="416"/>
    </row>
    <row r="1200" spans="2:8" ht="18" hidden="1" outlineLevel="1" x14ac:dyDescent="0.25">
      <c r="B1200" s="126" t="s">
        <v>19</v>
      </c>
      <c r="C1200" s="127"/>
      <c r="D1200" s="128" t="e">
        <f>(C1152*D1133+D1191+C1153*H1153)/C1148</f>
        <v>#DIV/0!</v>
      </c>
      <c r="E1200" s="77"/>
      <c r="F1200" s="416"/>
      <c r="G1200" s="416"/>
      <c r="H1200" s="416"/>
    </row>
    <row r="1201" spans="2:8" ht="18.5" hidden="1" outlineLevel="1" thickBot="1" x14ac:dyDescent="0.3">
      <c r="B1201" s="129" t="s">
        <v>20</v>
      </c>
      <c r="C1201" s="130"/>
      <c r="D1201" s="131" t="e">
        <f>((C1152*D1134)+SUM(D1189:D1191)+C1153*(MAX(1,F1153)+G1153+H1153))/C1148</f>
        <v>#DIV/0!</v>
      </c>
      <c r="E1201" s="77"/>
      <c r="F1201" s="416"/>
      <c r="G1201" s="416"/>
      <c r="H1201" s="416"/>
    </row>
    <row r="1202" spans="2:8" ht="13" hidden="1" outlineLevel="1" thickTop="1" x14ac:dyDescent="0.25">
      <c r="B1202" s="156" t="s">
        <v>76</v>
      </c>
      <c r="C1202" s="424"/>
      <c r="D1202" s="425"/>
      <c r="F1202" s="416"/>
      <c r="G1202" s="416"/>
      <c r="H1202" s="416"/>
    </row>
    <row r="1203" spans="2:8" hidden="1" outlineLevel="1" x14ac:dyDescent="0.25">
      <c r="B1203" s="157" t="s">
        <v>58</v>
      </c>
      <c r="C1203" s="422"/>
      <c r="D1203" s="423"/>
      <c r="F1203" s="416"/>
      <c r="G1203" s="416"/>
      <c r="H1203" s="416"/>
    </row>
    <row r="1204" spans="2:8" ht="13" hidden="1" outlineLevel="1" thickBot="1" x14ac:dyDescent="0.3">
      <c r="B1204" s="158" t="s">
        <v>59</v>
      </c>
      <c r="C1204" s="420"/>
      <c r="D1204" s="421"/>
      <c r="F1204" s="416"/>
      <c r="G1204" s="416"/>
      <c r="H1204" s="416"/>
    </row>
    <row r="1205" spans="2:8" hidden="1" outlineLevel="1" x14ac:dyDescent="0.25"/>
    <row r="1206" spans="2:8" hidden="1" outlineLevel="1" x14ac:dyDescent="0.25"/>
    <row r="1207" spans="2:8" hidden="1" outlineLevel="1" x14ac:dyDescent="0.25"/>
    <row r="1208" spans="2:8" hidden="1" outlineLevel="1" x14ac:dyDescent="0.25"/>
    <row r="1209" spans="2:8" hidden="1" outlineLevel="1" x14ac:dyDescent="0.25"/>
    <row r="1210" spans="2:8" hidden="1" outlineLevel="1" x14ac:dyDescent="0.25"/>
    <row r="1211" spans="2:8" hidden="1" outlineLevel="1" x14ac:dyDescent="0.25"/>
    <row r="1212" spans="2:8" hidden="1" outlineLevel="1" x14ac:dyDescent="0.25"/>
    <row r="1213" spans="2:8" hidden="1" outlineLevel="1" x14ac:dyDescent="0.25"/>
    <row r="1214" spans="2:8" hidden="1" outlineLevel="1" x14ac:dyDescent="0.25"/>
    <row r="1215" spans="2:8" hidden="1" outlineLevel="1" x14ac:dyDescent="0.25"/>
    <row r="1216" spans="2:8" hidden="1" outlineLevel="1" x14ac:dyDescent="0.25"/>
    <row r="1217" hidden="1" outlineLevel="1" x14ac:dyDescent="0.25"/>
    <row r="1218" hidden="1" outlineLevel="1" x14ac:dyDescent="0.25"/>
    <row r="1219" hidden="1" outlineLevel="1" x14ac:dyDescent="0.25"/>
    <row r="1220" hidden="1" outlineLevel="1" x14ac:dyDescent="0.25"/>
    <row r="1221" hidden="1" outlineLevel="1" x14ac:dyDescent="0.25"/>
    <row r="1222" hidden="1" outlineLevel="1" x14ac:dyDescent="0.25"/>
    <row r="1223" hidden="1" outlineLevel="1" x14ac:dyDescent="0.25"/>
    <row r="1224" hidden="1" outlineLevel="1" x14ac:dyDescent="0.25"/>
    <row r="1225" hidden="1" outlineLevel="1" x14ac:dyDescent="0.25"/>
    <row r="1226" hidden="1" outlineLevel="1" x14ac:dyDescent="0.25"/>
    <row r="1227" hidden="1" outlineLevel="1" x14ac:dyDescent="0.25"/>
    <row r="1228" hidden="1" outlineLevel="1" x14ac:dyDescent="0.25"/>
    <row r="1229" hidden="1" outlineLevel="1" x14ac:dyDescent="0.25"/>
    <row r="1230" hidden="1" outlineLevel="1" x14ac:dyDescent="0.25"/>
    <row r="1231" hidden="1" outlineLevel="1" x14ac:dyDescent="0.25"/>
    <row r="1232" hidden="1" outlineLevel="1" x14ac:dyDescent="0.25"/>
    <row r="1233" hidden="1" outlineLevel="1" x14ac:dyDescent="0.25"/>
    <row r="1234" hidden="1" outlineLevel="1" x14ac:dyDescent="0.25"/>
    <row r="1235" hidden="1" outlineLevel="1" x14ac:dyDescent="0.25"/>
    <row r="1236" hidden="1" outlineLevel="1" x14ac:dyDescent="0.25"/>
    <row r="1237" hidden="1" outlineLevel="1" x14ac:dyDescent="0.25"/>
    <row r="1238" hidden="1" outlineLevel="1" x14ac:dyDescent="0.25"/>
    <row r="1239" hidden="1" outlineLevel="1" x14ac:dyDescent="0.25"/>
    <row r="1240" hidden="1" outlineLevel="1" x14ac:dyDescent="0.25"/>
    <row r="1241" hidden="1" outlineLevel="1" x14ac:dyDescent="0.25"/>
    <row r="1242" hidden="1" outlineLevel="1" x14ac:dyDescent="0.25"/>
    <row r="1243" hidden="1" outlineLevel="1" x14ac:dyDescent="0.25"/>
    <row r="1244" hidden="1" outlineLevel="1" x14ac:dyDescent="0.25"/>
    <row r="1245" hidden="1" outlineLevel="1" x14ac:dyDescent="0.25"/>
    <row r="1246" hidden="1" outlineLevel="1" x14ac:dyDescent="0.25"/>
    <row r="1247" hidden="1" outlineLevel="1" x14ac:dyDescent="0.25"/>
    <row r="1248" hidden="1" outlineLevel="1" x14ac:dyDescent="0.25"/>
    <row r="1249" hidden="1" outlineLevel="1" x14ac:dyDescent="0.25"/>
    <row r="1250" hidden="1" outlineLevel="1" x14ac:dyDescent="0.25"/>
    <row r="1251" hidden="1" outlineLevel="1" x14ac:dyDescent="0.25"/>
    <row r="1252" hidden="1" outlineLevel="1" x14ac:dyDescent="0.25"/>
    <row r="1253" hidden="1" outlineLevel="1" x14ac:dyDescent="0.25"/>
    <row r="1254" hidden="1" outlineLevel="1" x14ac:dyDescent="0.25"/>
    <row r="1255" hidden="1" outlineLevel="1" x14ac:dyDescent="0.25"/>
    <row r="1256" hidden="1" outlineLevel="1" x14ac:dyDescent="0.25"/>
    <row r="1257" hidden="1" outlineLevel="1" x14ac:dyDescent="0.25"/>
    <row r="1258" hidden="1" outlineLevel="1" x14ac:dyDescent="0.25"/>
    <row r="1259" hidden="1" outlineLevel="1" x14ac:dyDescent="0.25"/>
    <row r="1260" hidden="1" outlineLevel="1" x14ac:dyDescent="0.25"/>
    <row r="1261" hidden="1" outlineLevel="1" x14ac:dyDescent="0.25"/>
    <row r="1262" hidden="1" outlineLevel="1" x14ac:dyDescent="0.25"/>
    <row r="1263" hidden="1" outlineLevel="1" x14ac:dyDescent="0.25"/>
    <row r="1264" hidden="1" outlineLevel="1" x14ac:dyDescent="0.25"/>
    <row r="1265" hidden="1" outlineLevel="1" x14ac:dyDescent="0.25"/>
    <row r="1266" hidden="1" outlineLevel="1" x14ac:dyDescent="0.25"/>
    <row r="1267" hidden="1" outlineLevel="1" x14ac:dyDescent="0.25"/>
    <row r="1268" hidden="1" outlineLevel="1" x14ac:dyDescent="0.25"/>
    <row r="1269" hidden="1" outlineLevel="1" x14ac:dyDescent="0.25"/>
    <row r="1270" hidden="1" outlineLevel="1" x14ac:dyDescent="0.25"/>
    <row r="1271" hidden="1" outlineLevel="1" x14ac:dyDescent="0.25"/>
    <row r="1272" hidden="1" outlineLevel="1" x14ac:dyDescent="0.25"/>
    <row r="1273" hidden="1" outlineLevel="1" x14ac:dyDescent="0.25"/>
    <row r="1274" hidden="1" outlineLevel="1" x14ac:dyDescent="0.25"/>
    <row r="1275" hidden="1" outlineLevel="1" x14ac:dyDescent="0.25"/>
    <row r="1276" hidden="1" outlineLevel="1" x14ac:dyDescent="0.25"/>
    <row r="1277" hidden="1" outlineLevel="1" x14ac:dyDescent="0.25"/>
    <row r="1278" hidden="1" outlineLevel="1" x14ac:dyDescent="0.25"/>
    <row r="1279" hidden="1" outlineLevel="1" x14ac:dyDescent="0.25"/>
    <row r="1280" hidden="1" outlineLevel="1" x14ac:dyDescent="0.25"/>
    <row r="1281" hidden="1" outlineLevel="1" x14ac:dyDescent="0.25"/>
    <row r="1282" hidden="1" outlineLevel="1" x14ac:dyDescent="0.25"/>
    <row r="1283" hidden="1" outlineLevel="1" x14ac:dyDescent="0.25"/>
    <row r="1284" hidden="1" outlineLevel="1" x14ac:dyDescent="0.25"/>
    <row r="1285" hidden="1" outlineLevel="1" x14ac:dyDescent="0.25"/>
    <row r="1286" hidden="1" outlineLevel="1" x14ac:dyDescent="0.25"/>
    <row r="1287" hidden="1" outlineLevel="1" x14ac:dyDescent="0.25"/>
    <row r="1288" hidden="1" outlineLevel="1" x14ac:dyDescent="0.25"/>
    <row r="1289" hidden="1" outlineLevel="1" x14ac:dyDescent="0.25"/>
    <row r="1290" hidden="1" outlineLevel="1" x14ac:dyDescent="0.25"/>
    <row r="1291" hidden="1" outlineLevel="1" x14ac:dyDescent="0.25"/>
    <row r="1292" hidden="1" outlineLevel="1" x14ac:dyDescent="0.25"/>
    <row r="1293" hidden="1" outlineLevel="1" x14ac:dyDescent="0.25"/>
    <row r="1294" hidden="1" outlineLevel="1" x14ac:dyDescent="0.25"/>
    <row r="1295" hidden="1" outlineLevel="1" x14ac:dyDescent="0.25"/>
    <row r="1296" hidden="1" outlineLevel="1" x14ac:dyDescent="0.25"/>
    <row r="1297" hidden="1" outlineLevel="1" x14ac:dyDescent="0.25"/>
    <row r="1298" hidden="1" outlineLevel="1" x14ac:dyDescent="0.25"/>
    <row r="1299" hidden="1" outlineLevel="1" x14ac:dyDescent="0.25"/>
    <row r="1300" collapsed="1" x14ac:dyDescent="0.25"/>
  </sheetData>
  <sheetProtection algorithmName="SHA-512" hashValue="vuCUQqKKYm1dWlatPT7kaEf34c8p7g7ZWGrYDei1WTp7Pdkm6HtAu4a3Urn55VxvZTtnCt0lyF5NjWAZy9vJIw==" saltValue="/v3h9A+EDom/+9O1Da5/YA==" spinCount="100000" sheet="1" objects="1" scenarios="1" selectLockedCells="1" selectUnlockedCells="1"/>
  <mergeCells count="116">
    <mergeCell ref="U58:W63"/>
    <mergeCell ref="B49:D49"/>
    <mergeCell ref="N83:P88"/>
    <mergeCell ref="B115:D115"/>
    <mergeCell ref="B182:D182"/>
    <mergeCell ref="G188:H188"/>
    <mergeCell ref="G255:H255"/>
    <mergeCell ref="F258:H258"/>
    <mergeCell ref="F261:H266"/>
    <mergeCell ref="C264:D264"/>
    <mergeCell ref="C265:D265"/>
    <mergeCell ref="C266:D266"/>
    <mergeCell ref="F191:H191"/>
    <mergeCell ref="F194:H199"/>
    <mergeCell ref="C197:D197"/>
    <mergeCell ref="C198:D198"/>
    <mergeCell ref="C199:D199"/>
    <mergeCell ref="B249:D249"/>
    <mergeCell ref="B383:D383"/>
    <mergeCell ref="G389:H389"/>
    <mergeCell ref="F392:H392"/>
    <mergeCell ref="F395:H400"/>
    <mergeCell ref="C398:D398"/>
    <mergeCell ref="C399:D399"/>
    <mergeCell ref="C400:D400"/>
    <mergeCell ref="B316:D316"/>
    <mergeCell ref="G322:H322"/>
    <mergeCell ref="F325:H325"/>
    <mergeCell ref="F328:H333"/>
    <mergeCell ref="C331:D331"/>
    <mergeCell ref="C332:D332"/>
    <mergeCell ref="C333:D333"/>
    <mergeCell ref="B517:D517"/>
    <mergeCell ref="G523:H523"/>
    <mergeCell ref="F526:H526"/>
    <mergeCell ref="F529:H534"/>
    <mergeCell ref="C532:D532"/>
    <mergeCell ref="C533:D533"/>
    <mergeCell ref="C534:D534"/>
    <mergeCell ref="B450:D450"/>
    <mergeCell ref="G456:H456"/>
    <mergeCell ref="F459:H459"/>
    <mergeCell ref="F462:H467"/>
    <mergeCell ref="C465:D465"/>
    <mergeCell ref="C466:D466"/>
    <mergeCell ref="C467:D467"/>
    <mergeCell ref="B651:D651"/>
    <mergeCell ref="G657:H657"/>
    <mergeCell ref="F660:H660"/>
    <mergeCell ref="F663:H668"/>
    <mergeCell ref="C666:D666"/>
    <mergeCell ref="C667:D667"/>
    <mergeCell ref="C668:D668"/>
    <mergeCell ref="B584:D584"/>
    <mergeCell ref="G590:H590"/>
    <mergeCell ref="F593:H593"/>
    <mergeCell ref="F596:H601"/>
    <mergeCell ref="C599:D599"/>
    <mergeCell ref="C600:D600"/>
    <mergeCell ref="C601:D601"/>
    <mergeCell ref="B785:D785"/>
    <mergeCell ref="G791:H791"/>
    <mergeCell ref="F794:H794"/>
    <mergeCell ref="F797:H802"/>
    <mergeCell ref="C800:D800"/>
    <mergeCell ref="C801:D801"/>
    <mergeCell ref="C802:D802"/>
    <mergeCell ref="B718:D718"/>
    <mergeCell ref="G724:H724"/>
    <mergeCell ref="F727:H727"/>
    <mergeCell ref="F730:H735"/>
    <mergeCell ref="C733:D733"/>
    <mergeCell ref="C734:D734"/>
    <mergeCell ref="C735:D735"/>
    <mergeCell ref="B919:D919"/>
    <mergeCell ref="G925:H925"/>
    <mergeCell ref="F928:H928"/>
    <mergeCell ref="F931:H936"/>
    <mergeCell ref="C934:D934"/>
    <mergeCell ref="C935:D935"/>
    <mergeCell ref="C936:D936"/>
    <mergeCell ref="B852:D852"/>
    <mergeCell ref="G858:H858"/>
    <mergeCell ref="F861:H861"/>
    <mergeCell ref="F864:H869"/>
    <mergeCell ref="C867:D867"/>
    <mergeCell ref="C868:D868"/>
    <mergeCell ref="C869:D869"/>
    <mergeCell ref="B1053:D1053"/>
    <mergeCell ref="G1059:H1059"/>
    <mergeCell ref="F1062:H1062"/>
    <mergeCell ref="F1065:H1070"/>
    <mergeCell ref="C1068:D1068"/>
    <mergeCell ref="C1069:D1069"/>
    <mergeCell ref="C1070:D1070"/>
    <mergeCell ref="B986:D986"/>
    <mergeCell ref="G992:H992"/>
    <mergeCell ref="F995:H995"/>
    <mergeCell ref="F998:H1003"/>
    <mergeCell ref="C1001:D1001"/>
    <mergeCell ref="C1002:D1002"/>
    <mergeCell ref="C1003:D1003"/>
    <mergeCell ref="B1187:D1187"/>
    <mergeCell ref="G1193:H1193"/>
    <mergeCell ref="F1196:H1196"/>
    <mergeCell ref="F1199:H1204"/>
    <mergeCell ref="C1202:D1202"/>
    <mergeCell ref="C1203:D1203"/>
    <mergeCell ref="C1204:D1204"/>
    <mergeCell ref="B1120:D1120"/>
    <mergeCell ref="G1126:H1126"/>
    <mergeCell ref="F1129:H1129"/>
    <mergeCell ref="F1132:H1137"/>
    <mergeCell ref="C1135:D1135"/>
    <mergeCell ref="C1136:D1136"/>
    <mergeCell ref="C1137:D1137"/>
  </mergeCells>
  <dataValidations count="2">
    <dataValidation type="list" allowBlank="1" showInputMessage="1" showErrorMessage="1" sqref="D4 D70 D137 D204 D271 D338 D405 D472 D539 D606" xr:uid="{13C20593-9026-4FF1-9CA8-089A254FF318}">
      <formula1>Units</formula1>
    </dataValidation>
    <dataValidation allowBlank="1" showInputMessage="1" showErrorMessage="1" sqref="G14:H14 F15:H15 F148:H148 F81:H81 F215:H215 F349:H349 F282:H282 F416:H416 F483:H483 F550:H550 F617:H617" xr:uid="{FB90F05C-B6BB-4902-BCB4-CB536D21AAEF}"/>
  </dataValidations>
  <pageMargins left="0.25" right="0.25" top="1" bottom="1" header="0.5" footer="0.5"/>
  <pageSetup paperSize="9" scale="64" fitToHeight="0" orientation="portrait" r:id="rId1"/>
  <headerFooter alignWithMargins="0">
    <oddHeader>&amp;CProcess Mass Intensity Calculator</oddHeader>
    <oddFooter>&amp;LThe ACS GCI Pharmaceutical Roundtable or American Chemical Society does not guarantee the accuracy of the calculations and accepts no responsibility for any consequence of their use. Comments may be sent to gcipr@acs.org. 2011 Copyright ACS GCI.</oddFooter>
  </headerFooter>
  <rowBreaks count="9" manualBreakCount="9">
    <brk id="65" max="16383" man="1"/>
    <brk id="131" max="16383" man="1"/>
    <brk id="198" max="16383" man="1"/>
    <brk id="265" max="16383" man="1"/>
    <brk id="332" max="16383" man="1"/>
    <brk id="399" max="16383" man="1"/>
    <brk id="466" max="16383" man="1"/>
    <brk id="533" max="16383" man="1"/>
    <brk id="600" max="16383"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2772E-C1D1-4CB1-94AA-CE63560E2A71}">
  <sheetPr>
    <tabColor rgb="FFFF7C80"/>
  </sheetPr>
  <dimension ref="A1:CT110"/>
  <sheetViews>
    <sheetView showGridLines="0" zoomScale="80" zoomScaleNormal="80" workbookViewId="0">
      <pane ySplit="1" topLeftCell="A2" activePane="bottomLeft" state="frozen"/>
      <selection pane="bottomLeft" activeCell="CA81" sqref="CA81"/>
    </sheetView>
  </sheetViews>
  <sheetFormatPr defaultColWidth="30.54296875" defaultRowHeight="22" customHeight="1" outlineLevelCol="1" x14ac:dyDescent="0.25"/>
  <cols>
    <col min="1" max="1" width="30.54296875" style="308"/>
    <col min="2" max="2" width="30.54296875" style="293"/>
    <col min="3" max="4" width="30.54296875" style="309"/>
    <col min="5" max="5" width="30.54296875" style="296" customWidth="1"/>
    <col min="6" max="8" width="30.54296875" style="308" customWidth="1" outlineLevel="1"/>
    <col min="9" max="9" width="30.54296875" style="311" customWidth="1" outlineLevel="1"/>
    <col min="10" max="10" width="30.7265625" style="311" customWidth="1" outlineLevel="1"/>
    <col min="11" max="11" width="30.54296875" style="373" customWidth="1" outlineLevel="1"/>
    <col min="12" max="12" width="30.54296875" style="313" customWidth="1" outlineLevel="1"/>
    <col min="13" max="13" width="30.54296875" style="299" customWidth="1" outlineLevel="1"/>
    <col min="14" max="14" width="30.7265625" style="314" customWidth="1" outlineLevel="1"/>
    <col min="15" max="15" width="30.54296875" style="308" customWidth="1"/>
    <col min="16" max="32" width="30.54296875" style="308"/>
    <col min="33" max="34" width="30.54296875" style="308" hidden="1" customWidth="1" outlineLevel="1"/>
    <col min="35" max="35" width="30.54296875" style="376" collapsed="1"/>
    <col min="36" max="36" width="30.54296875" style="308"/>
    <col min="37" max="42" width="30.54296875" style="311"/>
    <col min="43" max="45" width="30.54296875" style="318"/>
    <col min="46" max="47" width="30.54296875" style="308"/>
    <col min="48" max="48" width="30.54296875" style="318"/>
    <col min="49" max="49" width="30.54296875" style="311"/>
    <col min="50" max="50" width="30.54296875" style="318"/>
    <col min="51" max="51" width="30.54296875" style="308"/>
    <col min="52" max="52" width="30.54296875" style="318"/>
    <col min="53" max="54" width="30.54296875" style="311"/>
    <col min="55" max="56" width="0" style="308" hidden="1" customWidth="1" outlineLevel="1"/>
    <col min="57" max="57" width="30.54296875" style="376" collapsed="1"/>
    <col min="58" max="64" width="30.54296875" style="311"/>
    <col min="65" max="67" width="30.54296875" style="318"/>
    <col min="68" max="69" width="30.54296875" style="308"/>
    <col min="70" max="70" width="30.54296875" style="318"/>
    <col min="71" max="71" width="30.54296875" style="311"/>
    <col min="72" max="72" width="30.54296875" style="318"/>
    <col min="73" max="73" width="30.54296875" style="308"/>
    <col min="74" max="74" width="30.54296875" style="318"/>
    <col min="75" max="76" width="30.54296875" style="311"/>
    <col min="77" max="78" width="0" style="308" hidden="1" customWidth="1" outlineLevel="1"/>
    <col min="79" max="79" width="30.54296875" style="376" collapsed="1"/>
    <col min="80" max="80" width="30.54296875" style="308"/>
    <col min="81" max="86" width="30.54296875" style="311"/>
    <col min="87" max="89" width="30.54296875" style="318"/>
    <col min="90" max="91" width="30.54296875" style="308"/>
    <col min="92" max="92" width="30.54296875" style="318"/>
    <col min="93" max="93" width="30.54296875" style="311"/>
    <col min="94" max="94" width="30.54296875" style="318"/>
    <col min="95" max="95" width="30.54296875" style="308"/>
    <col min="96" max="96" width="30.54296875" style="318"/>
    <col min="97" max="98" width="30.54296875" style="311"/>
    <col min="99" max="16384" width="30.54296875" style="308"/>
  </cols>
  <sheetData>
    <row r="1" spans="1:98" s="284" customFormat="1" ht="55.4" customHeight="1" x14ac:dyDescent="0.25">
      <c r="A1" s="284" t="s">
        <v>188</v>
      </c>
      <c r="B1" s="284" t="s">
        <v>189</v>
      </c>
      <c r="C1" s="285" t="s">
        <v>190</v>
      </c>
      <c r="D1" s="286" t="s">
        <v>191</v>
      </c>
      <c r="E1" s="287" t="s">
        <v>192</v>
      </c>
      <c r="F1" s="284" t="s">
        <v>193</v>
      </c>
      <c r="G1" s="284" t="s">
        <v>194</v>
      </c>
      <c r="H1" s="284" t="s">
        <v>195</v>
      </c>
      <c r="I1" s="284" t="s">
        <v>196</v>
      </c>
      <c r="J1" s="284" t="s">
        <v>197</v>
      </c>
      <c r="K1" s="284" t="s">
        <v>198</v>
      </c>
      <c r="L1" s="284" t="s">
        <v>199</v>
      </c>
      <c r="M1" s="284" t="s">
        <v>200</v>
      </c>
      <c r="N1" s="284" t="s">
        <v>201</v>
      </c>
      <c r="O1" s="288" t="s">
        <v>202</v>
      </c>
      <c r="P1" s="288" t="s">
        <v>203</v>
      </c>
      <c r="Q1" s="288" t="s">
        <v>204</v>
      </c>
      <c r="R1" s="288" t="s">
        <v>205</v>
      </c>
      <c r="S1" s="288" t="s">
        <v>206</v>
      </c>
      <c r="T1" s="288" t="s">
        <v>207</v>
      </c>
      <c r="U1" s="288" t="s">
        <v>208</v>
      </c>
      <c r="V1" s="288" t="s">
        <v>209</v>
      </c>
      <c r="W1" s="288" t="s">
        <v>210</v>
      </c>
      <c r="X1" s="288" t="s">
        <v>211</v>
      </c>
      <c r="Y1" s="288" t="s">
        <v>212</v>
      </c>
      <c r="Z1" s="288" t="s">
        <v>213</v>
      </c>
      <c r="AA1" s="288" t="s">
        <v>214</v>
      </c>
      <c r="AB1" s="288" t="s">
        <v>215</v>
      </c>
      <c r="AC1" s="288" t="s">
        <v>216</v>
      </c>
      <c r="AD1" s="288" t="s">
        <v>217</v>
      </c>
      <c r="AE1" s="288" t="s">
        <v>218</v>
      </c>
      <c r="AF1" s="288" t="s">
        <v>219</v>
      </c>
      <c r="AH1" s="289" t="s">
        <v>220</v>
      </c>
      <c r="AI1" s="290" t="s">
        <v>221</v>
      </c>
      <c r="AJ1" s="284" t="s">
        <v>222</v>
      </c>
      <c r="AK1" s="291" t="s">
        <v>202</v>
      </c>
      <c r="AL1" s="291" t="s">
        <v>223</v>
      </c>
      <c r="AM1" s="291" t="s">
        <v>204</v>
      </c>
      <c r="AN1" s="291" t="s">
        <v>205</v>
      </c>
      <c r="AO1" s="291" t="s">
        <v>206</v>
      </c>
      <c r="AP1" s="291" t="s">
        <v>207</v>
      </c>
      <c r="AQ1" s="292" t="s">
        <v>208</v>
      </c>
      <c r="AR1" s="292" t="s">
        <v>209</v>
      </c>
      <c r="AS1" s="292" t="s">
        <v>210</v>
      </c>
      <c r="AT1" s="288" t="s">
        <v>211</v>
      </c>
      <c r="AU1" s="288" t="s">
        <v>212</v>
      </c>
      <c r="AV1" s="292" t="s">
        <v>213</v>
      </c>
      <c r="AW1" s="291" t="s">
        <v>214</v>
      </c>
      <c r="AX1" s="292" t="s">
        <v>215</v>
      </c>
      <c r="AY1" s="288" t="s">
        <v>216</v>
      </c>
      <c r="AZ1" s="292" t="s">
        <v>217</v>
      </c>
      <c r="BA1" s="291" t="s">
        <v>218</v>
      </c>
      <c r="BB1" s="291" t="s">
        <v>219</v>
      </c>
      <c r="BD1" s="289" t="s">
        <v>224</v>
      </c>
      <c r="BE1" s="290" t="s">
        <v>225</v>
      </c>
      <c r="BF1" s="284" t="s">
        <v>222</v>
      </c>
      <c r="BG1" s="291" t="s">
        <v>202</v>
      </c>
      <c r="BH1" s="291" t="s">
        <v>203</v>
      </c>
      <c r="BI1" s="291" t="s">
        <v>204</v>
      </c>
      <c r="BJ1" s="291" t="s">
        <v>205</v>
      </c>
      <c r="BK1" s="291" t="s">
        <v>206</v>
      </c>
      <c r="BL1" s="291" t="s">
        <v>207</v>
      </c>
      <c r="BM1" s="292" t="s">
        <v>208</v>
      </c>
      <c r="BN1" s="292" t="s">
        <v>209</v>
      </c>
      <c r="BO1" s="292" t="s">
        <v>210</v>
      </c>
      <c r="BP1" s="288" t="s">
        <v>211</v>
      </c>
      <c r="BQ1" s="288" t="s">
        <v>212</v>
      </c>
      <c r="BR1" s="292" t="s">
        <v>213</v>
      </c>
      <c r="BS1" s="291" t="s">
        <v>214</v>
      </c>
      <c r="BT1" s="292" t="s">
        <v>215</v>
      </c>
      <c r="BU1" s="288" t="s">
        <v>216</v>
      </c>
      <c r="BV1" s="292" t="s">
        <v>217</v>
      </c>
      <c r="BW1" s="291" t="s">
        <v>226</v>
      </c>
      <c r="BX1" s="291" t="s">
        <v>219</v>
      </c>
      <c r="BZ1" s="289" t="s">
        <v>227</v>
      </c>
      <c r="CA1" s="290" t="s">
        <v>228</v>
      </c>
      <c r="CB1" s="284" t="s">
        <v>229</v>
      </c>
      <c r="CC1" s="291" t="s">
        <v>202</v>
      </c>
      <c r="CD1" s="291" t="s">
        <v>203</v>
      </c>
      <c r="CE1" s="291" t="s">
        <v>204</v>
      </c>
      <c r="CF1" s="291" t="s">
        <v>205</v>
      </c>
      <c r="CG1" s="291" t="s">
        <v>206</v>
      </c>
      <c r="CH1" s="291" t="s">
        <v>207</v>
      </c>
      <c r="CI1" s="292" t="s">
        <v>208</v>
      </c>
      <c r="CJ1" s="292" t="s">
        <v>209</v>
      </c>
      <c r="CK1" s="292" t="s">
        <v>210</v>
      </c>
      <c r="CL1" s="288" t="s">
        <v>211</v>
      </c>
      <c r="CM1" s="288" t="s">
        <v>212</v>
      </c>
      <c r="CN1" s="292" t="s">
        <v>213</v>
      </c>
      <c r="CO1" s="291" t="s">
        <v>214</v>
      </c>
      <c r="CP1" s="292" t="s">
        <v>215</v>
      </c>
      <c r="CQ1" s="288" t="s">
        <v>216</v>
      </c>
      <c r="CR1" s="292" t="s">
        <v>217</v>
      </c>
      <c r="CS1" s="291" t="s">
        <v>226</v>
      </c>
      <c r="CT1" s="291" t="s">
        <v>219</v>
      </c>
    </row>
    <row r="2" spans="1:98" s="295" customFormat="1" ht="22" customHeight="1" x14ac:dyDescent="0.25">
      <c r="A2" s="293"/>
      <c r="B2" s="294"/>
      <c r="E2" s="296"/>
      <c r="F2" s="293"/>
      <c r="G2" s="293"/>
      <c r="H2" s="293"/>
      <c r="I2" s="297"/>
      <c r="J2" s="297"/>
      <c r="K2" s="298"/>
      <c r="L2" s="298"/>
      <c r="M2" s="299"/>
      <c r="N2" s="300"/>
      <c r="AH2" s="301">
        <v>532.37239999999997</v>
      </c>
      <c r="AI2" s="302"/>
      <c r="AK2" s="303"/>
      <c r="AL2" s="303"/>
      <c r="AM2" s="303"/>
      <c r="AN2" s="303"/>
      <c r="AO2" s="303"/>
      <c r="AP2" s="303"/>
      <c r="AQ2" s="304"/>
      <c r="AR2" s="304"/>
      <c r="AS2" s="304"/>
      <c r="AV2" s="304"/>
      <c r="AW2" s="303"/>
      <c r="AX2" s="304"/>
      <c r="AZ2" s="304"/>
      <c r="BA2" s="303"/>
      <c r="BB2" s="303"/>
      <c r="BD2" s="305">
        <v>348.34359999999998</v>
      </c>
      <c r="BE2" s="306"/>
      <c r="BF2" s="303"/>
      <c r="BG2" s="303"/>
      <c r="BH2" s="303"/>
      <c r="BI2" s="303"/>
      <c r="BJ2" s="303"/>
      <c r="BK2" s="303"/>
      <c r="BL2" s="303"/>
      <c r="BM2" s="304"/>
      <c r="BN2" s="304"/>
      <c r="BO2" s="304"/>
      <c r="BR2" s="304"/>
      <c r="BS2" s="303"/>
      <c r="BT2" s="304"/>
      <c r="BV2" s="304"/>
      <c r="BW2" s="303"/>
      <c r="BX2" s="303"/>
      <c r="BZ2" s="307">
        <f>BD2</f>
        <v>348.34359999999998</v>
      </c>
      <c r="CA2" s="302"/>
      <c r="CC2" s="303"/>
      <c r="CD2" s="303"/>
      <c r="CE2" s="303"/>
      <c r="CF2" s="303"/>
      <c r="CG2" s="303"/>
      <c r="CH2" s="303"/>
      <c r="CI2" s="304"/>
      <c r="CJ2" s="304"/>
      <c r="CK2" s="304"/>
      <c r="CN2" s="304"/>
      <c r="CO2" s="303"/>
      <c r="CP2" s="304"/>
      <c r="CR2" s="304"/>
      <c r="CS2" s="303"/>
      <c r="CT2" s="303"/>
    </row>
    <row r="3" spans="1:98" ht="22" customHeight="1" x14ac:dyDescent="0.25">
      <c r="A3" s="308" t="s">
        <v>230</v>
      </c>
      <c r="B3" s="293" t="s">
        <v>231</v>
      </c>
      <c r="C3" s="309" t="s">
        <v>232</v>
      </c>
      <c r="D3" s="309" t="s">
        <v>233</v>
      </c>
      <c r="E3" s="296" t="s">
        <v>234</v>
      </c>
      <c r="F3" s="308">
        <v>230</v>
      </c>
      <c r="G3" s="308">
        <v>0.25</v>
      </c>
      <c r="H3" s="308" t="s">
        <v>2</v>
      </c>
      <c r="I3" s="310" t="s">
        <v>232</v>
      </c>
      <c r="J3" s="311" t="s">
        <v>232</v>
      </c>
      <c r="K3" s="312" t="s">
        <v>232</v>
      </c>
      <c r="M3" s="312" t="s">
        <v>232</v>
      </c>
      <c r="N3" s="314" t="s">
        <v>235</v>
      </c>
      <c r="O3" s="315">
        <v>2.0041058099089941</v>
      </c>
      <c r="P3" s="315">
        <v>17.527976714748</v>
      </c>
      <c r="Q3" s="315">
        <f>IF(H3="kg",1.98573397208518,2.47716617832055)</f>
        <v>1.9857339720851801</v>
      </c>
      <c r="R3" s="315">
        <f>P3+Q3</f>
        <v>19.513710686833178</v>
      </c>
      <c r="S3" s="315">
        <v>399.6040957304325</v>
      </c>
      <c r="T3" s="315">
        <v>263.44579275100199</v>
      </c>
      <c r="U3" s="315">
        <v>1.983194605706316E-3</v>
      </c>
      <c r="V3" s="315">
        <v>3.2768081133242657E-2</v>
      </c>
      <c r="W3" s="315">
        <v>0.37044658206137743</v>
      </c>
      <c r="X3" s="315">
        <v>3.9979532340410241E-8</v>
      </c>
      <c r="Y3" s="315">
        <v>5.5579006952273507E-7</v>
      </c>
      <c r="Z3" s="315">
        <v>2.103443111083152</v>
      </c>
      <c r="AA3" s="315">
        <v>123.13807657569239</v>
      </c>
      <c r="AB3" s="315">
        <v>2.1802325328472722E-3</v>
      </c>
      <c r="AC3" s="315">
        <v>3.4510522467825929E-7</v>
      </c>
      <c r="AD3" s="315">
        <v>3.1043725516973469E-6</v>
      </c>
      <c r="AE3" s="315">
        <v>0.2400833257314744</v>
      </c>
      <c r="AF3" s="315">
        <v>75.35764134650455</v>
      </c>
      <c r="AH3" s="316" t="s">
        <v>232</v>
      </c>
      <c r="AI3" s="317" t="s">
        <v>232</v>
      </c>
      <c r="AJ3" s="315" t="s">
        <v>232</v>
      </c>
      <c r="AK3" s="311" t="s">
        <v>232</v>
      </c>
      <c r="AL3" s="311" t="s">
        <v>232</v>
      </c>
      <c r="AM3" s="311" t="s">
        <v>232</v>
      </c>
      <c r="AN3" s="311" t="s">
        <v>232</v>
      </c>
      <c r="AO3" s="311" t="s">
        <v>232</v>
      </c>
      <c r="AP3" s="311" t="s">
        <v>232</v>
      </c>
      <c r="AQ3" s="318" t="s">
        <v>232</v>
      </c>
      <c r="AR3" s="318" t="s">
        <v>232</v>
      </c>
      <c r="AS3" s="318" t="s">
        <v>232</v>
      </c>
      <c r="AT3" s="315" t="s">
        <v>232</v>
      </c>
      <c r="AU3" s="315" t="s">
        <v>232</v>
      </c>
      <c r="AV3" s="318" t="s">
        <v>232</v>
      </c>
      <c r="AW3" s="311" t="s">
        <v>232</v>
      </c>
      <c r="AX3" s="318" t="s">
        <v>232</v>
      </c>
      <c r="AY3" s="315" t="s">
        <v>232</v>
      </c>
      <c r="AZ3" s="318" t="s">
        <v>232</v>
      </c>
      <c r="BA3" s="311" t="s">
        <v>232</v>
      </c>
      <c r="BB3" s="311" t="s">
        <v>232</v>
      </c>
      <c r="BD3" s="316" t="s">
        <v>232</v>
      </c>
      <c r="BE3" s="317" t="s">
        <v>232</v>
      </c>
      <c r="BF3" s="311" t="s">
        <v>232</v>
      </c>
      <c r="BG3" s="311" t="s">
        <v>232</v>
      </c>
      <c r="BH3" s="311" t="s">
        <v>232</v>
      </c>
      <c r="BI3" s="311" t="s">
        <v>232</v>
      </c>
      <c r="BJ3" s="311" t="s">
        <v>232</v>
      </c>
      <c r="BK3" s="311" t="s">
        <v>232</v>
      </c>
      <c r="BL3" s="311" t="s">
        <v>232</v>
      </c>
      <c r="BM3" s="318" t="s">
        <v>232</v>
      </c>
      <c r="BN3" s="318" t="s">
        <v>232</v>
      </c>
      <c r="BO3" s="318" t="s">
        <v>232</v>
      </c>
      <c r="BP3" s="315" t="s">
        <v>232</v>
      </c>
      <c r="BQ3" s="315" t="s">
        <v>232</v>
      </c>
      <c r="BR3" s="318" t="s">
        <v>232</v>
      </c>
      <c r="BS3" s="311" t="s">
        <v>232</v>
      </c>
      <c r="BT3" s="318" t="s">
        <v>232</v>
      </c>
      <c r="BU3" s="315" t="s">
        <v>232</v>
      </c>
      <c r="BV3" s="318" t="s">
        <v>232</v>
      </c>
      <c r="BW3" s="311" t="s">
        <v>232</v>
      </c>
      <c r="BX3" s="311" t="s">
        <v>232</v>
      </c>
      <c r="BZ3" s="316" t="s">
        <v>232</v>
      </c>
      <c r="CA3" s="319" t="s">
        <v>232</v>
      </c>
      <c r="CB3" s="311" t="s">
        <v>232</v>
      </c>
      <c r="CC3" s="311" t="s">
        <v>232</v>
      </c>
      <c r="CD3" s="311" t="s">
        <v>232</v>
      </c>
      <c r="CE3" s="311" t="s">
        <v>232</v>
      </c>
      <c r="CF3" s="311" t="s">
        <v>232</v>
      </c>
      <c r="CG3" s="311" t="s">
        <v>232</v>
      </c>
      <c r="CH3" s="311" t="s">
        <v>232</v>
      </c>
      <c r="CI3" s="318" t="s">
        <v>232</v>
      </c>
      <c r="CJ3" s="318" t="s">
        <v>232</v>
      </c>
      <c r="CK3" s="318" t="s">
        <v>232</v>
      </c>
      <c r="CL3" s="315" t="s">
        <v>232</v>
      </c>
      <c r="CM3" s="315" t="s">
        <v>232</v>
      </c>
      <c r="CN3" s="318" t="s">
        <v>232</v>
      </c>
      <c r="CO3" s="311" t="s">
        <v>232</v>
      </c>
      <c r="CP3" s="318" t="s">
        <v>232</v>
      </c>
      <c r="CQ3" s="315" t="s">
        <v>232</v>
      </c>
      <c r="CR3" s="318" t="s">
        <v>232</v>
      </c>
      <c r="CS3" s="311" t="s">
        <v>232</v>
      </c>
      <c r="CT3" s="311" t="s">
        <v>232</v>
      </c>
    </row>
    <row r="4" spans="1:98" ht="22" customHeight="1" x14ac:dyDescent="0.25">
      <c r="A4" s="320" t="s">
        <v>230</v>
      </c>
      <c r="B4" s="321" t="s">
        <v>236</v>
      </c>
      <c r="C4" s="322" t="s">
        <v>237</v>
      </c>
      <c r="D4" s="322" t="s">
        <v>232</v>
      </c>
      <c r="E4" s="323" t="s">
        <v>232</v>
      </c>
      <c r="F4" s="320">
        <v>230</v>
      </c>
      <c r="G4" s="320">
        <v>0.25</v>
      </c>
      <c r="H4" s="320" t="s">
        <v>2</v>
      </c>
      <c r="I4" s="324">
        <v>1</v>
      </c>
      <c r="J4" s="325">
        <v>129.6</v>
      </c>
      <c r="K4" s="326">
        <f t="shared" ref="K4:K14" si="0">F4/(G4*I4)</f>
        <v>920</v>
      </c>
      <c r="L4" s="327"/>
      <c r="M4" s="328" t="s">
        <v>238</v>
      </c>
      <c r="N4" s="329" t="s">
        <v>235</v>
      </c>
      <c r="O4" s="330">
        <f>0.45*O3</f>
        <v>0.90184761445904738</v>
      </c>
      <c r="P4" s="330">
        <f>0.45*P3</f>
        <v>7.8875895216365999</v>
      </c>
      <c r="Q4" s="330">
        <f t="shared" ref="Q4:Q53" si="1">IF(H4="kg",1.98573397208518,2.47716617832055)</f>
        <v>1.9857339720851801</v>
      </c>
      <c r="R4" s="330">
        <f t="shared" ref="R4:R53" si="2">P4+Q4</f>
        <v>9.8733234937217809</v>
      </c>
      <c r="S4" s="330">
        <f>0.45*S3</f>
        <v>179.82184307869463</v>
      </c>
      <c r="T4" s="330">
        <f t="shared" ref="T4:AF4" si="3">0.45*T3</f>
        <v>118.5506067379509</v>
      </c>
      <c r="U4" s="330">
        <f t="shared" si="3"/>
        <v>8.9243757256784225E-4</v>
      </c>
      <c r="V4" s="330">
        <f t="shared" si="3"/>
        <v>1.4745636509959196E-2</v>
      </c>
      <c r="W4" s="330">
        <f t="shared" si="3"/>
        <v>0.16670096192761985</v>
      </c>
      <c r="X4" s="330">
        <f t="shared" si="3"/>
        <v>1.7990789553184609E-8</v>
      </c>
      <c r="Y4" s="330">
        <f t="shared" si="3"/>
        <v>2.5010553128523077E-7</v>
      </c>
      <c r="Z4" s="330">
        <f t="shared" si="3"/>
        <v>0.94654939998741838</v>
      </c>
      <c r="AA4" s="330">
        <f t="shared" si="3"/>
        <v>55.412134459061576</v>
      </c>
      <c r="AB4" s="330">
        <f t="shared" si="3"/>
        <v>9.8110463978127245E-4</v>
      </c>
      <c r="AC4" s="330">
        <f t="shared" si="3"/>
        <v>1.5529735110521668E-7</v>
      </c>
      <c r="AD4" s="330">
        <f t="shared" si="3"/>
        <v>1.3969676482638062E-6</v>
      </c>
      <c r="AE4" s="330">
        <f t="shared" si="3"/>
        <v>0.10803749657916348</v>
      </c>
      <c r="AF4" s="330">
        <f t="shared" si="3"/>
        <v>33.910938605927051</v>
      </c>
      <c r="AH4" s="316">
        <v>532.35350000000005</v>
      </c>
      <c r="AI4" s="331">
        <f t="shared" ref="AI4:AI46" si="4">IF(AH4&gt;0,AH$2-AH4,0)</f>
        <v>1.8899999999916872E-2</v>
      </c>
      <c r="AJ4" s="311">
        <f t="shared" ref="AJ4:AJ46" si="5">AI4*K4</f>
        <v>17.387999999923522</v>
      </c>
      <c r="AK4" s="311">
        <f>$AI4*O$4</f>
        <v>1.7044919913201027E-2</v>
      </c>
      <c r="AL4" s="311">
        <f t="shared" ref="AL4:BB4" si="6">$AI4*P$4</f>
        <v>0.14907544195827607</v>
      </c>
      <c r="AM4" s="311">
        <f t="shared" si="6"/>
        <v>3.7530372072244834E-2</v>
      </c>
      <c r="AN4" s="311">
        <f t="shared" si="6"/>
        <v>0.1866058140305209</v>
      </c>
      <c r="AO4" s="311">
        <f t="shared" si="6"/>
        <v>3.3986328341723802</v>
      </c>
      <c r="AP4" s="311">
        <f t="shared" si="6"/>
        <v>2.2406064673374173</v>
      </c>
      <c r="AQ4" s="318">
        <f t="shared" si="6"/>
        <v>1.6867070121458031E-5</v>
      </c>
      <c r="AR4" s="318">
        <f t="shared" si="6"/>
        <v>2.7869253003700304E-4</v>
      </c>
      <c r="AS4" s="318">
        <f t="shared" si="6"/>
        <v>3.1506481804181577E-3</v>
      </c>
      <c r="AT4" s="315">
        <f t="shared" si="6"/>
        <v>3.4002592255369358E-10</v>
      </c>
      <c r="AU4" s="315">
        <f t="shared" si="6"/>
        <v>4.7269945412700705E-9</v>
      </c>
      <c r="AV4" s="318">
        <f t="shared" si="6"/>
        <v>1.7889783659683522E-2</v>
      </c>
      <c r="AW4" s="311">
        <f t="shared" si="6"/>
        <v>1.0472893412716575</v>
      </c>
      <c r="AX4" s="318">
        <f t="shared" si="6"/>
        <v>1.8542877691784492E-5</v>
      </c>
      <c r="AY4" s="315">
        <f t="shared" si="6"/>
        <v>2.9351199358756856E-9</v>
      </c>
      <c r="AZ4" s="318">
        <f t="shared" si="6"/>
        <v>2.6402688552069808E-8</v>
      </c>
      <c r="BA4" s="311">
        <f t="shared" si="6"/>
        <v>2.0419086853372087E-3</v>
      </c>
      <c r="BB4" s="311">
        <f t="shared" si="6"/>
        <v>0.64091673964920226</v>
      </c>
      <c r="BD4" s="316" t="s">
        <v>232</v>
      </c>
      <c r="BE4" s="331" t="s">
        <v>232</v>
      </c>
      <c r="BF4" s="311" t="s">
        <v>232</v>
      </c>
      <c r="BG4" s="311" t="s">
        <v>232</v>
      </c>
      <c r="BH4" s="311" t="s">
        <v>232</v>
      </c>
      <c r="BI4" s="311" t="s">
        <v>232</v>
      </c>
      <c r="BJ4" s="311" t="s">
        <v>232</v>
      </c>
      <c r="BK4" s="311" t="s">
        <v>232</v>
      </c>
      <c r="BL4" s="311" t="s">
        <v>232</v>
      </c>
      <c r="BM4" s="318" t="s">
        <v>232</v>
      </c>
      <c r="BN4" s="318" t="s">
        <v>232</v>
      </c>
      <c r="BO4" s="318" t="s">
        <v>232</v>
      </c>
      <c r="BP4" s="315" t="s">
        <v>232</v>
      </c>
      <c r="BQ4" s="315" t="s">
        <v>232</v>
      </c>
      <c r="BR4" s="318" t="s">
        <v>232</v>
      </c>
      <c r="BS4" s="311" t="s">
        <v>232</v>
      </c>
      <c r="BT4" s="318" t="s">
        <v>232</v>
      </c>
      <c r="BU4" s="315" t="s">
        <v>232</v>
      </c>
      <c r="BV4" s="318" t="s">
        <v>232</v>
      </c>
      <c r="BW4" s="311" t="s">
        <v>232</v>
      </c>
      <c r="BX4" s="311" t="s">
        <v>232</v>
      </c>
      <c r="BZ4" s="316" t="s">
        <v>232</v>
      </c>
      <c r="CA4" s="332" t="s">
        <v>232</v>
      </c>
      <c r="CB4" s="311" t="s">
        <v>232</v>
      </c>
      <c r="CC4" s="311" t="s">
        <v>232</v>
      </c>
      <c r="CD4" s="311" t="s">
        <v>232</v>
      </c>
      <c r="CE4" s="311" t="s">
        <v>232</v>
      </c>
      <c r="CF4" s="311" t="s">
        <v>232</v>
      </c>
      <c r="CG4" s="311" t="s">
        <v>232</v>
      </c>
      <c r="CH4" s="311" t="s">
        <v>232</v>
      </c>
      <c r="CI4" s="318" t="s">
        <v>232</v>
      </c>
      <c r="CJ4" s="318" t="s">
        <v>232</v>
      </c>
      <c r="CK4" s="318" t="s">
        <v>232</v>
      </c>
      <c r="CL4" s="315" t="s">
        <v>232</v>
      </c>
      <c r="CM4" s="315" t="s">
        <v>232</v>
      </c>
      <c r="CN4" s="318" t="s">
        <v>232</v>
      </c>
      <c r="CO4" s="311" t="s">
        <v>232</v>
      </c>
      <c r="CP4" s="318" t="s">
        <v>232</v>
      </c>
      <c r="CQ4" s="315" t="s">
        <v>232</v>
      </c>
      <c r="CR4" s="318" t="s">
        <v>232</v>
      </c>
      <c r="CS4" s="311" t="s">
        <v>232</v>
      </c>
      <c r="CT4" s="311" t="s">
        <v>232</v>
      </c>
    </row>
    <row r="5" spans="1:98" ht="22" customHeight="1" x14ac:dyDescent="0.25">
      <c r="A5" s="320" t="s">
        <v>239</v>
      </c>
      <c r="B5" s="321" t="s">
        <v>240</v>
      </c>
      <c r="C5" s="322" t="s">
        <v>241</v>
      </c>
      <c r="D5" s="322" t="s">
        <v>233</v>
      </c>
      <c r="E5" s="323" t="s">
        <v>242</v>
      </c>
      <c r="F5" s="320">
        <v>1830</v>
      </c>
      <c r="G5" s="320">
        <v>200</v>
      </c>
      <c r="H5" s="320" t="s">
        <v>243</v>
      </c>
      <c r="I5" s="325">
        <v>0.78900000000000003</v>
      </c>
      <c r="J5" s="325">
        <v>46.067999999999998</v>
      </c>
      <c r="K5" s="326">
        <f t="shared" si="0"/>
        <v>11.596958174904943</v>
      </c>
      <c r="L5" s="327"/>
      <c r="M5" s="333" t="s">
        <v>244</v>
      </c>
      <c r="N5" s="334" t="s">
        <v>245</v>
      </c>
      <c r="O5" s="330">
        <v>1.5430747650965309E-2</v>
      </c>
      <c r="P5" s="330">
        <v>1.106172167828519</v>
      </c>
      <c r="Q5" s="330">
        <f t="shared" si="1"/>
        <v>2.4771661783205499</v>
      </c>
      <c r="R5" s="330">
        <f t="shared" si="2"/>
        <v>3.5833383461490689</v>
      </c>
      <c r="S5" s="330">
        <v>203.3010620226087</v>
      </c>
      <c r="T5" s="330">
        <v>10.655874682934449</v>
      </c>
      <c r="U5" s="330">
        <v>2.0154002902698069E-4</v>
      </c>
      <c r="V5" s="330">
        <v>9.1268417436206704E-3</v>
      </c>
      <c r="W5" s="330">
        <v>6.3229266616892155E-2</v>
      </c>
      <c r="X5" s="330">
        <v>7.7636187157802438E-9</v>
      </c>
      <c r="Y5" s="330">
        <v>1.254674341183214E-7</v>
      </c>
      <c r="Z5" s="330">
        <v>1.51282325617307E-2</v>
      </c>
      <c r="AA5" s="330">
        <v>84.535253633252836</v>
      </c>
      <c r="AB5" s="330">
        <v>7.2746796626837683E-6</v>
      </c>
      <c r="AC5" s="330">
        <v>5.1314284458246879E-8</v>
      </c>
      <c r="AD5" s="330">
        <v>1.126429432253085E-7</v>
      </c>
      <c r="AE5" s="330">
        <v>5.9680549919792509E-3</v>
      </c>
      <c r="AF5" s="330">
        <v>6.523682183778817</v>
      </c>
      <c r="AH5" s="316">
        <v>532.10140000000001</v>
      </c>
      <c r="AI5" s="331">
        <f t="shared" si="4"/>
        <v>0.27099999999995816</v>
      </c>
      <c r="AJ5" s="311">
        <f t="shared" si="5"/>
        <v>3.1427756653987542</v>
      </c>
      <c r="AK5" s="311">
        <f>$AI5*O$5</f>
        <v>4.1817326134109536E-3</v>
      </c>
      <c r="AL5" s="311">
        <f t="shared" ref="AL5:BB5" si="7">$AI5*P$5</f>
        <v>0.29977265748148235</v>
      </c>
      <c r="AM5" s="311">
        <f t="shared" si="7"/>
        <v>0.67131203432476538</v>
      </c>
      <c r="AN5" s="311">
        <f t="shared" si="7"/>
        <v>0.97108469180624779</v>
      </c>
      <c r="AO5" s="311">
        <f t="shared" si="7"/>
        <v>55.094587808118455</v>
      </c>
      <c r="AP5" s="311">
        <f t="shared" si="7"/>
        <v>2.8877420390747899</v>
      </c>
      <c r="AQ5" s="318">
        <f t="shared" si="7"/>
        <v>5.4617347866303331E-5</v>
      </c>
      <c r="AR5" s="318">
        <f t="shared" si="7"/>
        <v>2.4733741125208199E-3</v>
      </c>
      <c r="AS5" s="318">
        <f t="shared" si="7"/>
        <v>1.7135131253175128E-2</v>
      </c>
      <c r="AT5" s="315">
        <f t="shared" si="7"/>
        <v>2.1039406719761212E-9</v>
      </c>
      <c r="AU5" s="315">
        <f t="shared" si="7"/>
        <v>3.4001674646059853E-8</v>
      </c>
      <c r="AV5" s="318">
        <f t="shared" si="7"/>
        <v>4.0997510242283871E-3</v>
      </c>
      <c r="AW5" s="311">
        <f t="shared" si="7"/>
        <v>22.909053734607983</v>
      </c>
      <c r="AX5" s="318">
        <f t="shared" si="7"/>
        <v>1.9714381885869967E-6</v>
      </c>
      <c r="AY5" s="315">
        <f t="shared" si="7"/>
        <v>1.3906171088182758E-8</v>
      </c>
      <c r="AZ5" s="318">
        <f t="shared" si="7"/>
        <v>3.0526237614053892E-8</v>
      </c>
      <c r="BA5" s="311">
        <f t="shared" si="7"/>
        <v>1.6173429028261274E-3</v>
      </c>
      <c r="BB5" s="311">
        <f t="shared" si="7"/>
        <v>1.7679178718037865</v>
      </c>
      <c r="BD5" s="316" t="s">
        <v>232</v>
      </c>
      <c r="BE5" s="331" t="s">
        <v>232</v>
      </c>
      <c r="BF5" s="311" t="s">
        <v>232</v>
      </c>
      <c r="BG5" s="311" t="s">
        <v>232</v>
      </c>
      <c r="BH5" s="311" t="s">
        <v>232</v>
      </c>
      <c r="BI5" s="311" t="s">
        <v>232</v>
      </c>
      <c r="BJ5" s="311" t="s">
        <v>232</v>
      </c>
      <c r="BK5" s="311" t="s">
        <v>232</v>
      </c>
      <c r="BL5" s="311" t="s">
        <v>232</v>
      </c>
      <c r="BM5" s="318" t="s">
        <v>232</v>
      </c>
      <c r="BN5" s="318" t="s">
        <v>232</v>
      </c>
      <c r="BO5" s="318" t="s">
        <v>232</v>
      </c>
      <c r="BP5" s="315" t="s">
        <v>232</v>
      </c>
      <c r="BQ5" s="315" t="s">
        <v>232</v>
      </c>
      <c r="BR5" s="318" t="s">
        <v>232</v>
      </c>
      <c r="BS5" s="311" t="s">
        <v>232</v>
      </c>
      <c r="BT5" s="318" t="s">
        <v>232</v>
      </c>
      <c r="BU5" s="315" t="s">
        <v>232</v>
      </c>
      <c r="BV5" s="318" t="s">
        <v>232</v>
      </c>
      <c r="BW5" s="311" t="s">
        <v>232</v>
      </c>
      <c r="BX5" s="311" t="s">
        <v>232</v>
      </c>
      <c r="BZ5" s="316" t="s">
        <v>232</v>
      </c>
      <c r="CA5" s="332" t="s">
        <v>232</v>
      </c>
      <c r="CB5" s="311" t="s">
        <v>232</v>
      </c>
      <c r="CC5" s="311" t="s">
        <v>232</v>
      </c>
      <c r="CD5" s="311" t="s">
        <v>232</v>
      </c>
      <c r="CE5" s="311" t="s">
        <v>232</v>
      </c>
      <c r="CF5" s="311" t="s">
        <v>232</v>
      </c>
      <c r="CG5" s="311" t="s">
        <v>232</v>
      </c>
      <c r="CH5" s="311" t="s">
        <v>232</v>
      </c>
      <c r="CI5" s="318" t="s">
        <v>232</v>
      </c>
      <c r="CJ5" s="318" t="s">
        <v>232</v>
      </c>
      <c r="CK5" s="318" t="s">
        <v>232</v>
      </c>
      <c r="CL5" s="315" t="s">
        <v>232</v>
      </c>
      <c r="CM5" s="315" t="s">
        <v>232</v>
      </c>
      <c r="CN5" s="318" t="s">
        <v>232</v>
      </c>
      <c r="CO5" s="311" t="s">
        <v>232</v>
      </c>
      <c r="CP5" s="318" t="s">
        <v>232</v>
      </c>
      <c r="CQ5" s="315" t="s">
        <v>232</v>
      </c>
      <c r="CR5" s="318" t="s">
        <v>232</v>
      </c>
      <c r="CS5" s="311" t="s">
        <v>232</v>
      </c>
      <c r="CT5" s="311" t="s">
        <v>232</v>
      </c>
    </row>
    <row r="6" spans="1:98" ht="22" customHeight="1" x14ac:dyDescent="0.25">
      <c r="A6" s="320" t="s">
        <v>246</v>
      </c>
      <c r="B6" s="321" t="s">
        <v>247</v>
      </c>
      <c r="C6" s="322" t="s">
        <v>241</v>
      </c>
      <c r="D6" s="322" t="s">
        <v>233</v>
      </c>
      <c r="E6" s="323" t="s">
        <v>248</v>
      </c>
      <c r="F6" s="320">
        <v>393</v>
      </c>
      <c r="G6" s="320">
        <v>18</v>
      </c>
      <c r="H6" s="320" t="s">
        <v>243</v>
      </c>
      <c r="I6" s="325">
        <v>0.79200000000000004</v>
      </c>
      <c r="J6" s="325">
        <v>32.04</v>
      </c>
      <c r="K6" s="326">
        <f t="shared" si="0"/>
        <v>27.567340067340066</v>
      </c>
      <c r="L6" s="327"/>
      <c r="M6" s="328" t="s">
        <v>249</v>
      </c>
      <c r="N6" s="329" t="s">
        <v>250</v>
      </c>
      <c r="O6" s="330">
        <v>1.9893599971735798E-3</v>
      </c>
      <c r="P6" s="330">
        <v>0.76442957748160456</v>
      </c>
      <c r="Q6" s="330">
        <f t="shared" si="1"/>
        <v>2.4771661783205499</v>
      </c>
      <c r="R6" s="330">
        <f t="shared" si="2"/>
        <v>3.2415957558021544</v>
      </c>
      <c r="S6" s="330">
        <v>2.3938261528920921</v>
      </c>
      <c r="T6" s="330">
        <v>32.402427325627798</v>
      </c>
      <c r="U6" s="330">
        <v>1.8489732687920279E-5</v>
      </c>
      <c r="V6" s="330">
        <v>5.3231508345031632E-4</v>
      </c>
      <c r="W6" s="330">
        <v>5.8732903112386752E-3</v>
      </c>
      <c r="X6" s="330">
        <v>2.7545472284231092E-10</v>
      </c>
      <c r="Y6" s="330">
        <v>3.9098654698570307E-9</v>
      </c>
      <c r="Z6" s="330">
        <v>5.4560471733949263E-3</v>
      </c>
      <c r="AA6" s="330">
        <v>1.0088692746396759</v>
      </c>
      <c r="AB6" s="330">
        <v>1.9105205000718441E-6</v>
      </c>
      <c r="AC6" s="330">
        <v>4.8144303874828067E-8</v>
      </c>
      <c r="AD6" s="330">
        <v>1.201088309404913E-8</v>
      </c>
      <c r="AE6" s="330">
        <v>4.2352407205764418E-3</v>
      </c>
      <c r="AF6" s="330">
        <v>0.21326911168067311</v>
      </c>
      <c r="AH6" s="316">
        <v>532.2364</v>
      </c>
      <c r="AI6" s="331">
        <f t="shared" si="4"/>
        <v>0.13599999999996726</v>
      </c>
      <c r="AJ6" s="311">
        <f t="shared" si="5"/>
        <v>3.7491582491573463</v>
      </c>
      <c r="AK6" s="311">
        <f>$AI6*O$6</f>
        <v>2.7055295961554173E-4</v>
      </c>
      <c r="AL6" s="311">
        <f t="shared" ref="AL6:BB6" si="8">$AI6*P$6</f>
        <v>0.10396242253747319</v>
      </c>
      <c r="AM6" s="311">
        <f t="shared" si="8"/>
        <v>0.33689460025151369</v>
      </c>
      <c r="AN6" s="311">
        <f t="shared" si="8"/>
        <v>0.44085702278898686</v>
      </c>
      <c r="AO6" s="311">
        <f t="shared" si="8"/>
        <v>0.32556035679324613</v>
      </c>
      <c r="AP6" s="311">
        <f t="shared" si="8"/>
        <v>4.4067301162843195</v>
      </c>
      <c r="AQ6" s="318">
        <f t="shared" si="8"/>
        <v>2.5146036455565528E-6</v>
      </c>
      <c r="AR6" s="318">
        <f t="shared" si="8"/>
        <v>7.2394851349225585E-5</v>
      </c>
      <c r="AS6" s="318">
        <f t="shared" si="8"/>
        <v>7.9876748232826753E-4</v>
      </c>
      <c r="AT6" s="315">
        <f t="shared" si="8"/>
        <v>3.7461842306545266E-11</v>
      </c>
      <c r="AU6" s="315">
        <f t="shared" si="8"/>
        <v>5.317417039004282E-10</v>
      </c>
      <c r="AV6" s="318">
        <f t="shared" si="8"/>
        <v>7.4202241558153138E-4</v>
      </c>
      <c r="AW6" s="311">
        <f t="shared" si="8"/>
        <v>0.13720622135096289</v>
      </c>
      <c r="AX6" s="318">
        <f t="shared" si="8"/>
        <v>2.5983078800970823E-7</v>
      </c>
      <c r="AY6" s="315">
        <f t="shared" si="8"/>
        <v>6.5476253269750412E-9</v>
      </c>
      <c r="AZ6" s="318">
        <f t="shared" si="8"/>
        <v>1.6334801007902884E-9</v>
      </c>
      <c r="BA6" s="311">
        <f t="shared" si="8"/>
        <v>5.7599273799825745E-4</v>
      </c>
      <c r="BB6" s="311">
        <f t="shared" si="8"/>
        <v>2.9004599188564559E-2</v>
      </c>
      <c r="BD6" s="316">
        <v>348.23579999999998</v>
      </c>
      <c r="BE6" s="331">
        <f t="shared" ref="BE6:BE53" si="9">IF(BD6&gt;0,BD$2-BD6,0)</f>
        <v>0.10779999999999745</v>
      </c>
      <c r="BF6" s="311">
        <f t="shared" ref="BF6:BF53" si="10">BE6*K6</f>
        <v>2.9717592592591888</v>
      </c>
      <c r="BG6" s="311">
        <f t="shared" ref="BG6:BX6" si="11">$BE6*O$6</f>
        <v>2.1445300769530685E-4</v>
      </c>
      <c r="BH6" s="311">
        <f t="shared" si="11"/>
        <v>8.2405508452515028E-2</v>
      </c>
      <c r="BI6" s="311">
        <f t="shared" si="11"/>
        <v>0.26703851402294898</v>
      </c>
      <c r="BJ6" s="311">
        <f t="shared" si="11"/>
        <v>0.34944402247546397</v>
      </c>
      <c r="BK6" s="311">
        <f t="shared" si="11"/>
        <v>0.25805445928176141</v>
      </c>
      <c r="BL6" s="311">
        <f t="shared" si="11"/>
        <v>3.4929816657025943</v>
      </c>
      <c r="BM6" s="318">
        <f t="shared" si="11"/>
        <v>1.9931931837577588E-6</v>
      </c>
      <c r="BN6" s="318">
        <f t="shared" si="11"/>
        <v>5.7383565995942744E-5</v>
      </c>
      <c r="BO6" s="318">
        <f t="shared" si="11"/>
        <v>6.331406955515142E-4</v>
      </c>
      <c r="BP6" s="315">
        <f t="shared" si="11"/>
        <v>2.9694019122400419E-11</v>
      </c>
      <c r="BQ6" s="315">
        <f t="shared" si="11"/>
        <v>4.2148349765057794E-10</v>
      </c>
      <c r="BR6" s="318">
        <f t="shared" si="11"/>
        <v>5.8816188529195912E-4</v>
      </c>
      <c r="BS6" s="311">
        <f t="shared" si="11"/>
        <v>0.1087561078061545</v>
      </c>
      <c r="BT6" s="318">
        <f t="shared" si="11"/>
        <v>2.0595410990773992E-7</v>
      </c>
      <c r="BU6" s="315">
        <f t="shared" si="11"/>
        <v>5.1899559577063427E-9</v>
      </c>
      <c r="BV6" s="318">
        <f t="shared" si="11"/>
        <v>1.2947731975384656E-9</v>
      </c>
      <c r="BW6" s="311">
        <f t="shared" si="11"/>
        <v>4.5655894967812962E-4</v>
      </c>
      <c r="BX6" s="311">
        <f t="shared" si="11"/>
        <v>2.2990410239176019E-2</v>
      </c>
      <c r="BZ6" s="316" t="s">
        <v>232</v>
      </c>
      <c r="CA6" s="332" t="s">
        <v>232</v>
      </c>
      <c r="CB6" s="311" t="s">
        <v>232</v>
      </c>
      <c r="CC6" s="311" t="s">
        <v>232</v>
      </c>
      <c r="CD6" s="311" t="s">
        <v>232</v>
      </c>
      <c r="CE6" s="311" t="s">
        <v>232</v>
      </c>
      <c r="CF6" s="311" t="s">
        <v>232</v>
      </c>
      <c r="CG6" s="311" t="s">
        <v>232</v>
      </c>
      <c r="CH6" s="311" t="s">
        <v>232</v>
      </c>
      <c r="CI6" s="318" t="s">
        <v>232</v>
      </c>
      <c r="CJ6" s="318" t="s">
        <v>232</v>
      </c>
      <c r="CK6" s="318" t="s">
        <v>232</v>
      </c>
      <c r="CL6" s="315" t="s">
        <v>232</v>
      </c>
      <c r="CM6" s="315" t="s">
        <v>232</v>
      </c>
      <c r="CN6" s="318" t="s">
        <v>232</v>
      </c>
      <c r="CO6" s="311" t="s">
        <v>232</v>
      </c>
      <c r="CP6" s="318" t="s">
        <v>232</v>
      </c>
      <c r="CQ6" s="315" t="s">
        <v>232</v>
      </c>
      <c r="CR6" s="318" t="s">
        <v>232</v>
      </c>
      <c r="CS6" s="311" t="s">
        <v>232</v>
      </c>
      <c r="CT6" s="311" t="s">
        <v>232</v>
      </c>
    </row>
    <row r="7" spans="1:98" ht="22" customHeight="1" x14ac:dyDescent="0.25">
      <c r="A7" s="320" t="s">
        <v>251</v>
      </c>
      <c r="B7" s="321" t="s">
        <v>252</v>
      </c>
      <c r="C7" s="322" t="s">
        <v>241</v>
      </c>
      <c r="D7" s="322" t="s">
        <v>233</v>
      </c>
      <c r="E7" s="323" t="s">
        <v>253</v>
      </c>
      <c r="F7" s="320">
        <v>851</v>
      </c>
      <c r="G7" s="320">
        <v>18</v>
      </c>
      <c r="H7" s="320" t="s">
        <v>243</v>
      </c>
      <c r="I7" s="325">
        <v>0.66100000000000003</v>
      </c>
      <c r="J7" s="325">
        <v>86.18</v>
      </c>
      <c r="K7" s="326">
        <f t="shared" si="0"/>
        <v>71.524625987560938</v>
      </c>
      <c r="L7" s="327"/>
      <c r="M7" s="333" t="s">
        <v>254</v>
      </c>
      <c r="N7" s="329" t="s">
        <v>255</v>
      </c>
      <c r="O7" s="330">
        <v>4.0098674550571589E-3</v>
      </c>
      <c r="P7" s="330">
        <v>0.79229892482974384</v>
      </c>
      <c r="Q7" s="330">
        <f t="shared" si="1"/>
        <v>2.4771661783205499</v>
      </c>
      <c r="R7" s="330">
        <f t="shared" si="2"/>
        <v>3.2694651031502939</v>
      </c>
      <c r="S7" s="330">
        <v>19.33201906044135</v>
      </c>
      <c r="T7" s="330">
        <v>39.646486584088279</v>
      </c>
      <c r="U7" s="330">
        <v>1.232330740022198E-5</v>
      </c>
      <c r="V7" s="330">
        <v>8.0597880918071955E-4</v>
      </c>
      <c r="W7" s="330">
        <v>7.8697192686599561E-3</v>
      </c>
      <c r="X7" s="330">
        <v>3.8410922433878908E-10</v>
      </c>
      <c r="Y7" s="330">
        <v>9.7605072898895788E-9</v>
      </c>
      <c r="Z7" s="330">
        <v>8.3612085039117753E-3</v>
      </c>
      <c r="AA7" s="330">
        <v>3.553605794263758</v>
      </c>
      <c r="AB7" s="330">
        <v>6.119780108547399E-6</v>
      </c>
      <c r="AC7" s="330">
        <v>4.9702043349775302E-8</v>
      </c>
      <c r="AD7" s="330">
        <v>3.2405721329562341E-8</v>
      </c>
      <c r="AE7" s="330">
        <v>8.231478992142164E-3</v>
      </c>
      <c r="AF7" s="330">
        <v>0.36692240269792492</v>
      </c>
      <c r="AH7" s="316">
        <v>437.05959999999999</v>
      </c>
      <c r="AI7" s="331">
        <f t="shared" si="4"/>
        <v>95.312799999999982</v>
      </c>
      <c r="AJ7" s="311">
        <f t="shared" si="5"/>
        <v>6817.2123718271969</v>
      </c>
      <c r="AK7" s="311">
        <f t="shared" ref="AK7:BB7" si="12">$AI7*O$7</f>
        <v>0.3821916947703719</v>
      </c>
      <c r="AL7" s="311">
        <f t="shared" si="12"/>
        <v>75.5162289625124</v>
      </c>
      <c r="AM7" s="311">
        <f t="shared" si="12"/>
        <v>236.10564452103085</v>
      </c>
      <c r="AN7" s="311">
        <f t="shared" si="12"/>
        <v>311.62187348354325</v>
      </c>
      <c r="AO7" s="311">
        <f t="shared" si="12"/>
        <v>1842.5888663040339</v>
      </c>
      <c r="AP7" s="311">
        <f t="shared" si="12"/>
        <v>3778.8176464918888</v>
      </c>
      <c r="AQ7" s="318">
        <f t="shared" si="12"/>
        <v>1.1745689335758774E-3</v>
      </c>
      <c r="AR7" s="318">
        <f t="shared" si="12"/>
        <v>7.6820097043680077E-2</v>
      </c>
      <c r="AS7" s="318">
        <f t="shared" si="12"/>
        <v>0.75008497870993251</v>
      </c>
      <c r="AT7" s="315">
        <f t="shared" si="12"/>
        <v>3.6610525677558132E-8</v>
      </c>
      <c r="AU7" s="315">
        <f t="shared" si="12"/>
        <v>9.3030127921978726E-7</v>
      </c>
      <c r="AV7" s="318">
        <f t="shared" si="12"/>
        <v>0.7969301938916421</v>
      </c>
      <c r="AW7" s="311">
        <f t="shared" si="12"/>
        <v>338.70411834750263</v>
      </c>
      <c r="AX7" s="318">
        <f t="shared" si="12"/>
        <v>5.8329337752995643E-4</v>
      </c>
      <c r="AY7" s="315">
        <f t="shared" si="12"/>
        <v>4.7372409173884623E-6</v>
      </c>
      <c r="AZ7" s="318">
        <f t="shared" si="12"/>
        <v>3.0886800359403089E-6</v>
      </c>
      <c r="BA7" s="311">
        <f t="shared" si="12"/>
        <v>0.78456531088224746</v>
      </c>
      <c r="BB7" s="311">
        <f t="shared" si="12"/>
        <v>34.97240158386677</v>
      </c>
      <c r="BD7" s="316">
        <v>254.93340000000001</v>
      </c>
      <c r="BE7" s="331">
        <f t="shared" si="9"/>
        <v>93.410199999999975</v>
      </c>
      <c r="BF7" s="311">
        <f t="shared" si="10"/>
        <v>6681.1296184232633</v>
      </c>
      <c r="BG7" s="311">
        <f t="shared" ref="BG7:BX7" si="13">$BE7*O$7</f>
        <v>0.37456252095038012</v>
      </c>
      <c r="BH7" s="311">
        <f t="shared" si="13"/>
        <v>74.008801028131316</v>
      </c>
      <c r="BI7" s="311">
        <f t="shared" si="13"/>
        <v>231.39258815015816</v>
      </c>
      <c r="BJ7" s="311">
        <f t="shared" si="13"/>
        <v>305.40138917828949</v>
      </c>
      <c r="BK7" s="311">
        <f t="shared" si="13"/>
        <v>1805.8077668396381</v>
      </c>
      <c r="BL7" s="311">
        <f t="shared" si="13"/>
        <v>3703.3862411170021</v>
      </c>
      <c r="BM7" s="318">
        <f t="shared" si="13"/>
        <v>1.1511226089162148E-3</v>
      </c>
      <c r="BN7" s="318">
        <f t="shared" si="13"/>
        <v>7.5286641761332831E-2</v>
      </c>
      <c r="BO7" s="318">
        <f t="shared" si="13"/>
        <v>0.73511205082938003</v>
      </c>
      <c r="BP7" s="315">
        <f t="shared" si="13"/>
        <v>3.5879719467331146E-8</v>
      </c>
      <c r="BQ7" s="315">
        <f t="shared" si="13"/>
        <v>9.1173093805004333E-7</v>
      </c>
      <c r="BR7" s="318">
        <f t="shared" si="13"/>
        <v>0.78102215859209956</v>
      </c>
      <c r="BS7" s="311">
        <f t="shared" si="13"/>
        <v>331.94302796333642</v>
      </c>
      <c r="BT7" s="318">
        <f t="shared" si="13"/>
        <v>5.7164988389543409E-4</v>
      </c>
      <c r="BU7" s="315">
        <f t="shared" si="13"/>
        <v>4.6426778097111798E-6</v>
      </c>
      <c r="BV7" s="318">
        <f t="shared" si="13"/>
        <v>3.0270249105386832E-6</v>
      </c>
      <c r="BW7" s="311">
        <f t="shared" si="13"/>
        <v>0.76890409895179779</v>
      </c>
      <c r="BX7" s="311">
        <f t="shared" si="13"/>
        <v>34.274295020493696</v>
      </c>
      <c r="BZ7" s="316">
        <v>346.98509999999999</v>
      </c>
      <c r="CA7" s="332">
        <f t="shared" ref="CA7" si="14">IF(BZ7&gt;0,BZ$2-BZ7,0)</f>
        <v>1.3584999999999923</v>
      </c>
      <c r="CB7" s="311" t="s">
        <v>232</v>
      </c>
      <c r="CC7" s="311">
        <f t="shared" ref="CC7:CT7" si="15">$CA7*O$7</f>
        <v>5.4474049376951198E-3</v>
      </c>
      <c r="CD7" s="311">
        <f t="shared" si="15"/>
        <v>1.0763380893812009</v>
      </c>
      <c r="CE7" s="311">
        <f t="shared" si="15"/>
        <v>3.3652302532484479</v>
      </c>
      <c r="CF7" s="311">
        <f t="shared" si="15"/>
        <v>4.4415683426296493</v>
      </c>
      <c r="CG7" s="311">
        <f t="shared" si="15"/>
        <v>26.262547893609426</v>
      </c>
      <c r="CH7" s="311">
        <f t="shared" si="15"/>
        <v>53.859752024483619</v>
      </c>
      <c r="CI7" s="318">
        <f t="shared" si="15"/>
        <v>1.6741213103201465E-5</v>
      </c>
      <c r="CJ7" s="318">
        <f t="shared" si="15"/>
        <v>1.0949222122720013E-3</v>
      </c>
      <c r="CK7" s="318">
        <f t="shared" si="15"/>
        <v>1.069101362647449E-2</v>
      </c>
      <c r="CL7" s="315">
        <f t="shared" si="15"/>
        <v>5.21812381264242E-10</v>
      </c>
      <c r="CM7" s="315">
        <f t="shared" si="15"/>
        <v>1.3259649153314917E-8</v>
      </c>
      <c r="CN7" s="318">
        <f t="shared" si="15"/>
        <v>1.1358701752564083E-2</v>
      </c>
      <c r="CO7" s="311">
        <f t="shared" si="15"/>
        <v>4.8275734715072876</v>
      </c>
      <c r="CP7" s="318">
        <f t="shared" si="15"/>
        <v>8.3137212774615937E-6</v>
      </c>
      <c r="CQ7" s="315">
        <f t="shared" si="15"/>
        <v>6.7520225890669366E-8</v>
      </c>
      <c r="CR7" s="318">
        <f t="shared" si="15"/>
        <v>4.4023172426210189E-8</v>
      </c>
      <c r="CS7" s="311">
        <f t="shared" si="15"/>
        <v>1.1182464210825065E-2</v>
      </c>
      <c r="CT7" s="311">
        <f t="shared" si="15"/>
        <v>0.49846408406512815</v>
      </c>
    </row>
    <row r="8" spans="1:98" ht="22" customHeight="1" x14ac:dyDescent="0.25">
      <c r="A8" s="320" t="s">
        <v>256</v>
      </c>
      <c r="B8" s="321" t="s">
        <v>257</v>
      </c>
      <c r="C8" s="322" t="s">
        <v>241</v>
      </c>
      <c r="D8" s="322" t="s">
        <v>233</v>
      </c>
      <c r="E8" s="323" t="s">
        <v>258</v>
      </c>
      <c r="F8" s="320">
        <v>786</v>
      </c>
      <c r="G8" s="320">
        <v>18</v>
      </c>
      <c r="H8" s="320" t="s">
        <v>243</v>
      </c>
      <c r="I8" s="325">
        <v>0.88800000000000001</v>
      </c>
      <c r="J8" s="325">
        <v>72.11</v>
      </c>
      <c r="K8" s="326">
        <f t="shared" si="0"/>
        <v>49.174174174174176</v>
      </c>
      <c r="L8" s="327"/>
      <c r="M8" s="333" t="s">
        <v>259</v>
      </c>
      <c r="N8" s="329" t="s">
        <v>260</v>
      </c>
      <c r="O8" s="330">
        <v>3.0875016713482209E-2</v>
      </c>
      <c r="P8" s="330">
        <v>6.169054823333644</v>
      </c>
      <c r="Q8" s="330">
        <f t="shared" si="1"/>
        <v>2.4771661783205499</v>
      </c>
      <c r="R8" s="330">
        <f t="shared" si="2"/>
        <v>8.6462210016541938</v>
      </c>
      <c r="S8" s="330">
        <v>17.91266807100309</v>
      </c>
      <c r="T8" s="330">
        <v>103.2638099711826</v>
      </c>
      <c r="U8" s="330">
        <v>2.293372002416226E-4</v>
      </c>
      <c r="V8" s="330">
        <v>5.2135872318650207E-3</v>
      </c>
      <c r="W8" s="330">
        <v>5.8374210875764221E-2</v>
      </c>
      <c r="X8" s="330">
        <v>4.5814139839678594E-9</v>
      </c>
      <c r="Y8" s="330">
        <v>6.4961761709161424E-8</v>
      </c>
      <c r="Z8" s="330">
        <v>0.19351253678023181</v>
      </c>
      <c r="AA8" s="330">
        <v>20.904825343008991</v>
      </c>
      <c r="AB8" s="330">
        <v>3.6304814667252749E-5</v>
      </c>
      <c r="AC8" s="330">
        <v>1.331747332262829E-7</v>
      </c>
      <c r="AD8" s="330">
        <v>3.3702505249349732E-7</v>
      </c>
      <c r="AE8" s="330">
        <v>2.3496295175778281E-2</v>
      </c>
      <c r="AF8" s="330">
        <v>13.924863426253101</v>
      </c>
      <c r="AH8" s="316">
        <v>519.09339999999997</v>
      </c>
      <c r="AI8" s="331">
        <f t="shared" si="4"/>
        <v>13.278999999999996</v>
      </c>
      <c r="AJ8" s="311">
        <f t="shared" si="5"/>
        <v>652.98385885885875</v>
      </c>
      <c r="AK8" s="311">
        <f t="shared" ref="AK8:BB8" si="16">$AI8*O$8</f>
        <v>0.40998934693833017</v>
      </c>
      <c r="AL8" s="311">
        <f t="shared" si="16"/>
        <v>81.918878999047436</v>
      </c>
      <c r="AM8" s="311">
        <f t="shared" si="16"/>
        <v>32.894289681918572</v>
      </c>
      <c r="AN8" s="311">
        <f t="shared" si="16"/>
        <v>114.81316868096602</v>
      </c>
      <c r="AO8" s="311">
        <f t="shared" si="16"/>
        <v>237.86231931484997</v>
      </c>
      <c r="AP8" s="311">
        <f t="shared" si="16"/>
        <v>1371.2401326073334</v>
      </c>
      <c r="AQ8" s="318">
        <f t="shared" si="16"/>
        <v>3.0453686820085058E-3</v>
      </c>
      <c r="AR8" s="318">
        <f t="shared" si="16"/>
        <v>6.9231224851935586E-2</v>
      </c>
      <c r="AS8" s="318">
        <f t="shared" si="16"/>
        <v>0.77515114621927284</v>
      </c>
      <c r="AT8" s="315">
        <f t="shared" si="16"/>
        <v>6.0836596293109195E-8</v>
      </c>
      <c r="AU8" s="315">
        <f t="shared" si="16"/>
        <v>8.6262723373595433E-7</v>
      </c>
      <c r="AV8" s="318">
        <f t="shared" si="16"/>
        <v>2.5696529759046975</v>
      </c>
      <c r="AW8" s="311">
        <f t="shared" si="16"/>
        <v>277.59517572981633</v>
      </c>
      <c r="AX8" s="318">
        <f t="shared" si="16"/>
        <v>4.8209163396644914E-4</v>
      </c>
      <c r="AY8" s="315">
        <f t="shared" si="16"/>
        <v>1.7684272825118103E-6</v>
      </c>
      <c r="AZ8" s="318">
        <f t="shared" si="16"/>
        <v>4.4753556720611495E-6</v>
      </c>
      <c r="BA8" s="311">
        <f t="shared" si="16"/>
        <v>0.31200730363915968</v>
      </c>
      <c r="BB8" s="311">
        <f t="shared" si="16"/>
        <v>184.90826143721486</v>
      </c>
      <c r="BD8" s="316">
        <v>341.22669999999999</v>
      </c>
      <c r="BE8" s="331">
        <f t="shared" si="9"/>
        <v>7.1168999999999869</v>
      </c>
      <c r="BF8" s="311">
        <f t="shared" si="10"/>
        <v>349.96768018017957</v>
      </c>
      <c r="BG8" s="311">
        <f t="shared" ref="BG8:BX8" si="17">$BE8*O$8</f>
        <v>0.21973440644818112</v>
      </c>
      <c r="BH8" s="311">
        <f t="shared" si="17"/>
        <v>43.904546272183133</v>
      </c>
      <c r="BI8" s="311">
        <f t="shared" si="17"/>
        <v>17.629743974489489</v>
      </c>
      <c r="BJ8" s="311">
        <f t="shared" si="17"/>
        <v>61.534290246672619</v>
      </c>
      <c r="BK8" s="311">
        <f t="shared" si="17"/>
        <v>127.48266739452166</v>
      </c>
      <c r="BL8" s="311">
        <f t="shared" si="17"/>
        <v>734.91820918390806</v>
      </c>
      <c r="BM8" s="318">
        <f t="shared" si="17"/>
        <v>1.6321699203996009E-3</v>
      </c>
      <c r="BN8" s="318">
        <f t="shared" si="17"/>
        <v>3.71045789704601E-2</v>
      </c>
      <c r="BO8" s="318">
        <f t="shared" si="17"/>
        <v>0.41544342138172563</v>
      </c>
      <c r="BP8" s="315">
        <f t="shared" si="17"/>
        <v>3.2605465182500798E-8</v>
      </c>
      <c r="BQ8" s="315">
        <f t="shared" si="17"/>
        <v>4.6232636190793008E-7</v>
      </c>
      <c r="BR8" s="318">
        <f t="shared" si="17"/>
        <v>1.3772093730112291</v>
      </c>
      <c r="BS8" s="311">
        <f t="shared" si="17"/>
        <v>148.7775514836604</v>
      </c>
      <c r="BT8" s="318">
        <f t="shared" si="17"/>
        <v>2.5837773550537059E-4</v>
      </c>
      <c r="BU8" s="315">
        <f t="shared" si="17"/>
        <v>9.4779125889813106E-7</v>
      </c>
      <c r="BV8" s="318">
        <f t="shared" si="17"/>
        <v>2.3985735960909668E-6</v>
      </c>
      <c r="BW8" s="311">
        <f t="shared" si="17"/>
        <v>0.16722078313649613</v>
      </c>
      <c r="BX8" s="311">
        <f t="shared" si="17"/>
        <v>99.101860518300512</v>
      </c>
      <c r="BZ8" s="316" t="s">
        <v>232</v>
      </c>
      <c r="CA8" s="332" t="s">
        <v>232</v>
      </c>
      <c r="CB8" s="311" t="s">
        <v>232</v>
      </c>
      <c r="CC8" s="311" t="s">
        <v>232</v>
      </c>
      <c r="CD8" s="311" t="s">
        <v>232</v>
      </c>
      <c r="CE8" s="311" t="s">
        <v>232</v>
      </c>
      <c r="CF8" s="311" t="s">
        <v>232</v>
      </c>
      <c r="CG8" s="311" t="s">
        <v>232</v>
      </c>
      <c r="CH8" s="311" t="s">
        <v>232</v>
      </c>
      <c r="CI8" s="318" t="s">
        <v>232</v>
      </c>
      <c r="CJ8" s="318" t="s">
        <v>232</v>
      </c>
      <c r="CK8" s="318" t="s">
        <v>232</v>
      </c>
      <c r="CL8" s="315" t="s">
        <v>232</v>
      </c>
      <c r="CM8" s="315" t="s">
        <v>232</v>
      </c>
      <c r="CN8" s="318" t="s">
        <v>232</v>
      </c>
      <c r="CO8" s="311" t="s">
        <v>232</v>
      </c>
      <c r="CP8" s="318" t="s">
        <v>232</v>
      </c>
      <c r="CQ8" s="315" t="s">
        <v>232</v>
      </c>
      <c r="CR8" s="318" t="s">
        <v>232</v>
      </c>
      <c r="CS8" s="311" t="s">
        <v>232</v>
      </c>
      <c r="CT8" s="311" t="s">
        <v>232</v>
      </c>
    </row>
    <row r="9" spans="1:98" ht="22" customHeight="1" x14ac:dyDescent="0.25">
      <c r="A9" s="320" t="s">
        <v>261</v>
      </c>
      <c r="B9" s="321" t="s">
        <v>262</v>
      </c>
      <c r="C9" s="322" t="s">
        <v>241</v>
      </c>
      <c r="D9" s="322" t="s">
        <v>263</v>
      </c>
      <c r="E9" s="323" t="s">
        <v>264</v>
      </c>
      <c r="F9" s="320">
        <v>2440</v>
      </c>
      <c r="G9" s="320">
        <v>200</v>
      </c>
      <c r="H9" s="320" t="s">
        <v>243</v>
      </c>
      <c r="I9" s="325">
        <v>0.71299999999999997</v>
      </c>
      <c r="J9" s="325">
        <v>74.12</v>
      </c>
      <c r="K9" s="326">
        <f t="shared" si="0"/>
        <v>17.110799438990185</v>
      </c>
      <c r="L9" s="327"/>
      <c r="M9" s="333" t="s">
        <v>265</v>
      </c>
      <c r="N9" s="329" t="s">
        <v>266</v>
      </c>
      <c r="O9" s="330">
        <v>5.3460149516680648E-2</v>
      </c>
      <c r="P9" s="330">
        <v>5.8890955495828692</v>
      </c>
      <c r="Q9" s="330">
        <f t="shared" si="1"/>
        <v>2.4771661783205499</v>
      </c>
      <c r="R9" s="330">
        <f t="shared" si="2"/>
        <v>8.366261727903419</v>
      </c>
      <c r="S9" s="330">
        <v>52.146707127678603</v>
      </c>
      <c r="T9" s="330">
        <v>131.53104229764119</v>
      </c>
      <c r="U9" s="330">
        <v>9.7813933949004095E-4</v>
      </c>
      <c r="V9" s="330">
        <v>5.7782196803585024E-3</v>
      </c>
      <c r="W9" s="330">
        <v>6.5579852597106886E-2</v>
      </c>
      <c r="X9" s="330">
        <v>3.7320398362167641E-9</v>
      </c>
      <c r="Y9" s="330">
        <v>2.4596109395972481E-7</v>
      </c>
      <c r="Z9" s="330">
        <v>0.14088483611738381</v>
      </c>
      <c r="AA9" s="330">
        <v>18.818989660414509</v>
      </c>
      <c r="AB9" s="330">
        <v>1.8897304461677479E-4</v>
      </c>
      <c r="AC9" s="330">
        <v>1.304709092655977E-6</v>
      </c>
      <c r="AD9" s="330">
        <v>3.9740982653089618E-7</v>
      </c>
      <c r="AE9" s="330">
        <v>2.8156661087510561E-2</v>
      </c>
      <c r="AF9" s="330">
        <v>5.171518711437292</v>
      </c>
      <c r="AH9" s="316">
        <v>466.17869999999999</v>
      </c>
      <c r="AI9" s="331">
        <f t="shared" si="4"/>
        <v>66.193699999999978</v>
      </c>
      <c r="AJ9" s="311">
        <f t="shared" si="5"/>
        <v>1132.6271248246842</v>
      </c>
      <c r="AK9" s="311">
        <f t="shared" ref="AK9:BB9" si="18">$AI9*O$9</f>
        <v>3.5387250990623027</v>
      </c>
      <c r="AL9" s="311">
        <f t="shared" si="18"/>
        <v>389.82102408042346</v>
      </c>
      <c r="AM9" s="311">
        <f t="shared" si="18"/>
        <v>163.97279485789693</v>
      </c>
      <c r="AN9" s="311">
        <f t="shared" si="18"/>
        <v>553.79381893832033</v>
      </c>
      <c r="AO9" s="311">
        <f t="shared" si="18"/>
        <v>3451.7834875974181</v>
      </c>
      <c r="AP9" s="311">
        <f t="shared" si="18"/>
        <v>8706.5263545373691</v>
      </c>
      <c r="AQ9" s="318">
        <f t="shared" si="18"/>
        <v>6.4746661996401902E-2</v>
      </c>
      <c r="AR9" s="318">
        <f t="shared" si="18"/>
        <v>0.38248174005574648</v>
      </c>
      <c r="AS9" s="318">
        <f t="shared" si="18"/>
        <v>4.3409730888571127</v>
      </c>
      <c r="AT9" s="315">
        <f t="shared" si="18"/>
        <v>2.4703752530658155E-7</v>
      </c>
      <c r="AU9" s="315">
        <f t="shared" si="18"/>
        <v>1.6281074865241833E-5</v>
      </c>
      <c r="AV9" s="318">
        <f t="shared" si="18"/>
        <v>9.325688576503266</v>
      </c>
      <c r="AW9" s="311">
        <f t="shared" si="18"/>
        <v>1245.6985558845795</v>
      </c>
      <c r="AX9" s="318">
        <f t="shared" si="18"/>
        <v>1.2508825023449402E-2</v>
      </c>
      <c r="AY9" s="315">
        <f t="shared" si="18"/>
        <v>8.6363522266541916E-5</v>
      </c>
      <c r="AZ9" s="318">
        <f t="shared" si="18"/>
        <v>2.6306026834438173E-5</v>
      </c>
      <c r="BA9" s="311">
        <f t="shared" si="18"/>
        <v>1.8637935770283471</v>
      </c>
      <c r="BB9" s="311">
        <f t="shared" si="18"/>
        <v>342.32195812926659</v>
      </c>
      <c r="BD9" s="316">
        <v>325.00029999999998</v>
      </c>
      <c r="BE9" s="331">
        <f t="shared" si="9"/>
        <v>23.343299999999999</v>
      </c>
      <c r="BF9" s="311">
        <f t="shared" si="10"/>
        <v>399.42252454417957</v>
      </c>
      <c r="BG9" s="311">
        <f t="shared" ref="BG9:BX9" si="19">$BE9*O$9</f>
        <v>1.2479363082127313</v>
      </c>
      <c r="BH9" s="311">
        <f t="shared" si="19"/>
        <v>137.47092414257779</v>
      </c>
      <c r="BI9" s="311">
        <f t="shared" si="19"/>
        <v>57.825233250390092</v>
      </c>
      <c r="BJ9" s="311">
        <f t="shared" si="19"/>
        <v>195.29615739296787</v>
      </c>
      <c r="BK9" s="311">
        <f t="shared" si="19"/>
        <v>1217.27622849354</v>
      </c>
      <c r="BL9" s="311">
        <f t="shared" si="19"/>
        <v>3070.3685796665277</v>
      </c>
      <c r="BM9" s="318">
        <f t="shared" si="19"/>
        <v>2.2833000043517872E-2</v>
      </c>
      <c r="BN9" s="318">
        <f t="shared" si="19"/>
        <v>0.13488271546451264</v>
      </c>
      <c r="BO9" s="318">
        <f t="shared" si="19"/>
        <v>1.530850173130045</v>
      </c>
      <c r="BP9" s="315">
        <f t="shared" si="19"/>
        <v>8.7118125508758789E-8</v>
      </c>
      <c r="BQ9" s="315">
        <f t="shared" si="19"/>
        <v>5.7415436046300436E-6</v>
      </c>
      <c r="BR9" s="318">
        <f t="shared" si="19"/>
        <v>3.2887169949389254</v>
      </c>
      <c r="BS9" s="311">
        <f t="shared" si="19"/>
        <v>439.29732133995401</v>
      </c>
      <c r="BT9" s="318">
        <f t="shared" si="19"/>
        <v>4.4112544724027591E-3</v>
      </c>
      <c r="BU9" s="315">
        <f t="shared" si="19"/>
        <v>3.0456215762596267E-5</v>
      </c>
      <c r="BV9" s="318">
        <f t="shared" si="19"/>
        <v>9.2768568036586691E-6</v>
      </c>
      <c r="BW9" s="311">
        <f t="shared" si="19"/>
        <v>0.65726938676408531</v>
      </c>
      <c r="BX9" s="311">
        <f t="shared" si="19"/>
        <v>120.72031273669414</v>
      </c>
      <c r="BZ9" s="316" t="s">
        <v>232</v>
      </c>
      <c r="CA9" s="332" t="s">
        <v>232</v>
      </c>
      <c r="CB9" s="311" t="s">
        <v>232</v>
      </c>
      <c r="CC9" s="311" t="s">
        <v>232</v>
      </c>
      <c r="CD9" s="311" t="s">
        <v>232</v>
      </c>
      <c r="CE9" s="311" t="s">
        <v>232</v>
      </c>
      <c r="CF9" s="311" t="s">
        <v>232</v>
      </c>
      <c r="CG9" s="311" t="s">
        <v>232</v>
      </c>
      <c r="CH9" s="311" t="s">
        <v>232</v>
      </c>
      <c r="CI9" s="318" t="s">
        <v>232</v>
      </c>
      <c r="CJ9" s="318" t="s">
        <v>232</v>
      </c>
      <c r="CK9" s="318" t="s">
        <v>232</v>
      </c>
      <c r="CL9" s="315" t="s">
        <v>232</v>
      </c>
      <c r="CM9" s="315" t="s">
        <v>232</v>
      </c>
      <c r="CN9" s="318" t="s">
        <v>232</v>
      </c>
      <c r="CO9" s="311" t="s">
        <v>232</v>
      </c>
      <c r="CP9" s="318" t="s">
        <v>232</v>
      </c>
      <c r="CQ9" s="315" t="s">
        <v>232</v>
      </c>
      <c r="CR9" s="318" t="s">
        <v>232</v>
      </c>
      <c r="CS9" s="311" t="s">
        <v>232</v>
      </c>
      <c r="CT9" s="311" t="s">
        <v>232</v>
      </c>
    </row>
    <row r="10" spans="1:98" ht="22" customHeight="1" x14ac:dyDescent="0.25">
      <c r="A10" s="320" t="s">
        <v>267</v>
      </c>
      <c r="B10" s="321" t="s">
        <v>268</v>
      </c>
      <c r="C10" s="322" t="s">
        <v>241</v>
      </c>
      <c r="D10" s="322" t="s">
        <v>233</v>
      </c>
      <c r="E10" s="323" t="s">
        <v>269</v>
      </c>
      <c r="F10" s="320">
        <v>368</v>
      </c>
      <c r="G10" s="320">
        <v>12</v>
      </c>
      <c r="H10" s="320" t="s">
        <v>2</v>
      </c>
      <c r="I10" s="324">
        <v>1</v>
      </c>
      <c r="J10" s="325">
        <v>120.366</v>
      </c>
      <c r="K10" s="326">
        <f t="shared" si="0"/>
        <v>30.666666666666668</v>
      </c>
      <c r="L10" s="327"/>
      <c r="M10" s="333" t="s">
        <v>270</v>
      </c>
      <c r="N10" s="334" t="s">
        <v>271</v>
      </c>
      <c r="O10" s="330">
        <v>9.1554321962809167E-3</v>
      </c>
      <c r="P10" s="330">
        <v>1.109428752294106</v>
      </c>
      <c r="Q10" s="330">
        <f t="shared" si="1"/>
        <v>1.9857339720851801</v>
      </c>
      <c r="R10" s="330">
        <f t="shared" si="2"/>
        <v>3.0951627243792861</v>
      </c>
      <c r="S10" s="330">
        <v>16.891845533545741</v>
      </c>
      <c r="T10" s="330">
        <v>13.890174397023079</v>
      </c>
      <c r="U10" s="330">
        <v>6.3178886701753604E-5</v>
      </c>
      <c r="V10" s="330">
        <v>2.7740018025001561E-3</v>
      </c>
      <c r="W10" s="330">
        <v>2.9831083335067041E-2</v>
      </c>
      <c r="X10" s="330">
        <v>6.4454356981199178E-10</v>
      </c>
      <c r="Y10" s="330">
        <v>2.5383118818113361E-8</v>
      </c>
      <c r="Z10" s="330">
        <v>1.115702674248252E-2</v>
      </c>
      <c r="AA10" s="330">
        <v>3.556816285293646</v>
      </c>
      <c r="AB10" s="330">
        <v>1.5207116108901419E-5</v>
      </c>
      <c r="AC10" s="330">
        <v>5.5421346881546239E-8</v>
      </c>
      <c r="AD10" s="330">
        <v>7.1637477557160185E-8</v>
      </c>
      <c r="AE10" s="330">
        <v>8.2677585479135601E-3</v>
      </c>
      <c r="AF10" s="330">
        <v>0.26512335295766931</v>
      </c>
      <c r="AH10" s="316">
        <v>529.11990000000003</v>
      </c>
      <c r="AI10" s="331">
        <f t="shared" si="4"/>
        <v>3.2524999999999409</v>
      </c>
      <c r="AJ10" s="311">
        <f t="shared" si="5"/>
        <v>99.74333333333152</v>
      </c>
      <c r="AK10" s="311">
        <f t="shared" ref="AK10:BB10" si="20">$AI10*O$10</f>
        <v>2.977804321840314E-2</v>
      </c>
      <c r="AL10" s="311">
        <f t="shared" si="20"/>
        <v>3.6084170168365142</v>
      </c>
      <c r="AM10" s="311">
        <f t="shared" si="20"/>
        <v>6.4585997442069312</v>
      </c>
      <c r="AN10" s="311">
        <f t="shared" si="20"/>
        <v>10.067016761043446</v>
      </c>
      <c r="AO10" s="311">
        <f t="shared" si="20"/>
        <v>54.940727597856522</v>
      </c>
      <c r="AP10" s="311">
        <f t="shared" si="20"/>
        <v>45.177792226316747</v>
      </c>
      <c r="AQ10" s="318">
        <f t="shared" si="20"/>
        <v>2.0548932899744986E-4</v>
      </c>
      <c r="AR10" s="318">
        <f t="shared" si="20"/>
        <v>9.0224408626315943E-3</v>
      </c>
      <c r="AS10" s="318">
        <f t="shared" si="20"/>
        <v>9.702559854730379E-2</v>
      </c>
      <c r="AT10" s="315">
        <f t="shared" si="20"/>
        <v>2.0963779608134653E-9</v>
      </c>
      <c r="AU10" s="315">
        <f t="shared" si="20"/>
        <v>8.2558593955912201E-8</v>
      </c>
      <c r="AV10" s="318">
        <f t="shared" si="20"/>
        <v>3.6288229479923738E-2</v>
      </c>
      <c r="AW10" s="311">
        <f t="shared" si="20"/>
        <v>11.568544967917374</v>
      </c>
      <c r="AX10" s="318">
        <f t="shared" si="20"/>
        <v>4.9461145144200965E-5</v>
      </c>
      <c r="AY10" s="315">
        <f t="shared" si="20"/>
        <v>1.8025793073222587E-7</v>
      </c>
      <c r="AZ10" s="318">
        <f t="shared" si="20"/>
        <v>2.3300089575465927E-7</v>
      </c>
      <c r="BA10" s="311">
        <f t="shared" si="20"/>
        <v>2.6890884677088365E-2</v>
      </c>
      <c r="BB10" s="311">
        <f t="shared" si="20"/>
        <v>0.86231370549480379</v>
      </c>
      <c r="BD10" s="316">
        <v>347.87360000000001</v>
      </c>
      <c r="BE10" s="331">
        <f t="shared" si="9"/>
        <v>0.46999999999997044</v>
      </c>
      <c r="BF10" s="311">
        <f t="shared" si="10"/>
        <v>14.413333333332428</v>
      </c>
      <c r="BG10" s="311">
        <f t="shared" ref="BG10:BX10" si="21">$BE10*O$10</f>
        <v>4.3030531322517602E-3</v>
      </c>
      <c r="BH10" s="311">
        <f t="shared" si="21"/>
        <v>0.52143151357819706</v>
      </c>
      <c r="BI10" s="311">
        <f t="shared" si="21"/>
        <v>0.93329496687997593</v>
      </c>
      <c r="BJ10" s="311">
        <f t="shared" si="21"/>
        <v>1.454726480458173</v>
      </c>
      <c r="BK10" s="311">
        <f t="shared" si="21"/>
        <v>7.9391674007659994</v>
      </c>
      <c r="BL10" s="311">
        <f t="shared" si="21"/>
        <v>6.5283819666004366</v>
      </c>
      <c r="BM10" s="318">
        <f t="shared" si="21"/>
        <v>2.9694076749822325E-5</v>
      </c>
      <c r="BN10" s="318">
        <f t="shared" si="21"/>
        <v>1.3037808471749914E-3</v>
      </c>
      <c r="BO10" s="318">
        <f t="shared" si="21"/>
        <v>1.4020609167480628E-2</v>
      </c>
      <c r="BP10" s="315">
        <f t="shared" si="21"/>
        <v>3.0293547781161709E-10</v>
      </c>
      <c r="BQ10" s="315">
        <f t="shared" si="21"/>
        <v>1.1930065844512529E-8</v>
      </c>
      <c r="BR10" s="318">
        <f t="shared" si="21"/>
        <v>5.2438025689664552E-3</v>
      </c>
      <c r="BS10" s="311">
        <f t="shared" si="21"/>
        <v>1.6717036540879084</v>
      </c>
      <c r="BT10" s="318">
        <f t="shared" si="21"/>
        <v>7.1473445711832176E-6</v>
      </c>
      <c r="BU10" s="315">
        <f t="shared" si="21"/>
        <v>2.6048033034325094E-8</v>
      </c>
      <c r="BV10" s="318">
        <f t="shared" si="21"/>
        <v>3.3669614451863171E-8</v>
      </c>
      <c r="BW10" s="311">
        <f t="shared" si="21"/>
        <v>3.8858465175191288E-3</v>
      </c>
      <c r="BX10" s="311">
        <f t="shared" si="21"/>
        <v>0.12460797589009674</v>
      </c>
      <c r="BZ10" s="316" t="s">
        <v>232</v>
      </c>
      <c r="CA10" s="332" t="s">
        <v>232</v>
      </c>
      <c r="CB10" s="311" t="s">
        <v>232</v>
      </c>
      <c r="CC10" s="311" t="s">
        <v>232</v>
      </c>
      <c r="CD10" s="311" t="s">
        <v>232</v>
      </c>
      <c r="CE10" s="311" t="s">
        <v>232</v>
      </c>
      <c r="CF10" s="311" t="s">
        <v>232</v>
      </c>
      <c r="CG10" s="311" t="s">
        <v>232</v>
      </c>
      <c r="CH10" s="311" t="s">
        <v>232</v>
      </c>
      <c r="CI10" s="318" t="s">
        <v>232</v>
      </c>
      <c r="CJ10" s="318" t="s">
        <v>232</v>
      </c>
      <c r="CK10" s="318" t="s">
        <v>232</v>
      </c>
      <c r="CL10" s="315" t="s">
        <v>232</v>
      </c>
      <c r="CM10" s="315" t="s">
        <v>232</v>
      </c>
      <c r="CN10" s="318" t="s">
        <v>232</v>
      </c>
      <c r="CO10" s="311" t="s">
        <v>232</v>
      </c>
      <c r="CP10" s="318" t="s">
        <v>232</v>
      </c>
      <c r="CQ10" s="315" t="s">
        <v>232</v>
      </c>
      <c r="CR10" s="318" t="s">
        <v>232</v>
      </c>
      <c r="CS10" s="311" t="s">
        <v>232</v>
      </c>
      <c r="CT10" s="311" t="s">
        <v>232</v>
      </c>
    </row>
    <row r="11" spans="1:98" ht="22" customHeight="1" x14ac:dyDescent="0.25">
      <c r="A11" s="320" t="s">
        <v>272</v>
      </c>
      <c r="B11" s="321" t="s">
        <v>273</v>
      </c>
      <c r="C11" s="322" t="s">
        <v>241</v>
      </c>
      <c r="D11" s="322" t="s">
        <v>233</v>
      </c>
      <c r="E11" s="323" t="s">
        <v>274</v>
      </c>
      <c r="F11" s="320">
        <v>801</v>
      </c>
      <c r="G11" s="320">
        <v>18</v>
      </c>
      <c r="H11" s="320" t="s">
        <v>243</v>
      </c>
      <c r="I11" s="325">
        <v>0.81499999999999995</v>
      </c>
      <c r="J11" s="325">
        <v>88.15</v>
      </c>
      <c r="K11" s="326">
        <f t="shared" si="0"/>
        <v>54.601226993865041</v>
      </c>
      <c r="L11" s="327"/>
      <c r="M11" s="333" t="s">
        <v>275</v>
      </c>
      <c r="N11" s="329" t="s">
        <v>276</v>
      </c>
      <c r="O11" s="330">
        <v>1.789013443585661E-2</v>
      </c>
      <c r="P11" s="330">
        <v>3.1182306862425699</v>
      </c>
      <c r="Q11" s="330">
        <f t="shared" si="1"/>
        <v>2.4771661783205499</v>
      </c>
      <c r="R11" s="330">
        <f t="shared" si="2"/>
        <v>5.5953968645631198</v>
      </c>
      <c r="S11" s="330">
        <v>13.48600098956357</v>
      </c>
      <c r="T11" s="330">
        <v>88.455222045296452</v>
      </c>
      <c r="U11" s="330">
        <v>7.0497756929062004E-5</v>
      </c>
      <c r="V11" s="330">
        <v>2.652037090192487E-3</v>
      </c>
      <c r="W11" s="330">
        <v>2.9563298155771561E-2</v>
      </c>
      <c r="X11" s="330">
        <v>8.3412670556756863E-10</v>
      </c>
      <c r="Y11" s="330">
        <v>2.26401761146579E-8</v>
      </c>
      <c r="Z11" s="330">
        <v>1.7687352513351622E-2</v>
      </c>
      <c r="AA11" s="330">
        <v>11.90233230559517</v>
      </c>
      <c r="AB11" s="330">
        <v>9.4140007285082504E-6</v>
      </c>
      <c r="AC11" s="330">
        <v>2.699841092131817E-8</v>
      </c>
      <c r="AD11" s="330">
        <v>2.6262969249432007E-7</v>
      </c>
      <c r="AE11" s="330">
        <v>1.427952384461619E-2</v>
      </c>
      <c r="AF11" s="330">
        <v>3.3993698730314388</v>
      </c>
      <c r="AH11" s="316">
        <v>521.35889999999995</v>
      </c>
      <c r="AI11" s="331">
        <f t="shared" si="4"/>
        <v>11.013500000000022</v>
      </c>
      <c r="AJ11" s="311">
        <f t="shared" si="5"/>
        <v>601.35061349693376</v>
      </c>
      <c r="AK11" s="311">
        <f t="shared" ref="AK11:BB11" si="22">$AI11*O$11</f>
        <v>0.19703299560930715</v>
      </c>
      <c r="AL11" s="311">
        <f t="shared" si="22"/>
        <v>34.342633662932613</v>
      </c>
      <c r="AM11" s="311">
        <f t="shared" si="22"/>
        <v>27.28226970493343</v>
      </c>
      <c r="AN11" s="311">
        <f t="shared" si="22"/>
        <v>61.62490336786604</v>
      </c>
      <c r="AO11" s="311">
        <f t="shared" si="22"/>
        <v>148.52807189855866</v>
      </c>
      <c r="AP11" s="311">
        <f t="shared" si="22"/>
        <v>974.20158799587443</v>
      </c>
      <c r="AQ11" s="318">
        <f t="shared" si="22"/>
        <v>7.7642704593822588E-4</v>
      </c>
      <c r="AR11" s="318">
        <f t="shared" si="22"/>
        <v>2.9208210492835014E-2</v>
      </c>
      <c r="AS11" s="318">
        <f t="shared" si="22"/>
        <v>0.32559538423859075</v>
      </c>
      <c r="AT11" s="315">
        <f t="shared" si="22"/>
        <v>9.1866544717684354E-9</v>
      </c>
      <c r="AU11" s="315">
        <f t="shared" si="22"/>
        <v>2.4934757963878529E-7</v>
      </c>
      <c r="AV11" s="318">
        <f t="shared" si="22"/>
        <v>0.19479965690579848</v>
      </c>
      <c r="AW11" s="311">
        <f t="shared" si="22"/>
        <v>131.08633684767267</v>
      </c>
      <c r="AX11" s="318">
        <f t="shared" si="22"/>
        <v>1.0368109702342582E-4</v>
      </c>
      <c r="AY11" s="315">
        <f t="shared" si="22"/>
        <v>2.9734699868193825E-7</v>
      </c>
      <c r="AZ11" s="318">
        <f t="shared" si="22"/>
        <v>2.8924721182861999E-6</v>
      </c>
      <c r="BA11" s="311">
        <f t="shared" si="22"/>
        <v>0.15726753586268072</v>
      </c>
      <c r="BB11" s="311">
        <f t="shared" si="22"/>
        <v>37.438960096631824</v>
      </c>
      <c r="BD11" s="316" t="s">
        <v>232</v>
      </c>
      <c r="BE11" s="331" t="s">
        <v>232</v>
      </c>
      <c r="BF11" s="311" t="s">
        <v>232</v>
      </c>
      <c r="BG11" s="311" t="s">
        <v>232</v>
      </c>
      <c r="BH11" s="311" t="s">
        <v>232</v>
      </c>
      <c r="BI11" s="311" t="s">
        <v>232</v>
      </c>
      <c r="BJ11" s="311" t="s">
        <v>232</v>
      </c>
      <c r="BK11" s="311" t="s">
        <v>232</v>
      </c>
      <c r="BL11" s="311" t="s">
        <v>232</v>
      </c>
      <c r="BM11" s="318" t="s">
        <v>232</v>
      </c>
      <c r="BN11" s="318" t="s">
        <v>232</v>
      </c>
      <c r="BO11" s="318" t="s">
        <v>232</v>
      </c>
      <c r="BP11" s="315" t="s">
        <v>232</v>
      </c>
      <c r="BQ11" s="315" t="s">
        <v>232</v>
      </c>
      <c r="BR11" s="318" t="s">
        <v>232</v>
      </c>
      <c r="BS11" s="311" t="s">
        <v>232</v>
      </c>
      <c r="BT11" s="318" t="s">
        <v>232</v>
      </c>
      <c r="BU11" s="315" t="s">
        <v>232</v>
      </c>
      <c r="BV11" s="318" t="s">
        <v>232</v>
      </c>
      <c r="BW11" s="311" t="s">
        <v>232</v>
      </c>
      <c r="BX11" s="311" t="s">
        <v>232</v>
      </c>
      <c r="BZ11" s="316" t="s">
        <v>232</v>
      </c>
      <c r="CA11" s="332" t="s">
        <v>232</v>
      </c>
      <c r="CB11" s="311" t="s">
        <v>232</v>
      </c>
      <c r="CC11" s="311" t="s">
        <v>232</v>
      </c>
      <c r="CD11" s="311" t="s">
        <v>232</v>
      </c>
      <c r="CE11" s="311" t="s">
        <v>232</v>
      </c>
      <c r="CF11" s="311" t="s">
        <v>232</v>
      </c>
      <c r="CG11" s="311" t="s">
        <v>232</v>
      </c>
      <c r="CH11" s="311" t="s">
        <v>232</v>
      </c>
      <c r="CI11" s="318" t="s">
        <v>232</v>
      </c>
      <c r="CJ11" s="318" t="s">
        <v>232</v>
      </c>
      <c r="CK11" s="318" t="s">
        <v>232</v>
      </c>
      <c r="CL11" s="315" t="s">
        <v>232</v>
      </c>
      <c r="CM11" s="315" t="s">
        <v>232</v>
      </c>
      <c r="CN11" s="318" t="s">
        <v>232</v>
      </c>
      <c r="CO11" s="311" t="s">
        <v>232</v>
      </c>
      <c r="CP11" s="318" t="s">
        <v>232</v>
      </c>
      <c r="CQ11" s="315" t="s">
        <v>232</v>
      </c>
      <c r="CR11" s="318" t="s">
        <v>232</v>
      </c>
      <c r="CS11" s="311" t="s">
        <v>232</v>
      </c>
      <c r="CT11" s="311" t="s">
        <v>232</v>
      </c>
    </row>
    <row r="12" spans="1:98" ht="22" customHeight="1" x14ac:dyDescent="0.25">
      <c r="A12" s="335" t="s">
        <v>277</v>
      </c>
      <c r="B12" s="293" t="s">
        <v>278</v>
      </c>
      <c r="C12" s="309" t="s">
        <v>232</v>
      </c>
      <c r="D12" s="309" t="s">
        <v>233</v>
      </c>
      <c r="E12" s="296" t="s">
        <v>279</v>
      </c>
      <c r="F12" s="335">
        <v>7290</v>
      </c>
      <c r="G12" s="335">
        <v>0.1</v>
      </c>
      <c r="H12" s="335" t="s">
        <v>2</v>
      </c>
      <c r="I12" s="310" t="s">
        <v>232</v>
      </c>
      <c r="J12" s="311" t="s">
        <v>232</v>
      </c>
      <c r="K12" s="312" t="s">
        <v>232</v>
      </c>
      <c r="M12" s="312" t="s">
        <v>232</v>
      </c>
      <c r="N12" s="312" t="s">
        <v>232</v>
      </c>
      <c r="O12" s="315">
        <v>2277.6620533444489</v>
      </c>
      <c r="P12" s="315">
        <v>11289.378138320089</v>
      </c>
      <c r="Q12" s="315">
        <f t="shared" si="1"/>
        <v>1.9857339720851801</v>
      </c>
      <c r="R12" s="315">
        <f t="shared" si="2"/>
        <v>11291.363872292175</v>
      </c>
      <c r="S12" s="315">
        <v>229970.44768969089</v>
      </c>
      <c r="T12" s="315">
        <v>168374.5759939313</v>
      </c>
      <c r="U12" s="315">
        <v>1.132982817779848</v>
      </c>
      <c r="V12" s="315">
        <v>55.860501377263972</v>
      </c>
      <c r="W12" s="315">
        <v>832.2878349430722</v>
      </c>
      <c r="X12" s="315">
        <v>6.881613914922184E-6</v>
      </c>
      <c r="Y12" s="315">
        <v>3.2414458941063608E-4</v>
      </c>
      <c r="Z12" s="315">
        <v>238.7098645491767</v>
      </c>
      <c r="AA12" s="315">
        <v>90607.848249289425</v>
      </c>
      <c r="AB12" s="315">
        <v>0.75762500115103371</v>
      </c>
      <c r="AC12" s="315">
        <v>1.0410343518486289E-4</v>
      </c>
      <c r="AD12" s="315">
        <v>2.9651840816373619E-3</v>
      </c>
      <c r="AE12" s="315">
        <v>303.80095589838862</v>
      </c>
      <c r="AF12" s="315">
        <v>3025.4892524012271</v>
      </c>
      <c r="AH12" s="316" t="s">
        <v>232</v>
      </c>
      <c r="AI12" s="317" t="s">
        <v>232</v>
      </c>
      <c r="AJ12" s="311" t="s">
        <v>232</v>
      </c>
      <c r="AK12" s="311" t="s">
        <v>232</v>
      </c>
      <c r="AL12" s="311" t="s">
        <v>232</v>
      </c>
      <c r="AM12" s="311" t="s">
        <v>232</v>
      </c>
      <c r="AN12" s="311" t="s">
        <v>232</v>
      </c>
      <c r="AO12" s="311" t="s">
        <v>232</v>
      </c>
      <c r="AP12" s="311" t="s">
        <v>232</v>
      </c>
      <c r="AQ12" s="318" t="s">
        <v>232</v>
      </c>
      <c r="AR12" s="318" t="s">
        <v>232</v>
      </c>
      <c r="AS12" s="318" t="s">
        <v>232</v>
      </c>
      <c r="AT12" s="315" t="s">
        <v>232</v>
      </c>
      <c r="AU12" s="315" t="s">
        <v>232</v>
      </c>
      <c r="AV12" s="318" t="s">
        <v>232</v>
      </c>
      <c r="AW12" s="311" t="s">
        <v>232</v>
      </c>
      <c r="AX12" s="318" t="s">
        <v>232</v>
      </c>
      <c r="AY12" s="315" t="s">
        <v>232</v>
      </c>
      <c r="AZ12" s="318" t="s">
        <v>232</v>
      </c>
      <c r="BA12" s="311" t="s">
        <v>232</v>
      </c>
      <c r="BB12" s="311" t="s">
        <v>232</v>
      </c>
      <c r="BD12" s="316" t="s">
        <v>232</v>
      </c>
      <c r="BE12" s="317" t="s">
        <v>232</v>
      </c>
      <c r="BF12" s="311" t="s">
        <v>232</v>
      </c>
      <c r="BG12" s="311" t="s">
        <v>232</v>
      </c>
      <c r="BH12" s="311" t="s">
        <v>232</v>
      </c>
      <c r="BI12" s="311" t="s">
        <v>232</v>
      </c>
      <c r="BJ12" s="311" t="s">
        <v>232</v>
      </c>
      <c r="BK12" s="311" t="s">
        <v>232</v>
      </c>
      <c r="BL12" s="311" t="s">
        <v>232</v>
      </c>
      <c r="BM12" s="318" t="s">
        <v>232</v>
      </c>
      <c r="BN12" s="318" t="s">
        <v>232</v>
      </c>
      <c r="BO12" s="318" t="s">
        <v>232</v>
      </c>
      <c r="BP12" s="315" t="s">
        <v>232</v>
      </c>
      <c r="BQ12" s="315" t="s">
        <v>232</v>
      </c>
      <c r="BR12" s="318" t="s">
        <v>232</v>
      </c>
      <c r="BS12" s="311" t="s">
        <v>232</v>
      </c>
      <c r="BT12" s="318" t="s">
        <v>232</v>
      </c>
      <c r="BU12" s="315" t="s">
        <v>232</v>
      </c>
      <c r="BV12" s="318" t="s">
        <v>232</v>
      </c>
      <c r="BW12" s="311" t="s">
        <v>232</v>
      </c>
      <c r="BX12" s="311" t="s">
        <v>232</v>
      </c>
      <c r="BZ12" s="316" t="s">
        <v>232</v>
      </c>
      <c r="CA12" s="319" t="s">
        <v>232</v>
      </c>
      <c r="CB12" s="311" t="s">
        <v>232</v>
      </c>
      <c r="CC12" s="311" t="s">
        <v>232</v>
      </c>
      <c r="CD12" s="311" t="s">
        <v>232</v>
      </c>
      <c r="CE12" s="311" t="s">
        <v>232</v>
      </c>
      <c r="CF12" s="311" t="s">
        <v>232</v>
      </c>
      <c r="CG12" s="311" t="s">
        <v>232</v>
      </c>
      <c r="CH12" s="311" t="s">
        <v>232</v>
      </c>
      <c r="CI12" s="318" t="s">
        <v>232</v>
      </c>
      <c r="CJ12" s="318" t="s">
        <v>232</v>
      </c>
      <c r="CK12" s="318" t="s">
        <v>232</v>
      </c>
      <c r="CL12" s="315" t="s">
        <v>232</v>
      </c>
      <c r="CM12" s="315" t="s">
        <v>232</v>
      </c>
      <c r="CN12" s="318" t="s">
        <v>232</v>
      </c>
      <c r="CO12" s="311" t="s">
        <v>232</v>
      </c>
      <c r="CP12" s="318" t="s">
        <v>232</v>
      </c>
      <c r="CQ12" s="315" t="s">
        <v>232</v>
      </c>
      <c r="CR12" s="318" t="s">
        <v>232</v>
      </c>
      <c r="CS12" s="311" t="s">
        <v>232</v>
      </c>
      <c r="CT12" s="311" t="s">
        <v>232</v>
      </c>
    </row>
    <row r="13" spans="1:98" ht="22" customHeight="1" x14ac:dyDescent="0.25">
      <c r="A13" s="336" t="s">
        <v>277</v>
      </c>
      <c r="B13" s="334" t="s">
        <v>280</v>
      </c>
      <c r="C13" s="322" t="s">
        <v>237</v>
      </c>
      <c r="D13" s="322" t="s">
        <v>232</v>
      </c>
      <c r="E13" s="323" t="s">
        <v>232</v>
      </c>
      <c r="F13" s="336">
        <v>7290</v>
      </c>
      <c r="G13" s="336">
        <v>0.1</v>
      </c>
      <c r="H13" s="336" t="s">
        <v>2</v>
      </c>
      <c r="I13" s="337">
        <v>1</v>
      </c>
      <c r="J13" s="337">
        <v>224.5</v>
      </c>
      <c r="K13" s="326">
        <f t="shared" si="0"/>
        <v>72900</v>
      </c>
      <c r="L13" s="327"/>
      <c r="M13" s="333" t="s">
        <v>281</v>
      </c>
      <c r="N13" s="334" t="s">
        <v>282</v>
      </c>
      <c r="O13" s="330">
        <f>0.42*O12</f>
        <v>956.61806240466854</v>
      </c>
      <c r="P13" s="330">
        <f>0.42*P12</f>
        <v>4741.5388180944374</v>
      </c>
      <c r="Q13" s="330">
        <f t="shared" si="1"/>
        <v>1.9857339720851801</v>
      </c>
      <c r="R13" s="330">
        <f t="shared" si="2"/>
        <v>4743.5245520665221</v>
      </c>
      <c r="S13" s="330">
        <f>0.42*S12</f>
        <v>96587.588029670165</v>
      </c>
      <c r="T13" s="330">
        <f t="shared" ref="T13:AF13" si="23">0.42*T12</f>
        <v>70717.321917451147</v>
      </c>
      <c r="U13" s="330">
        <f t="shared" si="23"/>
        <v>0.47585278346753612</v>
      </c>
      <c r="V13" s="330">
        <f t="shared" si="23"/>
        <v>23.461410578450867</v>
      </c>
      <c r="W13" s="330">
        <f t="shared" si="23"/>
        <v>349.56089067609031</v>
      </c>
      <c r="X13" s="330">
        <f t="shared" si="23"/>
        <v>2.890277844267317E-6</v>
      </c>
      <c r="Y13" s="330">
        <f t="shared" si="23"/>
        <v>1.3614072755246715E-4</v>
      </c>
      <c r="Z13" s="330">
        <f t="shared" si="23"/>
        <v>100.25814311065422</v>
      </c>
      <c r="AA13" s="330">
        <f t="shared" si="23"/>
        <v>38055.296264701559</v>
      </c>
      <c r="AB13" s="330">
        <f t="shared" si="23"/>
        <v>0.31820250048343413</v>
      </c>
      <c r="AC13" s="330">
        <f t="shared" si="23"/>
        <v>4.3723442777642413E-5</v>
      </c>
      <c r="AD13" s="330">
        <f t="shared" si="23"/>
        <v>1.245377314287692E-3</v>
      </c>
      <c r="AE13" s="330">
        <f t="shared" si="23"/>
        <v>127.59640147732321</v>
      </c>
      <c r="AF13" s="330">
        <f t="shared" si="23"/>
        <v>1270.7054860085154</v>
      </c>
      <c r="AH13" s="316" t="s">
        <v>232</v>
      </c>
      <c r="AI13" s="331" t="s">
        <v>232</v>
      </c>
      <c r="AJ13" s="311" t="s">
        <v>232</v>
      </c>
      <c r="AK13" s="311" t="s">
        <v>232</v>
      </c>
      <c r="AL13" s="311" t="s">
        <v>232</v>
      </c>
      <c r="AM13" s="311" t="s">
        <v>232</v>
      </c>
      <c r="AN13" s="311" t="s">
        <v>232</v>
      </c>
      <c r="AO13" s="311" t="s">
        <v>232</v>
      </c>
      <c r="AP13" s="311" t="s">
        <v>232</v>
      </c>
      <c r="AQ13" s="318" t="s">
        <v>232</v>
      </c>
      <c r="AR13" s="318" t="s">
        <v>232</v>
      </c>
      <c r="AS13" s="318" t="s">
        <v>232</v>
      </c>
      <c r="AT13" s="315" t="s">
        <v>232</v>
      </c>
      <c r="AU13" s="315" t="s">
        <v>232</v>
      </c>
      <c r="AV13" s="318" t="s">
        <v>232</v>
      </c>
      <c r="AW13" s="311" t="s">
        <v>232</v>
      </c>
      <c r="AX13" s="318" t="s">
        <v>232</v>
      </c>
      <c r="AY13" s="315" t="s">
        <v>232</v>
      </c>
      <c r="AZ13" s="318" t="s">
        <v>232</v>
      </c>
      <c r="BA13" s="311" t="s">
        <v>232</v>
      </c>
      <c r="BB13" s="311" t="s">
        <v>232</v>
      </c>
      <c r="BD13" s="316">
        <v>348.34309999999999</v>
      </c>
      <c r="BE13" s="331">
        <f>IF(BD13&gt;0,BD$2-BD13,0)</f>
        <v>4.9999999998817657E-4</v>
      </c>
      <c r="BF13" s="311">
        <f t="shared" si="10"/>
        <v>36.449999999138072</v>
      </c>
      <c r="BG13" s="311">
        <f>$BE13*O$13</f>
        <v>0.47830903119102375</v>
      </c>
      <c r="BH13" s="311">
        <f t="shared" ref="BH13:BX13" si="24">$BE13*P$13</f>
        <v>2.3707694089911575</v>
      </c>
      <c r="BI13" s="311">
        <f t="shared" si="24"/>
        <v>9.9286698601911186E-4</v>
      </c>
      <c r="BJ13" s="311">
        <f t="shared" si="24"/>
        <v>2.3717622759771761</v>
      </c>
      <c r="BK13" s="311">
        <f t="shared" si="24"/>
        <v>48.293794013693088</v>
      </c>
      <c r="BL13" s="311">
        <f t="shared" si="24"/>
        <v>35.358660957889455</v>
      </c>
      <c r="BM13" s="318">
        <f t="shared" si="24"/>
        <v>2.3792639172814185E-4</v>
      </c>
      <c r="BN13" s="318">
        <f t="shared" si="24"/>
        <v>1.1730705288948038E-2</v>
      </c>
      <c r="BO13" s="318">
        <f t="shared" si="24"/>
        <v>0.17478044533391215</v>
      </c>
      <c r="BP13" s="315">
        <f t="shared" si="24"/>
        <v>1.4451389220994855E-9</v>
      </c>
      <c r="BQ13" s="315">
        <f t="shared" si="24"/>
        <v>6.8070363774623919E-8</v>
      </c>
      <c r="BR13" s="318">
        <f t="shared" si="24"/>
        <v>5.0129071554141716E-2</v>
      </c>
      <c r="BS13" s="311">
        <f t="shared" si="24"/>
        <v>19.027648131900836</v>
      </c>
      <c r="BT13" s="318">
        <f t="shared" si="24"/>
        <v>1.5910125023795482E-4</v>
      </c>
      <c r="BU13" s="315">
        <f t="shared" si="24"/>
        <v>2.1861721388304247E-8</v>
      </c>
      <c r="BV13" s="318">
        <f t="shared" si="24"/>
        <v>6.2268865712912141E-7</v>
      </c>
      <c r="BW13" s="311">
        <f t="shared" si="24"/>
        <v>6.3798200737152977E-2</v>
      </c>
      <c r="BX13" s="311">
        <f t="shared" si="24"/>
        <v>0.63535274298923361</v>
      </c>
      <c r="BZ13" s="316" t="s">
        <v>232</v>
      </c>
      <c r="CA13" s="332" t="s">
        <v>232</v>
      </c>
      <c r="CB13" s="311" t="s">
        <v>232</v>
      </c>
      <c r="CC13" s="311" t="s">
        <v>232</v>
      </c>
      <c r="CD13" s="311" t="s">
        <v>232</v>
      </c>
      <c r="CE13" s="311" t="s">
        <v>232</v>
      </c>
      <c r="CF13" s="311" t="s">
        <v>232</v>
      </c>
      <c r="CG13" s="311" t="s">
        <v>232</v>
      </c>
      <c r="CH13" s="311" t="s">
        <v>232</v>
      </c>
      <c r="CI13" s="318" t="s">
        <v>232</v>
      </c>
      <c r="CJ13" s="318" t="s">
        <v>232</v>
      </c>
      <c r="CK13" s="318" t="s">
        <v>232</v>
      </c>
      <c r="CL13" s="315" t="s">
        <v>232</v>
      </c>
      <c r="CM13" s="315" t="s">
        <v>232</v>
      </c>
      <c r="CN13" s="318" t="s">
        <v>232</v>
      </c>
      <c r="CO13" s="311" t="s">
        <v>232</v>
      </c>
      <c r="CP13" s="318" t="s">
        <v>232</v>
      </c>
      <c r="CQ13" s="315" t="s">
        <v>232</v>
      </c>
      <c r="CR13" s="318" t="s">
        <v>232</v>
      </c>
      <c r="CS13" s="311" t="s">
        <v>232</v>
      </c>
      <c r="CT13" s="311" t="s">
        <v>232</v>
      </c>
    </row>
    <row r="14" spans="1:98" ht="22" customHeight="1" x14ac:dyDescent="0.25">
      <c r="A14" s="336" t="s">
        <v>283</v>
      </c>
      <c r="B14" s="321" t="s">
        <v>284</v>
      </c>
      <c r="C14" s="322" t="s">
        <v>241</v>
      </c>
      <c r="D14" s="322" t="s">
        <v>263</v>
      </c>
      <c r="E14" s="323" t="s">
        <v>285</v>
      </c>
      <c r="F14" s="336">
        <v>601</v>
      </c>
      <c r="G14" s="336">
        <v>200</v>
      </c>
      <c r="H14" s="336" t="s">
        <v>243</v>
      </c>
      <c r="I14" s="337">
        <v>0.997</v>
      </c>
      <c r="J14" s="337">
        <v>18.015280000000001</v>
      </c>
      <c r="K14" s="326">
        <f t="shared" si="0"/>
        <v>3.0140421263791373</v>
      </c>
      <c r="L14" s="327"/>
      <c r="M14" s="333" t="s">
        <v>286</v>
      </c>
      <c r="N14" s="334" t="s">
        <v>287</v>
      </c>
      <c r="O14" s="330">
        <v>4.406824552898796E-6</v>
      </c>
      <c r="P14" s="330">
        <v>4.6745644347894762E-4</v>
      </c>
      <c r="Q14" s="330">
        <v>0.628</v>
      </c>
      <c r="R14" s="330">
        <f t="shared" si="2"/>
        <v>0.6284674564434789</v>
      </c>
      <c r="S14" s="330">
        <v>5.204821591613347E-2</v>
      </c>
      <c r="T14" s="330">
        <v>5.5361755950325093E-3</v>
      </c>
      <c r="U14" s="330">
        <v>2.0843845220987628E-8</v>
      </c>
      <c r="V14" s="330">
        <v>4.4150006162562223E-7</v>
      </c>
      <c r="W14" s="330">
        <v>4.977833569733889E-6</v>
      </c>
      <c r="X14" s="330">
        <v>5.1494485541888281E-13</v>
      </c>
      <c r="Y14" s="330">
        <v>1.9677978483575899E-11</v>
      </c>
      <c r="Z14" s="330">
        <v>1.427180772464246E-5</v>
      </c>
      <c r="AA14" s="330">
        <v>2.0349586093168872E-3</v>
      </c>
      <c r="AB14" s="330">
        <v>2.0525852208183219E-8</v>
      </c>
      <c r="AC14" s="330">
        <v>2.214253775112643E-10</v>
      </c>
      <c r="AD14" s="330">
        <v>3.3578375932259409E-11</v>
      </c>
      <c r="AE14" s="330">
        <v>1.6823826716710969E-6</v>
      </c>
      <c r="AF14" s="330">
        <v>3.3162234171966272E-4</v>
      </c>
      <c r="AH14" s="316">
        <v>380.95940000000002</v>
      </c>
      <c r="AI14" s="331">
        <f t="shared" si="4"/>
        <v>151.41299999999995</v>
      </c>
      <c r="AJ14" s="311">
        <f t="shared" si="5"/>
        <v>456.36516048144415</v>
      </c>
      <c r="AK14" s="311">
        <f t="shared" ref="AK14:BB14" si="25">$AI14*O$14</f>
        <v>6.6725052602806516E-4</v>
      </c>
      <c r="AL14" s="311">
        <f t="shared" si="25"/>
        <v>7.0778982476477875E-2</v>
      </c>
      <c r="AM14" s="311">
        <f t="shared" si="25"/>
        <v>95.087363999999965</v>
      </c>
      <c r="AN14" s="311">
        <f t="shared" si="25"/>
        <v>95.158142982476448</v>
      </c>
      <c r="AO14" s="311">
        <f t="shared" si="25"/>
        <v>7.8807765165095143</v>
      </c>
      <c r="AP14" s="311">
        <f t="shared" si="25"/>
        <v>0.83824895537065713</v>
      </c>
      <c r="AQ14" s="318">
        <f t="shared" si="25"/>
        <v>3.1560291364453989E-6</v>
      </c>
      <c r="AR14" s="318">
        <f t="shared" si="25"/>
        <v>6.6848848830920315E-5</v>
      </c>
      <c r="AS14" s="318">
        <f t="shared" si="25"/>
        <v>7.5370871429411709E-4</v>
      </c>
      <c r="AT14" s="315">
        <f t="shared" si="25"/>
        <v>7.7969345393539274E-11</v>
      </c>
      <c r="AU14" s="315">
        <f t="shared" si="25"/>
        <v>2.9795017561336766E-9</v>
      </c>
      <c r="AV14" s="318">
        <f t="shared" si="25"/>
        <v>2.1609372230112882E-3</v>
      </c>
      <c r="AW14" s="311">
        <f t="shared" si="25"/>
        <v>0.30811918791249776</v>
      </c>
      <c r="AX14" s="318">
        <f t="shared" si="25"/>
        <v>3.1078808603976446E-6</v>
      </c>
      <c r="AY14" s="315">
        <f t="shared" si="25"/>
        <v>3.3526680685113054E-8</v>
      </c>
      <c r="AZ14" s="318">
        <f t="shared" si="25"/>
        <v>5.0842026350311927E-9</v>
      </c>
      <c r="BA14" s="311">
        <f t="shared" si="25"/>
        <v>2.547346074657357E-4</v>
      </c>
      <c r="BB14" s="311">
        <f t="shared" si="25"/>
        <v>5.0211933626799272E-2</v>
      </c>
      <c r="BD14" s="316">
        <v>289.03429999999997</v>
      </c>
      <c r="BE14" s="331">
        <f t="shared" si="9"/>
        <v>59.309300000000007</v>
      </c>
      <c r="BF14" s="311">
        <f t="shared" si="10"/>
        <v>178.7607286860582</v>
      </c>
      <c r="BG14" s="311">
        <f t="shared" ref="BG14:BX14" si="26">$BE14*O$14</f>
        <v>2.6136567945524061E-4</v>
      </c>
      <c r="BH14" s="311">
        <f t="shared" si="26"/>
        <v>2.7724514443225951E-2</v>
      </c>
      <c r="BI14" s="311">
        <f t="shared" si="26"/>
        <v>37.246240400000005</v>
      </c>
      <c r="BJ14" s="311">
        <f t="shared" si="26"/>
        <v>37.273964914443226</v>
      </c>
      <c r="BK14" s="311">
        <f t="shared" si="26"/>
        <v>3.0869432522347351</v>
      </c>
      <c r="BL14" s="311">
        <f t="shared" si="26"/>
        <v>0.32834669921846166</v>
      </c>
      <c r="BM14" s="318">
        <f t="shared" si="26"/>
        <v>1.2362338693651217E-6</v>
      </c>
      <c r="BN14" s="318">
        <f t="shared" si="26"/>
        <v>2.6185059604972519E-5</v>
      </c>
      <c r="BO14" s="318">
        <f t="shared" si="26"/>
        <v>2.9523182453741818E-4</v>
      </c>
      <c r="BP14" s="315">
        <f t="shared" si="26"/>
        <v>3.054101891349515E-11</v>
      </c>
      <c r="BQ14" s="315">
        <f t="shared" si="26"/>
        <v>1.1670871292759481E-9</v>
      </c>
      <c r="BR14" s="318">
        <f t="shared" si="26"/>
        <v>8.464509258831372E-4</v>
      </c>
      <c r="BS14" s="311">
        <f t="shared" si="26"/>
        <v>0.12069197064755807</v>
      </c>
      <c r="BT14" s="318">
        <f t="shared" si="26"/>
        <v>1.2173739263708012E-6</v>
      </c>
      <c r="BU14" s="315">
        <f t="shared" si="26"/>
        <v>1.3132584142428829E-8</v>
      </c>
      <c r="BV14" s="318">
        <f t="shared" si="26"/>
        <v>1.991509971679153E-9</v>
      </c>
      <c r="BW14" s="311">
        <f t="shared" si="26"/>
        <v>9.9780938588942594E-5</v>
      </c>
      <c r="BX14" s="311">
        <f t="shared" si="26"/>
        <v>1.9668288951753994E-2</v>
      </c>
      <c r="BZ14" s="316">
        <v>347.08859999999999</v>
      </c>
      <c r="CA14" s="332">
        <f t="shared" ref="CA14:CA15" si="27">IF(BZ14&gt;0,BZ$2-BZ14,0)</f>
        <v>1.2549999999999955</v>
      </c>
      <c r="CB14" s="311" t="s">
        <v>232</v>
      </c>
      <c r="CC14" s="311">
        <f t="shared" ref="CC14:CT14" si="28">$CA14*O$14</f>
        <v>5.5305648138879685E-6</v>
      </c>
      <c r="CD14" s="311">
        <f t="shared" si="28"/>
        <v>5.8665783656607713E-4</v>
      </c>
      <c r="CE14" s="311">
        <f t="shared" si="28"/>
        <v>0.78813999999999718</v>
      </c>
      <c r="CF14" s="311">
        <f t="shared" si="28"/>
        <v>0.78872665783656315</v>
      </c>
      <c r="CG14" s="311">
        <f t="shared" si="28"/>
        <v>6.5320510974747267E-2</v>
      </c>
      <c r="CH14" s="311">
        <f t="shared" si="28"/>
        <v>6.9479003717657743E-3</v>
      </c>
      <c r="CI14" s="318">
        <f t="shared" si="28"/>
        <v>2.615902575233938E-8</v>
      </c>
      <c r="CJ14" s="318">
        <f t="shared" si="28"/>
        <v>5.5408257734015385E-7</v>
      </c>
      <c r="CK14" s="318">
        <f t="shared" si="28"/>
        <v>6.2471811300160081E-6</v>
      </c>
      <c r="CL14" s="315">
        <f t="shared" si="28"/>
        <v>6.4625579355069563E-13</v>
      </c>
      <c r="CM14" s="315">
        <f t="shared" si="28"/>
        <v>2.4695862996887664E-11</v>
      </c>
      <c r="CN14" s="318">
        <f t="shared" si="28"/>
        <v>1.7911118694426221E-5</v>
      </c>
      <c r="CO14" s="311">
        <f t="shared" si="28"/>
        <v>2.5538730546926843E-3</v>
      </c>
      <c r="CP14" s="318">
        <f t="shared" si="28"/>
        <v>2.5759944521269845E-8</v>
      </c>
      <c r="CQ14" s="315">
        <f t="shared" si="28"/>
        <v>2.7788884877663571E-10</v>
      </c>
      <c r="CR14" s="318">
        <f t="shared" si="28"/>
        <v>4.2140861794985407E-11</v>
      </c>
      <c r="CS14" s="311">
        <f t="shared" si="28"/>
        <v>2.1113902529472188E-6</v>
      </c>
      <c r="CT14" s="311">
        <f t="shared" si="28"/>
        <v>4.1618603885817523E-4</v>
      </c>
    </row>
    <row r="15" spans="1:98" ht="22" customHeight="1" thickBot="1" x14ac:dyDescent="0.3">
      <c r="A15" s="336" t="s">
        <v>288</v>
      </c>
      <c r="B15" s="321" t="s">
        <v>289</v>
      </c>
      <c r="C15" s="322" t="s">
        <v>241</v>
      </c>
      <c r="D15" s="322" t="s">
        <v>263</v>
      </c>
      <c r="E15" s="323" t="s">
        <v>290</v>
      </c>
      <c r="F15" s="336">
        <v>2330</v>
      </c>
      <c r="G15" s="336">
        <v>200</v>
      </c>
      <c r="H15" s="336" t="s">
        <v>243</v>
      </c>
      <c r="I15" s="337">
        <v>1.19</v>
      </c>
      <c r="J15" s="337">
        <v>36.46</v>
      </c>
      <c r="K15" s="326">
        <f>2330/(200*1.19*0.037)</f>
        <v>264.59232341585283</v>
      </c>
      <c r="L15" s="327" t="s">
        <v>291</v>
      </c>
      <c r="M15" s="333" t="s">
        <v>292</v>
      </c>
      <c r="N15" s="329" t="s">
        <v>293</v>
      </c>
      <c r="O15" s="330">
        <v>6.3228258916621901E-3</v>
      </c>
      <c r="P15" s="330">
        <v>0.83506328469860314</v>
      </c>
      <c r="Q15" s="330">
        <f t="shared" si="1"/>
        <v>2.4771661783205499</v>
      </c>
      <c r="R15" s="330">
        <f t="shared" si="2"/>
        <v>3.3122294630191531</v>
      </c>
      <c r="S15" s="330">
        <v>9.7077717176641674</v>
      </c>
      <c r="T15" s="330">
        <v>11.01049614373334</v>
      </c>
      <c r="U15" s="330">
        <v>4.2363474902362533E-5</v>
      </c>
      <c r="V15" s="330">
        <v>9.0880509799351776E-4</v>
      </c>
      <c r="W15" s="330">
        <v>9.7665382189144646E-3</v>
      </c>
      <c r="X15" s="330">
        <v>1.5684386863315861E-9</v>
      </c>
      <c r="Y15" s="330">
        <v>2.3613633941607929E-8</v>
      </c>
      <c r="Z15" s="330">
        <v>2.7286532205412141E-2</v>
      </c>
      <c r="AA15" s="330">
        <v>3.1944916036146429</v>
      </c>
      <c r="AB15" s="330">
        <v>2.7037664696462939E-5</v>
      </c>
      <c r="AC15" s="330">
        <v>2.5682604777655881E-7</v>
      </c>
      <c r="AD15" s="330">
        <v>5.3828502864302942E-8</v>
      </c>
      <c r="AE15" s="330">
        <v>3.0581159458224318E-3</v>
      </c>
      <c r="AF15" s="330">
        <v>0.72019340900423234</v>
      </c>
      <c r="AH15" s="316">
        <v>529.46759999999995</v>
      </c>
      <c r="AI15" s="331">
        <f t="shared" si="4"/>
        <v>2.9048000000000229</v>
      </c>
      <c r="AJ15" s="311">
        <f t="shared" si="5"/>
        <v>768.58778105837541</v>
      </c>
      <c r="AK15" s="311">
        <f t="shared" ref="AK15:BB15" si="29">$AI15*O$15</f>
        <v>1.8366544650100475E-2</v>
      </c>
      <c r="AL15" s="311">
        <f t="shared" si="29"/>
        <v>2.4256918293925214</v>
      </c>
      <c r="AM15" s="311">
        <f t="shared" si="29"/>
        <v>7.1956723147855897</v>
      </c>
      <c r="AN15" s="311">
        <f t="shared" si="29"/>
        <v>9.621364144178111</v>
      </c>
      <c r="AO15" s="311">
        <f t="shared" si="29"/>
        <v>28.199135285471097</v>
      </c>
      <c r="AP15" s="311">
        <f t="shared" si="29"/>
        <v>31.983289198316857</v>
      </c>
      <c r="AQ15" s="318">
        <f t="shared" si="29"/>
        <v>1.2305742189638364E-4</v>
      </c>
      <c r="AR15" s="318">
        <f t="shared" si="29"/>
        <v>2.639897048651591E-3</v>
      </c>
      <c r="AS15" s="318">
        <f t="shared" si="29"/>
        <v>2.8369840218302959E-2</v>
      </c>
      <c r="AT15" s="315">
        <f t="shared" si="29"/>
        <v>4.5560006960560274E-9</v>
      </c>
      <c r="AU15" s="315">
        <f t="shared" si="29"/>
        <v>6.8592883873583258E-8</v>
      </c>
      <c r="AV15" s="318">
        <f t="shared" si="29"/>
        <v>7.926191875028181E-2</v>
      </c>
      <c r="AW15" s="311">
        <f t="shared" si="29"/>
        <v>9.2793592101798872</v>
      </c>
      <c r="AX15" s="318">
        <f t="shared" si="29"/>
        <v>7.8539008410286168E-5</v>
      </c>
      <c r="AY15" s="315">
        <f t="shared" si="29"/>
        <v>7.4602830358135397E-7</v>
      </c>
      <c r="AZ15" s="318">
        <f t="shared" si="29"/>
        <v>1.5636103512022841E-7</v>
      </c>
      <c r="BA15" s="311">
        <f t="shared" si="29"/>
        <v>8.8832151994250701E-3</v>
      </c>
      <c r="BB15" s="311">
        <f t="shared" si="29"/>
        <v>2.0920178144755108</v>
      </c>
      <c r="BD15" s="316">
        <v>347.52690000000001</v>
      </c>
      <c r="BE15" s="331">
        <f t="shared" si="9"/>
        <v>0.8166999999999689</v>
      </c>
      <c r="BF15" s="311">
        <f t="shared" si="10"/>
        <v>216.09255053371876</v>
      </c>
      <c r="BG15" s="311">
        <f t="shared" ref="BG15:BX15" si="30">$BE15*O$15</f>
        <v>5.1638519057203135E-3</v>
      </c>
      <c r="BH15" s="311">
        <f t="shared" si="30"/>
        <v>0.68199618461332323</v>
      </c>
      <c r="BI15" s="311">
        <f t="shared" si="30"/>
        <v>2.0231016178343162</v>
      </c>
      <c r="BJ15" s="311">
        <f t="shared" si="30"/>
        <v>2.7050978024476393</v>
      </c>
      <c r="BK15" s="311">
        <f t="shared" si="30"/>
        <v>7.9283371618160237</v>
      </c>
      <c r="BL15" s="311">
        <f t="shared" si="30"/>
        <v>8.992272200586676</v>
      </c>
      <c r="BM15" s="318">
        <f t="shared" si="30"/>
        <v>3.4598249952758161E-5</v>
      </c>
      <c r="BN15" s="318">
        <f t="shared" si="30"/>
        <v>7.422211235312777E-4</v>
      </c>
      <c r="BO15" s="318">
        <f t="shared" si="30"/>
        <v>7.9763317633871397E-3</v>
      </c>
      <c r="BP15" s="315">
        <f t="shared" si="30"/>
        <v>1.2809438751269577E-9</v>
      </c>
      <c r="BQ15" s="315">
        <f t="shared" si="30"/>
        <v>1.928525484011046E-8</v>
      </c>
      <c r="BR15" s="318">
        <f t="shared" si="30"/>
        <v>2.2284910852159247E-2</v>
      </c>
      <c r="BS15" s="311">
        <f t="shared" si="30"/>
        <v>2.6089412926719797</v>
      </c>
      <c r="BT15" s="318">
        <f t="shared" si="30"/>
        <v>2.208166075760044E-5</v>
      </c>
      <c r="BU15" s="315">
        <f t="shared" si="30"/>
        <v>2.0974983321910758E-7</v>
      </c>
      <c r="BV15" s="318">
        <f t="shared" si="30"/>
        <v>4.3961738289274539E-8</v>
      </c>
      <c r="BW15" s="311">
        <f t="shared" si="30"/>
        <v>2.4975632929530849E-3</v>
      </c>
      <c r="BX15" s="311">
        <f t="shared" si="30"/>
        <v>0.58818195713373411</v>
      </c>
      <c r="BZ15" s="316">
        <v>348.31959999999998</v>
      </c>
      <c r="CA15" s="332">
        <f t="shared" si="27"/>
        <v>2.4000000000000909E-2</v>
      </c>
      <c r="CB15" s="311" t="s">
        <v>232</v>
      </c>
      <c r="CC15" s="311">
        <f t="shared" ref="CC15:CT15" si="31">$CA15*O$15</f>
        <v>1.517478213998983E-4</v>
      </c>
      <c r="CD15" s="311">
        <f t="shared" si="31"/>
        <v>2.0041518832767235E-2</v>
      </c>
      <c r="CE15" s="311">
        <f t="shared" si="31"/>
        <v>5.9451988279695452E-2</v>
      </c>
      <c r="CF15" s="311">
        <f t="shared" si="31"/>
        <v>7.9493507112462683E-2</v>
      </c>
      <c r="CG15" s="311">
        <f t="shared" si="31"/>
        <v>0.23298652122394883</v>
      </c>
      <c r="CH15" s="311">
        <f t="shared" si="31"/>
        <v>0.26425190744961019</v>
      </c>
      <c r="CI15" s="318">
        <f t="shared" si="31"/>
        <v>1.0167233976567394E-6</v>
      </c>
      <c r="CJ15" s="318">
        <f t="shared" si="31"/>
        <v>2.1811322351845254E-5</v>
      </c>
      <c r="CK15" s="318">
        <f t="shared" si="31"/>
        <v>2.3439691725395603E-4</v>
      </c>
      <c r="CL15" s="315">
        <f t="shared" si="31"/>
        <v>3.764252847195949E-11</v>
      </c>
      <c r="CM15" s="315">
        <f t="shared" si="31"/>
        <v>5.6672721459861182E-10</v>
      </c>
      <c r="CN15" s="318">
        <f t="shared" si="31"/>
        <v>6.5487677292991623E-4</v>
      </c>
      <c r="CO15" s="311">
        <f t="shared" si="31"/>
        <v>7.6667798486754341E-2</v>
      </c>
      <c r="CP15" s="318">
        <f t="shared" si="31"/>
        <v>6.4890395271513518E-7</v>
      </c>
      <c r="CQ15" s="315">
        <f t="shared" si="31"/>
        <v>6.1638251466376451E-9</v>
      </c>
      <c r="CR15" s="318">
        <f t="shared" si="31"/>
        <v>1.2918840687433195E-9</v>
      </c>
      <c r="CS15" s="311">
        <f t="shared" si="31"/>
        <v>7.3394782699741143E-5</v>
      </c>
      <c r="CT15" s="311">
        <f t="shared" si="31"/>
        <v>1.7284641816102231E-2</v>
      </c>
    </row>
    <row r="16" spans="1:98" ht="22" customHeight="1" x14ac:dyDescent="0.25">
      <c r="A16" s="336" t="s">
        <v>294</v>
      </c>
      <c r="B16" s="338" t="s">
        <v>295</v>
      </c>
      <c r="C16" s="322" t="s">
        <v>296</v>
      </c>
      <c r="D16" s="322" t="s">
        <v>232</v>
      </c>
      <c r="E16" s="323" t="s">
        <v>232</v>
      </c>
      <c r="F16" s="336">
        <v>1290</v>
      </c>
      <c r="G16" s="336">
        <v>8</v>
      </c>
      <c r="H16" s="336" t="s">
        <v>243</v>
      </c>
      <c r="I16" s="337">
        <v>0.69</v>
      </c>
      <c r="J16" s="337">
        <v>64.06</v>
      </c>
      <c r="K16" s="326">
        <f>1290/(8*2.5*J16/1000)</f>
        <v>1006.8685607243209</v>
      </c>
      <c r="L16" s="327" t="s">
        <v>297</v>
      </c>
      <c r="M16" s="333" t="s">
        <v>298</v>
      </c>
      <c r="N16" s="329" t="s">
        <v>299</v>
      </c>
      <c r="O16" s="330">
        <f>O17+O18</f>
        <v>0.63111707415636342</v>
      </c>
      <c r="P16" s="330">
        <f t="shared" ref="P16:AF16" si="32">P17+P18</f>
        <v>86.291079202769708</v>
      </c>
      <c r="Q16" s="330">
        <f t="shared" si="1"/>
        <v>2.4771661783205499</v>
      </c>
      <c r="R16" s="330">
        <f t="shared" si="2"/>
        <v>88.768245381090253</v>
      </c>
      <c r="S16" s="330">
        <f t="shared" si="32"/>
        <v>1601.0242376462363</v>
      </c>
      <c r="T16" s="330">
        <f t="shared" si="32"/>
        <v>1031.3322549010338</v>
      </c>
      <c r="U16" s="330">
        <f t="shared" si="32"/>
        <v>5.9545530961810859E-2</v>
      </c>
      <c r="V16" s="330">
        <f t="shared" si="32"/>
        <v>0.20992997280844422</v>
      </c>
      <c r="W16" s="330">
        <f t="shared" si="32"/>
        <v>1.2093439816155711</v>
      </c>
      <c r="X16" s="330">
        <f t="shared" si="32"/>
        <v>4.9270620044390948E-8</v>
      </c>
      <c r="Y16" s="330">
        <f t="shared" si="32"/>
        <v>1.7592065404690384E-6</v>
      </c>
      <c r="Z16" s="330">
        <f t="shared" si="32"/>
        <v>2.3919115904327359</v>
      </c>
      <c r="AA16" s="330">
        <f t="shared" si="32"/>
        <v>325.38663820046196</v>
      </c>
      <c r="AB16" s="330">
        <f t="shared" si="32"/>
        <v>1.4778751105201386E-3</v>
      </c>
      <c r="AC16" s="330">
        <f t="shared" si="32"/>
        <v>4.4793369113424336E-6</v>
      </c>
      <c r="AD16" s="330">
        <f t="shared" si="32"/>
        <v>5.5444794985200503E-6</v>
      </c>
      <c r="AE16" s="330">
        <f t="shared" si="32"/>
        <v>0.33638309315446013</v>
      </c>
      <c r="AF16" s="330">
        <f t="shared" si="32"/>
        <v>176.92954963010516</v>
      </c>
      <c r="AH16" s="316">
        <v>530.77650000000006</v>
      </c>
      <c r="AI16" s="331">
        <f t="shared" si="4"/>
        <v>1.5958999999999151</v>
      </c>
      <c r="AJ16" s="311">
        <f t="shared" si="5"/>
        <v>1606.8615360598583</v>
      </c>
      <c r="AK16" s="311">
        <f>$AI16*O$16</f>
        <v>1.0071997386460867</v>
      </c>
      <c r="AL16" s="311">
        <f t="shared" ref="AL16:BB16" si="33">$AI16*P$16</f>
        <v>137.71193329969284</v>
      </c>
      <c r="AM16" s="311">
        <f t="shared" si="33"/>
        <v>3.9533095039815551</v>
      </c>
      <c r="AN16" s="311">
        <f t="shared" si="33"/>
        <v>141.6652428036744</v>
      </c>
      <c r="AO16" s="311">
        <f t="shared" si="33"/>
        <v>2555.0745808594925</v>
      </c>
      <c r="AP16" s="311">
        <f t="shared" si="33"/>
        <v>1645.9031455964723</v>
      </c>
      <c r="AQ16" s="318">
        <f t="shared" si="33"/>
        <v>9.5028712861948889E-2</v>
      </c>
      <c r="AR16" s="318">
        <f t="shared" si="33"/>
        <v>0.33502724360497832</v>
      </c>
      <c r="AS16" s="318">
        <f t="shared" si="33"/>
        <v>1.9299920602601872</v>
      </c>
      <c r="AT16" s="315">
        <f t="shared" si="33"/>
        <v>7.8630982528839328E-8</v>
      </c>
      <c r="AU16" s="315">
        <f t="shared" si="33"/>
        <v>2.8075177179343887E-6</v>
      </c>
      <c r="AV16" s="318">
        <f t="shared" si="33"/>
        <v>3.8172517071714003</v>
      </c>
      <c r="AW16" s="311">
        <f t="shared" si="33"/>
        <v>519.28453590408958</v>
      </c>
      <c r="AX16" s="318">
        <f t="shared" si="33"/>
        <v>2.3585408888789636E-3</v>
      </c>
      <c r="AY16" s="315">
        <f t="shared" si="33"/>
        <v>7.1485737768110097E-6</v>
      </c>
      <c r="AZ16" s="318">
        <f t="shared" si="33"/>
        <v>8.8484348316876778E-6</v>
      </c>
      <c r="BA16" s="311">
        <f t="shared" si="33"/>
        <v>0.53683377836517432</v>
      </c>
      <c r="BB16" s="311">
        <f t="shared" si="33"/>
        <v>282.36186825466979</v>
      </c>
      <c r="BD16" s="316">
        <v>347.72730000000001</v>
      </c>
      <c r="BE16" s="331">
        <f t="shared" si="9"/>
        <v>0.61629999999996699</v>
      </c>
      <c r="BF16" s="311">
        <f t="shared" si="10"/>
        <v>620.53309397436578</v>
      </c>
      <c r="BG16" s="311">
        <f>$BE16*O$16</f>
        <v>0.38895745280254596</v>
      </c>
      <c r="BH16" s="311">
        <f t="shared" ref="BH16:BX16" si="34">$BE16*P$16</f>
        <v>53.181192112664121</v>
      </c>
      <c r="BI16" s="311">
        <f t="shared" si="34"/>
        <v>1.526677515698873</v>
      </c>
      <c r="BJ16" s="311">
        <f t="shared" si="34"/>
        <v>54.707869628362992</v>
      </c>
      <c r="BK16" s="311">
        <f t="shared" si="34"/>
        <v>986.71123766132257</v>
      </c>
      <c r="BL16" s="311">
        <f t="shared" si="34"/>
        <v>635.61006869547305</v>
      </c>
      <c r="BM16" s="318">
        <f t="shared" si="34"/>
        <v>3.6697910731762068E-2</v>
      </c>
      <c r="BN16" s="318">
        <f t="shared" si="34"/>
        <v>0.12937984224183724</v>
      </c>
      <c r="BO16" s="318">
        <f t="shared" si="34"/>
        <v>0.7453186958696365</v>
      </c>
      <c r="BP16" s="315">
        <f t="shared" si="34"/>
        <v>3.0365483133356516E-8</v>
      </c>
      <c r="BQ16" s="315">
        <f t="shared" si="34"/>
        <v>1.0841989908910103E-6</v>
      </c>
      <c r="BR16" s="318">
        <f t="shared" si="34"/>
        <v>1.4741351131836162</v>
      </c>
      <c r="BS16" s="311">
        <f t="shared" si="34"/>
        <v>200.53578512293396</v>
      </c>
      <c r="BT16" s="318">
        <f t="shared" si="34"/>
        <v>9.1081443061351265E-4</v>
      </c>
      <c r="BU16" s="315">
        <f t="shared" si="34"/>
        <v>2.7606153384601941E-6</v>
      </c>
      <c r="BV16" s="318">
        <f t="shared" si="34"/>
        <v>3.4170627149377238E-6</v>
      </c>
      <c r="BW16" s="311">
        <f t="shared" si="34"/>
        <v>0.20731290031108268</v>
      </c>
      <c r="BX16" s="311">
        <f t="shared" si="34"/>
        <v>109.04168143702796</v>
      </c>
      <c r="BZ16" s="316" t="s">
        <v>232</v>
      </c>
      <c r="CA16" s="332" t="s">
        <v>232</v>
      </c>
      <c r="CB16" s="311" t="s">
        <v>232</v>
      </c>
      <c r="CC16" s="311" t="s">
        <v>232</v>
      </c>
      <c r="CD16" s="311" t="s">
        <v>232</v>
      </c>
      <c r="CE16" s="311" t="s">
        <v>232</v>
      </c>
      <c r="CF16" s="311" t="s">
        <v>232</v>
      </c>
      <c r="CG16" s="311" t="s">
        <v>232</v>
      </c>
      <c r="CH16" s="311" t="s">
        <v>232</v>
      </c>
      <c r="CI16" s="318" t="s">
        <v>232</v>
      </c>
      <c r="CJ16" s="318" t="s">
        <v>232</v>
      </c>
      <c r="CK16" s="318" t="s">
        <v>232</v>
      </c>
      <c r="CL16" s="315" t="s">
        <v>232</v>
      </c>
      <c r="CM16" s="315" t="s">
        <v>232</v>
      </c>
      <c r="CN16" s="318" t="s">
        <v>232</v>
      </c>
      <c r="CO16" s="311" t="s">
        <v>232</v>
      </c>
      <c r="CP16" s="318" t="s">
        <v>232</v>
      </c>
      <c r="CQ16" s="315" t="s">
        <v>232</v>
      </c>
      <c r="CR16" s="318" t="s">
        <v>232</v>
      </c>
      <c r="CS16" s="311" t="s">
        <v>232</v>
      </c>
      <c r="CT16" s="311" t="s">
        <v>232</v>
      </c>
    </row>
    <row r="17" spans="1:98" ht="22" customHeight="1" x14ac:dyDescent="0.25">
      <c r="A17" s="335"/>
      <c r="B17" s="339" t="s">
        <v>300</v>
      </c>
      <c r="C17" s="309" t="s">
        <v>232</v>
      </c>
      <c r="D17" s="340" t="s">
        <v>233</v>
      </c>
      <c r="E17" s="341" t="s">
        <v>301</v>
      </c>
      <c r="F17" s="342" t="s">
        <v>232</v>
      </c>
      <c r="G17" s="342" t="s">
        <v>232</v>
      </c>
      <c r="H17" s="342" t="s">
        <v>232</v>
      </c>
      <c r="I17" s="310" t="s">
        <v>232</v>
      </c>
      <c r="J17" s="310" t="s">
        <v>232</v>
      </c>
      <c r="K17" s="343" t="s">
        <v>232</v>
      </c>
      <c r="L17" s="344"/>
      <c r="M17" s="312" t="s">
        <v>232</v>
      </c>
      <c r="N17" s="342" t="s">
        <v>232</v>
      </c>
      <c r="O17" s="345">
        <v>2.6517251581951749E-2</v>
      </c>
      <c r="P17" s="345">
        <v>6.7413085680108242</v>
      </c>
      <c r="Q17" s="345" t="s">
        <v>232</v>
      </c>
      <c r="R17" s="345" t="s">
        <v>232</v>
      </c>
      <c r="S17" s="345">
        <v>211.4226369168602</v>
      </c>
      <c r="T17" s="345">
        <v>93.714298843725786</v>
      </c>
      <c r="U17" s="345">
        <v>4.434981422381145E-2</v>
      </c>
      <c r="V17" s="345">
        <v>4.4702884515864152E-3</v>
      </c>
      <c r="W17" s="345">
        <v>4.8871328244381028E-2</v>
      </c>
      <c r="X17" s="345">
        <v>2.1914743199067911E-9</v>
      </c>
      <c r="Y17" s="345">
        <v>5.4960722465693277E-8</v>
      </c>
      <c r="Z17" s="345">
        <v>0.13231486321203101</v>
      </c>
      <c r="AA17" s="345">
        <v>15.12423986476727</v>
      </c>
      <c r="AB17" s="345">
        <v>3.4332010160322761E-5</v>
      </c>
      <c r="AC17" s="345">
        <v>5.401703803093673E-7</v>
      </c>
      <c r="AD17" s="345">
        <v>2.82563746967224E-7</v>
      </c>
      <c r="AE17" s="345">
        <v>1.954603596911535E-2</v>
      </c>
      <c r="AF17" s="345">
        <v>136.5326455436722</v>
      </c>
      <c r="AH17" s="316" t="s">
        <v>232</v>
      </c>
      <c r="AI17" s="317" t="s">
        <v>232</v>
      </c>
      <c r="AJ17" s="311" t="s">
        <v>232</v>
      </c>
      <c r="AK17" s="311" t="s">
        <v>232</v>
      </c>
      <c r="AL17" s="311" t="s">
        <v>232</v>
      </c>
      <c r="AM17" s="311" t="s">
        <v>232</v>
      </c>
      <c r="AN17" s="311" t="s">
        <v>232</v>
      </c>
      <c r="AO17" s="311" t="s">
        <v>232</v>
      </c>
      <c r="AP17" s="311" t="s">
        <v>232</v>
      </c>
      <c r="AQ17" s="318" t="s">
        <v>232</v>
      </c>
      <c r="AR17" s="318" t="s">
        <v>232</v>
      </c>
      <c r="AS17" s="318" t="s">
        <v>232</v>
      </c>
      <c r="AT17" s="315" t="s">
        <v>232</v>
      </c>
      <c r="AU17" s="315" t="s">
        <v>232</v>
      </c>
      <c r="AV17" s="318" t="s">
        <v>232</v>
      </c>
      <c r="AW17" s="311" t="s">
        <v>232</v>
      </c>
      <c r="AX17" s="318" t="s">
        <v>232</v>
      </c>
      <c r="AY17" s="315" t="s">
        <v>232</v>
      </c>
      <c r="AZ17" s="318" t="s">
        <v>232</v>
      </c>
      <c r="BA17" s="311" t="s">
        <v>232</v>
      </c>
      <c r="BB17" s="311" t="s">
        <v>232</v>
      </c>
      <c r="BD17" s="316" t="s">
        <v>232</v>
      </c>
      <c r="BE17" s="317" t="s">
        <v>232</v>
      </c>
      <c r="BF17" s="311" t="s">
        <v>232</v>
      </c>
      <c r="BG17" s="311" t="s">
        <v>232</v>
      </c>
      <c r="BH17" s="311" t="s">
        <v>232</v>
      </c>
      <c r="BI17" s="311" t="s">
        <v>232</v>
      </c>
      <c r="BJ17" s="311" t="s">
        <v>232</v>
      </c>
      <c r="BK17" s="311" t="s">
        <v>232</v>
      </c>
      <c r="BL17" s="311" t="s">
        <v>232</v>
      </c>
      <c r="BM17" s="318" t="s">
        <v>232</v>
      </c>
      <c r="BN17" s="318" t="s">
        <v>232</v>
      </c>
      <c r="BO17" s="318" t="s">
        <v>232</v>
      </c>
      <c r="BP17" s="315" t="s">
        <v>232</v>
      </c>
      <c r="BQ17" s="315" t="s">
        <v>232</v>
      </c>
      <c r="BR17" s="318" t="s">
        <v>232</v>
      </c>
      <c r="BS17" s="311" t="s">
        <v>232</v>
      </c>
      <c r="BT17" s="318" t="s">
        <v>232</v>
      </c>
      <c r="BU17" s="315" t="s">
        <v>232</v>
      </c>
      <c r="BV17" s="318" t="s">
        <v>232</v>
      </c>
      <c r="BW17" s="311" t="s">
        <v>232</v>
      </c>
      <c r="BX17" s="311" t="s">
        <v>232</v>
      </c>
      <c r="BZ17" s="316" t="s">
        <v>232</v>
      </c>
      <c r="CA17" s="319" t="s">
        <v>232</v>
      </c>
      <c r="CB17" s="311" t="s">
        <v>232</v>
      </c>
      <c r="CC17" s="311" t="s">
        <v>232</v>
      </c>
      <c r="CD17" s="311" t="s">
        <v>232</v>
      </c>
      <c r="CE17" s="311" t="s">
        <v>232</v>
      </c>
      <c r="CF17" s="311" t="s">
        <v>232</v>
      </c>
      <c r="CG17" s="311" t="s">
        <v>232</v>
      </c>
      <c r="CH17" s="311" t="s">
        <v>232</v>
      </c>
      <c r="CI17" s="318" t="s">
        <v>232</v>
      </c>
      <c r="CJ17" s="318" t="s">
        <v>232</v>
      </c>
      <c r="CK17" s="318" t="s">
        <v>232</v>
      </c>
      <c r="CL17" s="315" t="s">
        <v>232</v>
      </c>
      <c r="CM17" s="315" t="s">
        <v>232</v>
      </c>
      <c r="CN17" s="318" t="s">
        <v>232</v>
      </c>
      <c r="CO17" s="311" t="s">
        <v>232</v>
      </c>
      <c r="CP17" s="318" t="s">
        <v>232</v>
      </c>
      <c r="CQ17" s="315" t="s">
        <v>232</v>
      </c>
      <c r="CR17" s="318" t="s">
        <v>232</v>
      </c>
      <c r="CS17" s="311" t="s">
        <v>232</v>
      </c>
      <c r="CT17" s="311" t="s">
        <v>232</v>
      </c>
    </row>
    <row r="18" spans="1:98" ht="22" customHeight="1" thickBot="1" x14ac:dyDescent="0.3">
      <c r="A18" s="335"/>
      <c r="B18" s="346" t="s">
        <v>302</v>
      </c>
      <c r="C18" s="309" t="s">
        <v>232</v>
      </c>
      <c r="D18" s="340" t="s">
        <v>233</v>
      </c>
      <c r="E18" s="341" t="s">
        <v>303</v>
      </c>
      <c r="F18" s="342" t="s">
        <v>232</v>
      </c>
      <c r="G18" s="342" t="s">
        <v>232</v>
      </c>
      <c r="H18" s="342" t="s">
        <v>232</v>
      </c>
      <c r="I18" s="310" t="s">
        <v>232</v>
      </c>
      <c r="J18" s="310" t="s">
        <v>232</v>
      </c>
      <c r="K18" s="343" t="s">
        <v>232</v>
      </c>
      <c r="L18" s="344"/>
      <c r="M18" s="340" t="s">
        <v>232</v>
      </c>
      <c r="N18" s="342" t="s">
        <v>232</v>
      </c>
      <c r="O18" s="345">
        <v>0.60459982257441169</v>
      </c>
      <c r="P18" s="345">
        <v>79.549770634758886</v>
      </c>
      <c r="Q18" s="345" t="s">
        <v>232</v>
      </c>
      <c r="R18" s="345" t="s">
        <v>232</v>
      </c>
      <c r="S18" s="345">
        <v>1389.6016007293761</v>
      </c>
      <c r="T18" s="345">
        <v>937.61795605730811</v>
      </c>
      <c r="U18" s="345">
        <v>1.519571673799941E-2</v>
      </c>
      <c r="V18" s="345">
        <v>0.2054596843568578</v>
      </c>
      <c r="W18" s="345">
        <v>1.16047265337119</v>
      </c>
      <c r="X18" s="345">
        <v>4.7079145724484158E-8</v>
      </c>
      <c r="Y18" s="345">
        <v>1.704245818003345E-6</v>
      </c>
      <c r="Z18" s="345">
        <v>2.2595967272207051</v>
      </c>
      <c r="AA18" s="345">
        <v>310.26239833569468</v>
      </c>
      <c r="AB18" s="345">
        <v>1.443543100359816E-3</v>
      </c>
      <c r="AC18" s="345">
        <v>3.9391665310330666E-6</v>
      </c>
      <c r="AD18" s="345">
        <v>5.2619157515528267E-6</v>
      </c>
      <c r="AE18" s="345">
        <v>0.31683705718534477</v>
      </c>
      <c r="AF18" s="345">
        <v>40.396904086432961</v>
      </c>
      <c r="AH18" s="316" t="s">
        <v>232</v>
      </c>
      <c r="AI18" s="317" t="s">
        <v>232</v>
      </c>
      <c r="AJ18" s="311" t="s">
        <v>232</v>
      </c>
      <c r="AK18" s="311" t="s">
        <v>232</v>
      </c>
      <c r="AL18" s="311" t="s">
        <v>232</v>
      </c>
      <c r="AM18" s="311" t="s">
        <v>232</v>
      </c>
      <c r="AN18" s="311" t="s">
        <v>232</v>
      </c>
      <c r="AO18" s="311" t="s">
        <v>232</v>
      </c>
      <c r="AP18" s="311" t="s">
        <v>232</v>
      </c>
      <c r="AQ18" s="318" t="s">
        <v>232</v>
      </c>
      <c r="AR18" s="318" t="s">
        <v>232</v>
      </c>
      <c r="AS18" s="318" t="s">
        <v>232</v>
      </c>
      <c r="AT18" s="315" t="s">
        <v>232</v>
      </c>
      <c r="AU18" s="315" t="s">
        <v>232</v>
      </c>
      <c r="AV18" s="318" t="s">
        <v>232</v>
      </c>
      <c r="AW18" s="311" t="s">
        <v>232</v>
      </c>
      <c r="AX18" s="318" t="s">
        <v>232</v>
      </c>
      <c r="AY18" s="315" t="s">
        <v>232</v>
      </c>
      <c r="AZ18" s="318" t="s">
        <v>232</v>
      </c>
      <c r="BA18" s="311" t="s">
        <v>232</v>
      </c>
      <c r="BB18" s="311" t="s">
        <v>232</v>
      </c>
      <c r="BD18" s="316" t="s">
        <v>232</v>
      </c>
      <c r="BE18" s="317" t="s">
        <v>232</v>
      </c>
      <c r="BF18" s="311" t="s">
        <v>232</v>
      </c>
      <c r="BG18" s="311" t="s">
        <v>232</v>
      </c>
      <c r="BH18" s="311" t="s">
        <v>232</v>
      </c>
      <c r="BI18" s="311" t="s">
        <v>232</v>
      </c>
      <c r="BJ18" s="311" t="s">
        <v>232</v>
      </c>
      <c r="BK18" s="311" t="s">
        <v>232</v>
      </c>
      <c r="BL18" s="311" t="s">
        <v>232</v>
      </c>
      <c r="BM18" s="318" t="s">
        <v>232</v>
      </c>
      <c r="BN18" s="318" t="s">
        <v>232</v>
      </c>
      <c r="BO18" s="318" t="s">
        <v>232</v>
      </c>
      <c r="BP18" s="315" t="s">
        <v>232</v>
      </c>
      <c r="BQ18" s="315" t="s">
        <v>232</v>
      </c>
      <c r="BR18" s="318" t="s">
        <v>232</v>
      </c>
      <c r="BS18" s="311" t="s">
        <v>232</v>
      </c>
      <c r="BT18" s="318" t="s">
        <v>232</v>
      </c>
      <c r="BU18" s="315" t="s">
        <v>232</v>
      </c>
      <c r="BV18" s="318" t="s">
        <v>232</v>
      </c>
      <c r="BW18" s="311" t="s">
        <v>232</v>
      </c>
      <c r="BX18" s="311" t="s">
        <v>232</v>
      </c>
      <c r="BZ18" s="316" t="s">
        <v>232</v>
      </c>
      <c r="CA18" s="319" t="s">
        <v>232</v>
      </c>
      <c r="CB18" s="311" t="s">
        <v>232</v>
      </c>
      <c r="CC18" s="311" t="s">
        <v>232</v>
      </c>
      <c r="CD18" s="311" t="s">
        <v>232</v>
      </c>
      <c r="CE18" s="311" t="s">
        <v>232</v>
      </c>
      <c r="CF18" s="311" t="s">
        <v>232</v>
      </c>
      <c r="CG18" s="311" t="s">
        <v>232</v>
      </c>
      <c r="CH18" s="311" t="s">
        <v>232</v>
      </c>
      <c r="CI18" s="318" t="s">
        <v>232</v>
      </c>
      <c r="CJ18" s="318" t="s">
        <v>232</v>
      </c>
      <c r="CK18" s="318" t="s">
        <v>232</v>
      </c>
      <c r="CL18" s="315" t="s">
        <v>232</v>
      </c>
      <c r="CM18" s="315" t="s">
        <v>232</v>
      </c>
      <c r="CN18" s="318" t="s">
        <v>232</v>
      </c>
      <c r="CO18" s="311" t="s">
        <v>232</v>
      </c>
      <c r="CP18" s="318" t="s">
        <v>232</v>
      </c>
      <c r="CQ18" s="315" t="s">
        <v>232</v>
      </c>
      <c r="CR18" s="318" t="s">
        <v>232</v>
      </c>
      <c r="CS18" s="311" t="s">
        <v>232</v>
      </c>
      <c r="CT18" s="311" t="s">
        <v>232</v>
      </c>
    </row>
    <row r="19" spans="1:98" ht="22" customHeight="1" x14ac:dyDescent="0.25">
      <c r="A19" s="336" t="s">
        <v>304</v>
      </c>
      <c r="B19" s="321" t="s">
        <v>305</v>
      </c>
      <c r="C19" s="322" t="s">
        <v>237</v>
      </c>
      <c r="D19" s="322" t="s">
        <v>263</v>
      </c>
      <c r="E19" s="323" t="s">
        <v>306</v>
      </c>
      <c r="F19" s="336">
        <v>562</v>
      </c>
      <c r="G19" s="336">
        <v>10</v>
      </c>
      <c r="H19" s="336" t="s">
        <v>2</v>
      </c>
      <c r="I19" s="337">
        <v>1</v>
      </c>
      <c r="J19" s="337">
        <v>212.27</v>
      </c>
      <c r="K19" s="326">
        <f>F19/(G19*I19)</f>
        <v>56.2</v>
      </c>
      <c r="L19" s="327"/>
      <c r="M19" s="333" t="s">
        <v>307</v>
      </c>
      <c r="N19" s="329" t="s">
        <v>308</v>
      </c>
      <c r="O19" s="330">
        <v>3.9468565352403263E-2</v>
      </c>
      <c r="P19" s="330">
        <v>2.8268328430544729</v>
      </c>
      <c r="Q19" s="330">
        <f t="shared" si="1"/>
        <v>1.9857339720851801</v>
      </c>
      <c r="R19" s="330">
        <f t="shared" si="2"/>
        <v>4.812566815139653</v>
      </c>
      <c r="S19" s="330">
        <v>38.976913804467912</v>
      </c>
      <c r="T19" s="330">
        <v>20.3710035121297</v>
      </c>
      <c r="U19" s="330">
        <v>1.2442999951984971E-4</v>
      </c>
      <c r="V19" s="330">
        <v>2.4908195910935218E-3</v>
      </c>
      <c r="W19" s="330">
        <v>3.4489735585774853E-2</v>
      </c>
      <c r="X19" s="330">
        <v>5.9266307701134769E-9</v>
      </c>
      <c r="Y19" s="330">
        <v>1.5153895553170261E-7</v>
      </c>
      <c r="Z19" s="330">
        <v>5.813176535354176E-2</v>
      </c>
      <c r="AA19" s="330">
        <v>60.247271124357887</v>
      </c>
      <c r="AB19" s="330">
        <v>1.167636341918599E-4</v>
      </c>
      <c r="AC19" s="330">
        <v>4.1775300801924583E-8</v>
      </c>
      <c r="AD19" s="330">
        <v>2.3192189381273869E-7</v>
      </c>
      <c r="AE19" s="330">
        <v>9.9783023117538134E-3</v>
      </c>
      <c r="AF19" s="330">
        <v>5.7157526452479059</v>
      </c>
      <c r="AH19" s="316">
        <v>524.62739999999997</v>
      </c>
      <c r="AI19" s="331">
        <f t="shared" si="4"/>
        <v>7.7450000000000045</v>
      </c>
      <c r="AJ19" s="311">
        <f t="shared" si="5"/>
        <v>435.26900000000029</v>
      </c>
      <c r="AK19" s="311">
        <f t="shared" ref="AK19:BB19" si="35">$AI19*O$19</f>
        <v>0.30568403865436344</v>
      </c>
      <c r="AL19" s="311">
        <f t="shared" si="35"/>
        <v>21.893820369456904</v>
      </c>
      <c r="AM19" s="311">
        <f t="shared" si="35"/>
        <v>15.379509613799728</v>
      </c>
      <c r="AN19" s="311">
        <f t="shared" si="35"/>
        <v>37.273329983256637</v>
      </c>
      <c r="AO19" s="311">
        <f t="shared" si="35"/>
        <v>301.87619741560417</v>
      </c>
      <c r="AP19" s="311">
        <f t="shared" si="35"/>
        <v>157.77342220144462</v>
      </c>
      <c r="AQ19" s="318">
        <f t="shared" si="35"/>
        <v>9.6371034628123654E-4</v>
      </c>
      <c r="AR19" s="318">
        <f t="shared" si="35"/>
        <v>1.9291397733019338E-2</v>
      </c>
      <c r="AS19" s="318">
        <f t="shared" si="35"/>
        <v>0.26712300211182638</v>
      </c>
      <c r="AT19" s="315">
        <f t="shared" si="35"/>
        <v>4.5901755314528904E-8</v>
      </c>
      <c r="AU19" s="315">
        <f t="shared" si="35"/>
        <v>1.1736692105930374E-6</v>
      </c>
      <c r="AV19" s="318">
        <f t="shared" si="35"/>
        <v>0.4502305226631812</v>
      </c>
      <c r="AW19" s="311">
        <f t="shared" si="35"/>
        <v>466.61511485815208</v>
      </c>
      <c r="AX19" s="318">
        <f t="shared" si="35"/>
        <v>9.0433434681595542E-4</v>
      </c>
      <c r="AY19" s="315">
        <f t="shared" si="35"/>
        <v>3.2354970471090606E-7</v>
      </c>
      <c r="AZ19" s="318">
        <f t="shared" si="35"/>
        <v>1.7962350675796622E-6</v>
      </c>
      <c r="BA19" s="311">
        <f t="shared" si="35"/>
        <v>7.7281951404533325E-2</v>
      </c>
      <c r="BB19" s="311">
        <f t="shared" si="35"/>
        <v>44.268504237445057</v>
      </c>
      <c r="BD19" s="316">
        <v>346.28410000000002</v>
      </c>
      <c r="BE19" s="331">
        <f t="shared" si="9"/>
        <v>2.0594999999999573</v>
      </c>
      <c r="BF19" s="311">
        <f t="shared" si="10"/>
        <v>115.74389999999761</v>
      </c>
      <c r="BG19" s="311">
        <f t="shared" ref="BG19:BX19" si="36">$BE19*O$19</f>
        <v>8.1285510343272832E-2</v>
      </c>
      <c r="BH19" s="311">
        <f t="shared" si="36"/>
        <v>5.8218622402705664</v>
      </c>
      <c r="BI19" s="311">
        <f t="shared" si="36"/>
        <v>4.0896191155093433</v>
      </c>
      <c r="BJ19" s="311">
        <f t="shared" si="36"/>
        <v>9.9114813557799089</v>
      </c>
      <c r="BK19" s="311">
        <f t="shared" si="36"/>
        <v>80.272953980300002</v>
      </c>
      <c r="BL19" s="311">
        <f t="shared" si="36"/>
        <v>41.954081733230247</v>
      </c>
      <c r="BM19" s="318">
        <f t="shared" si="36"/>
        <v>2.5626358401112517E-4</v>
      </c>
      <c r="BN19" s="318">
        <f t="shared" si="36"/>
        <v>5.129842947857002E-3</v>
      </c>
      <c r="BO19" s="318">
        <f t="shared" si="36"/>
        <v>7.103161043890184E-2</v>
      </c>
      <c r="BP19" s="315">
        <f t="shared" si="36"/>
        <v>1.2205896071048452E-8</v>
      </c>
      <c r="BQ19" s="315">
        <f t="shared" si="36"/>
        <v>3.1209447891753502E-7</v>
      </c>
      <c r="BR19" s="318">
        <f t="shared" si="36"/>
        <v>0.11972237074561677</v>
      </c>
      <c r="BS19" s="311">
        <f t="shared" si="36"/>
        <v>124.0792548806125</v>
      </c>
      <c r="BT19" s="318">
        <f t="shared" si="36"/>
        <v>2.4047470461813046E-4</v>
      </c>
      <c r="BU19" s="315">
        <f t="shared" si="36"/>
        <v>8.6036232001561887E-8</v>
      </c>
      <c r="BV19" s="318">
        <f t="shared" si="36"/>
        <v>4.7764314030732546E-7</v>
      </c>
      <c r="BW19" s="311">
        <f t="shared" si="36"/>
        <v>2.0550313611056553E-2</v>
      </c>
      <c r="BX19" s="311">
        <f t="shared" si="36"/>
        <v>11.771592572887817</v>
      </c>
      <c r="BZ19" s="316" t="s">
        <v>232</v>
      </c>
      <c r="CA19" s="332" t="s">
        <v>232</v>
      </c>
      <c r="CB19" s="311" t="s">
        <v>232</v>
      </c>
      <c r="CC19" s="311" t="s">
        <v>232</v>
      </c>
      <c r="CD19" s="311" t="s">
        <v>232</v>
      </c>
      <c r="CE19" s="311" t="s">
        <v>232</v>
      </c>
      <c r="CF19" s="311" t="s">
        <v>232</v>
      </c>
      <c r="CG19" s="311" t="s">
        <v>232</v>
      </c>
      <c r="CH19" s="311" t="s">
        <v>232</v>
      </c>
      <c r="CI19" s="318" t="s">
        <v>232</v>
      </c>
      <c r="CJ19" s="318" t="s">
        <v>232</v>
      </c>
      <c r="CK19" s="318" t="s">
        <v>232</v>
      </c>
      <c r="CL19" s="315" t="s">
        <v>232</v>
      </c>
      <c r="CM19" s="315" t="s">
        <v>232</v>
      </c>
      <c r="CN19" s="318" t="s">
        <v>232</v>
      </c>
      <c r="CO19" s="311" t="s">
        <v>232</v>
      </c>
      <c r="CP19" s="318" t="s">
        <v>232</v>
      </c>
      <c r="CQ19" s="315" t="s">
        <v>232</v>
      </c>
      <c r="CR19" s="318" t="s">
        <v>232</v>
      </c>
      <c r="CS19" s="311" t="s">
        <v>232</v>
      </c>
      <c r="CT19" s="311" t="s">
        <v>232</v>
      </c>
    </row>
    <row r="20" spans="1:98" ht="22" customHeight="1" x14ac:dyDescent="0.25">
      <c r="A20" s="336" t="s">
        <v>309</v>
      </c>
      <c r="B20" s="321" t="s">
        <v>310</v>
      </c>
      <c r="C20" s="322" t="s">
        <v>237</v>
      </c>
      <c r="D20" s="322" t="s">
        <v>233</v>
      </c>
      <c r="E20" s="323" t="s">
        <v>311</v>
      </c>
      <c r="F20" s="336">
        <v>916</v>
      </c>
      <c r="G20" s="336">
        <v>25</v>
      </c>
      <c r="H20" s="336" t="s">
        <v>2</v>
      </c>
      <c r="I20" s="337">
        <v>1</v>
      </c>
      <c r="J20" s="337">
        <v>60.08</v>
      </c>
      <c r="K20" s="326">
        <f>F20/(G20*I20)</f>
        <v>36.64</v>
      </c>
      <c r="L20" s="327"/>
      <c r="M20" s="333" t="s">
        <v>312</v>
      </c>
      <c r="N20" s="334" t="s">
        <v>313</v>
      </c>
      <c r="O20" s="330">
        <v>2.3498482918908079E-2</v>
      </c>
      <c r="P20" s="330">
        <v>2.10816096364622</v>
      </c>
      <c r="Q20" s="330">
        <f t="shared" si="1"/>
        <v>1.9857339720851801</v>
      </c>
      <c r="R20" s="330">
        <f t="shared" si="2"/>
        <v>4.0938949357314005</v>
      </c>
      <c r="S20" s="330">
        <v>28.967750928329739</v>
      </c>
      <c r="T20" s="330">
        <v>23.850318106686789</v>
      </c>
      <c r="U20" s="330">
        <v>7.8918765343834416E-5</v>
      </c>
      <c r="V20" s="330">
        <v>2.0234369045283081E-3</v>
      </c>
      <c r="W20" s="330">
        <v>2.8072880557048749E-2</v>
      </c>
      <c r="X20" s="330">
        <v>1.737103203583257E-9</v>
      </c>
      <c r="Y20" s="330">
        <v>8.49341657185358E-8</v>
      </c>
      <c r="Z20" s="330">
        <v>3.1841692742730007E-2</v>
      </c>
      <c r="AA20" s="330">
        <v>11.50347619254047</v>
      </c>
      <c r="AB20" s="330">
        <v>9.192899889163399E-5</v>
      </c>
      <c r="AC20" s="330">
        <v>2.8591236605017178E-8</v>
      </c>
      <c r="AD20" s="330">
        <v>1.8872289696664139E-7</v>
      </c>
      <c r="AE20" s="330">
        <v>8.1118889392561445E-3</v>
      </c>
      <c r="AF20" s="330">
        <v>1.3044258771189989</v>
      </c>
      <c r="AH20" s="316">
        <v>502.37240000000003</v>
      </c>
      <c r="AI20" s="331">
        <f t="shared" si="4"/>
        <v>29.999999999999943</v>
      </c>
      <c r="AJ20" s="311">
        <f t="shared" si="5"/>
        <v>1099.199999999998</v>
      </c>
      <c r="AK20" s="311">
        <f t="shared" ref="AK20:BB20" si="37">$AI20*O$20</f>
        <v>0.70495448756724099</v>
      </c>
      <c r="AL20" s="311">
        <f t="shared" si="37"/>
        <v>63.244828909386477</v>
      </c>
      <c r="AM20" s="311">
        <f t="shared" si="37"/>
        <v>59.572019162555293</v>
      </c>
      <c r="AN20" s="311">
        <f t="shared" si="37"/>
        <v>122.81684807194178</v>
      </c>
      <c r="AO20" s="311">
        <f t="shared" si="37"/>
        <v>869.03252784989047</v>
      </c>
      <c r="AP20" s="311">
        <f t="shared" si="37"/>
        <v>715.50954320060237</v>
      </c>
      <c r="AQ20" s="318">
        <f t="shared" si="37"/>
        <v>2.3675629603150282E-3</v>
      </c>
      <c r="AR20" s="318">
        <f t="shared" si="37"/>
        <v>6.070310713584913E-2</v>
      </c>
      <c r="AS20" s="318">
        <f t="shared" si="37"/>
        <v>0.84218641671146088</v>
      </c>
      <c r="AT20" s="315">
        <f t="shared" si="37"/>
        <v>5.2113096107497609E-8</v>
      </c>
      <c r="AU20" s="315">
        <f t="shared" si="37"/>
        <v>2.5480249715560691E-6</v>
      </c>
      <c r="AV20" s="318">
        <f t="shared" si="37"/>
        <v>0.95525078228189841</v>
      </c>
      <c r="AW20" s="311">
        <f t="shared" si="37"/>
        <v>345.10428577621343</v>
      </c>
      <c r="AX20" s="318">
        <f t="shared" si="37"/>
        <v>2.7578699667490146E-3</v>
      </c>
      <c r="AY20" s="315">
        <f t="shared" si="37"/>
        <v>8.5773709815051369E-7</v>
      </c>
      <c r="AZ20" s="318">
        <f t="shared" si="37"/>
        <v>5.6616869089992311E-6</v>
      </c>
      <c r="BA20" s="311">
        <f t="shared" si="37"/>
        <v>0.24335666817768387</v>
      </c>
      <c r="BB20" s="311">
        <f t="shared" si="37"/>
        <v>39.132776313569892</v>
      </c>
      <c r="BD20" s="316">
        <v>317.41070000000002</v>
      </c>
      <c r="BE20" s="331">
        <f t="shared" si="9"/>
        <v>30.932899999999961</v>
      </c>
      <c r="BF20" s="311">
        <f t="shared" si="10"/>
        <v>1133.3814559999985</v>
      </c>
      <c r="BG20" s="311">
        <f t="shared" ref="BG20:BX20" si="38">$BE20*O$20</f>
        <v>0.72687622228229076</v>
      </c>
      <c r="BH20" s="311">
        <f t="shared" si="38"/>
        <v>65.211532272372082</v>
      </c>
      <c r="BI20" s="311">
        <f t="shared" si="38"/>
        <v>61.424510385113592</v>
      </c>
      <c r="BJ20" s="311">
        <f t="shared" si="38"/>
        <v>126.63604265748567</v>
      </c>
      <c r="BK20" s="311">
        <f t="shared" si="38"/>
        <v>896.05654269092986</v>
      </c>
      <c r="BL20" s="311">
        <f t="shared" si="38"/>
        <v>737.75950496233088</v>
      </c>
      <c r="BM20" s="318">
        <f t="shared" si="38"/>
        <v>2.4411862765042927E-3</v>
      </c>
      <c r="BN20" s="318">
        <f t="shared" si="38"/>
        <v>6.2590771424083619E-2</v>
      </c>
      <c r="BO20" s="318">
        <f t="shared" si="38"/>
        <v>0.8683756069831321</v>
      </c>
      <c r="BP20" s="315">
        <f t="shared" si="38"/>
        <v>5.3733639686120461E-8</v>
      </c>
      <c r="BQ20" s="315">
        <f t="shared" si="38"/>
        <v>2.6272600547548927E-6</v>
      </c>
      <c r="BR20" s="318">
        <f t="shared" si="38"/>
        <v>0.98495589744159184</v>
      </c>
      <c r="BS20" s="311">
        <f t="shared" si="38"/>
        <v>355.83587871623467</v>
      </c>
      <c r="BT20" s="318">
        <f t="shared" si="38"/>
        <v>2.8436305298150215E-3</v>
      </c>
      <c r="BU20" s="315">
        <f t="shared" si="38"/>
        <v>8.8440986277933473E-7</v>
      </c>
      <c r="BV20" s="318">
        <f t="shared" si="38"/>
        <v>5.837746499579414E-6</v>
      </c>
      <c r="BW20" s="311">
        <f t="shared" si="38"/>
        <v>0.25092424936911606</v>
      </c>
      <c r="BX20" s="311">
        <f t="shared" si="38"/>
        <v>40.349675214334233</v>
      </c>
      <c r="BZ20" s="316">
        <v>347.5215</v>
      </c>
      <c r="CA20" s="332">
        <f t="shared" ref="CA20:CA23" si="39">IF(BZ20&gt;0,BZ$2-BZ20,0)</f>
        <v>0.82209999999997763</v>
      </c>
      <c r="CB20" s="311" t="s">
        <v>232</v>
      </c>
      <c r="CC20" s="311">
        <f t="shared" ref="CC20:CT20" si="40">$CA20*O$20</f>
        <v>1.9318102807633807E-2</v>
      </c>
      <c r="CD20" s="311">
        <f t="shared" si="40"/>
        <v>1.7331191282135103</v>
      </c>
      <c r="CE20" s="311">
        <f t="shared" si="40"/>
        <v>1.6324718984511821</v>
      </c>
      <c r="CF20" s="311">
        <f t="shared" si="40"/>
        <v>3.3655910266646929</v>
      </c>
      <c r="CG20" s="311">
        <f t="shared" si="40"/>
        <v>23.814388038179231</v>
      </c>
      <c r="CH20" s="311">
        <f t="shared" si="40"/>
        <v>19.607346515506677</v>
      </c>
      <c r="CI20" s="318">
        <f t="shared" si="40"/>
        <v>6.4879116989164504E-5</v>
      </c>
      <c r="CJ20" s="318">
        <f t="shared" si="40"/>
        <v>1.6634674792126768E-3</v>
      </c>
      <c r="CK20" s="318">
        <f t="shared" si="40"/>
        <v>2.3078715105949148E-2</v>
      </c>
      <c r="CL20" s="315">
        <f t="shared" si="40"/>
        <v>1.4280725436657567E-9</v>
      </c>
      <c r="CM20" s="315">
        <f t="shared" si="40"/>
        <v>6.9824377637206377E-8</v>
      </c>
      <c r="CN20" s="318">
        <f t="shared" si="40"/>
        <v>2.6177055603797628E-2</v>
      </c>
      <c r="CO20" s="311">
        <f t="shared" si="40"/>
        <v>9.457007777887263</v>
      </c>
      <c r="CP20" s="318">
        <f t="shared" si="40"/>
        <v>7.5574829988810243E-5</v>
      </c>
      <c r="CQ20" s="315">
        <f t="shared" si="40"/>
        <v>2.3504855612983984E-8</v>
      </c>
      <c r="CR20" s="318">
        <f t="shared" si="40"/>
        <v>1.5514909359627168E-7</v>
      </c>
      <c r="CS20" s="311">
        <f t="shared" si="40"/>
        <v>6.6687838969622945E-3</v>
      </c>
      <c r="CT20" s="311">
        <f t="shared" si="40"/>
        <v>1.0723685135794998</v>
      </c>
    </row>
    <row r="21" spans="1:98" ht="22" customHeight="1" x14ac:dyDescent="0.25">
      <c r="A21" s="336" t="s">
        <v>314</v>
      </c>
      <c r="B21" s="321" t="s">
        <v>315</v>
      </c>
      <c r="C21" s="322" t="s">
        <v>241</v>
      </c>
      <c r="D21" s="322" t="s">
        <v>233</v>
      </c>
      <c r="E21" s="323" t="s">
        <v>316</v>
      </c>
      <c r="F21" s="336">
        <v>4000</v>
      </c>
      <c r="G21" s="336">
        <v>200</v>
      </c>
      <c r="H21" s="336" t="s">
        <v>243</v>
      </c>
      <c r="I21" s="337">
        <v>0.90200000000000002</v>
      </c>
      <c r="J21" s="337">
        <v>88.11</v>
      </c>
      <c r="K21" s="326">
        <f>F21/(G21*I21)</f>
        <v>22.172949002217294</v>
      </c>
      <c r="L21" s="347"/>
      <c r="M21" s="348" t="s">
        <v>317</v>
      </c>
      <c r="N21" s="334" t="s">
        <v>318</v>
      </c>
      <c r="O21" s="330">
        <v>1.6632758626481978E-2</v>
      </c>
      <c r="P21" s="330">
        <v>3.2263034889975901</v>
      </c>
      <c r="Q21" s="330">
        <f t="shared" si="1"/>
        <v>2.4771661783205499</v>
      </c>
      <c r="R21" s="330">
        <f t="shared" si="2"/>
        <v>5.7034696673181404</v>
      </c>
      <c r="S21" s="330">
        <v>25.43240851305854</v>
      </c>
      <c r="T21" s="330">
        <v>72.293968515453585</v>
      </c>
      <c r="U21" s="330">
        <v>2.945585910468362E-4</v>
      </c>
      <c r="V21" s="330">
        <v>2.8772969539044872E-3</v>
      </c>
      <c r="W21" s="330">
        <v>3.1920887640418963E-2</v>
      </c>
      <c r="X21" s="330">
        <v>1.2729743356309599E-9</v>
      </c>
      <c r="Y21" s="330">
        <v>4.1187408412424347E-8</v>
      </c>
      <c r="Z21" s="330">
        <v>5.9380062093164918E-2</v>
      </c>
      <c r="AA21" s="330">
        <v>10.298463140401161</v>
      </c>
      <c r="AB21" s="330">
        <v>2.2229302373328141E-5</v>
      </c>
      <c r="AC21" s="330">
        <v>5.5638460142342093E-8</v>
      </c>
      <c r="AD21" s="330">
        <v>1.6256793620947041E-7</v>
      </c>
      <c r="AE21" s="330">
        <v>1.5634804792566528E-2</v>
      </c>
      <c r="AF21" s="330">
        <v>2.2157596241038822</v>
      </c>
      <c r="AH21" s="316">
        <v>398.21710000000002</v>
      </c>
      <c r="AI21" s="331">
        <f t="shared" si="4"/>
        <v>134.15529999999995</v>
      </c>
      <c r="AJ21" s="311">
        <f t="shared" si="5"/>
        <v>2974.6186252771608</v>
      </c>
      <c r="AK21" s="311">
        <f t="shared" ref="AK21:BB21" si="41">$AI21*O$21</f>
        <v>2.2313727233632772</v>
      </c>
      <c r="AL21" s="311">
        <f t="shared" si="41"/>
        <v>432.82571245751825</v>
      </c>
      <c r="AM21" s="311">
        <f t="shared" si="41"/>
        <v>332.32497180244673</v>
      </c>
      <c r="AN21" s="311">
        <f t="shared" si="41"/>
        <v>765.15068425996503</v>
      </c>
      <c r="AO21" s="311">
        <f t="shared" si="41"/>
        <v>3411.8923937919212</v>
      </c>
      <c r="AP21" s="311">
        <f t="shared" si="41"/>
        <v>9698.6190343812268</v>
      </c>
      <c r="AQ21" s="318">
        <f t="shared" si="41"/>
        <v>3.9516596149465608E-2</v>
      </c>
      <c r="AR21" s="318">
        <f t="shared" si="41"/>
        <v>0.38600463604014251</v>
      </c>
      <c r="AS21" s="318">
        <f t="shared" si="41"/>
        <v>4.2823562576666969</v>
      </c>
      <c r="AT21" s="315">
        <f t="shared" si="41"/>
        <v>1.7077625388887205E-7</v>
      </c>
      <c r="AU21" s="315">
        <f t="shared" si="41"/>
        <v>5.5255091317913101E-6</v>
      </c>
      <c r="AV21" s="318">
        <f t="shared" si="41"/>
        <v>7.9661500441271649</v>
      </c>
      <c r="AW21" s="311">
        <f t="shared" si="41"/>
        <v>1381.5934121394594</v>
      </c>
      <c r="AX21" s="318">
        <f t="shared" si="41"/>
        <v>2.9821787286845479E-3</v>
      </c>
      <c r="AY21" s="315">
        <f t="shared" si="41"/>
        <v>7.4641943119339434E-6</v>
      </c>
      <c r="AZ21" s="318">
        <f t="shared" si="41"/>
        <v>2.180935025256236E-5</v>
      </c>
      <c r="BA21" s="311">
        <f t="shared" si="41"/>
        <v>2.0974919273881998</v>
      </c>
      <c r="BB21" s="311">
        <f t="shared" si="41"/>
        <v>297.25589709954346</v>
      </c>
      <c r="BD21" s="316">
        <v>239.2774</v>
      </c>
      <c r="BE21" s="331">
        <f t="shared" si="9"/>
        <v>109.06619999999998</v>
      </c>
      <c r="BF21" s="311">
        <f t="shared" si="10"/>
        <v>2418.3192904656312</v>
      </c>
      <c r="BG21" s="311">
        <f t="shared" ref="BG21:BX21" si="42">$BE21*O$21</f>
        <v>1.8140717789076084</v>
      </c>
      <c r="BH21" s="311">
        <f t="shared" si="42"/>
        <v>351.88066159170893</v>
      </c>
      <c r="BI21" s="311">
        <f t="shared" si="42"/>
        <v>270.17510183794468</v>
      </c>
      <c r="BJ21" s="311">
        <f t="shared" si="42"/>
        <v>622.05576342965367</v>
      </c>
      <c r="BK21" s="311">
        <f t="shared" si="42"/>
        <v>2773.8161533669449</v>
      </c>
      <c r="BL21" s="311">
        <f t="shared" si="42"/>
        <v>7884.8284289001622</v>
      </c>
      <c r="BM21" s="318">
        <f t="shared" si="42"/>
        <v>3.2126386202832438E-2</v>
      </c>
      <c r="BN21" s="318">
        <f t="shared" si="42"/>
        <v>0.3138158450339375</v>
      </c>
      <c r="BO21" s="318">
        <f t="shared" si="42"/>
        <v>3.4814899155674621</v>
      </c>
      <c r="BP21" s="315">
        <f t="shared" si="42"/>
        <v>1.3883847348479336E-7</v>
      </c>
      <c r="BQ21" s="315">
        <f t="shared" si="42"/>
        <v>4.4921541233911552E-6</v>
      </c>
      <c r="BR21" s="318">
        <f t="shared" si="42"/>
        <v>6.4763577282655422</v>
      </c>
      <c r="BS21" s="311">
        <f t="shared" si="42"/>
        <v>1123.2142405636209</v>
      </c>
      <c r="BT21" s="318">
        <f t="shared" si="42"/>
        <v>2.4244655385098814E-3</v>
      </c>
      <c r="BU21" s="315">
        <f t="shared" si="42"/>
        <v>6.0682754215767105E-6</v>
      </c>
      <c r="BV21" s="318">
        <f t="shared" si="42"/>
        <v>1.7730667044209339E-5</v>
      </c>
      <c r="BW21" s="311">
        <f t="shared" si="42"/>
        <v>1.7052287464670193</v>
      </c>
      <c r="BX21" s="311">
        <f t="shared" si="42"/>
        <v>241.6644823144388</v>
      </c>
      <c r="BZ21" s="316">
        <v>346.48970000000003</v>
      </c>
      <c r="CA21" s="332">
        <f t="shared" si="39"/>
        <v>1.8538999999999533</v>
      </c>
      <c r="CB21" s="311" t="s">
        <v>232</v>
      </c>
      <c r="CC21" s="311">
        <f t="shared" ref="CC21:CT21" si="43">$CA21*O$21</f>
        <v>3.0835471217634164E-2</v>
      </c>
      <c r="CD21" s="311">
        <f t="shared" si="43"/>
        <v>5.9812440382524814</v>
      </c>
      <c r="CE21" s="311">
        <f t="shared" si="43"/>
        <v>4.5924183779883512</v>
      </c>
      <c r="CF21" s="311">
        <f t="shared" si="43"/>
        <v>10.573662416240834</v>
      </c>
      <c r="CG21" s="311">
        <f t="shared" si="43"/>
        <v>47.149142142358038</v>
      </c>
      <c r="CH21" s="311">
        <f t="shared" si="43"/>
        <v>134.02578823079602</v>
      </c>
      <c r="CI21" s="318">
        <f t="shared" si="43"/>
        <v>5.4608217194171589E-4</v>
      </c>
      <c r="CJ21" s="318">
        <f t="shared" si="43"/>
        <v>5.3342208228433939E-3</v>
      </c>
      <c r="CK21" s="318">
        <f t="shared" si="43"/>
        <v>5.9178133596571224E-2</v>
      </c>
      <c r="CL21" s="315">
        <f t="shared" si="43"/>
        <v>2.3599671208261769E-9</v>
      </c>
      <c r="CM21" s="315">
        <f t="shared" si="43"/>
        <v>7.6357336455791567E-8</v>
      </c>
      <c r="CN21" s="318">
        <f t="shared" si="43"/>
        <v>0.11008469711451567</v>
      </c>
      <c r="CO21" s="311">
        <f t="shared" si="43"/>
        <v>19.092320815989229</v>
      </c>
      <c r="CP21" s="318">
        <f t="shared" si="43"/>
        <v>4.1210903669911999E-5</v>
      </c>
      <c r="CQ21" s="315">
        <f t="shared" si="43"/>
        <v>1.031481412578854E-7</v>
      </c>
      <c r="CR21" s="318">
        <f t="shared" si="43"/>
        <v>3.0138469693872961E-7</v>
      </c>
      <c r="CS21" s="311">
        <f t="shared" si="43"/>
        <v>2.8985364604938356E-2</v>
      </c>
      <c r="CT21" s="311">
        <f t="shared" si="43"/>
        <v>4.107796767126084</v>
      </c>
    </row>
    <row r="22" spans="1:98" ht="22" customHeight="1" thickBot="1" x14ac:dyDescent="0.3">
      <c r="A22" s="336" t="s">
        <v>319</v>
      </c>
      <c r="B22" s="321" t="s">
        <v>320</v>
      </c>
      <c r="C22" s="322" t="s">
        <v>241</v>
      </c>
      <c r="D22" s="322" t="s">
        <v>233</v>
      </c>
      <c r="E22" s="349" t="s">
        <v>321</v>
      </c>
      <c r="F22" s="336">
        <v>862</v>
      </c>
      <c r="G22" s="336">
        <v>100</v>
      </c>
      <c r="H22" s="336" t="s">
        <v>2</v>
      </c>
      <c r="I22" s="337">
        <v>1</v>
      </c>
      <c r="J22" s="337">
        <v>58.44</v>
      </c>
      <c r="K22" s="326">
        <f>F22/(G22*I22)</f>
        <v>8.6199999999999992</v>
      </c>
      <c r="L22" s="327"/>
      <c r="M22" s="333" t="s">
        <v>322</v>
      </c>
      <c r="N22" s="329" t="s">
        <v>323</v>
      </c>
      <c r="O22" s="330">
        <v>1.9138303012246399E-3</v>
      </c>
      <c r="P22" s="330">
        <v>0.27159157035783849</v>
      </c>
      <c r="Q22" s="330">
        <f t="shared" si="1"/>
        <v>1.9857339720851801</v>
      </c>
      <c r="R22" s="330">
        <f t="shared" si="2"/>
        <v>2.2573255424430188</v>
      </c>
      <c r="S22" s="330">
        <v>2.856128404527003</v>
      </c>
      <c r="T22" s="330">
        <v>3.29170475780862</v>
      </c>
      <c r="U22" s="330">
        <v>2.4501158800093421E-5</v>
      </c>
      <c r="V22" s="330">
        <v>3.746382574786236E-4</v>
      </c>
      <c r="W22" s="330">
        <v>3.9288086820686401E-3</v>
      </c>
      <c r="X22" s="330">
        <v>2.7247093633617449E-10</v>
      </c>
      <c r="Y22" s="330">
        <v>8.489832928966472E-9</v>
      </c>
      <c r="Z22" s="330">
        <v>9.6925737426256427E-3</v>
      </c>
      <c r="AA22" s="330">
        <v>1.7952431667887609</v>
      </c>
      <c r="AB22" s="330">
        <v>2.4848161915671531E-5</v>
      </c>
      <c r="AC22" s="330">
        <v>2.834101925831765E-9</v>
      </c>
      <c r="AD22" s="330">
        <v>1.874347015477424E-8</v>
      </c>
      <c r="AE22" s="330">
        <v>1.170556262338196E-3</v>
      </c>
      <c r="AF22" s="330">
        <v>0.14751423831162741</v>
      </c>
      <c r="AH22" s="316">
        <v>529.17280000000005</v>
      </c>
      <c r="AI22" s="331">
        <f t="shared" si="4"/>
        <v>3.1995999999999185</v>
      </c>
      <c r="AJ22" s="311">
        <f t="shared" si="5"/>
        <v>27.580551999999294</v>
      </c>
      <c r="AK22" s="311">
        <f t="shared" ref="AK22:BB22" si="44">$AI22*O$22</f>
        <v>6.1234914317982022E-3</v>
      </c>
      <c r="AL22" s="311">
        <f t="shared" si="44"/>
        <v>0.86898438851691784</v>
      </c>
      <c r="AM22" s="311">
        <f t="shared" si="44"/>
        <v>6.35355441708358</v>
      </c>
      <c r="AN22" s="311">
        <f t="shared" si="44"/>
        <v>7.2225388056004984</v>
      </c>
      <c r="AO22" s="311">
        <f t="shared" si="44"/>
        <v>9.1384684431243652</v>
      </c>
      <c r="AP22" s="311">
        <f t="shared" si="44"/>
        <v>10.532138543084193</v>
      </c>
      <c r="AQ22" s="318">
        <f t="shared" si="44"/>
        <v>7.8393907696776906E-5</v>
      </c>
      <c r="AR22" s="318">
        <f t="shared" si="44"/>
        <v>1.1986925686285736E-3</v>
      </c>
      <c r="AS22" s="318">
        <f t="shared" si="44"/>
        <v>1.2570616259146501E-2</v>
      </c>
      <c r="AT22" s="315">
        <f t="shared" si="44"/>
        <v>8.7179800790120172E-10</v>
      </c>
      <c r="AU22" s="315">
        <f t="shared" si="44"/>
        <v>2.7164069439520433E-8</v>
      </c>
      <c r="AV22" s="318">
        <f t="shared" si="44"/>
        <v>3.1012358946904215E-2</v>
      </c>
      <c r="AW22" s="311">
        <f t="shared" si="44"/>
        <v>5.7440600364571734</v>
      </c>
      <c r="AX22" s="318">
        <f t="shared" si="44"/>
        <v>7.9504178865380599E-5</v>
      </c>
      <c r="AY22" s="315">
        <f t="shared" si="44"/>
        <v>9.0679925218910849E-9</v>
      </c>
      <c r="AZ22" s="318">
        <f t="shared" si="44"/>
        <v>5.9971607107214128E-8</v>
      </c>
      <c r="BA22" s="311">
        <f t="shared" si="44"/>
        <v>3.7453118169771967E-3</v>
      </c>
      <c r="BB22" s="311">
        <f t="shared" si="44"/>
        <v>0.47198655690187102</v>
      </c>
      <c r="BD22" s="316">
        <v>347.3458</v>
      </c>
      <c r="BE22" s="331">
        <f t="shared" si="9"/>
        <v>0.99779999999998381</v>
      </c>
      <c r="BF22" s="311">
        <f t="shared" si="10"/>
        <v>8.6010359999998602</v>
      </c>
      <c r="BG22" s="311">
        <f t="shared" ref="BG22:BX22" si="45">$BE22*O$22</f>
        <v>1.9096198745619146E-3</v>
      </c>
      <c r="BH22" s="311">
        <f t="shared" si="45"/>
        <v>0.27099406890304684</v>
      </c>
      <c r="BI22" s="311">
        <f t="shared" si="45"/>
        <v>1.9813653573465606</v>
      </c>
      <c r="BJ22" s="311">
        <f t="shared" si="45"/>
        <v>2.2523594262496074</v>
      </c>
      <c r="BK22" s="311">
        <f t="shared" si="45"/>
        <v>2.8498449220369975</v>
      </c>
      <c r="BL22" s="311">
        <f t="shared" si="45"/>
        <v>3.2844630073413876</v>
      </c>
      <c r="BM22" s="318">
        <f t="shared" si="45"/>
        <v>2.444725625073282E-5</v>
      </c>
      <c r="BN22" s="318">
        <f t="shared" si="45"/>
        <v>3.7381405331216456E-4</v>
      </c>
      <c r="BO22" s="318">
        <f t="shared" si="45"/>
        <v>3.9201653029680254E-3</v>
      </c>
      <c r="BP22" s="315">
        <f t="shared" si="45"/>
        <v>2.7187150027623048E-10</v>
      </c>
      <c r="BQ22" s="315">
        <f t="shared" si="45"/>
        <v>8.4711552965226089E-9</v>
      </c>
      <c r="BR22" s="318">
        <f t="shared" si="45"/>
        <v>9.6712500803917099E-3</v>
      </c>
      <c r="BS22" s="311">
        <f t="shared" si="45"/>
        <v>1.7912936318217967</v>
      </c>
      <c r="BT22" s="318">
        <f t="shared" si="45"/>
        <v>2.4793495959456651E-5</v>
      </c>
      <c r="BU22" s="315">
        <f t="shared" si="45"/>
        <v>2.8278669015948893E-9</v>
      </c>
      <c r="BV22" s="318">
        <f t="shared" si="45"/>
        <v>1.8702234520433434E-8</v>
      </c>
      <c r="BW22" s="311">
        <f t="shared" si="45"/>
        <v>1.1679810385610331E-3</v>
      </c>
      <c r="BX22" s="311">
        <f t="shared" si="45"/>
        <v>0.14718970698733944</v>
      </c>
      <c r="BZ22" s="316">
        <v>348.2407</v>
      </c>
      <c r="CA22" s="332">
        <f t="shared" si="39"/>
        <v>0.1028999999999769</v>
      </c>
      <c r="CB22" s="311" t="s">
        <v>232</v>
      </c>
      <c r="CC22" s="311">
        <f t="shared" ref="CC22:CT22" si="46">$CA22*O$22</f>
        <v>1.9693313799597122E-4</v>
      </c>
      <c r="CD22" s="311">
        <f t="shared" si="46"/>
        <v>2.7946772589815306E-2</v>
      </c>
      <c r="CE22" s="311">
        <f t="shared" si="46"/>
        <v>0.20433202572751916</v>
      </c>
      <c r="CF22" s="311">
        <f t="shared" si="46"/>
        <v>0.23227879831733447</v>
      </c>
      <c r="CG22" s="311">
        <f t="shared" si="46"/>
        <v>0.29389561282576265</v>
      </c>
      <c r="CH22" s="311">
        <f t="shared" si="46"/>
        <v>0.33871641957843096</v>
      </c>
      <c r="CI22" s="318">
        <f t="shared" si="46"/>
        <v>2.5211692405290469E-6</v>
      </c>
      <c r="CJ22" s="318">
        <f t="shared" si="46"/>
        <v>3.8550276694541711E-5</v>
      </c>
      <c r="CK22" s="318">
        <f t="shared" si="46"/>
        <v>4.0427441338477231E-4</v>
      </c>
      <c r="CL22" s="315">
        <f t="shared" si="46"/>
        <v>2.8037259348986061E-11</v>
      </c>
      <c r="CM22" s="315">
        <f t="shared" si="46"/>
        <v>8.7360380839045385E-10</v>
      </c>
      <c r="CN22" s="318">
        <f t="shared" si="46"/>
        <v>9.9736583811595473E-4</v>
      </c>
      <c r="CO22" s="311">
        <f t="shared" si="46"/>
        <v>0.18473052186252203</v>
      </c>
      <c r="CP22" s="318">
        <f t="shared" si="46"/>
        <v>2.5568758611220266E-6</v>
      </c>
      <c r="CQ22" s="315">
        <f t="shared" si="46"/>
        <v>2.9162908816802313E-10</v>
      </c>
      <c r="CR22" s="318">
        <f t="shared" si="46"/>
        <v>1.9287030789258363E-9</v>
      </c>
      <c r="CS22" s="311">
        <f t="shared" si="46"/>
        <v>1.2045023939457332E-4</v>
      </c>
      <c r="CT22" s="311">
        <f t="shared" si="46"/>
        <v>1.5179215122263053E-2</v>
      </c>
    </row>
    <row r="23" spans="1:98" ht="22" customHeight="1" x14ac:dyDescent="0.25">
      <c r="A23" s="336" t="s">
        <v>324</v>
      </c>
      <c r="B23" s="338" t="s">
        <v>295</v>
      </c>
      <c r="C23" s="322" t="s">
        <v>296</v>
      </c>
      <c r="D23" s="322" t="s">
        <v>232</v>
      </c>
      <c r="E23" s="323" t="s">
        <v>232</v>
      </c>
      <c r="F23" s="336">
        <v>572</v>
      </c>
      <c r="G23" s="336">
        <v>5</v>
      </c>
      <c r="H23" s="336" t="s">
        <v>2</v>
      </c>
      <c r="I23" s="337">
        <v>1</v>
      </c>
      <c r="J23" s="337">
        <v>122.17</v>
      </c>
      <c r="K23" s="326">
        <f>F23/(G23*I23)</f>
        <v>114.4</v>
      </c>
      <c r="L23" s="327"/>
      <c r="M23" s="333" t="s">
        <v>325</v>
      </c>
      <c r="N23" s="334" t="s">
        <v>326</v>
      </c>
      <c r="O23" s="330">
        <f>O24+O25+O26</f>
        <v>5.3079934816225999E-2</v>
      </c>
      <c r="P23" s="330">
        <f t="shared" ref="P23:AF23" si="47">P24+P25+P26</f>
        <v>12.98916877688114</v>
      </c>
      <c r="Q23" s="330">
        <f t="shared" si="1"/>
        <v>1.9857339720851801</v>
      </c>
      <c r="R23" s="330">
        <f>P23+Q23</f>
        <v>14.97490274896632</v>
      </c>
      <c r="S23" s="330">
        <f t="shared" si="47"/>
        <v>386.36388506620062</v>
      </c>
      <c r="T23" s="330">
        <f t="shared" si="47"/>
        <v>268.79294613405</v>
      </c>
      <c r="U23" s="330">
        <f t="shared" si="47"/>
        <v>3.3207126937813994E-4</v>
      </c>
      <c r="V23" s="330">
        <f t="shared" si="47"/>
        <v>0.11076070243691247</v>
      </c>
      <c r="W23" s="330">
        <f t="shared" si="47"/>
        <v>0.12278987954576306</v>
      </c>
      <c r="X23" s="330">
        <f t="shared" si="47"/>
        <v>4.6536414524993264E-8</v>
      </c>
      <c r="Y23" s="330">
        <f t="shared" si="47"/>
        <v>1.3643787118647248E-7</v>
      </c>
      <c r="Z23" s="330">
        <f t="shared" si="47"/>
        <v>0.18183850259683512</v>
      </c>
      <c r="AA23" s="330">
        <f t="shared" si="47"/>
        <v>25.357335576571245</v>
      </c>
      <c r="AB23" s="330">
        <f t="shared" si="47"/>
        <v>7.8833753399437721E-5</v>
      </c>
      <c r="AC23" s="330">
        <f t="shared" si="47"/>
        <v>7.2803310156888254E-7</v>
      </c>
      <c r="AD23" s="330">
        <f t="shared" si="47"/>
        <v>5.2119464995093896E-7</v>
      </c>
      <c r="AE23" s="330">
        <f t="shared" si="47"/>
        <v>4.8438448200753395E-2</v>
      </c>
      <c r="AF23" s="330">
        <f t="shared" si="47"/>
        <v>6.646008237842481</v>
      </c>
      <c r="AH23" s="316" t="s">
        <v>232</v>
      </c>
      <c r="AI23" s="331" t="s">
        <v>232</v>
      </c>
      <c r="AJ23" s="311" t="s">
        <v>232</v>
      </c>
      <c r="AK23" s="311" t="s">
        <v>232</v>
      </c>
      <c r="AL23" s="311" t="s">
        <v>232</v>
      </c>
      <c r="AM23" s="311" t="s">
        <v>232</v>
      </c>
      <c r="AN23" s="311" t="s">
        <v>232</v>
      </c>
      <c r="AO23" s="311" t="s">
        <v>232</v>
      </c>
      <c r="AP23" s="311" t="s">
        <v>232</v>
      </c>
      <c r="AQ23" s="318" t="s">
        <v>232</v>
      </c>
      <c r="AR23" s="318" t="s">
        <v>232</v>
      </c>
      <c r="AS23" s="318" t="s">
        <v>232</v>
      </c>
      <c r="AT23" s="315" t="s">
        <v>232</v>
      </c>
      <c r="AU23" s="315" t="s">
        <v>232</v>
      </c>
      <c r="AV23" s="318" t="s">
        <v>232</v>
      </c>
      <c r="AW23" s="311" t="s">
        <v>232</v>
      </c>
      <c r="AX23" s="318" t="s">
        <v>232</v>
      </c>
      <c r="AY23" s="315" t="s">
        <v>232</v>
      </c>
      <c r="AZ23" s="318" t="s">
        <v>232</v>
      </c>
      <c r="BA23" s="311" t="s">
        <v>232</v>
      </c>
      <c r="BB23" s="311" t="s">
        <v>232</v>
      </c>
      <c r="BD23" s="316">
        <v>348.33069999999998</v>
      </c>
      <c r="BE23" s="331">
        <f t="shared" si="9"/>
        <v>1.290000000000191E-2</v>
      </c>
      <c r="BF23" s="311">
        <f t="shared" si="10"/>
        <v>1.4757600000002187</v>
      </c>
      <c r="BG23" s="311">
        <f t="shared" ref="BG23:BX23" si="48">$BE23*O$23</f>
        <v>6.8473115912941673E-4</v>
      </c>
      <c r="BH23" s="311">
        <f t="shared" si="48"/>
        <v>0.16756027722179151</v>
      </c>
      <c r="BI23" s="311">
        <f t="shared" si="48"/>
        <v>2.5615968239902615E-2</v>
      </c>
      <c r="BJ23" s="311">
        <f t="shared" si="48"/>
        <v>0.19317624546169412</v>
      </c>
      <c r="BK23" s="311">
        <f t="shared" si="48"/>
        <v>4.9840941173547257</v>
      </c>
      <c r="BL23" s="311">
        <f t="shared" si="48"/>
        <v>3.4674290051297585</v>
      </c>
      <c r="BM23" s="318">
        <f t="shared" si="48"/>
        <v>4.2837193749786394E-6</v>
      </c>
      <c r="BN23" s="318">
        <f t="shared" si="48"/>
        <v>1.4288130614363824E-3</v>
      </c>
      <c r="BO23" s="318">
        <f t="shared" si="48"/>
        <v>1.5839894461405781E-3</v>
      </c>
      <c r="BP23" s="315">
        <f t="shared" si="48"/>
        <v>6.0031974737250201E-10</v>
      </c>
      <c r="BQ23" s="315">
        <f t="shared" si="48"/>
        <v>1.7600485383057555E-9</v>
      </c>
      <c r="BR23" s="318">
        <f t="shared" si="48"/>
        <v>2.3457166834995203E-3</v>
      </c>
      <c r="BS23" s="311">
        <f t="shared" si="48"/>
        <v>0.32710962893781748</v>
      </c>
      <c r="BT23" s="318">
        <f t="shared" si="48"/>
        <v>1.0169554188528972E-6</v>
      </c>
      <c r="BU23" s="315">
        <f t="shared" si="48"/>
        <v>9.3916270102399757E-9</v>
      </c>
      <c r="BV23" s="318">
        <f t="shared" si="48"/>
        <v>6.7234109843681082E-9</v>
      </c>
      <c r="BW23" s="311">
        <f t="shared" si="48"/>
        <v>6.2485598178981135E-4</v>
      </c>
      <c r="BX23" s="311">
        <f t="shared" si="48"/>
        <v>8.5733506268180701E-2</v>
      </c>
      <c r="BZ23" s="316">
        <v>348.33069999999998</v>
      </c>
      <c r="CA23" s="332">
        <f t="shared" si="39"/>
        <v>1.290000000000191E-2</v>
      </c>
      <c r="CB23" s="311" t="s">
        <v>232</v>
      </c>
      <c r="CC23" s="311">
        <f t="shared" ref="CC23:CT23" si="49">$CA23*O$23</f>
        <v>6.8473115912941673E-4</v>
      </c>
      <c r="CD23" s="311">
        <f t="shared" si="49"/>
        <v>0.16756027722179151</v>
      </c>
      <c r="CE23" s="311">
        <f t="shared" si="49"/>
        <v>2.5615968239902615E-2</v>
      </c>
      <c r="CF23" s="311">
        <f t="shared" si="49"/>
        <v>0.19317624546169412</v>
      </c>
      <c r="CG23" s="311">
        <f t="shared" si="49"/>
        <v>4.9840941173547257</v>
      </c>
      <c r="CH23" s="311">
        <f t="shared" si="49"/>
        <v>3.4674290051297585</v>
      </c>
      <c r="CI23" s="318">
        <f t="shared" si="49"/>
        <v>4.2837193749786394E-6</v>
      </c>
      <c r="CJ23" s="318">
        <f t="shared" si="49"/>
        <v>1.4288130614363824E-3</v>
      </c>
      <c r="CK23" s="318">
        <f t="shared" si="49"/>
        <v>1.5839894461405781E-3</v>
      </c>
      <c r="CL23" s="315">
        <f t="shared" si="49"/>
        <v>6.0031974737250201E-10</v>
      </c>
      <c r="CM23" s="315">
        <f t="shared" si="49"/>
        <v>1.7600485383057555E-9</v>
      </c>
      <c r="CN23" s="318">
        <f t="shared" si="49"/>
        <v>2.3457166834995203E-3</v>
      </c>
      <c r="CO23" s="311">
        <f t="shared" si="49"/>
        <v>0.32710962893781748</v>
      </c>
      <c r="CP23" s="318">
        <f t="shared" si="49"/>
        <v>1.0169554188528972E-6</v>
      </c>
      <c r="CQ23" s="315">
        <f t="shared" si="49"/>
        <v>9.3916270102399757E-9</v>
      </c>
      <c r="CR23" s="318">
        <f t="shared" si="49"/>
        <v>6.7234109843681082E-9</v>
      </c>
      <c r="CS23" s="311">
        <f t="shared" si="49"/>
        <v>6.2485598178981135E-4</v>
      </c>
      <c r="CT23" s="311">
        <f t="shared" si="49"/>
        <v>8.5733506268180701E-2</v>
      </c>
    </row>
    <row r="24" spans="1:98" ht="22" customHeight="1" x14ac:dyDescent="0.25">
      <c r="B24" s="350" t="s">
        <v>327</v>
      </c>
      <c r="C24" s="309" t="s">
        <v>232</v>
      </c>
      <c r="D24" s="340" t="s">
        <v>263</v>
      </c>
      <c r="E24" s="341" t="s">
        <v>328</v>
      </c>
      <c r="F24" s="342" t="s">
        <v>232</v>
      </c>
      <c r="G24" s="342" t="s">
        <v>232</v>
      </c>
      <c r="H24" s="342" t="s">
        <v>232</v>
      </c>
      <c r="I24" s="310" t="s">
        <v>232</v>
      </c>
      <c r="J24" s="310" t="s">
        <v>232</v>
      </c>
      <c r="K24" s="343" t="s">
        <v>232</v>
      </c>
      <c r="L24" s="344"/>
      <c r="M24" s="340" t="s">
        <v>232</v>
      </c>
      <c r="N24" s="342" t="s">
        <v>232</v>
      </c>
      <c r="O24" s="345">
        <v>5.3244738641753586E-3</v>
      </c>
      <c r="P24" s="345">
        <v>0.97643140530596373</v>
      </c>
      <c r="Q24" s="345" t="s">
        <v>232</v>
      </c>
      <c r="R24" s="345" t="s">
        <v>232</v>
      </c>
      <c r="S24" s="345">
        <v>6.1675357000056428</v>
      </c>
      <c r="T24" s="345">
        <v>11.80714407236462</v>
      </c>
      <c r="U24" s="345">
        <v>5.2848380964022657E-5</v>
      </c>
      <c r="V24" s="345">
        <v>9.6624573603551684E-4</v>
      </c>
      <c r="W24" s="345">
        <v>1.07408242911317E-2</v>
      </c>
      <c r="X24" s="345">
        <v>4.5904486658860291E-10</v>
      </c>
      <c r="Y24" s="345">
        <v>1.5058048384827791E-8</v>
      </c>
      <c r="Z24" s="345">
        <v>3.8075129507015339E-2</v>
      </c>
      <c r="AA24" s="345">
        <v>2.9163476779650712</v>
      </c>
      <c r="AB24" s="345">
        <v>1.822863558057773E-5</v>
      </c>
      <c r="AC24" s="345">
        <v>5.3975876607368428E-7</v>
      </c>
      <c r="AD24" s="345">
        <v>4.9458583101327728E-8</v>
      </c>
      <c r="AE24" s="345">
        <v>3.117824990459454E-3</v>
      </c>
      <c r="AF24" s="345">
        <v>1.023998209965943</v>
      </c>
      <c r="AH24" s="316" t="s">
        <v>232</v>
      </c>
      <c r="AI24" s="317" t="s">
        <v>232</v>
      </c>
      <c r="AJ24" s="311" t="s">
        <v>232</v>
      </c>
      <c r="AK24" s="311" t="s">
        <v>232</v>
      </c>
      <c r="AL24" s="311" t="s">
        <v>232</v>
      </c>
      <c r="AM24" s="311" t="s">
        <v>232</v>
      </c>
      <c r="AN24" s="311" t="s">
        <v>232</v>
      </c>
      <c r="AO24" s="311" t="s">
        <v>232</v>
      </c>
      <c r="AP24" s="311" t="s">
        <v>232</v>
      </c>
      <c r="AQ24" s="318" t="s">
        <v>232</v>
      </c>
      <c r="AR24" s="318" t="s">
        <v>232</v>
      </c>
      <c r="AS24" s="318" t="s">
        <v>232</v>
      </c>
      <c r="AT24" s="315" t="s">
        <v>232</v>
      </c>
      <c r="AU24" s="315" t="s">
        <v>232</v>
      </c>
      <c r="AV24" s="318" t="s">
        <v>232</v>
      </c>
      <c r="AW24" s="311" t="s">
        <v>232</v>
      </c>
      <c r="AX24" s="318" t="s">
        <v>232</v>
      </c>
      <c r="AY24" s="315" t="s">
        <v>232</v>
      </c>
      <c r="AZ24" s="318" t="s">
        <v>232</v>
      </c>
      <c r="BA24" s="311" t="s">
        <v>232</v>
      </c>
      <c r="BB24" s="311" t="s">
        <v>232</v>
      </c>
      <c r="BD24" s="316" t="s">
        <v>232</v>
      </c>
      <c r="BE24" s="317" t="s">
        <v>232</v>
      </c>
      <c r="BF24" s="311" t="s">
        <v>232</v>
      </c>
      <c r="BG24" s="311" t="s">
        <v>232</v>
      </c>
      <c r="BH24" s="311" t="s">
        <v>232</v>
      </c>
      <c r="BI24" s="311" t="s">
        <v>232</v>
      </c>
      <c r="BJ24" s="311" t="s">
        <v>232</v>
      </c>
      <c r="BK24" s="311" t="s">
        <v>232</v>
      </c>
      <c r="BL24" s="311" t="s">
        <v>232</v>
      </c>
      <c r="BM24" s="318" t="s">
        <v>232</v>
      </c>
      <c r="BN24" s="318" t="s">
        <v>232</v>
      </c>
      <c r="BO24" s="318" t="s">
        <v>232</v>
      </c>
      <c r="BP24" s="315" t="s">
        <v>232</v>
      </c>
      <c r="BQ24" s="315" t="s">
        <v>232</v>
      </c>
      <c r="BR24" s="318" t="s">
        <v>232</v>
      </c>
      <c r="BS24" s="311" t="s">
        <v>232</v>
      </c>
      <c r="BT24" s="318" t="s">
        <v>232</v>
      </c>
      <c r="BU24" s="315" t="s">
        <v>232</v>
      </c>
      <c r="BV24" s="318" t="s">
        <v>232</v>
      </c>
      <c r="BW24" s="311" t="s">
        <v>232</v>
      </c>
      <c r="BX24" s="311" t="s">
        <v>232</v>
      </c>
      <c r="BZ24" s="316" t="s">
        <v>232</v>
      </c>
      <c r="CA24" s="319" t="s">
        <v>232</v>
      </c>
      <c r="CB24" s="311" t="s">
        <v>232</v>
      </c>
      <c r="CC24" s="311" t="s">
        <v>232</v>
      </c>
      <c r="CD24" s="311" t="s">
        <v>232</v>
      </c>
      <c r="CE24" s="311" t="s">
        <v>232</v>
      </c>
      <c r="CF24" s="311" t="s">
        <v>232</v>
      </c>
      <c r="CG24" s="311" t="s">
        <v>232</v>
      </c>
      <c r="CH24" s="311" t="s">
        <v>232</v>
      </c>
      <c r="CI24" s="318" t="s">
        <v>232</v>
      </c>
      <c r="CJ24" s="318" t="s">
        <v>232</v>
      </c>
      <c r="CK24" s="318" t="s">
        <v>232</v>
      </c>
      <c r="CL24" s="315" t="s">
        <v>232</v>
      </c>
      <c r="CM24" s="315" t="s">
        <v>232</v>
      </c>
      <c r="CN24" s="318" t="s">
        <v>232</v>
      </c>
      <c r="CO24" s="311" t="s">
        <v>232</v>
      </c>
      <c r="CP24" s="318" t="s">
        <v>232</v>
      </c>
      <c r="CQ24" s="315" t="s">
        <v>232</v>
      </c>
      <c r="CR24" s="318" t="s">
        <v>232</v>
      </c>
      <c r="CS24" s="311" t="s">
        <v>232</v>
      </c>
      <c r="CT24" s="311" t="s">
        <v>232</v>
      </c>
    </row>
    <row r="25" spans="1:98" ht="22" customHeight="1" x14ac:dyDescent="0.25">
      <c r="B25" s="350" t="s">
        <v>329</v>
      </c>
      <c r="C25" s="309" t="s">
        <v>232</v>
      </c>
      <c r="D25" s="340" t="s">
        <v>233</v>
      </c>
      <c r="E25" s="341" t="s">
        <v>330</v>
      </c>
      <c r="F25" s="342" t="s">
        <v>232</v>
      </c>
      <c r="G25" s="342" t="s">
        <v>232</v>
      </c>
      <c r="H25" s="342" t="s">
        <v>232</v>
      </c>
      <c r="I25" s="310" t="s">
        <v>232</v>
      </c>
      <c r="J25" s="310" t="s">
        <v>232</v>
      </c>
      <c r="K25" s="343" t="s">
        <v>232</v>
      </c>
      <c r="L25" s="344"/>
      <c r="M25" s="340" t="s">
        <v>232</v>
      </c>
      <c r="N25" s="342" t="s">
        <v>232</v>
      </c>
      <c r="O25" s="345">
        <v>3.548851502452622E-2</v>
      </c>
      <c r="P25" s="345">
        <v>8.8196803322371355</v>
      </c>
      <c r="Q25" s="345" t="s">
        <v>232</v>
      </c>
      <c r="R25" s="345" t="s">
        <v>232</v>
      </c>
      <c r="S25" s="345">
        <v>321.79664720315822</v>
      </c>
      <c r="T25" s="345">
        <v>186.18749421838999</v>
      </c>
      <c r="U25" s="345">
        <v>1.9703019968867789E-4</v>
      </c>
      <c r="V25" s="345">
        <v>9.2091054609931139E-2</v>
      </c>
      <c r="W25" s="345">
        <v>7.894848966706304E-2</v>
      </c>
      <c r="X25" s="345">
        <v>4.4165308387580483E-8</v>
      </c>
      <c r="Y25" s="345">
        <v>9.9433595916961501E-8</v>
      </c>
      <c r="Z25" s="345">
        <v>0.11655920805478549</v>
      </c>
      <c r="AA25" s="345">
        <v>16.512740417094431</v>
      </c>
      <c r="AB25" s="345">
        <v>4.5736886032913113E-5</v>
      </c>
      <c r="AC25" s="345">
        <v>9.1862944246037278E-8</v>
      </c>
      <c r="AD25" s="345">
        <v>3.5868978272268591E-7</v>
      </c>
      <c r="AE25" s="345">
        <v>3.3160322842530322E-2</v>
      </c>
      <c r="AF25" s="345">
        <v>4.1523569536759446</v>
      </c>
      <c r="AH25" s="316" t="s">
        <v>232</v>
      </c>
      <c r="AI25" s="317" t="s">
        <v>232</v>
      </c>
      <c r="AJ25" s="311" t="s">
        <v>232</v>
      </c>
      <c r="AK25" s="311" t="s">
        <v>232</v>
      </c>
      <c r="AL25" s="311" t="s">
        <v>232</v>
      </c>
      <c r="AM25" s="311" t="s">
        <v>232</v>
      </c>
      <c r="AN25" s="311" t="s">
        <v>232</v>
      </c>
      <c r="AO25" s="311" t="s">
        <v>232</v>
      </c>
      <c r="AP25" s="311" t="s">
        <v>232</v>
      </c>
      <c r="AQ25" s="318" t="s">
        <v>232</v>
      </c>
      <c r="AR25" s="318" t="s">
        <v>232</v>
      </c>
      <c r="AS25" s="318" t="s">
        <v>232</v>
      </c>
      <c r="AT25" s="315" t="s">
        <v>232</v>
      </c>
      <c r="AU25" s="315" t="s">
        <v>232</v>
      </c>
      <c r="AV25" s="318" t="s">
        <v>232</v>
      </c>
      <c r="AW25" s="311" t="s">
        <v>232</v>
      </c>
      <c r="AX25" s="318" t="s">
        <v>232</v>
      </c>
      <c r="AY25" s="315" t="s">
        <v>232</v>
      </c>
      <c r="AZ25" s="318" t="s">
        <v>232</v>
      </c>
      <c r="BA25" s="311" t="s">
        <v>232</v>
      </c>
      <c r="BB25" s="311" t="s">
        <v>232</v>
      </c>
      <c r="BD25" s="316" t="s">
        <v>232</v>
      </c>
      <c r="BE25" s="317" t="s">
        <v>232</v>
      </c>
      <c r="BF25" s="311" t="s">
        <v>232</v>
      </c>
      <c r="BG25" s="311" t="s">
        <v>232</v>
      </c>
      <c r="BH25" s="311" t="s">
        <v>232</v>
      </c>
      <c r="BI25" s="311" t="s">
        <v>232</v>
      </c>
      <c r="BJ25" s="311" t="s">
        <v>232</v>
      </c>
      <c r="BK25" s="311" t="s">
        <v>232</v>
      </c>
      <c r="BL25" s="311" t="s">
        <v>232</v>
      </c>
      <c r="BM25" s="318" t="s">
        <v>232</v>
      </c>
      <c r="BN25" s="318" t="s">
        <v>232</v>
      </c>
      <c r="BO25" s="318" t="s">
        <v>232</v>
      </c>
      <c r="BP25" s="315" t="s">
        <v>232</v>
      </c>
      <c r="BQ25" s="315" t="s">
        <v>232</v>
      </c>
      <c r="BR25" s="318" t="s">
        <v>232</v>
      </c>
      <c r="BS25" s="311" t="s">
        <v>232</v>
      </c>
      <c r="BT25" s="318" t="s">
        <v>232</v>
      </c>
      <c r="BU25" s="315" t="s">
        <v>232</v>
      </c>
      <c r="BV25" s="318" t="s">
        <v>232</v>
      </c>
      <c r="BW25" s="311" t="s">
        <v>232</v>
      </c>
      <c r="BX25" s="311" t="s">
        <v>232</v>
      </c>
      <c r="BZ25" s="316" t="s">
        <v>232</v>
      </c>
      <c r="CA25" s="319" t="s">
        <v>232</v>
      </c>
      <c r="CB25" s="311" t="s">
        <v>232</v>
      </c>
      <c r="CC25" s="311" t="s">
        <v>232</v>
      </c>
      <c r="CD25" s="311" t="s">
        <v>232</v>
      </c>
      <c r="CE25" s="311" t="s">
        <v>232</v>
      </c>
      <c r="CF25" s="311" t="s">
        <v>232</v>
      </c>
      <c r="CG25" s="311" t="s">
        <v>232</v>
      </c>
      <c r="CH25" s="311" t="s">
        <v>232</v>
      </c>
      <c r="CI25" s="318" t="s">
        <v>232</v>
      </c>
      <c r="CJ25" s="318" t="s">
        <v>232</v>
      </c>
      <c r="CK25" s="318" t="s">
        <v>232</v>
      </c>
      <c r="CL25" s="315" t="s">
        <v>232</v>
      </c>
      <c r="CM25" s="315" t="s">
        <v>232</v>
      </c>
      <c r="CN25" s="318" t="s">
        <v>232</v>
      </c>
      <c r="CO25" s="311" t="s">
        <v>232</v>
      </c>
      <c r="CP25" s="318" t="s">
        <v>232</v>
      </c>
      <c r="CQ25" s="315" t="s">
        <v>232</v>
      </c>
      <c r="CR25" s="318" t="s">
        <v>232</v>
      </c>
      <c r="CS25" s="311" t="s">
        <v>232</v>
      </c>
      <c r="CT25" s="311" t="s">
        <v>232</v>
      </c>
    </row>
    <row r="26" spans="1:98" ht="22" customHeight="1" thickBot="1" x14ac:dyDescent="0.3">
      <c r="B26" s="346" t="s">
        <v>331</v>
      </c>
      <c r="C26" s="309" t="s">
        <v>232</v>
      </c>
      <c r="D26" s="340" t="s">
        <v>263</v>
      </c>
      <c r="E26" s="341" t="s">
        <v>332</v>
      </c>
      <c r="F26" s="342" t="s">
        <v>232</v>
      </c>
      <c r="G26" s="342" t="s">
        <v>232</v>
      </c>
      <c r="H26" s="342" t="s">
        <v>232</v>
      </c>
      <c r="I26" s="310" t="s">
        <v>232</v>
      </c>
      <c r="J26" s="310" t="s">
        <v>232</v>
      </c>
      <c r="K26" s="343" t="s">
        <v>232</v>
      </c>
      <c r="L26" s="344"/>
      <c r="M26" s="340" t="s">
        <v>232</v>
      </c>
      <c r="N26" s="342" t="s">
        <v>232</v>
      </c>
      <c r="O26" s="345">
        <v>1.226694592752442E-2</v>
      </c>
      <c r="P26" s="345">
        <v>3.19305703933804</v>
      </c>
      <c r="Q26" s="345" t="s">
        <v>232</v>
      </c>
      <c r="R26" s="345" t="s">
        <v>232</v>
      </c>
      <c r="S26" s="345">
        <v>58.399702163036743</v>
      </c>
      <c r="T26" s="345">
        <v>70.79830784329539</v>
      </c>
      <c r="U26" s="345">
        <v>8.2192688725439406E-5</v>
      </c>
      <c r="V26" s="345">
        <v>1.770340209094581E-2</v>
      </c>
      <c r="W26" s="345">
        <v>3.3100565587568333E-2</v>
      </c>
      <c r="X26" s="345">
        <v>1.9120612708241831E-9</v>
      </c>
      <c r="Y26" s="345">
        <v>2.19462268846832E-8</v>
      </c>
      <c r="Z26" s="345">
        <v>2.720416503503429E-2</v>
      </c>
      <c r="AA26" s="345">
        <v>5.9282474815117414</v>
      </c>
      <c r="AB26" s="345">
        <v>1.486823178594688E-5</v>
      </c>
      <c r="AC26" s="345">
        <v>9.641139124916094E-8</v>
      </c>
      <c r="AD26" s="345">
        <v>1.130462841269253E-7</v>
      </c>
      <c r="AE26" s="345">
        <v>1.2160300367763621E-2</v>
      </c>
      <c r="AF26" s="345">
        <v>1.4696530742005931</v>
      </c>
      <c r="AH26" s="316" t="s">
        <v>232</v>
      </c>
      <c r="AI26" s="317" t="s">
        <v>232</v>
      </c>
      <c r="AJ26" s="311" t="s">
        <v>232</v>
      </c>
      <c r="AK26" s="311" t="s">
        <v>232</v>
      </c>
      <c r="AL26" s="311" t="s">
        <v>232</v>
      </c>
      <c r="AM26" s="311" t="s">
        <v>232</v>
      </c>
      <c r="AN26" s="311" t="s">
        <v>232</v>
      </c>
      <c r="AO26" s="311" t="s">
        <v>232</v>
      </c>
      <c r="AP26" s="311" t="s">
        <v>232</v>
      </c>
      <c r="AQ26" s="318" t="s">
        <v>232</v>
      </c>
      <c r="AR26" s="318" t="s">
        <v>232</v>
      </c>
      <c r="AS26" s="318" t="s">
        <v>232</v>
      </c>
      <c r="AT26" s="315" t="s">
        <v>232</v>
      </c>
      <c r="AU26" s="315" t="s">
        <v>232</v>
      </c>
      <c r="AV26" s="318" t="s">
        <v>232</v>
      </c>
      <c r="AW26" s="311" t="s">
        <v>232</v>
      </c>
      <c r="AX26" s="318" t="s">
        <v>232</v>
      </c>
      <c r="AY26" s="315" t="s">
        <v>232</v>
      </c>
      <c r="AZ26" s="318" t="s">
        <v>232</v>
      </c>
      <c r="BA26" s="311" t="s">
        <v>232</v>
      </c>
      <c r="BB26" s="311" t="s">
        <v>232</v>
      </c>
      <c r="BD26" s="316" t="s">
        <v>232</v>
      </c>
      <c r="BE26" s="317" t="s">
        <v>232</v>
      </c>
      <c r="BF26" s="311" t="s">
        <v>232</v>
      </c>
      <c r="BG26" s="311" t="s">
        <v>232</v>
      </c>
      <c r="BH26" s="311" t="s">
        <v>232</v>
      </c>
      <c r="BI26" s="311" t="s">
        <v>232</v>
      </c>
      <c r="BJ26" s="311" t="s">
        <v>232</v>
      </c>
      <c r="BK26" s="311" t="s">
        <v>232</v>
      </c>
      <c r="BL26" s="311" t="s">
        <v>232</v>
      </c>
      <c r="BM26" s="318" t="s">
        <v>232</v>
      </c>
      <c r="BN26" s="318" t="s">
        <v>232</v>
      </c>
      <c r="BO26" s="318" t="s">
        <v>232</v>
      </c>
      <c r="BP26" s="315" t="s">
        <v>232</v>
      </c>
      <c r="BQ26" s="315" t="s">
        <v>232</v>
      </c>
      <c r="BR26" s="318" t="s">
        <v>232</v>
      </c>
      <c r="BS26" s="311" t="s">
        <v>232</v>
      </c>
      <c r="BT26" s="318" t="s">
        <v>232</v>
      </c>
      <c r="BU26" s="315" t="s">
        <v>232</v>
      </c>
      <c r="BV26" s="318" t="s">
        <v>232</v>
      </c>
      <c r="BW26" s="311" t="s">
        <v>232</v>
      </c>
      <c r="BX26" s="311" t="s">
        <v>232</v>
      </c>
      <c r="BZ26" s="316" t="s">
        <v>232</v>
      </c>
      <c r="CA26" s="319" t="s">
        <v>232</v>
      </c>
      <c r="CB26" s="311" t="s">
        <v>232</v>
      </c>
      <c r="CC26" s="311" t="s">
        <v>232</v>
      </c>
      <c r="CD26" s="311" t="s">
        <v>232</v>
      </c>
      <c r="CE26" s="311" t="s">
        <v>232</v>
      </c>
      <c r="CF26" s="311" t="s">
        <v>232</v>
      </c>
      <c r="CG26" s="311" t="s">
        <v>232</v>
      </c>
      <c r="CH26" s="311" t="s">
        <v>232</v>
      </c>
      <c r="CI26" s="318" t="s">
        <v>232</v>
      </c>
      <c r="CJ26" s="318" t="s">
        <v>232</v>
      </c>
      <c r="CK26" s="318" t="s">
        <v>232</v>
      </c>
      <c r="CL26" s="315" t="s">
        <v>232</v>
      </c>
      <c r="CM26" s="315" t="s">
        <v>232</v>
      </c>
      <c r="CN26" s="318" t="s">
        <v>232</v>
      </c>
      <c r="CO26" s="311" t="s">
        <v>232</v>
      </c>
      <c r="CP26" s="318" t="s">
        <v>232</v>
      </c>
      <c r="CQ26" s="315" t="s">
        <v>232</v>
      </c>
      <c r="CR26" s="318" t="s">
        <v>232</v>
      </c>
      <c r="CS26" s="311" t="s">
        <v>232</v>
      </c>
      <c r="CT26" s="311" t="s">
        <v>232</v>
      </c>
    </row>
    <row r="27" spans="1:98" ht="22" customHeight="1" x14ac:dyDescent="0.25">
      <c r="A27" s="320" t="s">
        <v>333</v>
      </c>
      <c r="B27" s="321" t="s">
        <v>334</v>
      </c>
      <c r="C27" s="322" t="s">
        <v>241</v>
      </c>
      <c r="D27" s="322" t="s">
        <v>233</v>
      </c>
      <c r="E27" s="323" t="s">
        <v>335</v>
      </c>
      <c r="F27" s="320">
        <v>722</v>
      </c>
      <c r="G27" s="320">
        <v>40</v>
      </c>
      <c r="H27" s="320" t="s">
        <v>2</v>
      </c>
      <c r="I27" s="324">
        <v>1</v>
      </c>
      <c r="J27" s="325">
        <v>101.19</v>
      </c>
      <c r="K27" s="326">
        <f t="shared" ref="K27:K35" si="50">F27/(G27*I27)</f>
        <v>18.05</v>
      </c>
      <c r="L27" s="327"/>
      <c r="M27" s="333" t="s">
        <v>336</v>
      </c>
      <c r="N27" s="329" t="s">
        <v>337</v>
      </c>
      <c r="O27" s="330">
        <v>1.8397652561970731E-2</v>
      </c>
      <c r="P27" s="330">
        <v>3.9115056163757749</v>
      </c>
      <c r="Q27" s="330">
        <f t="shared" si="1"/>
        <v>1.9857339720851801</v>
      </c>
      <c r="R27" s="330">
        <f t="shared" si="2"/>
        <v>5.8972395884609554</v>
      </c>
      <c r="S27" s="330">
        <v>28.38620032565353</v>
      </c>
      <c r="T27" s="330">
        <v>86.531013959494757</v>
      </c>
      <c r="U27" s="330">
        <v>6.2468190359095648E-4</v>
      </c>
      <c r="V27" s="330">
        <v>6.3284397023628293E-3</v>
      </c>
      <c r="W27" s="330">
        <v>3.8604899771365678E-2</v>
      </c>
      <c r="X27" s="330">
        <v>1.5252222686925631E-9</v>
      </c>
      <c r="Y27" s="330">
        <v>3.4610529139544771E-8</v>
      </c>
      <c r="Z27" s="330">
        <v>3.2915999367778281E-2</v>
      </c>
      <c r="AA27" s="330">
        <v>8.2203838522701247</v>
      </c>
      <c r="AB27" s="330">
        <v>2.325183534047221E-5</v>
      </c>
      <c r="AC27" s="330">
        <v>3.5024139239590447E-8</v>
      </c>
      <c r="AD27" s="330">
        <v>1.512270309209401E-7</v>
      </c>
      <c r="AE27" s="330">
        <v>1.7194339853697681E-2</v>
      </c>
      <c r="AF27" s="330">
        <v>1.8219662231563141</v>
      </c>
      <c r="AH27" s="316" t="s">
        <v>232</v>
      </c>
      <c r="AI27" s="331" t="s">
        <v>232</v>
      </c>
      <c r="AJ27" s="311" t="s">
        <v>232</v>
      </c>
      <c r="AK27" s="311" t="s">
        <v>232</v>
      </c>
      <c r="AL27" s="311" t="s">
        <v>232</v>
      </c>
      <c r="AM27" s="311" t="s">
        <v>232</v>
      </c>
      <c r="AN27" s="311" t="s">
        <v>232</v>
      </c>
      <c r="AO27" s="311" t="s">
        <v>232</v>
      </c>
      <c r="AP27" s="311" t="s">
        <v>232</v>
      </c>
      <c r="AQ27" s="318" t="s">
        <v>232</v>
      </c>
      <c r="AR27" s="318" t="s">
        <v>232</v>
      </c>
      <c r="AS27" s="318" t="s">
        <v>232</v>
      </c>
      <c r="AT27" s="315" t="s">
        <v>232</v>
      </c>
      <c r="AU27" s="315" t="s">
        <v>232</v>
      </c>
      <c r="AV27" s="318" t="s">
        <v>232</v>
      </c>
      <c r="AW27" s="311" t="s">
        <v>232</v>
      </c>
      <c r="AX27" s="318" t="s">
        <v>232</v>
      </c>
      <c r="AY27" s="315" t="s">
        <v>232</v>
      </c>
      <c r="AZ27" s="318" t="s">
        <v>232</v>
      </c>
      <c r="BA27" s="311" t="s">
        <v>232</v>
      </c>
      <c r="BB27" s="311" t="s">
        <v>232</v>
      </c>
      <c r="BD27" s="316">
        <v>348.32220000000001</v>
      </c>
      <c r="BE27" s="331">
        <f t="shared" si="9"/>
        <v>2.1399999999971442E-2</v>
      </c>
      <c r="BF27" s="311">
        <f t="shared" si="10"/>
        <v>0.38626999999948453</v>
      </c>
      <c r="BG27" s="311">
        <f t="shared" ref="BG27:BX27" si="51">$BE27*O$27</f>
        <v>3.9370976482564824E-4</v>
      </c>
      <c r="BH27" s="311">
        <f t="shared" si="51"/>
        <v>8.3706220190329875E-2</v>
      </c>
      <c r="BI27" s="311">
        <f t="shared" si="51"/>
        <v>4.2494707002566148E-2</v>
      </c>
      <c r="BJ27" s="311">
        <f t="shared" si="51"/>
        <v>0.12620092719289602</v>
      </c>
      <c r="BK27" s="311">
        <f t="shared" si="51"/>
        <v>0.60746468696817491</v>
      </c>
      <c r="BL27" s="311">
        <f t="shared" si="51"/>
        <v>1.8517636987307167</v>
      </c>
      <c r="BM27" s="318">
        <f t="shared" si="51"/>
        <v>1.336819273682863E-5</v>
      </c>
      <c r="BN27" s="318">
        <f t="shared" si="51"/>
        <v>1.3542860963038382E-4</v>
      </c>
      <c r="BO27" s="318">
        <f t="shared" si="51"/>
        <v>8.2614485510612307E-4</v>
      </c>
      <c r="BP27" s="315">
        <f t="shared" si="51"/>
        <v>3.2639756549977291E-11</v>
      </c>
      <c r="BQ27" s="315">
        <f t="shared" si="51"/>
        <v>7.4066532358526963E-10</v>
      </c>
      <c r="BR27" s="318">
        <f t="shared" si="51"/>
        <v>7.0440238646951516E-4</v>
      </c>
      <c r="BS27" s="311">
        <f t="shared" si="51"/>
        <v>0.1759162144383459</v>
      </c>
      <c r="BT27" s="318">
        <f t="shared" si="51"/>
        <v>4.9758927628544128E-7</v>
      </c>
      <c r="BU27" s="315">
        <f t="shared" si="51"/>
        <v>7.4951657972623535E-10</v>
      </c>
      <c r="BV27" s="318">
        <f t="shared" si="51"/>
        <v>3.2362584617037997E-9</v>
      </c>
      <c r="BW27" s="311">
        <f t="shared" si="51"/>
        <v>3.6795887286863934E-4</v>
      </c>
      <c r="BX27" s="311">
        <f t="shared" si="51"/>
        <v>3.899007717549309E-2</v>
      </c>
      <c r="BZ27" s="316">
        <v>348.32220000000001</v>
      </c>
      <c r="CA27" s="332">
        <f t="shared" ref="CA27:CA32" si="52">IF(BZ27&gt;0,BZ$2-BZ27,0)</f>
        <v>2.1399999999971442E-2</v>
      </c>
      <c r="CB27" s="311" t="s">
        <v>232</v>
      </c>
      <c r="CC27" s="311">
        <f t="shared" ref="CC27:CT27" si="53">$CA27*O$27</f>
        <v>3.9370976482564824E-4</v>
      </c>
      <c r="CD27" s="311">
        <f t="shared" si="53"/>
        <v>8.3706220190329875E-2</v>
      </c>
      <c r="CE27" s="311">
        <f t="shared" si="53"/>
        <v>4.2494707002566148E-2</v>
      </c>
      <c r="CF27" s="311">
        <f t="shared" si="53"/>
        <v>0.12620092719289602</v>
      </c>
      <c r="CG27" s="311">
        <f t="shared" si="53"/>
        <v>0.60746468696817491</v>
      </c>
      <c r="CH27" s="311">
        <f t="shared" si="53"/>
        <v>1.8517636987307167</v>
      </c>
      <c r="CI27" s="318">
        <f t="shared" si="53"/>
        <v>1.336819273682863E-5</v>
      </c>
      <c r="CJ27" s="318">
        <f t="shared" si="53"/>
        <v>1.3542860963038382E-4</v>
      </c>
      <c r="CK27" s="318">
        <f t="shared" si="53"/>
        <v>8.2614485510612307E-4</v>
      </c>
      <c r="CL27" s="315">
        <f t="shared" si="53"/>
        <v>3.2639756549977291E-11</v>
      </c>
      <c r="CM27" s="315">
        <f t="shared" si="53"/>
        <v>7.4066532358526963E-10</v>
      </c>
      <c r="CN27" s="318">
        <f t="shared" si="53"/>
        <v>7.0440238646951516E-4</v>
      </c>
      <c r="CO27" s="311">
        <f t="shared" si="53"/>
        <v>0.1759162144383459</v>
      </c>
      <c r="CP27" s="318">
        <f t="shared" si="53"/>
        <v>4.9758927628544128E-7</v>
      </c>
      <c r="CQ27" s="315">
        <f t="shared" si="53"/>
        <v>7.4951657972623535E-10</v>
      </c>
      <c r="CR27" s="318">
        <f t="shared" si="53"/>
        <v>3.2362584617037997E-9</v>
      </c>
      <c r="CS27" s="311">
        <f t="shared" si="53"/>
        <v>3.6795887286863934E-4</v>
      </c>
      <c r="CT27" s="311">
        <f t="shared" si="53"/>
        <v>3.899007717549309E-2</v>
      </c>
    </row>
    <row r="28" spans="1:98" ht="22" customHeight="1" x14ac:dyDescent="0.25">
      <c r="A28" s="320" t="s">
        <v>338</v>
      </c>
      <c r="B28" s="321" t="s">
        <v>339</v>
      </c>
      <c r="C28" s="322" t="s">
        <v>241</v>
      </c>
      <c r="D28" s="322" t="s">
        <v>263</v>
      </c>
      <c r="E28" s="323" t="s">
        <v>340</v>
      </c>
      <c r="F28" s="320">
        <v>643</v>
      </c>
      <c r="G28" s="320">
        <v>25</v>
      </c>
      <c r="H28" s="320" t="s">
        <v>2</v>
      </c>
      <c r="I28" s="324">
        <v>1</v>
      </c>
      <c r="J28" s="325">
        <v>142.04</v>
      </c>
      <c r="K28" s="326">
        <f t="shared" si="50"/>
        <v>25.72</v>
      </c>
      <c r="L28" s="327"/>
      <c r="M28" s="333" t="s">
        <v>341</v>
      </c>
      <c r="N28" s="329" t="s">
        <v>342</v>
      </c>
      <c r="O28" s="330">
        <v>8.794874933101474E-3</v>
      </c>
      <c r="P28" s="330">
        <v>0.59672346490521722</v>
      </c>
      <c r="Q28" s="330">
        <f t="shared" si="1"/>
        <v>1.9857339720851801</v>
      </c>
      <c r="R28" s="330">
        <f t="shared" si="2"/>
        <v>2.5824574369903974</v>
      </c>
      <c r="S28" s="330">
        <v>11.480349887245451</v>
      </c>
      <c r="T28" s="330">
        <v>7.0688372886686039</v>
      </c>
      <c r="U28" s="330">
        <v>3.5267202250849653E-5</v>
      </c>
      <c r="V28" s="330">
        <v>8.4329524797367673E-4</v>
      </c>
      <c r="W28" s="330">
        <v>9.429982454375551E-3</v>
      </c>
      <c r="X28" s="330">
        <v>7.0236518217930572E-10</v>
      </c>
      <c r="Y28" s="330">
        <v>3.5192670768344827E-8</v>
      </c>
      <c r="Z28" s="330">
        <v>1.4640221424110349E-2</v>
      </c>
      <c r="AA28" s="330">
        <v>7.2876949438192513</v>
      </c>
      <c r="AB28" s="330">
        <v>5.3028059481940492E-5</v>
      </c>
      <c r="AC28" s="330">
        <v>2.2711746352234509E-8</v>
      </c>
      <c r="AD28" s="330">
        <v>7.3246114850744973E-8</v>
      </c>
      <c r="AE28" s="330">
        <v>3.0711237526171459E-3</v>
      </c>
      <c r="AF28" s="330">
        <v>0.67847231583722478</v>
      </c>
      <c r="AH28" s="316" t="s">
        <v>232</v>
      </c>
      <c r="AI28" s="331" t="s">
        <v>232</v>
      </c>
      <c r="AJ28" s="311" t="s">
        <v>232</v>
      </c>
      <c r="AK28" s="311" t="s">
        <v>232</v>
      </c>
      <c r="AL28" s="311" t="s">
        <v>232</v>
      </c>
      <c r="AM28" s="311" t="s">
        <v>232</v>
      </c>
      <c r="AN28" s="311" t="s">
        <v>232</v>
      </c>
      <c r="AO28" s="311" t="s">
        <v>232</v>
      </c>
      <c r="AP28" s="311" t="s">
        <v>232</v>
      </c>
      <c r="AQ28" s="318" t="s">
        <v>232</v>
      </c>
      <c r="AR28" s="318" t="s">
        <v>232</v>
      </c>
      <c r="AS28" s="318" t="s">
        <v>232</v>
      </c>
      <c r="AT28" s="315" t="s">
        <v>232</v>
      </c>
      <c r="AU28" s="315" t="s">
        <v>232</v>
      </c>
      <c r="AV28" s="318" t="s">
        <v>232</v>
      </c>
      <c r="AW28" s="311" t="s">
        <v>232</v>
      </c>
      <c r="AX28" s="318" t="s">
        <v>232</v>
      </c>
      <c r="AY28" s="315" t="s">
        <v>232</v>
      </c>
      <c r="AZ28" s="318" t="s">
        <v>232</v>
      </c>
      <c r="BA28" s="311" t="s">
        <v>232</v>
      </c>
      <c r="BB28" s="311" t="s">
        <v>232</v>
      </c>
      <c r="BD28" s="316">
        <v>347.77390000000003</v>
      </c>
      <c r="BE28" s="331">
        <f t="shared" si="9"/>
        <v>0.5696999999999548</v>
      </c>
      <c r="BF28" s="311">
        <f t="shared" si="10"/>
        <v>14.652683999998837</v>
      </c>
      <c r="BG28" s="311">
        <f t="shared" ref="BG28:BX28" si="54">$BE28*O$28</f>
        <v>5.0104402493875121E-3</v>
      </c>
      <c r="BH28" s="311">
        <f t="shared" si="54"/>
        <v>0.3399533579564753</v>
      </c>
      <c r="BI28" s="311">
        <f t="shared" si="54"/>
        <v>1.1312726438968372</v>
      </c>
      <c r="BJ28" s="311">
        <f t="shared" si="54"/>
        <v>1.4712260018533128</v>
      </c>
      <c r="BK28" s="311">
        <f t="shared" si="54"/>
        <v>6.5403553307632141</v>
      </c>
      <c r="BL28" s="311">
        <f t="shared" si="54"/>
        <v>4.0271166033541839</v>
      </c>
      <c r="BM28" s="318">
        <f t="shared" si="54"/>
        <v>2.0091725122307452E-5</v>
      </c>
      <c r="BN28" s="318">
        <f t="shared" si="54"/>
        <v>4.8042530277056549E-4</v>
      </c>
      <c r="BO28" s="318">
        <f t="shared" si="54"/>
        <v>5.3722610042573251E-3</v>
      </c>
      <c r="BP28" s="315">
        <f t="shared" si="54"/>
        <v>4.001374442875187E-10</v>
      </c>
      <c r="BQ28" s="315">
        <f t="shared" si="54"/>
        <v>2.0049264536724456E-8</v>
      </c>
      <c r="BR28" s="318">
        <f t="shared" si="54"/>
        <v>8.340534145315005E-3</v>
      </c>
      <c r="BS28" s="311">
        <f t="shared" si="54"/>
        <v>4.1517998094934985</v>
      </c>
      <c r="BT28" s="318">
        <f t="shared" si="54"/>
        <v>3.0210085486859101E-5</v>
      </c>
      <c r="BU28" s="315">
        <f t="shared" si="54"/>
        <v>1.2938881896866974E-8</v>
      </c>
      <c r="BV28" s="318">
        <f t="shared" si="54"/>
        <v>4.1728311630466102E-8</v>
      </c>
      <c r="BW28" s="311">
        <f t="shared" si="54"/>
        <v>1.7496192018658491E-3</v>
      </c>
      <c r="BX28" s="311">
        <f t="shared" si="54"/>
        <v>0.38652567833243628</v>
      </c>
      <c r="BZ28" s="316">
        <v>348.31079999999997</v>
      </c>
      <c r="CA28" s="332">
        <f t="shared" si="52"/>
        <v>3.2800000000008822E-2</v>
      </c>
      <c r="CB28" s="311" t="s">
        <v>232</v>
      </c>
      <c r="CC28" s="311">
        <f t="shared" ref="CC28:CT28" si="55">$CA28*O$28</f>
        <v>2.8847189780580593E-4</v>
      </c>
      <c r="CD28" s="311">
        <f t="shared" si="55"/>
        <v>1.957252964889639E-2</v>
      </c>
      <c r="CE28" s="311">
        <f t="shared" si="55"/>
        <v>6.5132074284411423E-2</v>
      </c>
      <c r="CF28" s="311">
        <f t="shared" si="55"/>
        <v>8.4704603933307823E-2</v>
      </c>
      <c r="CG28" s="311">
        <f t="shared" si="55"/>
        <v>0.37655547630175207</v>
      </c>
      <c r="CH28" s="311">
        <f t="shared" si="55"/>
        <v>0.23185786306839257</v>
      </c>
      <c r="CI28" s="318">
        <f t="shared" si="55"/>
        <v>1.1567642338281797E-6</v>
      </c>
      <c r="CJ28" s="318">
        <f t="shared" si="55"/>
        <v>2.7660084133544037E-5</v>
      </c>
      <c r="CK28" s="318">
        <f t="shared" si="55"/>
        <v>3.0930342450360125E-4</v>
      </c>
      <c r="CL28" s="315">
        <f t="shared" si="55"/>
        <v>2.3037577975487423E-11</v>
      </c>
      <c r="CM28" s="315">
        <f t="shared" si="55"/>
        <v>1.1543196012020209E-9</v>
      </c>
      <c r="CN28" s="318">
        <f t="shared" si="55"/>
        <v>4.8019926271094859E-4</v>
      </c>
      <c r="CO28" s="311">
        <f t="shared" si="55"/>
        <v>0.23903639415733574</v>
      </c>
      <c r="CP28" s="318">
        <f t="shared" si="55"/>
        <v>1.7393203510081159E-6</v>
      </c>
      <c r="CQ28" s="315">
        <f t="shared" si="55"/>
        <v>7.4494528035349229E-10</v>
      </c>
      <c r="CR28" s="318">
        <f t="shared" si="55"/>
        <v>2.4024725671050812E-9</v>
      </c>
      <c r="CS28" s="311">
        <f t="shared" si="55"/>
        <v>1.0073285908586948E-4</v>
      </c>
      <c r="CT28" s="311">
        <f t="shared" si="55"/>
        <v>2.2253891959466959E-2</v>
      </c>
    </row>
    <row r="29" spans="1:98" ht="22" customHeight="1" x14ac:dyDescent="0.25">
      <c r="A29" s="320" t="s">
        <v>343</v>
      </c>
      <c r="B29" s="321" t="s">
        <v>344</v>
      </c>
      <c r="C29" s="322" t="s">
        <v>241</v>
      </c>
      <c r="D29" s="322" t="s">
        <v>263</v>
      </c>
      <c r="E29" s="323" t="s">
        <v>345</v>
      </c>
      <c r="F29" s="320">
        <v>5190</v>
      </c>
      <c r="G29" s="320">
        <v>190</v>
      </c>
      <c r="H29" s="320" t="s">
        <v>243</v>
      </c>
      <c r="I29" s="325">
        <v>1.33</v>
      </c>
      <c r="J29" s="325">
        <v>84.93</v>
      </c>
      <c r="K29" s="326">
        <f t="shared" si="50"/>
        <v>20.538187574198652</v>
      </c>
      <c r="L29" s="327"/>
      <c r="M29" s="333" t="s">
        <v>346</v>
      </c>
      <c r="N29" s="329" t="s">
        <v>347</v>
      </c>
      <c r="O29" s="330">
        <v>2.7515995937287221E-2</v>
      </c>
      <c r="P29" s="330">
        <v>3.5821667610250221</v>
      </c>
      <c r="Q29" s="330">
        <f t="shared" si="1"/>
        <v>2.4771661783205499</v>
      </c>
      <c r="R29" s="330">
        <f t="shared" si="2"/>
        <v>6.0593329393455715</v>
      </c>
      <c r="S29" s="330">
        <v>57.936815964790007</v>
      </c>
      <c r="T29" s="330">
        <v>38.655753065916421</v>
      </c>
      <c r="U29" s="330">
        <v>2.6963135160290331E-6</v>
      </c>
      <c r="V29" s="330">
        <v>5.4918148785469776E-3</v>
      </c>
      <c r="W29" s="330">
        <v>6.0129476796170048E-2</v>
      </c>
      <c r="X29" s="330">
        <v>9.5605313374359622E-10</v>
      </c>
      <c r="Y29" s="330">
        <v>6.7524465111212179E-8</v>
      </c>
      <c r="Z29" s="330">
        <v>1.6366988116843921E-4</v>
      </c>
      <c r="AA29" s="330">
        <v>0.21316384465463359</v>
      </c>
      <c r="AB29" s="330">
        <v>2.0054342922637851E-5</v>
      </c>
      <c r="AC29" s="330">
        <v>4.8910404833840297E-5</v>
      </c>
      <c r="AD29" s="330">
        <v>5.4459515019230149E-7</v>
      </c>
      <c r="AE29" s="330">
        <v>1.6451407223724838E-2</v>
      </c>
      <c r="AF29" s="330">
        <v>0.45173252894084348</v>
      </c>
      <c r="AH29" s="316" t="s">
        <v>232</v>
      </c>
      <c r="AI29" s="331" t="s">
        <v>232</v>
      </c>
      <c r="AJ29" s="311" t="s">
        <v>232</v>
      </c>
      <c r="AK29" s="311" t="s">
        <v>232</v>
      </c>
      <c r="AL29" s="311" t="s">
        <v>232</v>
      </c>
      <c r="AM29" s="311" t="s">
        <v>232</v>
      </c>
      <c r="AN29" s="311" t="s">
        <v>232</v>
      </c>
      <c r="AO29" s="311" t="s">
        <v>232</v>
      </c>
      <c r="AP29" s="311" t="s">
        <v>232</v>
      </c>
      <c r="AQ29" s="318" t="s">
        <v>232</v>
      </c>
      <c r="AR29" s="318" t="s">
        <v>232</v>
      </c>
      <c r="AS29" s="318" t="s">
        <v>232</v>
      </c>
      <c r="AT29" s="315" t="s">
        <v>232</v>
      </c>
      <c r="AU29" s="315" t="s">
        <v>232</v>
      </c>
      <c r="AV29" s="318" t="s">
        <v>232</v>
      </c>
      <c r="AW29" s="311" t="s">
        <v>232</v>
      </c>
      <c r="AX29" s="318" t="s">
        <v>232</v>
      </c>
      <c r="AY29" s="315" t="s">
        <v>232</v>
      </c>
      <c r="AZ29" s="318" t="s">
        <v>232</v>
      </c>
      <c r="BA29" s="311" t="s">
        <v>232</v>
      </c>
      <c r="BB29" s="311" t="s">
        <v>232</v>
      </c>
      <c r="BD29" s="316">
        <v>339.04939999999999</v>
      </c>
      <c r="BE29" s="331">
        <f t="shared" si="9"/>
        <v>9.2941999999999894</v>
      </c>
      <c r="BF29" s="311">
        <f t="shared" si="10"/>
        <v>190.88602295211689</v>
      </c>
      <c r="BG29" s="311">
        <f t="shared" ref="BG29:BX29" si="56">$BE29*O$29</f>
        <v>0.25573916944033459</v>
      </c>
      <c r="BH29" s="311">
        <f t="shared" si="56"/>
        <v>33.293374310318725</v>
      </c>
      <c r="BI29" s="311">
        <f t="shared" si="56"/>
        <v>23.02327789454683</v>
      </c>
      <c r="BJ29" s="311">
        <f t="shared" si="56"/>
        <v>56.316652204865548</v>
      </c>
      <c r="BK29" s="311">
        <f t="shared" si="56"/>
        <v>538.47635493995062</v>
      </c>
      <c r="BL29" s="311">
        <f t="shared" si="56"/>
        <v>359.27430014523998</v>
      </c>
      <c r="BM29" s="318">
        <f t="shared" si="56"/>
        <v>2.506007708067701E-5</v>
      </c>
      <c r="BN29" s="318">
        <f t="shared" si="56"/>
        <v>5.1042025844191263E-2</v>
      </c>
      <c r="BO29" s="318">
        <f t="shared" si="56"/>
        <v>0.558855383238963</v>
      </c>
      <c r="BP29" s="315">
        <f t="shared" si="56"/>
        <v>8.8857490356397222E-9</v>
      </c>
      <c r="BQ29" s="315">
        <f t="shared" si="56"/>
        <v>6.2758588363662749E-7</v>
      </c>
      <c r="BR29" s="318">
        <f t="shared" si="56"/>
        <v>1.5211806095557058E-3</v>
      </c>
      <c r="BS29" s="311">
        <f t="shared" si="56"/>
        <v>1.9811874049890932</v>
      </c>
      <c r="BT29" s="318">
        <f t="shared" si="56"/>
        <v>1.8638907399158052E-4</v>
      </c>
      <c r="BU29" s="315">
        <f t="shared" si="56"/>
        <v>4.5458308460667794E-4</v>
      </c>
      <c r="BV29" s="318">
        <f t="shared" si="56"/>
        <v>5.0615762449172831E-6</v>
      </c>
      <c r="BW29" s="311">
        <f t="shared" si="56"/>
        <v>0.15290266901874322</v>
      </c>
      <c r="BX29" s="311">
        <f t="shared" si="56"/>
        <v>4.198492470481983</v>
      </c>
      <c r="BZ29" s="316">
        <v>339.04939999999999</v>
      </c>
      <c r="CA29" s="332">
        <f t="shared" si="52"/>
        <v>9.2941999999999894</v>
      </c>
      <c r="CB29" s="311" t="s">
        <v>232</v>
      </c>
      <c r="CC29" s="311">
        <f t="shared" ref="CC29:CT29" si="57">$CA29*O$29</f>
        <v>0.25573916944033459</v>
      </c>
      <c r="CD29" s="311">
        <f t="shared" si="57"/>
        <v>33.293374310318725</v>
      </c>
      <c r="CE29" s="311">
        <f t="shared" si="57"/>
        <v>23.02327789454683</v>
      </c>
      <c r="CF29" s="311">
        <f t="shared" si="57"/>
        <v>56.316652204865548</v>
      </c>
      <c r="CG29" s="311">
        <f t="shared" si="57"/>
        <v>538.47635493995062</v>
      </c>
      <c r="CH29" s="311">
        <f t="shared" si="57"/>
        <v>359.27430014523998</v>
      </c>
      <c r="CI29" s="318">
        <f t="shared" si="57"/>
        <v>2.506007708067701E-5</v>
      </c>
      <c r="CJ29" s="318">
        <f t="shared" si="57"/>
        <v>5.1042025844191263E-2</v>
      </c>
      <c r="CK29" s="318">
        <f t="shared" si="57"/>
        <v>0.558855383238963</v>
      </c>
      <c r="CL29" s="315">
        <f t="shared" si="57"/>
        <v>8.8857490356397222E-9</v>
      </c>
      <c r="CM29" s="315">
        <f t="shared" si="57"/>
        <v>6.2758588363662749E-7</v>
      </c>
      <c r="CN29" s="318">
        <f t="shared" si="57"/>
        <v>1.5211806095557058E-3</v>
      </c>
      <c r="CO29" s="311">
        <f t="shared" si="57"/>
        <v>1.9811874049890932</v>
      </c>
      <c r="CP29" s="318">
        <f t="shared" si="57"/>
        <v>1.8638907399158052E-4</v>
      </c>
      <c r="CQ29" s="315">
        <f t="shared" si="57"/>
        <v>4.5458308460667794E-4</v>
      </c>
      <c r="CR29" s="318">
        <f t="shared" si="57"/>
        <v>5.0615762449172831E-6</v>
      </c>
      <c r="CS29" s="311">
        <f t="shared" si="57"/>
        <v>0.15290266901874322</v>
      </c>
      <c r="CT29" s="311">
        <f t="shared" si="57"/>
        <v>4.198492470481983</v>
      </c>
    </row>
    <row r="30" spans="1:98" ht="22" customHeight="1" x14ac:dyDescent="0.25">
      <c r="A30" s="320" t="s">
        <v>348</v>
      </c>
      <c r="B30" s="321" t="s">
        <v>349</v>
      </c>
      <c r="C30" s="322" t="s">
        <v>237</v>
      </c>
      <c r="D30" s="322" t="s">
        <v>263</v>
      </c>
      <c r="E30" s="323" t="s">
        <v>350</v>
      </c>
      <c r="F30" s="320">
        <v>684</v>
      </c>
      <c r="G30" s="320">
        <v>20</v>
      </c>
      <c r="H30" s="320" t="s">
        <v>2</v>
      </c>
      <c r="I30" s="324">
        <v>1</v>
      </c>
      <c r="J30" s="325">
        <v>101.96</v>
      </c>
      <c r="K30" s="326">
        <f t="shared" si="50"/>
        <v>34.200000000000003</v>
      </c>
      <c r="L30" s="327"/>
      <c r="M30" s="333" t="s">
        <v>351</v>
      </c>
      <c r="N30" s="329" t="s">
        <v>352</v>
      </c>
      <c r="O30" s="330">
        <v>1.207840393298449E-2</v>
      </c>
      <c r="P30" s="330">
        <v>1.504922501194879</v>
      </c>
      <c r="Q30" s="330">
        <f t="shared" si="1"/>
        <v>1.9857339720851801</v>
      </c>
      <c r="R30" s="330">
        <f t="shared" si="2"/>
        <v>3.4906564732800591</v>
      </c>
      <c r="S30" s="330">
        <v>8.3914487244962004</v>
      </c>
      <c r="T30" s="330">
        <v>14.50878361015064</v>
      </c>
      <c r="U30" s="330">
        <v>4.4638129951681037E-5</v>
      </c>
      <c r="V30" s="330">
        <v>1.749943415976184E-3</v>
      </c>
      <c r="W30" s="330">
        <v>1.9590070329598652E-2</v>
      </c>
      <c r="X30" s="330">
        <v>4.4144434574613426E-9</v>
      </c>
      <c r="Y30" s="330">
        <v>7.6060554700586501E-8</v>
      </c>
      <c r="Z30" s="330">
        <v>1.035235334281019E-2</v>
      </c>
      <c r="AA30" s="330">
        <v>4.0704730074675091</v>
      </c>
      <c r="AB30" s="330">
        <v>8.6025252438147521E-6</v>
      </c>
      <c r="AC30" s="330">
        <v>3.9615669815457418E-8</v>
      </c>
      <c r="AD30" s="330">
        <v>1.7664677617503339E-7</v>
      </c>
      <c r="AE30" s="330">
        <v>5.871323552850769E-3</v>
      </c>
      <c r="AF30" s="330">
        <v>0.23024460772280281</v>
      </c>
      <c r="AH30" s="316" t="s">
        <v>232</v>
      </c>
      <c r="AI30" s="331" t="s">
        <v>232</v>
      </c>
      <c r="AJ30" s="311" t="s">
        <v>232</v>
      </c>
      <c r="AK30" s="311" t="s">
        <v>232</v>
      </c>
      <c r="AL30" s="311" t="s">
        <v>232</v>
      </c>
      <c r="AM30" s="311" t="s">
        <v>232</v>
      </c>
      <c r="AN30" s="311" t="s">
        <v>232</v>
      </c>
      <c r="AO30" s="311" t="s">
        <v>232</v>
      </c>
      <c r="AP30" s="311" t="s">
        <v>232</v>
      </c>
      <c r="AQ30" s="318" t="s">
        <v>232</v>
      </c>
      <c r="AR30" s="318" t="s">
        <v>232</v>
      </c>
      <c r="AS30" s="318" t="s">
        <v>232</v>
      </c>
      <c r="AT30" s="315" t="s">
        <v>232</v>
      </c>
      <c r="AU30" s="315" t="s">
        <v>232</v>
      </c>
      <c r="AV30" s="318" t="s">
        <v>232</v>
      </c>
      <c r="AW30" s="311" t="s">
        <v>232</v>
      </c>
      <c r="AX30" s="318" t="s">
        <v>232</v>
      </c>
      <c r="AY30" s="315" t="s">
        <v>232</v>
      </c>
      <c r="AZ30" s="318" t="s">
        <v>232</v>
      </c>
      <c r="BA30" s="311" t="s">
        <v>232</v>
      </c>
      <c r="BB30" s="311" t="s">
        <v>232</v>
      </c>
      <c r="BD30" s="316">
        <v>347.5215</v>
      </c>
      <c r="BE30" s="331">
        <f t="shared" si="9"/>
        <v>0.82209999999997763</v>
      </c>
      <c r="BF30" s="311">
        <f t="shared" si="10"/>
        <v>28.115819999999236</v>
      </c>
      <c r="BG30" s="311">
        <f t="shared" ref="BG30:BX30" si="58">$BE30*O$30</f>
        <v>9.9296558733062788E-3</v>
      </c>
      <c r="BH30" s="311">
        <f t="shared" si="58"/>
        <v>1.2371967882322763</v>
      </c>
      <c r="BI30" s="311">
        <f t="shared" si="58"/>
        <v>1.6324718984511821</v>
      </c>
      <c r="BJ30" s="311">
        <f t="shared" si="58"/>
        <v>2.8696686866834584</v>
      </c>
      <c r="BK30" s="311">
        <f t="shared" si="58"/>
        <v>6.8986099964081387</v>
      </c>
      <c r="BL30" s="311">
        <f t="shared" si="58"/>
        <v>11.927671005904516</v>
      </c>
      <c r="BM30" s="318">
        <f t="shared" si="58"/>
        <v>3.6697006633275985E-5</v>
      </c>
      <c r="BN30" s="318">
        <f t="shared" si="58"/>
        <v>1.4386284822739818E-3</v>
      </c>
      <c r="BO30" s="318">
        <f t="shared" si="58"/>
        <v>1.6104996817962614E-2</v>
      </c>
      <c r="BP30" s="315">
        <f t="shared" si="58"/>
        <v>3.6291139663788711E-9</v>
      </c>
      <c r="BQ30" s="315">
        <f t="shared" si="58"/>
        <v>6.2529382019350467E-8</v>
      </c>
      <c r="BR30" s="318">
        <f t="shared" si="58"/>
        <v>8.5106696831240263E-3</v>
      </c>
      <c r="BS30" s="311">
        <f t="shared" si="58"/>
        <v>3.3463358594389483</v>
      </c>
      <c r="BT30" s="318">
        <f t="shared" si="58"/>
        <v>7.0721360029399156E-6</v>
      </c>
      <c r="BU30" s="315">
        <f t="shared" si="58"/>
        <v>3.2568042155286654E-8</v>
      </c>
      <c r="BV30" s="318">
        <f t="shared" si="58"/>
        <v>1.45221314693491E-7</v>
      </c>
      <c r="BW30" s="311">
        <f t="shared" si="58"/>
        <v>4.8268150927984858E-3</v>
      </c>
      <c r="BX30" s="311">
        <f t="shared" si="58"/>
        <v>0.18928409200891103</v>
      </c>
      <c r="BZ30" s="316">
        <v>347.5215</v>
      </c>
      <c r="CA30" s="332">
        <f t="shared" si="52"/>
        <v>0.82209999999997763</v>
      </c>
      <c r="CB30" s="311" t="s">
        <v>232</v>
      </c>
      <c r="CC30" s="311">
        <f t="shared" ref="CC30:CT30" si="59">$CA30*O$30</f>
        <v>9.9296558733062788E-3</v>
      </c>
      <c r="CD30" s="311">
        <f t="shared" si="59"/>
        <v>1.2371967882322763</v>
      </c>
      <c r="CE30" s="311">
        <f t="shared" si="59"/>
        <v>1.6324718984511821</v>
      </c>
      <c r="CF30" s="311">
        <f t="shared" si="59"/>
        <v>2.8696686866834584</v>
      </c>
      <c r="CG30" s="311">
        <f t="shared" si="59"/>
        <v>6.8986099964081387</v>
      </c>
      <c r="CH30" s="311">
        <f t="shared" si="59"/>
        <v>11.927671005904516</v>
      </c>
      <c r="CI30" s="318">
        <f t="shared" si="59"/>
        <v>3.6697006633275985E-5</v>
      </c>
      <c r="CJ30" s="318">
        <f t="shared" si="59"/>
        <v>1.4386284822739818E-3</v>
      </c>
      <c r="CK30" s="318">
        <f t="shared" si="59"/>
        <v>1.6104996817962614E-2</v>
      </c>
      <c r="CL30" s="315">
        <f t="shared" si="59"/>
        <v>3.6291139663788711E-9</v>
      </c>
      <c r="CM30" s="315">
        <f t="shared" si="59"/>
        <v>6.2529382019350467E-8</v>
      </c>
      <c r="CN30" s="318">
        <f t="shared" si="59"/>
        <v>8.5106696831240263E-3</v>
      </c>
      <c r="CO30" s="311">
        <f t="shared" si="59"/>
        <v>3.3463358594389483</v>
      </c>
      <c r="CP30" s="318">
        <f t="shared" si="59"/>
        <v>7.0721360029399156E-6</v>
      </c>
      <c r="CQ30" s="315">
        <f t="shared" si="59"/>
        <v>3.2568042155286654E-8</v>
      </c>
      <c r="CR30" s="318">
        <f t="shared" si="59"/>
        <v>1.45221314693491E-7</v>
      </c>
      <c r="CS30" s="311">
        <f t="shared" si="59"/>
        <v>4.8268150927984858E-3</v>
      </c>
      <c r="CT30" s="311">
        <f t="shared" si="59"/>
        <v>0.18928409200891103</v>
      </c>
    </row>
    <row r="31" spans="1:98" ht="22" customHeight="1" x14ac:dyDescent="0.25">
      <c r="A31" s="351" t="s">
        <v>353</v>
      </c>
      <c r="B31" s="321" t="s">
        <v>354</v>
      </c>
      <c r="C31" s="322" t="s">
        <v>237</v>
      </c>
      <c r="D31" s="322" t="s">
        <v>233</v>
      </c>
      <c r="E31" s="323" t="s">
        <v>355</v>
      </c>
      <c r="F31" s="351">
        <v>531</v>
      </c>
      <c r="G31" s="351">
        <v>15</v>
      </c>
      <c r="H31" s="320" t="s">
        <v>2</v>
      </c>
      <c r="I31" s="324">
        <v>1</v>
      </c>
      <c r="J31" s="352">
        <v>190.22</v>
      </c>
      <c r="K31" s="326">
        <f t="shared" si="50"/>
        <v>35.4</v>
      </c>
      <c r="L31" s="327"/>
      <c r="M31" s="353" t="s">
        <v>356</v>
      </c>
      <c r="N31" s="354" t="s">
        <v>357</v>
      </c>
      <c r="O31" s="330">
        <v>1.4341536111587059E-2</v>
      </c>
      <c r="P31" s="330">
        <v>1.3645157844117699</v>
      </c>
      <c r="Q31" s="330">
        <f t="shared" si="1"/>
        <v>1.9857339720851801</v>
      </c>
      <c r="R31" s="330">
        <f t="shared" si="2"/>
        <v>3.3502497564969502</v>
      </c>
      <c r="S31" s="330">
        <v>11.045974501089169</v>
      </c>
      <c r="T31" s="330">
        <v>30.414693249874471</v>
      </c>
      <c r="U31" s="330">
        <v>1.3569002424929289E-4</v>
      </c>
      <c r="V31" s="330">
        <v>1.4662732164792121E-3</v>
      </c>
      <c r="W31" s="330">
        <v>1.695129064326336E-2</v>
      </c>
      <c r="X31" s="330">
        <v>1.763275183084229E-8</v>
      </c>
      <c r="Y31" s="330">
        <v>3.9062002739905398E-8</v>
      </c>
      <c r="Z31" s="330">
        <v>3.267255528374189E-2</v>
      </c>
      <c r="AA31" s="330">
        <v>7.4186048510519704</v>
      </c>
      <c r="AB31" s="330">
        <v>3.6317120349674587E-5</v>
      </c>
      <c r="AC31" s="330">
        <v>8.6709295180301945E-8</v>
      </c>
      <c r="AD31" s="330">
        <v>1.5313112936917149E-7</v>
      </c>
      <c r="AE31" s="330">
        <v>2.5639896327337621E-2</v>
      </c>
      <c r="AF31" s="330">
        <v>0.63603545683423268</v>
      </c>
      <c r="AH31" s="316" t="s">
        <v>232</v>
      </c>
      <c r="AI31" s="355" t="s">
        <v>232</v>
      </c>
      <c r="AJ31" s="311" t="s">
        <v>232</v>
      </c>
      <c r="AK31" s="311" t="s">
        <v>232</v>
      </c>
      <c r="AL31" s="311" t="s">
        <v>232</v>
      </c>
      <c r="AM31" s="311" t="s">
        <v>232</v>
      </c>
      <c r="AN31" s="311" t="s">
        <v>232</v>
      </c>
      <c r="AO31" s="311" t="s">
        <v>232</v>
      </c>
      <c r="AP31" s="311" t="s">
        <v>232</v>
      </c>
      <c r="AQ31" s="318" t="s">
        <v>232</v>
      </c>
      <c r="AR31" s="318" t="s">
        <v>232</v>
      </c>
      <c r="AS31" s="318" t="s">
        <v>232</v>
      </c>
      <c r="AT31" s="315" t="s">
        <v>232</v>
      </c>
      <c r="AU31" s="315" t="s">
        <v>232</v>
      </c>
      <c r="AV31" s="318" t="s">
        <v>232</v>
      </c>
      <c r="AW31" s="311" t="s">
        <v>232</v>
      </c>
      <c r="AX31" s="318" t="s">
        <v>232</v>
      </c>
      <c r="AY31" s="315" t="s">
        <v>232</v>
      </c>
      <c r="AZ31" s="318" t="s">
        <v>232</v>
      </c>
      <c r="BA31" s="311" t="s">
        <v>232</v>
      </c>
      <c r="BB31" s="311" t="s">
        <v>232</v>
      </c>
      <c r="BD31" s="316">
        <v>348.33949999999999</v>
      </c>
      <c r="BE31" s="331">
        <f t="shared" si="9"/>
        <v>4.0999999999939973E-3</v>
      </c>
      <c r="BF31" s="311">
        <f t="shared" si="10"/>
        <v>0.14513999999978749</v>
      </c>
      <c r="BG31" s="311">
        <f t="shared" ref="BG31:BX31" si="60">$BE31*O$31</f>
        <v>5.8800298057420853E-5</v>
      </c>
      <c r="BH31" s="311">
        <f t="shared" si="60"/>
        <v>5.594514716080066E-3</v>
      </c>
      <c r="BI31" s="311">
        <f t="shared" si="60"/>
        <v>8.1415092855373194E-3</v>
      </c>
      <c r="BJ31" s="311">
        <f t="shared" si="60"/>
        <v>1.3736024001617386E-2</v>
      </c>
      <c r="BK31" s="311">
        <f t="shared" si="60"/>
        <v>4.5288495454399287E-2</v>
      </c>
      <c r="BL31" s="311">
        <f t="shared" si="60"/>
        <v>0.12470024232430277</v>
      </c>
      <c r="BM31" s="318">
        <f t="shared" si="60"/>
        <v>5.5632909942128631E-7</v>
      </c>
      <c r="BN31" s="318">
        <f t="shared" si="60"/>
        <v>6.0117201875559679E-6</v>
      </c>
      <c r="BO31" s="318">
        <f t="shared" si="60"/>
        <v>6.9500291637278029E-5</v>
      </c>
      <c r="BP31" s="315">
        <f t="shared" si="60"/>
        <v>7.2294282506347542E-11</v>
      </c>
      <c r="BQ31" s="315">
        <f t="shared" si="60"/>
        <v>1.6015421123337765E-10</v>
      </c>
      <c r="BR31" s="318">
        <f t="shared" si="60"/>
        <v>1.3395747666314562E-4</v>
      </c>
      <c r="BS31" s="311">
        <f t="shared" si="60"/>
        <v>3.0416279889268549E-2</v>
      </c>
      <c r="BT31" s="318">
        <f t="shared" si="60"/>
        <v>1.489001934334478E-7</v>
      </c>
      <c r="BU31" s="315">
        <f t="shared" si="60"/>
        <v>3.555081102387175E-10</v>
      </c>
      <c r="BV31" s="318">
        <f t="shared" si="60"/>
        <v>6.2783763041268389E-10</v>
      </c>
      <c r="BW31" s="311">
        <f t="shared" si="60"/>
        <v>1.0512357494193034E-4</v>
      </c>
      <c r="BX31" s="311">
        <f t="shared" si="60"/>
        <v>2.6077453730165359E-3</v>
      </c>
      <c r="BZ31" s="316">
        <v>348.33949999999999</v>
      </c>
      <c r="CA31" s="332">
        <f t="shared" si="52"/>
        <v>4.0999999999939973E-3</v>
      </c>
      <c r="CB31" s="311" t="s">
        <v>232</v>
      </c>
      <c r="CC31" s="311">
        <f t="shared" ref="CC31:CT31" si="61">$CA31*O$31</f>
        <v>5.8800298057420853E-5</v>
      </c>
      <c r="CD31" s="311">
        <f t="shared" si="61"/>
        <v>5.594514716080066E-3</v>
      </c>
      <c r="CE31" s="311">
        <f t="shared" si="61"/>
        <v>8.1415092855373194E-3</v>
      </c>
      <c r="CF31" s="311">
        <f t="shared" si="61"/>
        <v>1.3736024001617386E-2</v>
      </c>
      <c r="CG31" s="311">
        <f t="shared" si="61"/>
        <v>4.5288495454399287E-2</v>
      </c>
      <c r="CH31" s="311">
        <f t="shared" si="61"/>
        <v>0.12470024232430277</v>
      </c>
      <c r="CI31" s="318">
        <f t="shared" si="61"/>
        <v>5.5632909942128631E-7</v>
      </c>
      <c r="CJ31" s="318">
        <f t="shared" si="61"/>
        <v>6.0117201875559679E-6</v>
      </c>
      <c r="CK31" s="318">
        <f t="shared" si="61"/>
        <v>6.9500291637278029E-5</v>
      </c>
      <c r="CL31" s="315">
        <f t="shared" si="61"/>
        <v>7.2294282506347542E-11</v>
      </c>
      <c r="CM31" s="315">
        <f t="shared" si="61"/>
        <v>1.6015421123337765E-10</v>
      </c>
      <c r="CN31" s="318">
        <f t="shared" si="61"/>
        <v>1.3395747666314562E-4</v>
      </c>
      <c r="CO31" s="311">
        <f t="shared" si="61"/>
        <v>3.0416279889268549E-2</v>
      </c>
      <c r="CP31" s="318">
        <f t="shared" si="61"/>
        <v>1.489001934334478E-7</v>
      </c>
      <c r="CQ31" s="315">
        <f t="shared" si="61"/>
        <v>3.555081102387175E-10</v>
      </c>
      <c r="CR31" s="318">
        <f t="shared" si="61"/>
        <v>6.2783763041268389E-10</v>
      </c>
      <c r="CS31" s="311">
        <f t="shared" si="61"/>
        <v>1.0512357494193034E-4</v>
      </c>
      <c r="CT31" s="311">
        <f t="shared" si="61"/>
        <v>2.6077453730165359E-3</v>
      </c>
    </row>
    <row r="32" spans="1:98" ht="22" customHeight="1" x14ac:dyDescent="0.25">
      <c r="A32" s="320" t="s">
        <v>358</v>
      </c>
      <c r="B32" s="321" t="s">
        <v>359</v>
      </c>
      <c r="C32" s="322" t="s">
        <v>241</v>
      </c>
      <c r="D32" s="322" t="s">
        <v>263</v>
      </c>
      <c r="E32" s="323" t="s">
        <v>360</v>
      </c>
      <c r="F32" s="320">
        <v>3950</v>
      </c>
      <c r="G32" s="320">
        <v>200</v>
      </c>
      <c r="H32" s="320" t="s">
        <v>243</v>
      </c>
      <c r="I32" s="325">
        <v>0.86699999999999999</v>
      </c>
      <c r="J32" s="325">
        <v>92.14</v>
      </c>
      <c r="K32" s="326">
        <f t="shared" si="50"/>
        <v>22.779700115340255</v>
      </c>
      <c r="L32" s="327"/>
      <c r="M32" s="333" t="s">
        <v>361</v>
      </c>
      <c r="N32" s="329" t="s">
        <v>362</v>
      </c>
      <c r="O32" s="330">
        <v>5.005452900395618E-3</v>
      </c>
      <c r="P32" s="330">
        <v>1.610229799756921</v>
      </c>
      <c r="Q32" s="330">
        <f t="shared" si="1"/>
        <v>2.4771661783205499</v>
      </c>
      <c r="R32" s="330">
        <f t="shared" si="2"/>
        <v>4.0873959780774705</v>
      </c>
      <c r="S32" s="330">
        <v>0.74226443147097854</v>
      </c>
      <c r="T32" s="330">
        <v>60.542443018087937</v>
      </c>
      <c r="U32" s="330">
        <v>1.1110807833795509E-6</v>
      </c>
      <c r="V32" s="330">
        <v>9.7067691242118457E-4</v>
      </c>
      <c r="W32" s="330">
        <v>1.058449783141094E-2</v>
      </c>
      <c r="X32" s="330">
        <v>1.470060809832993E-10</v>
      </c>
      <c r="Y32" s="330">
        <v>1.795393953843377E-9</v>
      </c>
      <c r="Z32" s="330">
        <v>4.2012147619436082E-4</v>
      </c>
      <c r="AA32" s="330">
        <v>0.50506221524142192</v>
      </c>
      <c r="AB32" s="330">
        <v>1.8676491391232521E-7</v>
      </c>
      <c r="AC32" s="330">
        <v>1.117244871210421E-9</v>
      </c>
      <c r="AD32" s="330">
        <v>6.018025116159337E-8</v>
      </c>
      <c r="AE32" s="330">
        <v>4.8919271939503323E-3</v>
      </c>
      <c r="AF32" s="330">
        <v>1.5169482017902121</v>
      </c>
      <c r="AH32" s="316" t="s">
        <v>232</v>
      </c>
      <c r="AI32" s="331" t="s">
        <v>232</v>
      </c>
      <c r="AJ32" s="311" t="s">
        <v>232</v>
      </c>
      <c r="AK32" s="311" t="s">
        <v>232</v>
      </c>
      <c r="AL32" s="311" t="s">
        <v>232</v>
      </c>
      <c r="AM32" s="311" t="s">
        <v>232</v>
      </c>
      <c r="AN32" s="311" t="s">
        <v>232</v>
      </c>
      <c r="AO32" s="311" t="s">
        <v>232</v>
      </c>
      <c r="AP32" s="311" t="s">
        <v>232</v>
      </c>
      <c r="AQ32" s="318" t="s">
        <v>232</v>
      </c>
      <c r="AR32" s="318" t="s">
        <v>232</v>
      </c>
      <c r="AS32" s="318" t="s">
        <v>232</v>
      </c>
      <c r="AT32" s="315" t="s">
        <v>232</v>
      </c>
      <c r="AU32" s="315" t="s">
        <v>232</v>
      </c>
      <c r="AV32" s="318" t="s">
        <v>232</v>
      </c>
      <c r="AW32" s="311" t="s">
        <v>232</v>
      </c>
      <c r="AX32" s="318" t="s">
        <v>232</v>
      </c>
      <c r="AY32" s="315" t="s">
        <v>232</v>
      </c>
      <c r="AZ32" s="318" t="s">
        <v>232</v>
      </c>
      <c r="BA32" s="311" t="s">
        <v>232</v>
      </c>
      <c r="BB32" s="311" t="s">
        <v>232</v>
      </c>
      <c r="BD32" s="356">
        <v>347.67829999999998</v>
      </c>
      <c r="BE32" s="331">
        <f t="shared" si="9"/>
        <v>0.665300000000002</v>
      </c>
      <c r="BF32" s="311">
        <f t="shared" si="10"/>
        <v>15.155334486735917</v>
      </c>
      <c r="BG32" s="311">
        <f t="shared" ref="BG32:BX32" si="62">$BE32*O$32</f>
        <v>3.3301278146332146E-3</v>
      </c>
      <c r="BH32" s="311">
        <f t="shared" si="62"/>
        <v>1.0712858857782828</v>
      </c>
      <c r="BI32" s="311">
        <f t="shared" si="62"/>
        <v>1.6480586584366668</v>
      </c>
      <c r="BJ32" s="311">
        <f t="shared" si="62"/>
        <v>2.7193445442149491</v>
      </c>
      <c r="BK32" s="311">
        <f t="shared" si="62"/>
        <v>0.49382852625764351</v>
      </c>
      <c r="BL32" s="311">
        <f t="shared" si="62"/>
        <v>40.278887339934023</v>
      </c>
      <c r="BM32" s="318">
        <f t="shared" si="62"/>
        <v>7.3920204518241739E-7</v>
      </c>
      <c r="BN32" s="318">
        <f t="shared" si="62"/>
        <v>6.4579134983381605E-4</v>
      </c>
      <c r="BO32" s="318">
        <f t="shared" si="62"/>
        <v>7.04186640723772E-3</v>
      </c>
      <c r="BP32" s="315">
        <f t="shared" si="62"/>
        <v>9.7803145678189319E-11</v>
      </c>
      <c r="BQ32" s="315">
        <f t="shared" si="62"/>
        <v>1.1944755974920023E-9</v>
      </c>
      <c r="BR32" s="318">
        <f t="shared" si="62"/>
        <v>2.7950681811210909E-4</v>
      </c>
      <c r="BS32" s="311">
        <f t="shared" si="62"/>
        <v>0.33601789180011904</v>
      </c>
      <c r="BT32" s="318">
        <f t="shared" si="62"/>
        <v>1.2425469722587034E-7</v>
      </c>
      <c r="BU32" s="315">
        <f t="shared" si="62"/>
        <v>7.4330301281629529E-10</v>
      </c>
      <c r="BV32" s="318">
        <f t="shared" si="62"/>
        <v>4.0037921097808187E-8</v>
      </c>
      <c r="BW32" s="311">
        <f t="shared" si="62"/>
        <v>3.2545991621351659E-3</v>
      </c>
      <c r="BX32" s="311">
        <f t="shared" si="62"/>
        <v>1.0092256386510312</v>
      </c>
      <c r="BZ32" s="316">
        <v>347.67829999999998</v>
      </c>
      <c r="CA32" s="332">
        <f t="shared" si="52"/>
        <v>0.665300000000002</v>
      </c>
      <c r="CB32" s="311" t="s">
        <v>232</v>
      </c>
      <c r="CC32" s="311">
        <f t="shared" ref="CC32:CT32" si="63">$CA32*O$32</f>
        <v>3.3301278146332146E-3</v>
      </c>
      <c r="CD32" s="311">
        <f t="shared" si="63"/>
        <v>1.0712858857782828</v>
      </c>
      <c r="CE32" s="311">
        <f t="shared" si="63"/>
        <v>1.6480586584366668</v>
      </c>
      <c r="CF32" s="311">
        <f t="shared" si="63"/>
        <v>2.7193445442149491</v>
      </c>
      <c r="CG32" s="311">
        <f t="shared" si="63"/>
        <v>0.49382852625764351</v>
      </c>
      <c r="CH32" s="311">
        <f t="shared" si="63"/>
        <v>40.278887339934023</v>
      </c>
      <c r="CI32" s="318">
        <f t="shared" si="63"/>
        <v>7.3920204518241739E-7</v>
      </c>
      <c r="CJ32" s="318">
        <f t="shared" si="63"/>
        <v>6.4579134983381605E-4</v>
      </c>
      <c r="CK32" s="318">
        <f t="shared" si="63"/>
        <v>7.04186640723772E-3</v>
      </c>
      <c r="CL32" s="315">
        <f t="shared" si="63"/>
        <v>9.7803145678189319E-11</v>
      </c>
      <c r="CM32" s="315">
        <f t="shared" si="63"/>
        <v>1.1944755974920023E-9</v>
      </c>
      <c r="CN32" s="318">
        <f t="shared" si="63"/>
        <v>2.7950681811210909E-4</v>
      </c>
      <c r="CO32" s="311">
        <f t="shared" si="63"/>
        <v>0.33601789180011904</v>
      </c>
      <c r="CP32" s="318">
        <f t="shared" si="63"/>
        <v>1.2425469722587034E-7</v>
      </c>
      <c r="CQ32" s="315">
        <f t="shared" si="63"/>
        <v>7.4330301281629529E-10</v>
      </c>
      <c r="CR32" s="318">
        <f t="shared" si="63"/>
        <v>4.0037921097808187E-8</v>
      </c>
      <c r="CS32" s="311">
        <f t="shared" si="63"/>
        <v>3.2545991621351659E-3</v>
      </c>
      <c r="CT32" s="311">
        <f t="shared" si="63"/>
        <v>1.0092256386510312</v>
      </c>
    </row>
    <row r="33" spans="1:98" ht="22" customHeight="1" x14ac:dyDescent="0.25">
      <c r="A33" s="320" t="s">
        <v>363</v>
      </c>
      <c r="B33" s="321" t="s">
        <v>364</v>
      </c>
      <c r="C33" s="322" t="s">
        <v>237</v>
      </c>
      <c r="D33" s="322" t="s">
        <v>233</v>
      </c>
      <c r="E33" s="323" t="s">
        <v>365</v>
      </c>
      <c r="F33" s="320">
        <v>393</v>
      </c>
      <c r="G33" s="320">
        <v>25</v>
      </c>
      <c r="H33" s="320" t="s">
        <v>2</v>
      </c>
      <c r="I33" s="324">
        <v>1</v>
      </c>
      <c r="J33" s="337">
        <v>60.08</v>
      </c>
      <c r="K33" s="326">
        <f t="shared" si="50"/>
        <v>15.72</v>
      </c>
      <c r="L33" s="327"/>
      <c r="M33" s="333" t="s">
        <v>366</v>
      </c>
      <c r="N33" s="329" t="s">
        <v>367</v>
      </c>
      <c r="O33" s="330">
        <v>3.233914957061702E-4</v>
      </c>
      <c r="P33" s="330">
        <v>4.2679144568791808E-2</v>
      </c>
      <c r="Q33" s="330">
        <f t="shared" si="1"/>
        <v>1.9857339720851801</v>
      </c>
      <c r="R33" s="330">
        <f t="shared" si="2"/>
        <v>2.0284131166539718</v>
      </c>
      <c r="S33" s="330">
        <v>0.22086629736613581</v>
      </c>
      <c r="T33" s="330">
        <v>0.4689207514415849</v>
      </c>
      <c r="U33" s="330">
        <v>1.0798446835813439E-6</v>
      </c>
      <c r="V33" s="330">
        <v>7.0780160510850688E-5</v>
      </c>
      <c r="W33" s="330">
        <v>7.7952459835570502E-4</v>
      </c>
      <c r="X33" s="330">
        <v>2.2996648001246169E-11</v>
      </c>
      <c r="Y33" s="330">
        <v>4.0020463676411899E-10</v>
      </c>
      <c r="Z33" s="330">
        <v>2.6210418673443232E-4</v>
      </c>
      <c r="AA33" s="330">
        <v>1.1047374024082139</v>
      </c>
      <c r="AB33" s="330">
        <v>9.2855525873989101E-8</v>
      </c>
      <c r="AC33" s="330">
        <v>3.8114251479576241E-10</v>
      </c>
      <c r="AD33" s="330">
        <v>5.6281496493235124E-9</v>
      </c>
      <c r="AE33" s="330">
        <v>2.4385216391370211E-4</v>
      </c>
      <c r="AF33" s="330">
        <v>5.4671530431927738E-3</v>
      </c>
      <c r="AH33" s="316" t="s">
        <v>232</v>
      </c>
      <c r="AI33" s="331" t="s">
        <v>232</v>
      </c>
      <c r="AJ33" s="311" t="s">
        <v>232</v>
      </c>
      <c r="AK33" s="311" t="s">
        <v>232</v>
      </c>
      <c r="AL33" s="311" t="s">
        <v>232</v>
      </c>
      <c r="AM33" s="311" t="s">
        <v>232</v>
      </c>
      <c r="AN33" s="311" t="s">
        <v>232</v>
      </c>
      <c r="AO33" s="311" t="s">
        <v>232</v>
      </c>
      <c r="AP33" s="311" t="s">
        <v>232</v>
      </c>
      <c r="AQ33" s="318" t="s">
        <v>232</v>
      </c>
      <c r="AR33" s="318" t="s">
        <v>232</v>
      </c>
      <c r="AS33" s="318" t="s">
        <v>232</v>
      </c>
      <c r="AT33" s="315" t="s">
        <v>232</v>
      </c>
      <c r="AU33" s="315" t="s">
        <v>232</v>
      </c>
      <c r="AV33" s="318" t="s">
        <v>232</v>
      </c>
      <c r="AW33" s="311" t="s">
        <v>232</v>
      </c>
      <c r="AX33" s="318" t="s">
        <v>232</v>
      </c>
      <c r="AY33" s="315" t="s">
        <v>232</v>
      </c>
      <c r="AZ33" s="318" t="s">
        <v>232</v>
      </c>
      <c r="BA33" s="311" t="s">
        <v>232</v>
      </c>
      <c r="BB33" s="311" t="s">
        <v>232</v>
      </c>
      <c r="BD33" s="356">
        <v>348.33249999999998</v>
      </c>
      <c r="BE33" s="331">
        <f t="shared" si="9"/>
        <v>1.1099999999999E-2</v>
      </c>
      <c r="BF33" s="311">
        <f t="shared" si="10"/>
        <v>0.17449199999998427</v>
      </c>
      <c r="BG33" s="311">
        <f t="shared" ref="BG33:BX33" si="64">$BE33*O$33</f>
        <v>3.5896456023381656E-6</v>
      </c>
      <c r="BH33" s="311">
        <f t="shared" si="64"/>
        <v>4.7373850471354637E-4</v>
      </c>
      <c r="BI33" s="311">
        <f t="shared" si="64"/>
        <v>2.2041647090143512E-2</v>
      </c>
      <c r="BJ33" s="311">
        <f t="shared" si="64"/>
        <v>2.2515385594857058E-2</v>
      </c>
      <c r="BK33" s="311">
        <f t="shared" si="64"/>
        <v>2.4516159007638865E-3</v>
      </c>
      <c r="BL33" s="311">
        <f t="shared" si="64"/>
        <v>5.2050203410011235E-3</v>
      </c>
      <c r="BM33" s="318">
        <f t="shared" si="64"/>
        <v>1.1986275987751837E-8</v>
      </c>
      <c r="BN33" s="318">
        <f t="shared" si="64"/>
        <v>7.8565978167037179E-7</v>
      </c>
      <c r="BO33" s="318">
        <f t="shared" si="64"/>
        <v>8.6527230417475458E-6</v>
      </c>
      <c r="BP33" s="315">
        <f t="shared" si="64"/>
        <v>2.5526279281380948E-13</v>
      </c>
      <c r="BQ33" s="315">
        <f t="shared" si="64"/>
        <v>4.4422714680813207E-12</v>
      </c>
      <c r="BR33" s="318">
        <f t="shared" si="64"/>
        <v>2.9093564727519367E-6</v>
      </c>
      <c r="BS33" s="311">
        <f t="shared" si="64"/>
        <v>1.226258516673007E-2</v>
      </c>
      <c r="BT33" s="318">
        <f t="shared" si="64"/>
        <v>1.0306963372011862E-9</v>
      </c>
      <c r="BU33" s="315">
        <f t="shared" si="64"/>
        <v>4.2306819142325817E-12</v>
      </c>
      <c r="BV33" s="318">
        <f t="shared" si="64"/>
        <v>6.2472461107485358E-11</v>
      </c>
      <c r="BW33" s="311">
        <f t="shared" si="64"/>
        <v>2.7067590194418494E-6</v>
      </c>
      <c r="BX33" s="311">
        <f t="shared" si="64"/>
        <v>6.0685398779434319E-5</v>
      </c>
      <c r="BZ33" s="316" t="s">
        <v>232</v>
      </c>
      <c r="CA33" s="332" t="s">
        <v>232</v>
      </c>
      <c r="CB33" s="311" t="s">
        <v>232</v>
      </c>
      <c r="CC33" s="311" t="s">
        <v>232</v>
      </c>
      <c r="CD33" s="311" t="s">
        <v>232</v>
      </c>
      <c r="CE33" s="311" t="s">
        <v>232</v>
      </c>
      <c r="CF33" s="311" t="s">
        <v>232</v>
      </c>
      <c r="CG33" s="311" t="s">
        <v>232</v>
      </c>
      <c r="CH33" s="311" t="s">
        <v>232</v>
      </c>
      <c r="CI33" s="318" t="s">
        <v>232</v>
      </c>
      <c r="CJ33" s="318" t="s">
        <v>232</v>
      </c>
      <c r="CK33" s="318" t="s">
        <v>232</v>
      </c>
      <c r="CL33" s="315" t="s">
        <v>232</v>
      </c>
      <c r="CM33" s="315" t="s">
        <v>232</v>
      </c>
      <c r="CN33" s="318" t="s">
        <v>232</v>
      </c>
      <c r="CO33" s="311" t="s">
        <v>232</v>
      </c>
      <c r="CP33" s="318" t="s">
        <v>232</v>
      </c>
      <c r="CQ33" s="315" t="s">
        <v>232</v>
      </c>
      <c r="CR33" s="318" t="s">
        <v>232</v>
      </c>
      <c r="CS33" s="311" t="s">
        <v>232</v>
      </c>
      <c r="CT33" s="311" t="s">
        <v>232</v>
      </c>
    </row>
    <row r="34" spans="1:98" ht="22" customHeight="1" x14ac:dyDescent="0.25">
      <c r="A34" s="320" t="s">
        <v>368</v>
      </c>
      <c r="B34" s="321" t="s">
        <v>369</v>
      </c>
      <c r="C34" s="322" t="s">
        <v>241</v>
      </c>
      <c r="D34" s="322" t="s">
        <v>263</v>
      </c>
      <c r="E34" s="357" t="s">
        <v>370</v>
      </c>
      <c r="F34" s="320">
        <v>2860</v>
      </c>
      <c r="G34" s="320">
        <v>200</v>
      </c>
      <c r="H34" s="320" t="s">
        <v>243</v>
      </c>
      <c r="I34" s="325">
        <v>0.78400000000000003</v>
      </c>
      <c r="J34" s="325">
        <v>58.08</v>
      </c>
      <c r="K34" s="326">
        <f t="shared" si="50"/>
        <v>18.239795918367346</v>
      </c>
      <c r="L34" s="327"/>
      <c r="M34" s="333" t="s">
        <v>371</v>
      </c>
      <c r="N34" s="329" t="s">
        <v>372</v>
      </c>
      <c r="O34" s="330">
        <v>7.7629427276214797E-3</v>
      </c>
      <c r="P34" s="330">
        <v>1.613485557039956</v>
      </c>
      <c r="Q34" s="330">
        <f t="shared" si="1"/>
        <v>2.4771661783205499</v>
      </c>
      <c r="R34" s="330">
        <f t="shared" si="2"/>
        <v>4.0906517353605061</v>
      </c>
      <c r="S34" s="330">
        <v>10.070471509895061</v>
      </c>
      <c r="T34" s="330">
        <v>39.563977163400871</v>
      </c>
      <c r="U34" s="330">
        <v>5.2775445177866212E-5</v>
      </c>
      <c r="V34" s="330">
        <v>1.346895552887351E-3</v>
      </c>
      <c r="W34" s="330">
        <v>1.5142792367581551E-2</v>
      </c>
      <c r="X34" s="330">
        <v>2.8075016261610429E-9</v>
      </c>
      <c r="Y34" s="330">
        <v>1.317031586113205E-8</v>
      </c>
      <c r="Z34" s="330">
        <v>1.503050427725686E-2</v>
      </c>
      <c r="AA34" s="330">
        <v>3.0701168036722009</v>
      </c>
      <c r="AB34" s="330">
        <v>7.9347792951222131E-6</v>
      </c>
      <c r="AC34" s="330">
        <v>1.565254022960186E-8</v>
      </c>
      <c r="AD34" s="330">
        <v>6.7526939027127074E-8</v>
      </c>
      <c r="AE34" s="330">
        <v>7.6759046433628082E-3</v>
      </c>
      <c r="AF34" s="330">
        <v>0.79456038623426772</v>
      </c>
      <c r="AH34" s="316" t="s">
        <v>232</v>
      </c>
      <c r="AI34" s="331" t="s">
        <v>232</v>
      </c>
      <c r="AJ34" s="311" t="s">
        <v>232</v>
      </c>
      <c r="AK34" s="311" t="s">
        <v>232</v>
      </c>
      <c r="AL34" s="311" t="s">
        <v>232</v>
      </c>
      <c r="AM34" s="311" t="s">
        <v>232</v>
      </c>
      <c r="AN34" s="311" t="s">
        <v>232</v>
      </c>
      <c r="AO34" s="311" t="s">
        <v>232</v>
      </c>
      <c r="AP34" s="311" t="s">
        <v>232</v>
      </c>
      <c r="AQ34" s="318" t="s">
        <v>232</v>
      </c>
      <c r="AR34" s="318" t="s">
        <v>232</v>
      </c>
      <c r="AS34" s="318" t="s">
        <v>232</v>
      </c>
      <c r="AT34" s="315" t="s">
        <v>232</v>
      </c>
      <c r="AU34" s="315" t="s">
        <v>232</v>
      </c>
      <c r="AV34" s="318" t="s">
        <v>232</v>
      </c>
      <c r="AW34" s="311" t="s">
        <v>232</v>
      </c>
      <c r="AX34" s="318" t="s">
        <v>232</v>
      </c>
      <c r="AY34" s="315" t="s">
        <v>232</v>
      </c>
      <c r="AZ34" s="318" t="s">
        <v>232</v>
      </c>
      <c r="BA34" s="311" t="s">
        <v>232</v>
      </c>
      <c r="BB34" s="311" t="s">
        <v>232</v>
      </c>
      <c r="BD34" s="356">
        <v>347.26519999999999</v>
      </c>
      <c r="BE34" s="331">
        <f t="shared" si="9"/>
        <v>1.0783999999999878</v>
      </c>
      <c r="BF34" s="311">
        <f t="shared" si="10"/>
        <v>19.669795918367122</v>
      </c>
      <c r="BG34" s="311">
        <f t="shared" ref="BG34:BX34" si="65">$BE34*O$34</f>
        <v>8.3715574374669099E-3</v>
      </c>
      <c r="BH34" s="311">
        <f t="shared" si="65"/>
        <v>1.7399828247118689</v>
      </c>
      <c r="BI34" s="311">
        <f t="shared" si="65"/>
        <v>2.671376006700851</v>
      </c>
      <c r="BJ34" s="311">
        <f t="shared" si="65"/>
        <v>4.4113588314127199</v>
      </c>
      <c r="BK34" s="311">
        <f t="shared" si="65"/>
        <v>10.859996476270711</v>
      </c>
      <c r="BL34" s="311">
        <f t="shared" si="65"/>
        <v>42.665792973011015</v>
      </c>
      <c r="BM34" s="318">
        <f t="shared" si="65"/>
        <v>5.6913040079810282E-5</v>
      </c>
      <c r="BN34" s="318">
        <f t="shared" si="65"/>
        <v>1.4524921642337029E-3</v>
      </c>
      <c r="BO34" s="318">
        <f t="shared" si="65"/>
        <v>1.6329987289199759E-2</v>
      </c>
      <c r="BP34" s="315">
        <f t="shared" si="65"/>
        <v>3.0276097536520342E-9</v>
      </c>
      <c r="BQ34" s="315">
        <f t="shared" si="65"/>
        <v>1.4202868624644641E-8</v>
      </c>
      <c r="BR34" s="318">
        <f t="shared" si="65"/>
        <v>1.6208895812593615E-2</v>
      </c>
      <c r="BS34" s="311">
        <f t="shared" si="65"/>
        <v>3.310813961080064</v>
      </c>
      <c r="BT34" s="318">
        <f t="shared" si="65"/>
        <v>8.556865991859698E-6</v>
      </c>
      <c r="BU34" s="315">
        <f t="shared" si="65"/>
        <v>1.6879699383602454E-8</v>
      </c>
      <c r="BV34" s="318">
        <f t="shared" si="65"/>
        <v>7.2821051046853019E-8</v>
      </c>
      <c r="BW34" s="311">
        <f t="shared" si="65"/>
        <v>8.2776955674023593E-3</v>
      </c>
      <c r="BX34" s="311">
        <f t="shared" si="65"/>
        <v>0.85685392051502463</v>
      </c>
      <c r="BZ34" s="316" t="s">
        <v>232</v>
      </c>
      <c r="CA34" s="332" t="s">
        <v>232</v>
      </c>
      <c r="CB34" s="311" t="s">
        <v>232</v>
      </c>
      <c r="CC34" s="311" t="s">
        <v>232</v>
      </c>
      <c r="CD34" s="311" t="s">
        <v>232</v>
      </c>
      <c r="CE34" s="311" t="s">
        <v>232</v>
      </c>
      <c r="CF34" s="311" t="s">
        <v>232</v>
      </c>
      <c r="CG34" s="311" t="s">
        <v>232</v>
      </c>
      <c r="CH34" s="311" t="s">
        <v>232</v>
      </c>
      <c r="CI34" s="318" t="s">
        <v>232</v>
      </c>
      <c r="CJ34" s="318" t="s">
        <v>232</v>
      </c>
      <c r="CK34" s="318" t="s">
        <v>232</v>
      </c>
      <c r="CL34" s="315" t="s">
        <v>232</v>
      </c>
      <c r="CM34" s="315" t="s">
        <v>232</v>
      </c>
      <c r="CN34" s="318" t="s">
        <v>232</v>
      </c>
      <c r="CO34" s="311" t="s">
        <v>232</v>
      </c>
      <c r="CP34" s="318" t="s">
        <v>232</v>
      </c>
      <c r="CQ34" s="315" t="s">
        <v>232</v>
      </c>
      <c r="CR34" s="318" t="s">
        <v>232</v>
      </c>
      <c r="CS34" s="311" t="s">
        <v>232</v>
      </c>
      <c r="CT34" s="311" t="s">
        <v>232</v>
      </c>
    </row>
    <row r="35" spans="1:98" ht="22" customHeight="1" thickBot="1" x14ac:dyDescent="0.3">
      <c r="A35" s="320" t="s">
        <v>373</v>
      </c>
      <c r="B35" s="321" t="s">
        <v>374</v>
      </c>
      <c r="C35" s="322" t="s">
        <v>237</v>
      </c>
      <c r="D35" s="322" t="s">
        <v>233</v>
      </c>
      <c r="E35" s="323" t="s">
        <v>375</v>
      </c>
      <c r="F35" s="320">
        <v>125</v>
      </c>
      <c r="G35" s="320">
        <v>25</v>
      </c>
      <c r="H35" s="320" t="s">
        <v>2</v>
      </c>
      <c r="I35" s="324">
        <v>1</v>
      </c>
      <c r="J35" s="325">
        <v>162.19999999999999</v>
      </c>
      <c r="K35" s="326">
        <f t="shared" si="50"/>
        <v>5</v>
      </c>
      <c r="L35" s="327"/>
      <c r="M35" s="333" t="s">
        <v>376</v>
      </c>
      <c r="N35" s="329" t="s">
        <v>377</v>
      </c>
      <c r="O35" s="330">
        <v>5.6316781072557809E-3</v>
      </c>
      <c r="P35" s="330">
        <v>0.81148294198459348</v>
      </c>
      <c r="Q35" s="330">
        <f t="shared" si="1"/>
        <v>1.9857339720851801</v>
      </c>
      <c r="R35" s="330">
        <f t="shared" si="2"/>
        <v>2.7972169140697734</v>
      </c>
      <c r="S35" s="330">
        <v>6.6482313467181768</v>
      </c>
      <c r="T35" s="330">
        <v>9.9367369479194387</v>
      </c>
      <c r="U35" s="330">
        <v>4.6658273279455989E-5</v>
      </c>
      <c r="V35" s="330">
        <v>9.4922298151506204E-4</v>
      </c>
      <c r="W35" s="330">
        <v>1.078389643366663E-2</v>
      </c>
      <c r="X35" s="330">
        <v>8.1693969394985157E-10</v>
      </c>
      <c r="Y35" s="330">
        <v>2.5634675827056479E-8</v>
      </c>
      <c r="Z35" s="330">
        <v>3.0797398726932299E-2</v>
      </c>
      <c r="AA35" s="330">
        <v>4.7076345316036958</v>
      </c>
      <c r="AB35" s="330">
        <v>3.1767195343938097E-5</v>
      </c>
      <c r="AC35" s="330">
        <v>3.3642793675378582E-7</v>
      </c>
      <c r="AD35" s="330">
        <v>4.8787619805389572E-8</v>
      </c>
      <c r="AE35" s="330">
        <v>3.185841195049837E-3</v>
      </c>
      <c r="AF35" s="330">
        <v>0.69082903153700204</v>
      </c>
      <c r="AH35" s="316" t="s">
        <v>232</v>
      </c>
      <c r="AI35" s="331" t="s">
        <v>232</v>
      </c>
      <c r="AJ35" s="311" t="s">
        <v>232</v>
      </c>
      <c r="AK35" s="311" t="s">
        <v>232</v>
      </c>
      <c r="AL35" s="311" t="s">
        <v>232</v>
      </c>
      <c r="AM35" s="311" t="s">
        <v>232</v>
      </c>
      <c r="AN35" s="311" t="s">
        <v>232</v>
      </c>
      <c r="AO35" s="311" t="s">
        <v>232</v>
      </c>
      <c r="AP35" s="311" t="s">
        <v>232</v>
      </c>
      <c r="AQ35" s="318" t="s">
        <v>232</v>
      </c>
      <c r="AR35" s="318" t="s">
        <v>232</v>
      </c>
      <c r="AS35" s="318" t="s">
        <v>232</v>
      </c>
      <c r="AT35" s="315" t="s">
        <v>232</v>
      </c>
      <c r="AU35" s="315" t="s">
        <v>232</v>
      </c>
      <c r="AV35" s="318" t="s">
        <v>232</v>
      </c>
      <c r="AW35" s="311" t="s">
        <v>232</v>
      </c>
      <c r="AX35" s="318" t="s">
        <v>232</v>
      </c>
      <c r="AY35" s="315" t="s">
        <v>232</v>
      </c>
      <c r="AZ35" s="318" t="s">
        <v>232</v>
      </c>
      <c r="BA35" s="311" t="s">
        <v>232</v>
      </c>
      <c r="BB35" s="311" t="s">
        <v>232</v>
      </c>
      <c r="BD35" s="356">
        <v>348.29950000000002</v>
      </c>
      <c r="BE35" s="331">
        <f t="shared" si="9"/>
        <v>4.4099999999957618E-2</v>
      </c>
      <c r="BF35" s="311">
        <f t="shared" si="10"/>
        <v>0.22049999999978809</v>
      </c>
      <c r="BG35" s="311">
        <f t="shared" ref="BG35:BX35" si="66">$BE35*O$35</f>
        <v>2.4835700452974127E-4</v>
      </c>
      <c r="BH35" s="311">
        <f t="shared" si="66"/>
        <v>3.5786397741486183E-2</v>
      </c>
      <c r="BI35" s="311">
        <f t="shared" si="66"/>
        <v>8.7570868168872287E-2</v>
      </c>
      <c r="BJ35" s="311">
        <f t="shared" si="66"/>
        <v>0.12335726591035845</v>
      </c>
      <c r="BK35" s="311">
        <f t="shared" si="66"/>
        <v>0.29318700238998985</v>
      </c>
      <c r="BL35" s="311">
        <f t="shared" si="66"/>
        <v>0.43821009940282613</v>
      </c>
      <c r="BM35" s="318">
        <f t="shared" si="66"/>
        <v>2.0576298516220317E-6</v>
      </c>
      <c r="BN35" s="318">
        <f t="shared" si="66"/>
        <v>4.1860733484774006E-5</v>
      </c>
      <c r="BO35" s="318">
        <f t="shared" si="66"/>
        <v>4.755698327242413E-4</v>
      </c>
      <c r="BP35" s="315">
        <f t="shared" si="66"/>
        <v>3.6027040503153831E-11</v>
      </c>
      <c r="BQ35" s="315">
        <f t="shared" si="66"/>
        <v>1.1304892039721042E-9</v>
      </c>
      <c r="BR35" s="318">
        <f t="shared" si="66"/>
        <v>1.358165283856409E-3</v>
      </c>
      <c r="BS35" s="311">
        <f t="shared" si="66"/>
        <v>0.20760668284352346</v>
      </c>
      <c r="BT35" s="318">
        <f t="shared" si="66"/>
        <v>1.4009333146663237E-6</v>
      </c>
      <c r="BU35" s="315">
        <f t="shared" si="66"/>
        <v>1.4836472010827696E-8</v>
      </c>
      <c r="BV35" s="318">
        <f t="shared" si="66"/>
        <v>2.1515340334156123E-9</v>
      </c>
      <c r="BW35" s="311">
        <f t="shared" si="66"/>
        <v>1.4049559670156278E-4</v>
      </c>
      <c r="BX35" s="311">
        <f t="shared" si="66"/>
        <v>3.0465560290752512E-2</v>
      </c>
      <c r="BZ35" s="316" t="s">
        <v>232</v>
      </c>
      <c r="CA35" s="332" t="s">
        <v>232</v>
      </c>
      <c r="CB35" s="311" t="s">
        <v>232</v>
      </c>
      <c r="CC35" s="311" t="s">
        <v>232</v>
      </c>
      <c r="CD35" s="311" t="s">
        <v>232</v>
      </c>
      <c r="CE35" s="311" t="s">
        <v>232</v>
      </c>
      <c r="CF35" s="311" t="s">
        <v>232</v>
      </c>
      <c r="CG35" s="311" t="s">
        <v>232</v>
      </c>
      <c r="CH35" s="311" t="s">
        <v>232</v>
      </c>
      <c r="CI35" s="318" t="s">
        <v>232</v>
      </c>
      <c r="CJ35" s="318" t="s">
        <v>232</v>
      </c>
      <c r="CK35" s="318" t="s">
        <v>232</v>
      </c>
      <c r="CL35" s="315" t="s">
        <v>232</v>
      </c>
      <c r="CM35" s="315" t="s">
        <v>232</v>
      </c>
      <c r="CN35" s="318" t="s">
        <v>232</v>
      </c>
      <c r="CO35" s="311" t="s">
        <v>232</v>
      </c>
      <c r="CP35" s="318" t="s">
        <v>232</v>
      </c>
      <c r="CQ35" s="315" t="s">
        <v>232</v>
      </c>
      <c r="CR35" s="318" t="s">
        <v>232</v>
      </c>
      <c r="CS35" s="311" t="s">
        <v>232</v>
      </c>
      <c r="CT35" s="311" t="s">
        <v>232</v>
      </c>
    </row>
    <row r="36" spans="1:98" ht="22" customHeight="1" x14ac:dyDescent="0.25">
      <c r="A36" s="320" t="s">
        <v>378</v>
      </c>
      <c r="B36" s="338" t="s">
        <v>295</v>
      </c>
      <c r="C36" s="322" t="s">
        <v>296</v>
      </c>
      <c r="D36" s="322" t="s">
        <v>232</v>
      </c>
      <c r="E36" s="323" t="s">
        <v>232</v>
      </c>
      <c r="F36" s="320">
        <v>1340</v>
      </c>
      <c r="G36" s="320">
        <v>8</v>
      </c>
      <c r="H36" s="320" t="s">
        <v>243</v>
      </c>
      <c r="I36" s="325">
        <v>1.0129999999999999</v>
      </c>
      <c r="J36" s="325">
        <v>74.790000000000006</v>
      </c>
      <c r="K36" s="326">
        <f>1290/(8*3*J36/1000)</f>
        <v>718.67896777644069</v>
      </c>
      <c r="L36" s="327" t="s">
        <v>379</v>
      </c>
      <c r="M36" s="333" t="s">
        <v>380</v>
      </c>
      <c r="N36" s="329" t="s">
        <v>381</v>
      </c>
      <c r="O36" s="330">
        <f>O37+O38</f>
        <v>0.13161500993713374</v>
      </c>
      <c r="P36" s="330">
        <f>P37+P38</f>
        <v>31.128769921444981</v>
      </c>
      <c r="Q36" s="330">
        <f t="shared" si="1"/>
        <v>2.4771661783205499</v>
      </c>
      <c r="R36" s="330">
        <f t="shared" si="2"/>
        <v>33.605936099765529</v>
      </c>
      <c r="S36" s="330">
        <f>S37+S38</f>
        <v>142.39982854151296</v>
      </c>
      <c r="T36" s="330">
        <f t="shared" ref="T36:AF36" si="67">T37+T38</f>
        <v>390.9428001882149</v>
      </c>
      <c r="U36" s="330">
        <f t="shared" si="67"/>
        <v>1.2905917379525463E-3</v>
      </c>
      <c r="V36" s="330">
        <f t="shared" si="67"/>
        <v>2.9370217388783315E-2</v>
      </c>
      <c r="W36" s="330">
        <f t="shared" si="67"/>
        <v>0.32770404564690075</v>
      </c>
      <c r="X36" s="330">
        <f t="shared" si="67"/>
        <v>1.4821622071712338E-7</v>
      </c>
      <c r="Y36" s="330">
        <f t="shared" si="67"/>
        <v>2.5634070754642958E-7</v>
      </c>
      <c r="Z36" s="330">
        <f t="shared" si="67"/>
        <v>0.31379757196092489</v>
      </c>
      <c r="AA36" s="330">
        <f t="shared" si="67"/>
        <v>64.347783830633631</v>
      </c>
      <c r="AB36" s="330">
        <f t="shared" si="67"/>
        <v>6.6012762541288092E-5</v>
      </c>
      <c r="AC36" s="330">
        <f t="shared" si="67"/>
        <v>9.5484401065479909E-6</v>
      </c>
      <c r="AD36" s="330">
        <f t="shared" si="67"/>
        <v>2.1381973002477313E-5</v>
      </c>
      <c r="AE36" s="330">
        <f t="shared" si="67"/>
        <v>0.15430911353342891</v>
      </c>
      <c r="AF36" s="330">
        <f t="shared" si="67"/>
        <v>3.3225970399055798</v>
      </c>
      <c r="AH36" s="316" t="s">
        <v>232</v>
      </c>
      <c r="AI36" s="331" t="s">
        <v>232</v>
      </c>
      <c r="AJ36" s="311" t="s">
        <v>232</v>
      </c>
      <c r="AK36" s="311" t="s">
        <v>232</v>
      </c>
      <c r="AL36" s="311" t="s">
        <v>232</v>
      </c>
      <c r="AM36" s="311" t="s">
        <v>232</v>
      </c>
      <c r="AN36" s="311" t="s">
        <v>232</v>
      </c>
      <c r="AO36" s="311" t="s">
        <v>232</v>
      </c>
      <c r="AP36" s="311" t="s">
        <v>232</v>
      </c>
      <c r="AQ36" s="318" t="s">
        <v>232</v>
      </c>
      <c r="AR36" s="318" t="s">
        <v>232</v>
      </c>
      <c r="AS36" s="318" t="s">
        <v>232</v>
      </c>
      <c r="AT36" s="315" t="s">
        <v>232</v>
      </c>
      <c r="AU36" s="315" t="s">
        <v>232</v>
      </c>
      <c r="AV36" s="318" t="s">
        <v>232</v>
      </c>
      <c r="AW36" s="311" t="s">
        <v>232</v>
      </c>
      <c r="AX36" s="318" t="s">
        <v>232</v>
      </c>
      <c r="AY36" s="315" t="s">
        <v>232</v>
      </c>
      <c r="AZ36" s="318" t="s">
        <v>232</v>
      </c>
      <c r="BA36" s="311" t="s">
        <v>232</v>
      </c>
      <c r="BB36" s="311" t="s">
        <v>232</v>
      </c>
      <c r="BD36" s="316">
        <v>348.30290000000002</v>
      </c>
      <c r="BE36" s="331">
        <f t="shared" si="9"/>
        <v>4.0699999999958436E-2</v>
      </c>
      <c r="BF36" s="311">
        <f t="shared" si="10"/>
        <v>29.250233988471265</v>
      </c>
      <c r="BG36" s="311">
        <f t="shared" ref="BG36:BX36" si="68">$BE36*O$36</f>
        <v>5.3567309044358731E-3</v>
      </c>
      <c r="BH36" s="311">
        <f t="shared" si="68"/>
        <v>1.2669409358015169</v>
      </c>
      <c r="BI36" s="311">
        <f t="shared" si="68"/>
        <v>0.10082066345754342</v>
      </c>
      <c r="BJ36" s="311">
        <f t="shared" si="68"/>
        <v>1.3677615992590602</v>
      </c>
      <c r="BK36" s="311">
        <f t="shared" si="68"/>
        <v>5.7956730216336592</v>
      </c>
      <c r="BL36" s="311">
        <f t="shared" si="68"/>
        <v>15.911371967644097</v>
      </c>
      <c r="BM36" s="318">
        <f t="shared" si="68"/>
        <v>5.2527083734614993E-5</v>
      </c>
      <c r="BN36" s="318">
        <f t="shared" si="68"/>
        <v>1.1953678477222601E-3</v>
      </c>
      <c r="BO36" s="318">
        <f t="shared" si="68"/>
        <v>1.333755465781524E-2</v>
      </c>
      <c r="BP36" s="315">
        <f t="shared" si="68"/>
        <v>6.0324001831807613E-9</v>
      </c>
      <c r="BQ36" s="315">
        <f t="shared" si="68"/>
        <v>1.0433066797129029E-8</v>
      </c>
      <c r="BR36" s="318">
        <f t="shared" si="68"/>
        <v>1.27715611787966E-2</v>
      </c>
      <c r="BS36" s="311">
        <f t="shared" si="68"/>
        <v>2.6189548019041142</v>
      </c>
      <c r="BT36" s="318">
        <f t="shared" si="68"/>
        <v>2.6867194354276817E-6</v>
      </c>
      <c r="BU36" s="315">
        <f t="shared" si="68"/>
        <v>3.8862151233610635E-7</v>
      </c>
      <c r="BV36" s="318">
        <f t="shared" si="68"/>
        <v>8.7024630119993787E-7</v>
      </c>
      <c r="BW36" s="311">
        <f t="shared" si="68"/>
        <v>6.2803809208041433E-3</v>
      </c>
      <c r="BX36" s="311">
        <f t="shared" si="68"/>
        <v>0.135229699524019</v>
      </c>
      <c r="BZ36" s="316" t="s">
        <v>232</v>
      </c>
      <c r="CA36" s="332" t="s">
        <v>232</v>
      </c>
      <c r="CB36" s="311" t="s">
        <v>232</v>
      </c>
      <c r="CC36" s="311" t="s">
        <v>232</v>
      </c>
      <c r="CD36" s="311" t="s">
        <v>232</v>
      </c>
      <c r="CE36" s="311" t="s">
        <v>232</v>
      </c>
      <c r="CF36" s="311" t="s">
        <v>232</v>
      </c>
      <c r="CG36" s="311" t="s">
        <v>232</v>
      </c>
      <c r="CH36" s="311" t="s">
        <v>232</v>
      </c>
      <c r="CI36" s="318" t="s">
        <v>232</v>
      </c>
      <c r="CJ36" s="318" t="s">
        <v>232</v>
      </c>
      <c r="CK36" s="318" t="s">
        <v>232</v>
      </c>
      <c r="CL36" s="315" t="s">
        <v>232</v>
      </c>
      <c r="CM36" s="315" t="s">
        <v>232</v>
      </c>
      <c r="CN36" s="318" t="s">
        <v>232</v>
      </c>
      <c r="CO36" s="311" t="s">
        <v>232</v>
      </c>
      <c r="CP36" s="318" t="s">
        <v>232</v>
      </c>
      <c r="CQ36" s="315" t="s">
        <v>232</v>
      </c>
      <c r="CR36" s="318" t="s">
        <v>232</v>
      </c>
      <c r="CS36" s="311" t="s">
        <v>232</v>
      </c>
      <c r="CT36" s="311" t="s">
        <v>232</v>
      </c>
    </row>
    <row r="37" spans="1:98" ht="22" customHeight="1" x14ac:dyDescent="0.25">
      <c r="B37" s="350" t="s">
        <v>382</v>
      </c>
      <c r="C37" s="309" t="s">
        <v>232</v>
      </c>
      <c r="D37" s="340" t="s">
        <v>263</v>
      </c>
      <c r="E37" s="341" t="s">
        <v>383</v>
      </c>
      <c r="F37" s="342" t="s">
        <v>232</v>
      </c>
      <c r="G37" s="342" t="s">
        <v>232</v>
      </c>
      <c r="H37" s="342" t="s">
        <v>232</v>
      </c>
      <c r="I37" s="310" t="s">
        <v>232</v>
      </c>
      <c r="J37" s="310" t="s">
        <v>232</v>
      </c>
      <c r="K37" s="343" t="s">
        <v>232</v>
      </c>
      <c r="L37" s="344"/>
      <c r="M37" s="340" t="s">
        <v>232</v>
      </c>
      <c r="N37" s="342" t="s">
        <v>232</v>
      </c>
      <c r="O37" s="345">
        <v>2.5857250098503939E-2</v>
      </c>
      <c r="P37" s="345">
        <v>3.2113335393750231</v>
      </c>
      <c r="Q37" s="345" t="s">
        <v>232</v>
      </c>
      <c r="R37" s="345" t="s">
        <v>232</v>
      </c>
      <c r="S37" s="345">
        <v>58.270933025990843</v>
      </c>
      <c r="T37" s="345">
        <v>45.382981301694848</v>
      </c>
      <c r="U37" s="345">
        <v>3.6414921745363739E-6</v>
      </c>
      <c r="V37" s="345">
        <v>5.2300187835394247E-3</v>
      </c>
      <c r="W37" s="345">
        <v>5.7253833748790353E-2</v>
      </c>
      <c r="X37" s="345">
        <v>9.0369369921229591E-10</v>
      </c>
      <c r="Y37" s="345">
        <v>6.7605799526930874E-8</v>
      </c>
      <c r="Z37" s="345">
        <v>4.3261521361110088E-4</v>
      </c>
      <c r="AA37" s="345">
        <v>0.54428822650834907</v>
      </c>
      <c r="AB37" s="345">
        <v>1.7295664390372158E-5</v>
      </c>
      <c r="AC37" s="345">
        <v>8.7610060166248607E-6</v>
      </c>
      <c r="AD37" s="345">
        <v>5.3882897128182299E-7</v>
      </c>
      <c r="AE37" s="345">
        <v>1.6521461665290008E-2</v>
      </c>
      <c r="AF37" s="345">
        <v>0.37614221941170189</v>
      </c>
      <c r="AH37" s="316" t="s">
        <v>232</v>
      </c>
      <c r="AI37" s="317" t="s">
        <v>232</v>
      </c>
      <c r="AJ37" s="311" t="s">
        <v>232</v>
      </c>
      <c r="AK37" s="311" t="s">
        <v>232</v>
      </c>
      <c r="AL37" s="311" t="s">
        <v>232</v>
      </c>
      <c r="AM37" s="311" t="s">
        <v>232</v>
      </c>
      <c r="AN37" s="311" t="s">
        <v>232</v>
      </c>
      <c r="AO37" s="311" t="s">
        <v>232</v>
      </c>
      <c r="AP37" s="311" t="s">
        <v>232</v>
      </c>
      <c r="AQ37" s="318" t="s">
        <v>232</v>
      </c>
      <c r="AR37" s="318" t="s">
        <v>232</v>
      </c>
      <c r="AS37" s="318" t="s">
        <v>232</v>
      </c>
      <c r="AT37" s="315" t="s">
        <v>232</v>
      </c>
      <c r="AU37" s="315" t="s">
        <v>232</v>
      </c>
      <c r="AV37" s="318" t="s">
        <v>232</v>
      </c>
      <c r="AW37" s="311" t="s">
        <v>232</v>
      </c>
      <c r="AX37" s="318" t="s">
        <v>232</v>
      </c>
      <c r="AY37" s="315" t="s">
        <v>232</v>
      </c>
      <c r="AZ37" s="318" t="s">
        <v>232</v>
      </c>
      <c r="BA37" s="311" t="s">
        <v>232</v>
      </c>
      <c r="BB37" s="311" t="s">
        <v>232</v>
      </c>
      <c r="BD37" s="316" t="s">
        <v>232</v>
      </c>
      <c r="BE37" s="317" t="s">
        <v>232</v>
      </c>
      <c r="BF37" s="311" t="s">
        <v>232</v>
      </c>
      <c r="BG37" s="311" t="s">
        <v>232</v>
      </c>
      <c r="BH37" s="311" t="s">
        <v>232</v>
      </c>
      <c r="BI37" s="311" t="s">
        <v>232</v>
      </c>
      <c r="BJ37" s="311" t="s">
        <v>232</v>
      </c>
      <c r="BK37" s="311" t="s">
        <v>232</v>
      </c>
      <c r="BL37" s="311" t="s">
        <v>232</v>
      </c>
      <c r="BM37" s="318" t="s">
        <v>232</v>
      </c>
      <c r="BN37" s="318" t="s">
        <v>232</v>
      </c>
      <c r="BO37" s="318" t="s">
        <v>232</v>
      </c>
      <c r="BP37" s="315" t="s">
        <v>232</v>
      </c>
      <c r="BQ37" s="315" t="s">
        <v>232</v>
      </c>
      <c r="BR37" s="318" t="s">
        <v>232</v>
      </c>
      <c r="BS37" s="311" t="s">
        <v>232</v>
      </c>
      <c r="BT37" s="318" t="s">
        <v>232</v>
      </c>
      <c r="BU37" s="315" t="s">
        <v>232</v>
      </c>
      <c r="BV37" s="318" t="s">
        <v>232</v>
      </c>
      <c r="BW37" s="311" t="s">
        <v>232</v>
      </c>
      <c r="BX37" s="311" t="s">
        <v>232</v>
      </c>
      <c r="BZ37" s="316" t="s">
        <v>232</v>
      </c>
      <c r="CA37" s="319" t="s">
        <v>232</v>
      </c>
      <c r="CB37" s="311" t="s">
        <v>232</v>
      </c>
      <c r="CC37" s="311" t="s">
        <v>232</v>
      </c>
      <c r="CD37" s="311" t="s">
        <v>232</v>
      </c>
      <c r="CE37" s="311" t="s">
        <v>232</v>
      </c>
      <c r="CF37" s="311" t="s">
        <v>232</v>
      </c>
      <c r="CG37" s="311" t="s">
        <v>232</v>
      </c>
      <c r="CH37" s="311" t="s">
        <v>232</v>
      </c>
      <c r="CI37" s="318" t="s">
        <v>232</v>
      </c>
      <c r="CJ37" s="318" t="s">
        <v>232</v>
      </c>
      <c r="CK37" s="318" t="s">
        <v>232</v>
      </c>
      <c r="CL37" s="315" t="s">
        <v>232</v>
      </c>
      <c r="CM37" s="315" t="s">
        <v>232</v>
      </c>
      <c r="CN37" s="318" t="s">
        <v>232</v>
      </c>
      <c r="CO37" s="311" t="s">
        <v>232</v>
      </c>
      <c r="CP37" s="318" t="s">
        <v>232</v>
      </c>
      <c r="CQ37" s="315" t="s">
        <v>232</v>
      </c>
      <c r="CR37" s="318" t="s">
        <v>232</v>
      </c>
      <c r="CS37" s="311" t="s">
        <v>232</v>
      </c>
      <c r="CT37" s="311" t="s">
        <v>232</v>
      </c>
    </row>
    <row r="38" spans="1:98" ht="22" customHeight="1" thickBot="1" x14ac:dyDescent="0.3">
      <c r="B38" s="346" t="s">
        <v>384</v>
      </c>
      <c r="C38" s="309" t="s">
        <v>232</v>
      </c>
      <c r="D38" s="340" t="s">
        <v>233</v>
      </c>
      <c r="E38" s="341" t="s">
        <v>385</v>
      </c>
      <c r="F38" s="342" t="s">
        <v>232</v>
      </c>
      <c r="G38" s="342" t="s">
        <v>232</v>
      </c>
      <c r="H38" s="342" t="s">
        <v>232</v>
      </c>
      <c r="I38" s="310" t="s">
        <v>232</v>
      </c>
      <c r="J38" s="310" t="s">
        <v>232</v>
      </c>
      <c r="K38" s="343" t="s">
        <v>232</v>
      </c>
      <c r="L38" s="344"/>
      <c r="M38" s="340" t="s">
        <v>232</v>
      </c>
      <c r="N38" s="342" t="s">
        <v>232</v>
      </c>
      <c r="O38" s="345">
        <v>0.1057577598386298</v>
      </c>
      <c r="P38" s="345">
        <v>27.917436382069958</v>
      </c>
      <c r="Q38" s="345" t="s">
        <v>232</v>
      </c>
      <c r="R38" s="345" t="s">
        <v>232</v>
      </c>
      <c r="S38" s="345">
        <v>84.128895515522117</v>
      </c>
      <c r="T38" s="345">
        <v>345.55981888652008</v>
      </c>
      <c r="U38" s="345">
        <v>1.28695024577801E-3</v>
      </c>
      <c r="V38" s="345">
        <v>2.4140198605243891E-2</v>
      </c>
      <c r="W38" s="345">
        <v>0.27045021189811042</v>
      </c>
      <c r="X38" s="345">
        <v>1.4731252701791109E-7</v>
      </c>
      <c r="Y38" s="345">
        <v>1.8873490801949871E-7</v>
      </c>
      <c r="Z38" s="345">
        <v>0.31336495674731379</v>
      </c>
      <c r="AA38" s="345">
        <v>63.803495604125281</v>
      </c>
      <c r="AB38" s="345">
        <v>4.8717098150915937E-5</v>
      </c>
      <c r="AC38" s="345">
        <v>7.8743408992313067E-7</v>
      </c>
      <c r="AD38" s="345">
        <v>2.0843144031195489E-5</v>
      </c>
      <c r="AE38" s="345">
        <v>0.13778765186813891</v>
      </c>
      <c r="AF38" s="345">
        <v>2.9464548204938779</v>
      </c>
      <c r="AH38" s="316" t="s">
        <v>232</v>
      </c>
      <c r="AI38" s="317" t="s">
        <v>232</v>
      </c>
      <c r="AJ38" s="311" t="s">
        <v>232</v>
      </c>
      <c r="AK38" s="311" t="s">
        <v>232</v>
      </c>
      <c r="AL38" s="311" t="s">
        <v>232</v>
      </c>
      <c r="AM38" s="311" t="s">
        <v>232</v>
      </c>
      <c r="AN38" s="311" t="s">
        <v>232</v>
      </c>
      <c r="AO38" s="311" t="s">
        <v>232</v>
      </c>
      <c r="AP38" s="311" t="s">
        <v>232</v>
      </c>
      <c r="AQ38" s="318" t="s">
        <v>232</v>
      </c>
      <c r="AR38" s="318" t="s">
        <v>232</v>
      </c>
      <c r="AS38" s="318" t="s">
        <v>232</v>
      </c>
      <c r="AT38" s="315" t="s">
        <v>232</v>
      </c>
      <c r="AU38" s="315" t="s">
        <v>232</v>
      </c>
      <c r="AV38" s="318" t="s">
        <v>232</v>
      </c>
      <c r="AW38" s="311" t="s">
        <v>232</v>
      </c>
      <c r="AX38" s="318" t="s">
        <v>232</v>
      </c>
      <c r="AY38" s="315" t="s">
        <v>232</v>
      </c>
      <c r="AZ38" s="318" t="s">
        <v>232</v>
      </c>
      <c r="BA38" s="311" t="s">
        <v>232</v>
      </c>
      <c r="BB38" s="311" t="s">
        <v>232</v>
      </c>
      <c r="BD38" s="316" t="s">
        <v>232</v>
      </c>
      <c r="BE38" s="317" t="s">
        <v>232</v>
      </c>
      <c r="BF38" s="311" t="s">
        <v>232</v>
      </c>
      <c r="BG38" s="311" t="s">
        <v>232</v>
      </c>
      <c r="BH38" s="311" t="s">
        <v>232</v>
      </c>
      <c r="BI38" s="311" t="s">
        <v>232</v>
      </c>
      <c r="BJ38" s="311" t="s">
        <v>232</v>
      </c>
      <c r="BK38" s="311" t="s">
        <v>232</v>
      </c>
      <c r="BL38" s="311" t="s">
        <v>232</v>
      </c>
      <c r="BM38" s="318" t="s">
        <v>232</v>
      </c>
      <c r="BN38" s="318" t="s">
        <v>232</v>
      </c>
      <c r="BO38" s="318" t="s">
        <v>232</v>
      </c>
      <c r="BP38" s="315" t="s">
        <v>232</v>
      </c>
      <c r="BQ38" s="315" t="s">
        <v>232</v>
      </c>
      <c r="BR38" s="318" t="s">
        <v>232</v>
      </c>
      <c r="BS38" s="311" t="s">
        <v>232</v>
      </c>
      <c r="BT38" s="318" t="s">
        <v>232</v>
      </c>
      <c r="BU38" s="315" t="s">
        <v>232</v>
      </c>
      <c r="BV38" s="318" t="s">
        <v>232</v>
      </c>
      <c r="BW38" s="311" t="s">
        <v>232</v>
      </c>
      <c r="BX38" s="311" t="s">
        <v>232</v>
      </c>
      <c r="BZ38" s="316" t="s">
        <v>232</v>
      </c>
      <c r="CA38" s="319" t="s">
        <v>232</v>
      </c>
      <c r="CB38" s="311" t="s">
        <v>232</v>
      </c>
      <c r="CC38" s="311" t="s">
        <v>232</v>
      </c>
      <c r="CD38" s="311" t="s">
        <v>232</v>
      </c>
      <c r="CE38" s="311" t="s">
        <v>232</v>
      </c>
      <c r="CF38" s="311" t="s">
        <v>232</v>
      </c>
      <c r="CG38" s="311" t="s">
        <v>232</v>
      </c>
      <c r="CH38" s="311" t="s">
        <v>232</v>
      </c>
      <c r="CI38" s="318" t="s">
        <v>232</v>
      </c>
      <c r="CJ38" s="318" t="s">
        <v>232</v>
      </c>
      <c r="CK38" s="318" t="s">
        <v>232</v>
      </c>
      <c r="CL38" s="315" t="s">
        <v>232</v>
      </c>
      <c r="CM38" s="315" t="s">
        <v>232</v>
      </c>
      <c r="CN38" s="318" t="s">
        <v>232</v>
      </c>
      <c r="CO38" s="311" t="s">
        <v>232</v>
      </c>
      <c r="CP38" s="318" t="s">
        <v>232</v>
      </c>
      <c r="CQ38" s="315" t="s">
        <v>232</v>
      </c>
      <c r="CR38" s="318" t="s">
        <v>232</v>
      </c>
      <c r="CS38" s="311" t="s">
        <v>232</v>
      </c>
      <c r="CT38" s="311" t="s">
        <v>232</v>
      </c>
    </row>
    <row r="39" spans="1:98" ht="22" customHeight="1" x14ac:dyDescent="0.25">
      <c r="A39" s="320" t="s">
        <v>386</v>
      </c>
      <c r="B39" s="321" t="s">
        <v>387</v>
      </c>
      <c r="C39" s="322" t="s">
        <v>241</v>
      </c>
      <c r="D39" s="322" t="s">
        <v>233</v>
      </c>
      <c r="E39" s="323" t="s">
        <v>388</v>
      </c>
      <c r="F39" s="320">
        <v>630</v>
      </c>
      <c r="G39" s="320">
        <v>18</v>
      </c>
      <c r="H39" s="320" t="s">
        <v>243</v>
      </c>
      <c r="I39" s="325">
        <v>0.626</v>
      </c>
      <c r="J39" s="325">
        <v>72.150000000000006</v>
      </c>
      <c r="K39" s="326">
        <f>F39/(G39*I39)</f>
        <v>55.910543130990412</v>
      </c>
      <c r="L39" s="327"/>
      <c r="M39" s="333" t="s">
        <v>389</v>
      </c>
      <c r="N39" s="329" t="s">
        <v>390</v>
      </c>
      <c r="O39" s="330">
        <v>5.2295207424214252E-3</v>
      </c>
      <c r="P39" s="330">
        <v>1.1465416157714481</v>
      </c>
      <c r="Q39" s="330">
        <f t="shared" si="1"/>
        <v>2.4771661783205499</v>
      </c>
      <c r="R39" s="330">
        <f t="shared" si="2"/>
        <v>3.6237077940919979</v>
      </c>
      <c r="S39" s="330">
        <v>0.68777942810718584</v>
      </c>
      <c r="T39" s="330">
        <v>79.62523519437346</v>
      </c>
      <c r="U39" s="330">
        <v>2.8794957242081582E-6</v>
      </c>
      <c r="V39" s="330">
        <v>9.7933979326126296E-4</v>
      </c>
      <c r="W39" s="330">
        <v>1.0706393260043461E-2</v>
      </c>
      <c r="X39" s="330">
        <v>1.096660027536223E-10</v>
      </c>
      <c r="Y39" s="330">
        <v>2.216403807562535E-9</v>
      </c>
      <c r="Z39" s="330">
        <v>1.6360563802420619E-3</v>
      </c>
      <c r="AA39" s="330">
        <v>0.4350158736055838</v>
      </c>
      <c r="AB39" s="330">
        <v>9.5444554958458834E-7</v>
      </c>
      <c r="AC39" s="330">
        <v>8.4599889246927813E-9</v>
      </c>
      <c r="AD39" s="330">
        <v>6.6050848429010943E-8</v>
      </c>
      <c r="AE39" s="330">
        <v>6.2438193542709358E-3</v>
      </c>
      <c r="AF39" s="330">
        <v>8.1135036299311222E-2</v>
      </c>
      <c r="AH39" s="316" t="s">
        <v>232</v>
      </c>
      <c r="AI39" s="331" t="s">
        <v>232</v>
      </c>
      <c r="AJ39" s="311" t="s">
        <v>232</v>
      </c>
      <c r="AK39" s="311" t="s">
        <v>232</v>
      </c>
      <c r="AL39" s="311" t="s">
        <v>232</v>
      </c>
      <c r="AM39" s="311" t="s">
        <v>232</v>
      </c>
      <c r="AN39" s="311" t="s">
        <v>232</v>
      </c>
      <c r="AO39" s="311" t="s">
        <v>232</v>
      </c>
      <c r="AP39" s="311" t="s">
        <v>232</v>
      </c>
      <c r="AQ39" s="318" t="s">
        <v>232</v>
      </c>
      <c r="AR39" s="318" t="s">
        <v>232</v>
      </c>
      <c r="AS39" s="318" t="s">
        <v>232</v>
      </c>
      <c r="AT39" s="315" t="s">
        <v>232</v>
      </c>
      <c r="AU39" s="315" t="s">
        <v>232</v>
      </c>
      <c r="AV39" s="318" t="s">
        <v>232</v>
      </c>
      <c r="AW39" s="311" t="s">
        <v>232</v>
      </c>
      <c r="AX39" s="318" t="s">
        <v>232</v>
      </c>
      <c r="AY39" s="315" t="s">
        <v>232</v>
      </c>
      <c r="AZ39" s="318" t="s">
        <v>232</v>
      </c>
      <c r="BA39" s="311" t="s">
        <v>232</v>
      </c>
      <c r="BB39" s="311" t="s">
        <v>232</v>
      </c>
      <c r="BD39" s="316">
        <v>345.96269999999998</v>
      </c>
      <c r="BE39" s="331">
        <f t="shared" si="9"/>
        <v>2.3808999999999969</v>
      </c>
      <c r="BF39" s="311">
        <f t="shared" si="10"/>
        <v>133.11741214057488</v>
      </c>
      <c r="BG39" s="311">
        <f t="shared" ref="BG39:BX39" si="69">$BE39*O$39</f>
        <v>1.2450965935631155E-2</v>
      </c>
      <c r="BH39" s="311">
        <f t="shared" si="69"/>
        <v>2.7298009329902371</v>
      </c>
      <c r="BI39" s="311">
        <f t="shared" si="69"/>
        <v>5.8978849539633895</v>
      </c>
      <c r="BJ39" s="311">
        <f t="shared" si="69"/>
        <v>8.6276858869536266</v>
      </c>
      <c r="BK39" s="311">
        <f t="shared" si="69"/>
        <v>1.6375340403803966</v>
      </c>
      <c r="BL39" s="311">
        <f t="shared" si="69"/>
        <v>189.57972247428353</v>
      </c>
      <c r="BM39" s="318">
        <f t="shared" si="69"/>
        <v>6.855791369767195E-6</v>
      </c>
      <c r="BN39" s="318">
        <f t="shared" si="69"/>
        <v>2.3317101137757378E-3</v>
      </c>
      <c r="BO39" s="318">
        <f t="shared" si="69"/>
        <v>2.5490851712837444E-2</v>
      </c>
      <c r="BP39" s="315">
        <f t="shared" si="69"/>
        <v>2.61103785956099E-10</v>
      </c>
      <c r="BQ39" s="315">
        <f t="shared" si="69"/>
        <v>5.2770358254256325E-9</v>
      </c>
      <c r="BR39" s="318">
        <f t="shared" si="69"/>
        <v>3.89528663571832E-3</v>
      </c>
      <c r="BS39" s="311">
        <f t="shared" si="69"/>
        <v>1.0357292934675331</v>
      </c>
      <c r="BT39" s="318">
        <f t="shared" si="69"/>
        <v>2.2724394090059434E-6</v>
      </c>
      <c r="BU39" s="315">
        <f t="shared" si="69"/>
        <v>2.0142387630801017E-8</v>
      </c>
      <c r="BV39" s="318">
        <f t="shared" si="69"/>
        <v>1.5726046502463194E-7</v>
      </c>
      <c r="BW39" s="311">
        <f t="shared" si="69"/>
        <v>1.4865909500583651E-2</v>
      </c>
      <c r="BX39" s="311">
        <f t="shared" si="69"/>
        <v>0.19317440792502985</v>
      </c>
      <c r="BZ39" s="316" t="s">
        <v>232</v>
      </c>
      <c r="CA39" s="332" t="s">
        <v>232</v>
      </c>
      <c r="CB39" s="311" t="s">
        <v>232</v>
      </c>
      <c r="CC39" s="311" t="s">
        <v>232</v>
      </c>
      <c r="CD39" s="311" t="s">
        <v>232</v>
      </c>
      <c r="CE39" s="311" t="s">
        <v>232</v>
      </c>
      <c r="CF39" s="311" t="s">
        <v>232</v>
      </c>
      <c r="CG39" s="311" t="s">
        <v>232</v>
      </c>
      <c r="CH39" s="311" t="s">
        <v>232</v>
      </c>
      <c r="CI39" s="318" t="s">
        <v>232</v>
      </c>
      <c r="CJ39" s="318" t="s">
        <v>232</v>
      </c>
      <c r="CK39" s="318" t="s">
        <v>232</v>
      </c>
      <c r="CL39" s="315" t="s">
        <v>232</v>
      </c>
      <c r="CM39" s="315" t="s">
        <v>232</v>
      </c>
      <c r="CN39" s="318" t="s">
        <v>232</v>
      </c>
      <c r="CO39" s="311" t="s">
        <v>232</v>
      </c>
      <c r="CP39" s="318" t="s">
        <v>232</v>
      </c>
      <c r="CQ39" s="315" t="s">
        <v>232</v>
      </c>
      <c r="CR39" s="318" t="s">
        <v>232</v>
      </c>
      <c r="CS39" s="311" t="s">
        <v>232</v>
      </c>
      <c r="CT39" s="311" t="s">
        <v>232</v>
      </c>
    </row>
    <row r="40" spans="1:98" ht="22" customHeight="1" x14ac:dyDescent="0.25">
      <c r="A40" s="320" t="s">
        <v>391</v>
      </c>
      <c r="B40" s="321" t="s">
        <v>392</v>
      </c>
      <c r="C40" s="322" t="s">
        <v>393</v>
      </c>
      <c r="D40" s="322" t="s">
        <v>233</v>
      </c>
      <c r="E40" s="323" t="s">
        <v>394</v>
      </c>
      <c r="F40" s="320">
        <v>708</v>
      </c>
      <c r="G40" s="320">
        <v>0.25</v>
      </c>
      <c r="H40" s="320" t="s">
        <v>2</v>
      </c>
      <c r="I40" s="324">
        <v>1</v>
      </c>
      <c r="J40" s="325">
        <v>280.43</v>
      </c>
      <c r="K40" s="326">
        <f>F40/(G40*I40)</f>
        <v>2832</v>
      </c>
      <c r="L40" s="327"/>
      <c r="M40" s="333" t="s">
        <v>395</v>
      </c>
      <c r="N40" s="329" t="s">
        <v>396</v>
      </c>
      <c r="O40" s="330">
        <v>5.5599511149326359E-3</v>
      </c>
      <c r="P40" s="330">
        <v>1.1153373849035231</v>
      </c>
      <c r="Q40" s="330">
        <f t="shared" si="1"/>
        <v>1.9857339720851801</v>
      </c>
      <c r="R40" s="330">
        <f t="shared" si="2"/>
        <v>3.1010713569887032</v>
      </c>
      <c r="S40" s="330">
        <v>26.345768380487819</v>
      </c>
      <c r="T40" s="330">
        <v>54.37971534758325</v>
      </c>
      <c r="U40" s="330">
        <v>1.74813454021289E-5</v>
      </c>
      <c r="V40" s="330">
        <v>1.1201734688986581E-3</v>
      </c>
      <c r="W40" s="330">
        <v>1.0992231347857821E-2</v>
      </c>
      <c r="X40" s="330">
        <v>5.8297528328641427E-10</v>
      </c>
      <c r="Y40" s="330">
        <v>1.366405209011243E-8</v>
      </c>
      <c r="Z40" s="330">
        <v>1.163629523372983E-2</v>
      </c>
      <c r="AA40" s="330">
        <v>4.9967820275507329</v>
      </c>
      <c r="AB40" s="330">
        <v>8.4544058021932544E-6</v>
      </c>
      <c r="AC40" s="330">
        <v>2.4265109294073592E-7</v>
      </c>
      <c r="AD40" s="330">
        <v>4.7526212559711331E-8</v>
      </c>
      <c r="AE40" s="330">
        <v>1.124175296203059E-2</v>
      </c>
      <c r="AF40" s="330">
        <v>0.51521681674959885</v>
      </c>
      <c r="AH40" s="316">
        <v>532.32429999999999</v>
      </c>
      <c r="AI40" s="331">
        <f t="shared" si="4"/>
        <v>4.8099999999976717E-2</v>
      </c>
      <c r="AJ40" s="311">
        <f t="shared" si="5"/>
        <v>136.21919999993406</v>
      </c>
      <c r="AK40" s="311">
        <f t="shared" ref="AK40:BB40" si="70">$AI40*O$40</f>
        <v>2.6743364862813034E-4</v>
      </c>
      <c r="AL40" s="311">
        <f t="shared" si="70"/>
        <v>5.3647728213833491E-2</v>
      </c>
      <c r="AM40" s="311">
        <f t="shared" si="70"/>
        <v>9.5513804057250934E-2</v>
      </c>
      <c r="AN40" s="311">
        <f t="shared" si="70"/>
        <v>0.14916153227108442</v>
      </c>
      <c r="AO40" s="311">
        <f t="shared" si="70"/>
        <v>1.2672314591008507</v>
      </c>
      <c r="AP40" s="311">
        <f t="shared" si="70"/>
        <v>2.6156643082174882</v>
      </c>
      <c r="AQ40" s="318">
        <f t="shared" si="70"/>
        <v>8.4085271384199306E-7</v>
      </c>
      <c r="AR40" s="318">
        <f t="shared" si="70"/>
        <v>5.388034385399937E-5</v>
      </c>
      <c r="AS40" s="318">
        <f t="shared" si="70"/>
        <v>5.2872632783170523E-4</v>
      </c>
      <c r="AT40" s="315">
        <f t="shared" si="70"/>
        <v>2.8041111126062951E-11</v>
      </c>
      <c r="AU40" s="315">
        <f t="shared" si="70"/>
        <v>6.5724090553408973E-10</v>
      </c>
      <c r="AV40" s="318">
        <f t="shared" si="70"/>
        <v>5.5970580074213392E-4</v>
      </c>
      <c r="AW40" s="311">
        <f t="shared" si="70"/>
        <v>0.2403452155250739</v>
      </c>
      <c r="AX40" s="318">
        <f t="shared" si="70"/>
        <v>4.0665691908529872E-7</v>
      </c>
      <c r="AY40" s="315">
        <f t="shared" si="70"/>
        <v>1.1671517570443748E-8</v>
      </c>
      <c r="AZ40" s="318">
        <f t="shared" si="70"/>
        <v>2.2860108241210084E-9</v>
      </c>
      <c r="BA40" s="311">
        <f t="shared" si="70"/>
        <v>5.4072831747340963E-4</v>
      </c>
      <c r="BB40" s="311">
        <f t="shared" si="70"/>
        <v>2.4781928885643709E-2</v>
      </c>
      <c r="BD40" s="316" t="s">
        <v>232</v>
      </c>
      <c r="BE40" s="331" t="s">
        <v>232</v>
      </c>
      <c r="BF40" s="311" t="s">
        <v>232</v>
      </c>
      <c r="BG40" s="311" t="s">
        <v>232</v>
      </c>
      <c r="BH40" s="311" t="s">
        <v>232</v>
      </c>
      <c r="BI40" s="311" t="s">
        <v>232</v>
      </c>
      <c r="BJ40" s="311" t="s">
        <v>232</v>
      </c>
      <c r="BK40" s="311" t="s">
        <v>232</v>
      </c>
      <c r="BL40" s="311" t="s">
        <v>232</v>
      </c>
      <c r="BM40" s="318" t="s">
        <v>232</v>
      </c>
      <c r="BN40" s="318" t="s">
        <v>232</v>
      </c>
      <c r="BO40" s="318" t="s">
        <v>232</v>
      </c>
      <c r="BP40" s="315" t="s">
        <v>232</v>
      </c>
      <c r="BQ40" s="315" t="s">
        <v>232</v>
      </c>
      <c r="BR40" s="318" t="s">
        <v>232</v>
      </c>
      <c r="BS40" s="311" t="s">
        <v>232</v>
      </c>
      <c r="BT40" s="318" t="s">
        <v>232</v>
      </c>
      <c r="BU40" s="315" t="s">
        <v>232</v>
      </c>
      <c r="BV40" s="318" t="s">
        <v>232</v>
      </c>
      <c r="BW40" s="311" t="s">
        <v>232</v>
      </c>
      <c r="BX40" s="311" t="s">
        <v>232</v>
      </c>
      <c r="BZ40" s="316" t="s">
        <v>232</v>
      </c>
      <c r="CA40" s="332" t="s">
        <v>232</v>
      </c>
      <c r="CB40" s="311" t="s">
        <v>232</v>
      </c>
      <c r="CC40" s="311" t="s">
        <v>232</v>
      </c>
      <c r="CD40" s="311" t="s">
        <v>232</v>
      </c>
      <c r="CE40" s="311" t="s">
        <v>232</v>
      </c>
      <c r="CF40" s="311" t="s">
        <v>232</v>
      </c>
      <c r="CG40" s="311" t="s">
        <v>232</v>
      </c>
      <c r="CH40" s="311" t="s">
        <v>232</v>
      </c>
      <c r="CI40" s="318" t="s">
        <v>232</v>
      </c>
      <c r="CJ40" s="318" t="s">
        <v>232</v>
      </c>
      <c r="CK40" s="318" t="s">
        <v>232</v>
      </c>
      <c r="CL40" s="315" t="s">
        <v>232</v>
      </c>
      <c r="CM40" s="315" t="s">
        <v>232</v>
      </c>
      <c r="CN40" s="318" t="s">
        <v>232</v>
      </c>
      <c r="CO40" s="311" t="s">
        <v>232</v>
      </c>
      <c r="CP40" s="318" t="s">
        <v>232</v>
      </c>
      <c r="CQ40" s="315" t="s">
        <v>232</v>
      </c>
      <c r="CR40" s="318" t="s">
        <v>232</v>
      </c>
      <c r="CS40" s="311" t="s">
        <v>232</v>
      </c>
      <c r="CT40" s="311" t="s">
        <v>232</v>
      </c>
    </row>
    <row r="41" spans="1:98" ht="22" customHeight="1" thickBot="1" x14ac:dyDescent="0.3">
      <c r="A41" s="320" t="s">
        <v>397</v>
      </c>
      <c r="B41" s="321" t="s">
        <v>398</v>
      </c>
      <c r="C41" s="322" t="s">
        <v>237</v>
      </c>
      <c r="D41" s="322" t="s">
        <v>233</v>
      </c>
      <c r="E41" s="323" t="s">
        <v>399</v>
      </c>
      <c r="F41" s="320">
        <v>537</v>
      </c>
      <c r="G41" s="320">
        <v>2</v>
      </c>
      <c r="H41" s="320" t="s">
        <v>2</v>
      </c>
      <c r="I41" s="324">
        <v>1</v>
      </c>
      <c r="J41" s="325">
        <v>188.07</v>
      </c>
      <c r="K41" s="326">
        <f>F41/(G41*I41)</f>
        <v>268.5</v>
      </c>
      <c r="L41" s="327"/>
      <c r="M41" s="333" t="s">
        <v>400</v>
      </c>
      <c r="N41" s="329" t="s">
        <v>401</v>
      </c>
      <c r="O41" s="330">
        <v>2.0901059403587819E-2</v>
      </c>
      <c r="P41" s="330">
        <v>2.8966551801243359</v>
      </c>
      <c r="Q41" s="330">
        <f t="shared" si="1"/>
        <v>1.9857339720851801</v>
      </c>
      <c r="R41" s="330">
        <f t="shared" si="2"/>
        <v>4.882389152209516</v>
      </c>
      <c r="S41" s="330">
        <v>15.54714240927308</v>
      </c>
      <c r="T41" s="330">
        <v>58.376375378933083</v>
      </c>
      <c r="U41" s="330">
        <v>8.0698486761117936E-5</v>
      </c>
      <c r="V41" s="330">
        <v>3.0339209385604432E-3</v>
      </c>
      <c r="W41" s="330">
        <v>3.4050881786539582E-2</v>
      </c>
      <c r="X41" s="330">
        <v>1.5988606655299531E-9</v>
      </c>
      <c r="Y41" s="330">
        <v>6.5597987434672144E-8</v>
      </c>
      <c r="Z41" s="330">
        <v>3.3014988480844568E-2</v>
      </c>
      <c r="AA41" s="330">
        <v>9.1607570606181277</v>
      </c>
      <c r="AB41" s="330">
        <v>9.5779122568443299E-4</v>
      </c>
      <c r="AC41" s="330">
        <v>7.7483096434815096E-8</v>
      </c>
      <c r="AD41" s="330">
        <v>1.5586995931782239E-7</v>
      </c>
      <c r="AE41" s="330">
        <v>1.41267807555501E-2</v>
      </c>
      <c r="AF41" s="330">
        <v>0.89788106155395619</v>
      </c>
      <c r="AH41" s="316">
        <v>527.68539999999996</v>
      </c>
      <c r="AI41" s="331">
        <f t="shared" si="4"/>
        <v>4.6870000000000118</v>
      </c>
      <c r="AJ41" s="311">
        <f t="shared" si="5"/>
        <v>1258.4595000000031</v>
      </c>
      <c r="AK41" s="311">
        <f t="shared" ref="AK41:BB41" si="71">$AI41*O$41</f>
        <v>9.796326542461635E-2</v>
      </c>
      <c r="AL41" s="311">
        <f t="shared" si="71"/>
        <v>13.576622829242796</v>
      </c>
      <c r="AM41" s="311">
        <f t="shared" si="71"/>
        <v>9.3071351271632619</v>
      </c>
      <c r="AN41" s="311">
        <f t="shared" si="71"/>
        <v>22.883757956406058</v>
      </c>
      <c r="AO41" s="311">
        <f t="shared" si="71"/>
        <v>72.86945647226311</v>
      </c>
      <c r="AP41" s="311">
        <f t="shared" si="71"/>
        <v>273.61007140106005</v>
      </c>
      <c r="AQ41" s="318">
        <f t="shared" si="71"/>
        <v>3.7823380744936075E-4</v>
      </c>
      <c r="AR41" s="318">
        <f t="shared" si="71"/>
        <v>1.4219987439032833E-2</v>
      </c>
      <c r="AS41" s="318">
        <f t="shared" si="71"/>
        <v>0.15959648293351142</v>
      </c>
      <c r="AT41" s="315">
        <f t="shared" si="71"/>
        <v>7.4938599393389091E-9</v>
      </c>
      <c r="AU41" s="315">
        <f t="shared" si="71"/>
        <v>3.0745776710630912E-7</v>
      </c>
      <c r="AV41" s="318">
        <f t="shared" si="71"/>
        <v>0.15474125100971889</v>
      </c>
      <c r="AW41" s="311">
        <f t="shared" si="71"/>
        <v>42.936468343117269</v>
      </c>
      <c r="AX41" s="318">
        <f t="shared" si="71"/>
        <v>4.4891674747829487E-3</v>
      </c>
      <c r="AY41" s="315">
        <f t="shared" si="71"/>
        <v>3.6316327298997927E-7</v>
      </c>
      <c r="AZ41" s="318">
        <f t="shared" si="71"/>
        <v>7.3056249932263544E-7</v>
      </c>
      <c r="BA41" s="311">
        <f t="shared" si="71"/>
        <v>6.6212221401263482E-2</v>
      </c>
      <c r="BB41" s="311">
        <f t="shared" si="71"/>
        <v>4.2083685355034035</v>
      </c>
      <c r="BD41" s="316">
        <v>346.69069999999999</v>
      </c>
      <c r="BE41" s="331">
        <f t="shared" si="9"/>
        <v>1.6528999999999883</v>
      </c>
      <c r="BF41" s="311">
        <f t="shared" si="10"/>
        <v>443.80364999999688</v>
      </c>
      <c r="BG41" s="311">
        <f t="shared" ref="BG41:BX41" si="72">$BE41*O$41</f>
        <v>3.4547361088190058E-2</v>
      </c>
      <c r="BH41" s="311">
        <f t="shared" si="72"/>
        <v>4.787881347227481</v>
      </c>
      <c r="BI41" s="311">
        <f t="shared" si="72"/>
        <v>3.2822196824595711</v>
      </c>
      <c r="BJ41" s="311">
        <f t="shared" si="72"/>
        <v>8.0701010296870521</v>
      </c>
      <c r="BK41" s="311">
        <f t="shared" si="72"/>
        <v>25.697871688287293</v>
      </c>
      <c r="BL41" s="311">
        <f t="shared" si="72"/>
        <v>96.490310863837806</v>
      </c>
      <c r="BM41" s="318">
        <f t="shared" si="72"/>
        <v>1.333865287674509E-4</v>
      </c>
      <c r="BN41" s="318">
        <f t="shared" si="72"/>
        <v>5.0147679193465206E-3</v>
      </c>
      <c r="BO41" s="318">
        <f t="shared" si="72"/>
        <v>5.6282702504970875E-2</v>
      </c>
      <c r="BP41" s="315">
        <f t="shared" si="72"/>
        <v>2.6427567940544407E-9</v>
      </c>
      <c r="BQ41" s="315">
        <f t="shared" si="72"/>
        <v>1.0842691343076882E-7</v>
      </c>
      <c r="BR41" s="318">
        <f t="shared" si="72"/>
        <v>5.4570474459987597E-2</v>
      </c>
      <c r="BS41" s="311">
        <f t="shared" si="72"/>
        <v>15.141815345495596</v>
      </c>
      <c r="BT41" s="318">
        <f t="shared" si="72"/>
        <v>1.583133116933788E-3</v>
      </c>
      <c r="BU41" s="315">
        <f t="shared" si="72"/>
        <v>1.2807181009710495E-7</v>
      </c>
      <c r="BV41" s="318">
        <f t="shared" si="72"/>
        <v>2.5763745575642679E-7</v>
      </c>
      <c r="BW41" s="311">
        <f t="shared" si="72"/>
        <v>2.3350155910848595E-2</v>
      </c>
      <c r="BX41" s="311">
        <f t="shared" si="72"/>
        <v>1.4841076066425236</v>
      </c>
      <c r="BZ41" s="316" t="s">
        <v>232</v>
      </c>
      <c r="CA41" s="332" t="s">
        <v>232</v>
      </c>
      <c r="CB41" s="311" t="s">
        <v>232</v>
      </c>
      <c r="CC41" s="311" t="s">
        <v>232</v>
      </c>
      <c r="CD41" s="311" t="s">
        <v>232</v>
      </c>
      <c r="CE41" s="311" t="s">
        <v>232</v>
      </c>
      <c r="CF41" s="311" t="s">
        <v>232</v>
      </c>
      <c r="CG41" s="311" t="s">
        <v>232</v>
      </c>
      <c r="CH41" s="311" t="s">
        <v>232</v>
      </c>
      <c r="CI41" s="318" t="s">
        <v>232</v>
      </c>
      <c r="CJ41" s="318" t="s">
        <v>232</v>
      </c>
      <c r="CK41" s="318" t="s">
        <v>232</v>
      </c>
      <c r="CL41" s="315" t="s">
        <v>232</v>
      </c>
      <c r="CM41" s="315" t="s">
        <v>232</v>
      </c>
      <c r="CN41" s="318" t="s">
        <v>232</v>
      </c>
      <c r="CO41" s="311" t="s">
        <v>232</v>
      </c>
      <c r="CP41" s="318" t="s">
        <v>232</v>
      </c>
      <c r="CQ41" s="315" t="s">
        <v>232</v>
      </c>
      <c r="CR41" s="318" t="s">
        <v>232</v>
      </c>
      <c r="CS41" s="311" t="s">
        <v>232</v>
      </c>
      <c r="CT41" s="311" t="s">
        <v>232</v>
      </c>
    </row>
    <row r="42" spans="1:98" ht="22" customHeight="1" x14ac:dyDescent="0.25">
      <c r="A42" s="320" t="s">
        <v>402</v>
      </c>
      <c r="B42" s="358" t="s">
        <v>403</v>
      </c>
      <c r="C42" s="322" t="s">
        <v>237</v>
      </c>
      <c r="D42" s="322" t="s">
        <v>232</v>
      </c>
      <c r="E42" s="323" t="s">
        <v>232</v>
      </c>
      <c r="F42" s="320">
        <v>1600</v>
      </c>
      <c r="G42" s="320">
        <v>50</v>
      </c>
      <c r="H42" s="320" t="s">
        <v>2</v>
      </c>
      <c r="I42" s="324">
        <v>1</v>
      </c>
      <c r="J42" s="325">
        <v>100.07</v>
      </c>
      <c r="K42" s="326">
        <f>F42/(G42*I42)</f>
        <v>32</v>
      </c>
      <c r="L42" s="327"/>
      <c r="M42" s="333" t="s">
        <v>404</v>
      </c>
      <c r="N42" s="329" t="s">
        <v>405</v>
      </c>
      <c r="O42" s="330">
        <f>(O43+O44)/2</f>
        <v>1.1964398243941739E-2</v>
      </c>
      <c r="P42" s="330">
        <f>(P43+P44)/2</f>
        <v>3.4796933977302462</v>
      </c>
      <c r="Q42" s="330">
        <f t="shared" si="1"/>
        <v>1.9857339720851801</v>
      </c>
      <c r="R42" s="330">
        <f>P42+Q42</f>
        <v>5.4654273698154263</v>
      </c>
      <c r="S42" s="330">
        <f>(S43+S44)/2</f>
        <v>22.60459186135769</v>
      </c>
      <c r="T42" s="330">
        <f t="shared" ref="T42:AF42" si="73">(T43+T44)/2</f>
        <v>69.567908431927037</v>
      </c>
      <c r="U42" s="330">
        <f t="shared" si="73"/>
        <v>6.2978754955326071E-5</v>
      </c>
      <c r="V42" s="330">
        <f t="shared" si="73"/>
        <v>2.112898650457488E-3</v>
      </c>
      <c r="W42" s="330">
        <f t="shared" si="73"/>
        <v>2.2646972310660304E-2</v>
      </c>
      <c r="X42" s="330">
        <f t="shared" si="73"/>
        <v>2.8510594580723308E-9</v>
      </c>
      <c r="Y42" s="330">
        <f t="shared" si="73"/>
        <v>2.101070519914553E-8</v>
      </c>
      <c r="Z42" s="330">
        <f t="shared" si="73"/>
        <v>5.7907250297251578E-2</v>
      </c>
      <c r="AA42" s="330">
        <f t="shared" si="73"/>
        <v>6.2311467082693799</v>
      </c>
      <c r="AB42" s="330">
        <f t="shared" si="73"/>
        <v>1.222649276324394E-5</v>
      </c>
      <c r="AC42" s="330">
        <f t="shared" si="73"/>
        <v>6.6157023208239641E-8</v>
      </c>
      <c r="AD42" s="330">
        <f t="shared" si="73"/>
        <v>1.0779308841314018E-7</v>
      </c>
      <c r="AE42" s="330">
        <f t="shared" si="73"/>
        <v>1.1879524214772581E-2</v>
      </c>
      <c r="AF42" s="330">
        <f t="shared" si="73"/>
        <v>0.78081128929911059</v>
      </c>
      <c r="AH42" s="316" t="s">
        <v>232</v>
      </c>
      <c r="AI42" s="331" t="s">
        <v>232</v>
      </c>
      <c r="AJ42" s="311" t="s">
        <v>232</v>
      </c>
      <c r="AK42" s="311" t="s">
        <v>232</v>
      </c>
      <c r="AL42" s="311" t="s">
        <v>232</v>
      </c>
      <c r="AM42" s="311" t="s">
        <v>232</v>
      </c>
      <c r="AN42" s="311" t="s">
        <v>232</v>
      </c>
      <c r="AO42" s="311" t="s">
        <v>232</v>
      </c>
      <c r="AP42" s="311" t="s">
        <v>232</v>
      </c>
      <c r="AQ42" s="318" t="s">
        <v>232</v>
      </c>
      <c r="AR42" s="318" t="s">
        <v>232</v>
      </c>
      <c r="AS42" s="318" t="s">
        <v>232</v>
      </c>
      <c r="AT42" s="315" t="s">
        <v>232</v>
      </c>
      <c r="AU42" s="315" t="s">
        <v>232</v>
      </c>
      <c r="AV42" s="318" t="s">
        <v>232</v>
      </c>
      <c r="AW42" s="311" t="s">
        <v>232</v>
      </c>
      <c r="AX42" s="318" t="s">
        <v>232</v>
      </c>
      <c r="AY42" s="315" t="s">
        <v>232</v>
      </c>
      <c r="AZ42" s="318" t="s">
        <v>232</v>
      </c>
      <c r="BA42" s="311" t="s">
        <v>232</v>
      </c>
      <c r="BB42" s="311" t="s">
        <v>232</v>
      </c>
      <c r="BD42" s="316">
        <v>348.31200000000001</v>
      </c>
      <c r="BE42" s="331">
        <f t="shared" si="9"/>
        <v>3.1599999999968986E-2</v>
      </c>
      <c r="BF42" s="311">
        <f t="shared" si="10"/>
        <v>1.0111999999990076</v>
      </c>
      <c r="BG42" s="311">
        <f>$BE42*O$42</f>
        <v>3.7807498450818792E-4</v>
      </c>
      <c r="BH42" s="311">
        <f t="shared" ref="BH42:BX42" si="74">$BE42*P$42</f>
        <v>0.10995831136816786</v>
      </c>
      <c r="BI42" s="311">
        <f t="shared" si="74"/>
        <v>6.2749193517830107E-2</v>
      </c>
      <c r="BJ42" s="311">
        <f t="shared" si="74"/>
        <v>0.17270750488599798</v>
      </c>
      <c r="BK42" s="311">
        <f t="shared" si="74"/>
        <v>0.71430510281820192</v>
      </c>
      <c r="BL42" s="311">
        <f t="shared" si="74"/>
        <v>2.198345906446737</v>
      </c>
      <c r="BM42" s="318">
        <f t="shared" si="74"/>
        <v>1.9901286565863505E-6</v>
      </c>
      <c r="BN42" s="318">
        <f t="shared" si="74"/>
        <v>6.6767597354391097E-5</v>
      </c>
      <c r="BO42" s="318">
        <f t="shared" si="74"/>
        <v>7.1564432501616327E-4</v>
      </c>
      <c r="BP42" s="315">
        <f t="shared" si="74"/>
        <v>9.0093478874997236E-11</v>
      </c>
      <c r="BQ42" s="315">
        <f t="shared" si="74"/>
        <v>6.6393828429234709E-10</v>
      </c>
      <c r="BR42" s="318">
        <f t="shared" si="74"/>
        <v>1.8298691093913539E-3</v>
      </c>
      <c r="BS42" s="311">
        <f t="shared" si="74"/>
        <v>0.19690423598111914</v>
      </c>
      <c r="BT42" s="318">
        <f t="shared" si="74"/>
        <v>3.863571713181293E-7</v>
      </c>
      <c r="BU42" s="315">
        <f t="shared" si="74"/>
        <v>2.090561933378321E-9</v>
      </c>
      <c r="BV42" s="318">
        <f t="shared" si="74"/>
        <v>3.4062615938518865E-9</v>
      </c>
      <c r="BW42" s="311">
        <f t="shared" si="74"/>
        <v>3.7539296518644514E-4</v>
      </c>
      <c r="BX42" s="311">
        <f t="shared" si="74"/>
        <v>2.4673636741827678E-2</v>
      </c>
      <c r="BZ42" s="316">
        <v>348.31200000000001</v>
      </c>
      <c r="CA42" s="332">
        <f t="shared" ref="CA42" si="75">IF(BZ42&gt;0,BZ$2-BZ42,0)</f>
        <v>3.1599999999968986E-2</v>
      </c>
      <c r="CB42" s="311" t="s">
        <v>232</v>
      </c>
      <c r="CC42" s="311">
        <f t="shared" ref="CC42:CT42" si="76">$CA42*O$42</f>
        <v>3.7807498450818792E-4</v>
      </c>
      <c r="CD42" s="311">
        <f t="shared" si="76"/>
        <v>0.10995831136816786</v>
      </c>
      <c r="CE42" s="311">
        <f t="shared" si="76"/>
        <v>6.2749193517830107E-2</v>
      </c>
      <c r="CF42" s="311">
        <f t="shared" si="76"/>
        <v>0.17270750488599798</v>
      </c>
      <c r="CG42" s="311">
        <f t="shared" si="76"/>
        <v>0.71430510281820192</v>
      </c>
      <c r="CH42" s="311">
        <f t="shared" si="76"/>
        <v>2.198345906446737</v>
      </c>
      <c r="CI42" s="318">
        <f t="shared" si="76"/>
        <v>1.9901286565863505E-6</v>
      </c>
      <c r="CJ42" s="318">
        <f t="shared" si="76"/>
        <v>6.6767597354391097E-5</v>
      </c>
      <c r="CK42" s="318">
        <f t="shared" si="76"/>
        <v>7.1564432501616327E-4</v>
      </c>
      <c r="CL42" s="315">
        <f t="shared" si="76"/>
        <v>9.0093478874997236E-11</v>
      </c>
      <c r="CM42" s="315">
        <f t="shared" si="76"/>
        <v>6.6393828429234709E-10</v>
      </c>
      <c r="CN42" s="318">
        <f t="shared" si="76"/>
        <v>1.8298691093913539E-3</v>
      </c>
      <c r="CO42" s="311">
        <f t="shared" si="76"/>
        <v>0.19690423598111914</v>
      </c>
      <c r="CP42" s="318">
        <f t="shared" si="76"/>
        <v>3.863571713181293E-7</v>
      </c>
      <c r="CQ42" s="315">
        <f t="shared" si="76"/>
        <v>2.090561933378321E-9</v>
      </c>
      <c r="CR42" s="318">
        <f t="shared" si="76"/>
        <v>3.4062615938518865E-9</v>
      </c>
      <c r="CS42" s="311">
        <f t="shared" si="76"/>
        <v>3.7539296518644514E-4</v>
      </c>
      <c r="CT42" s="311">
        <f t="shared" si="76"/>
        <v>2.4673636741827678E-2</v>
      </c>
    </row>
    <row r="43" spans="1:98" ht="22" customHeight="1" x14ac:dyDescent="0.25">
      <c r="A43" s="293"/>
      <c r="B43" s="350" t="s">
        <v>406</v>
      </c>
      <c r="C43" s="309" t="s">
        <v>232</v>
      </c>
      <c r="D43" s="340" t="s">
        <v>233</v>
      </c>
      <c r="E43" s="341" t="s">
        <v>407</v>
      </c>
      <c r="F43" s="342" t="s">
        <v>232</v>
      </c>
      <c r="G43" s="342" t="s">
        <v>232</v>
      </c>
      <c r="H43" s="342" t="s">
        <v>232</v>
      </c>
      <c r="I43" s="310" t="s">
        <v>232</v>
      </c>
      <c r="J43" s="310" t="s">
        <v>232</v>
      </c>
      <c r="K43" s="343" t="s">
        <v>232</v>
      </c>
      <c r="L43" s="344"/>
      <c r="M43" s="340" t="s">
        <v>232</v>
      </c>
      <c r="N43" s="340" t="s">
        <v>232</v>
      </c>
      <c r="O43" s="345">
        <v>1.3200603259301001E-2</v>
      </c>
      <c r="P43" s="345">
        <v>3.7431164292790138</v>
      </c>
      <c r="Q43" s="345" t="s">
        <v>232</v>
      </c>
      <c r="R43" s="345" t="s">
        <v>232</v>
      </c>
      <c r="S43" s="345">
        <v>22.767462068745651</v>
      </c>
      <c r="T43" s="345">
        <v>70.305524378137605</v>
      </c>
      <c r="U43" s="345">
        <v>7.2277172598902102E-5</v>
      </c>
      <c r="V43" s="345">
        <v>2.32326320529059E-3</v>
      </c>
      <c r="W43" s="345">
        <v>2.5317865146311149E-2</v>
      </c>
      <c r="X43" s="345">
        <v>2.9387612354069258E-9</v>
      </c>
      <c r="Y43" s="345">
        <v>2.561946338685681E-8</v>
      </c>
      <c r="Z43" s="345">
        <v>6.4577347334349444E-2</v>
      </c>
      <c r="AA43" s="345">
        <v>7.1491328427566616</v>
      </c>
      <c r="AB43" s="345">
        <v>1.628428801525857E-5</v>
      </c>
      <c r="AC43" s="345">
        <v>7.0085997145789933E-8</v>
      </c>
      <c r="AD43" s="345">
        <v>1.2056177101139339E-7</v>
      </c>
      <c r="AE43" s="345">
        <v>1.2391369575124231E-2</v>
      </c>
      <c r="AF43" s="345">
        <v>0.87062481583817641</v>
      </c>
      <c r="AH43" s="316" t="s">
        <v>232</v>
      </c>
      <c r="AI43" s="317" t="s">
        <v>232</v>
      </c>
      <c r="AJ43" s="311" t="s">
        <v>232</v>
      </c>
      <c r="AK43" s="311" t="s">
        <v>232</v>
      </c>
      <c r="AL43" s="311" t="s">
        <v>232</v>
      </c>
      <c r="AM43" s="311" t="s">
        <v>232</v>
      </c>
      <c r="AN43" s="311" t="s">
        <v>232</v>
      </c>
      <c r="AO43" s="311" t="s">
        <v>232</v>
      </c>
      <c r="AP43" s="311" t="s">
        <v>232</v>
      </c>
      <c r="AQ43" s="318" t="s">
        <v>232</v>
      </c>
      <c r="AR43" s="318" t="s">
        <v>232</v>
      </c>
      <c r="AS43" s="318" t="s">
        <v>232</v>
      </c>
      <c r="AT43" s="315" t="s">
        <v>232</v>
      </c>
      <c r="AU43" s="315" t="s">
        <v>232</v>
      </c>
      <c r="AV43" s="318" t="s">
        <v>232</v>
      </c>
      <c r="AW43" s="311" t="s">
        <v>232</v>
      </c>
      <c r="AX43" s="318" t="s">
        <v>232</v>
      </c>
      <c r="AY43" s="315" t="s">
        <v>232</v>
      </c>
      <c r="AZ43" s="318" t="s">
        <v>232</v>
      </c>
      <c r="BA43" s="311" t="s">
        <v>232</v>
      </c>
      <c r="BB43" s="311" t="s">
        <v>232</v>
      </c>
      <c r="BD43" s="316" t="s">
        <v>232</v>
      </c>
      <c r="BE43" s="317" t="s">
        <v>232</v>
      </c>
      <c r="BF43" s="311" t="s">
        <v>232</v>
      </c>
      <c r="BG43" s="311" t="s">
        <v>232</v>
      </c>
      <c r="BH43" s="311" t="s">
        <v>232</v>
      </c>
      <c r="BI43" s="311" t="s">
        <v>232</v>
      </c>
      <c r="BJ43" s="311" t="s">
        <v>232</v>
      </c>
      <c r="BK43" s="311" t="s">
        <v>232</v>
      </c>
      <c r="BL43" s="311" t="s">
        <v>232</v>
      </c>
      <c r="BM43" s="318" t="s">
        <v>232</v>
      </c>
      <c r="BN43" s="318" t="s">
        <v>232</v>
      </c>
      <c r="BO43" s="318" t="s">
        <v>232</v>
      </c>
      <c r="BP43" s="315" t="s">
        <v>232</v>
      </c>
      <c r="BQ43" s="315" t="s">
        <v>232</v>
      </c>
      <c r="BR43" s="318" t="s">
        <v>232</v>
      </c>
      <c r="BS43" s="311" t="s">
        <v>232</v>
      </c>
      <c r="BT43" s="318" t="s">
        <v>232</v>
      </c>
      <c r="BU43" s="315" t="s">
        <v>232</v>
      </c>
      <c r="BV43" s="318" t="s">
        <v>232</v>
      </c>
      <c r="BW43" s="311" t="s">
        <v>232</v>
      </c>
      <c r="BX43" s="311" t="s">
        <v>232</v>
      </c>
      <c r="BZ43" s="316" t="s">
        <v>232</v>
      </c>
      <c r="CA43" s="319" t="s">
        <v>232</v>
      </c>
      <c r="CB43" s="311" t="s">
        <v>232</v>
      </c>
      <c r="CC43" s="311" t="s">
        <v>232</v>
      </c>
      <c r="CD43" s="311" t="s">
        <v>232</v>
      </c>
      <c r="CE43" s="311" t="s">
        <v>232</v>
      </c>
      <c r="CF43" s="311" t="s">
        <v>232</v>
      </c>
      <c r="CG43" s="311" t="s">
        <v>232</v>
      </c>
      <c r="CH43" s="311" t="s">
        <v>232</v>
      </c>
      <c r="CI43" s="318" t="s">
        <v>232</v>
      </c>
      <c r="CJ43" s="318" t="s">
        <v>232</v>
      </c>
      <c r="CK43" s="318" t="s">
        <v>232</v>
      </c>
      <c r="CL43" s="315" t="s">
        <v>232</v>
      </c>
      <c r="CM43" s="315" t="s">
        <v>232</v>
      </c>
      <c r="CN43" s="318" t="s">
        <v>232</v>
      </c>
      <c r="CO43" s="311" t="s">
        <v>232</v>
      </c>
      <c r="CP43" s="318" t="s">
        <v>232</v>
      </c>
      <c r="CQ43" s="315" t="s">
        <v>232</v>
      </c>
      <c r="CR43" s="318" t="s">
        <v>232</v>
      </c>
      <c r="CS43" s="311" t="s">
        <v>232</v>
      </c>
      <c r="CT43" s="311" t="s">
        <v>232</v>
      </c>
    </row>
    <row r="44" spans="1:98" ht="22" customHeight="1" thickBot="1" x14ac:dyDescent="0.3">
      <c r="B44" s="346" t="s">
        <v>408</v>
      </c>
      <c r="C44" s="309" t="s">
        <v>232</v>
      </c>
      <c r="D44" s="340" t="s">
        <v>233</v>
      </c>
      <c r="E44" s="341" t="s">
        <v>409</v>
      </c>
      <c r="F44" s="342" t="s">
        <v>232</v>
      </c>
      <c r="G44" s="342" t="s">
        <v>232</v>
      </c>
      <c r="H44" s="342" t="s">
        <v>232</v>
      </c>
      <c r="I44" s="310" t="s">
        <v>232</v>
      </c>
      <c r="J44" s="310" t="s">
        <v>232</v>
      </c>
      <c r="K44" s="343" t="s">
        <v>232</v>
      </c>
      <c r="L44" s="344"/>
      <c r="M44" s="340" t="s">
        <v>232</v>
      </c>
      <c r="N44" s="342" t="s">
        <v>232</v>
      </c>
      <c r="O44" s="345">
        <v>1.072819322858248E-2</v>
      </c>
      <c r="P44" s="345">
        <v>3.2162703661814791</v>
      </c>
      <c r="Q44" s="345" t="s">
        <v>232</v>
      </c>
      <c r="R44" s="345" t="s">
        <v>232</v>
      </c>
      <c r="S44" s="345">
        <v>22.441721653969729</v>
      </c>
      <c r="T44" s="345">
        <v>68.830292485716484</v>
      </c>
      <c r="U44" s="345">
        <v>5.3680337311750032E-5</v>
      </c>
      <c r="V44" s="345">
        <v>1.902534095624386E-3</v>
      </c>
      <c r="W44" s="345">
        <v>1.997607947500946E-2</v>
      </c>
      <c r="X44" s="345">
        <v>2.7633576807377362E-9</v>
      </c>
      <c r="Y44" s="345">
        <v>1.640194701143425E-8</v>
      </c>
      <c r="Z44" s="345">
        <v>5.1237153260153719E-2</v>
      </c>
      <c r="AA44" s="345">
        <v>5.313160573782099</v>
      </c>
      <c r="AB44" s="345">
        <v>8.1686975112293124E-6</v>
      </c>
      <c r="AC44" s="345">
        <v>6.2228049270689349E-8</v>
      </c>
      <c r="AD44" s="345">
        <v>9.5024405814886966E-8</v>
      </c>
      <c r="AE44" s="345">
        <v>1.1367678854420931E-2</v>
      </c>
      <c r="AF44" s="345">
        <v>0.69099776276004465</v>
      </c>
      <c r="AH44" s="316" t="s">
        <v>232</v>
      </c>
      <c r="AI44" s="317" t="s">
        <v>232</v>
      </c>
      <c r="AJ44" s="311" t="s">
        <v>232</v>
      </c>
      <c r="AK44" s="311" t="s">
        <v>232</v>
      </c>
      <c r="AL44" s="311" t="s">
        <v>232</v>
      </c>
      <c r="AM44" s="311" t="s">
        <v>232</v>
      </c>
      <c r="AN44" s="311" t="s">
        <v>232</v>
      </c>
      <c r="AO44" s="311" t="s">
        <v>232</v>
      </c>
      <c r="AP44" s="311" t="s">
        <v>232</v>
      </c>
      <c r="AQ44" s="318" t="s">
        <v>232</v>
      </c>
      <c r="AR44" s="318" t="s">
        <v>232</v>
      </c>
      <c r="AS44" s="318" t="s">
        <v>232</v>
      </c>
      <c r="AT44" s="315" t="s">
        <v>232</v>
      </c>
      <c r="AU44" s="315" t="s">
        <v>232</v>
      </c>
      <c r="AV44" s="318" t="s">
        <v>232</v>
      </c>
      <c r="AW44" s="311" t="s">
        <v>232</v>
      </c>
      <c r="AX44" s="318" t="s">
        <v>232</v>
      </c>
      <c r="AY44" s="315" t="s">
        <v>232</v>
      </c>
      <c r="AZ44" s="318" t="s">
        <v>232</v>
      </c>
      <c r="BA44" s="311" t="s">
        <v>232</v>
      </c>
      <c r="BB44" s="311" t="s">
        <v>232</v>
      </c>
      <c r="BD44" s="316" t="s">
        <v>232</v>
      </c>
      <c r="BE44" s="317" t="s">
        <v>232</v>
      </c>
      <c r="BF44" s="311" t="s">
        <v>232</v>
      </c>
      <c r="BG44" s="311" t="s">
        <v>232</v>
      </c>
      <c r="BH44" s="311" t="s">
        <v>232</v>
      </c>
      <c r="BI44" s="311" t="s">
        <v>232</v>
      </c>
      <c r="BJ44" s="311" t="s">
        <v>232</v>
      </c>
      <c r="BK44" s="311" t="s">
        <v>232</v>
      </c>
      <c r="BL44" s="311" t="s">
        <v>232</v>
      </c>
      <c r="BM44" s="318" t="s">
        <v>232</v>
      </c>
      <c r="BN44" s="318" t="s">
        <v>232</v>
      </c>
      <c r="BO44" s="318" t="s">
        <v>232</v>
      </c>
      <c r="BP44" s="315" t="s">
        <v>232</v>
      </c>
      <c r="BQ44" s="315" t="s">
        <v>232</v>
      </c>
      <c r="BR44" s="318" t="s">
        <v>232</v>
      </c>
      <c r="BS44" s="311" t="s">
        <v>232</v>
      </c>
      <c r="BT44" s="318" t="s">
        <v>232</v>
      </c>
      <c r="BU44" s="315" t="s">
        <v>232</v>
      </c>
      <c r="BV44" s="318" t="s">
        <v>232</v>
      </c>
      <c r="BW44" s="311" t="s">
        <v>232</v>
      </c>
      <c r="BX44" s="311" t="s">
        <v>232</v>
      </c>
      <c r="BZ44" s="316" t="s">
        <v>232</v>
      </c>
      <c r="CA44" s="319" t="s">
        <v>232</v>
      </c>
      <c r="CB44" s="311" t="s">
        <v>232</v>
      </c>
      <c r="CC44" s="311" t="s">
        <v>232</v>
      </c>
      <c r="CD44" s="311" t="s">
        <v>232</v>
      </c>
      <c r="CE44" s="311" t="s">
        <v>232</v>
      </c>
      <c r="CF44" s="311" t="s">
        <v>232</v>
      </c>
      <c r="CG44" s="311" t="s">
        <v>232</v>
      </c>
      <c r="CH44" s="311" t="s">
        <v>232</v>
      </c>
      <c r="CI44" s="318" t="s">
        <v>232</v>
      </c>
      <c r="CJ44" s="318" t="s">
        <v>232</v>
      </c>
      <c r="CK44" s="318" t="s">
        <v>232</v>
      </c>
      <c r="CL44" s="315" t="s">
        <v>232</v>
      </c>
      <c r="CM44" s="315" t="s">
        <v>232</v>
      </c>
      <c r="CN44" s="318" t="s">
        <v>232</v>
      </c>
      <c r="CO44" s="311" t="s">
        <v>232</v>
      </c>
      <c r="CP44" s="318" t="s">
        <v>232</v>
      </c>
      <c r="CQ44" s="315" t="s">
        <v>232</v>
      </c>
      <c r="CR44" s="318" t="s">
        <v>232</v>
      </c>
      <c r="CS44" s="311" t="s">
        <v>232</v>
      </c>
      <c r="CT44" s="311" t="s">
        <v>232</v>
      </c>
    </row>
    <row r="45" spans="1:98" ht="22" customHeight="1" x14ac:dyDescent="0.25">
      <c r="A45" s="320" t="s">
        <v>410</v>
      </c>
      <c r="B45" s="359" t="s">
        <v>411</v>
      </c>
      <c r="C45" s="322" t="s">
        <v>237</v>
      </c>
      <c r="D45" s="322" t="s">
        <v>233</v>
      </c>
      <c r="E45" s="323" t="s">
        <v>412</v>
      </c>
      <c r="F45" s="320">
        <v>195</v>
      </c>
      <c r="G45" s="320">
        <v>0.5</v>
      </c>
      <c r="H45" s="320" t="s">
        <v>2</v>
      </c>
      <c r="I45" s="324">
        <v>1</v>
      </c>
      <c r="J45" s="325" t="s">
        <v>413</v>
      </c>
      <c r="K45" s="326">
        <f>F45/(G45*I45)</f>
        <v>390</v>
      </c>
      <c r="L45" s="327"/>
      <c r="M45" s="333" t="s">
        <v>414</v>
      </c>
      <c r="N45" s="334" t="s">
        <v>415</v>
      </c>
      <c r="O45" s="330">
        <v>1.9421488466099361E-2</v>
      </c>
      <c r="P45" s="330">
        <v>4.082660065393763</v>
      </c>
      <c r="Q45" s="330">
        <f t="shared" si="1"/>
        <v>1.9857339720851801</v>
      </c>
      <c r="R45" s="330">
        <f t="shared" si="2"/>
        <v>6.0683940374789431</v>
      </c>
      <c r="S45" s="330">
        <v>104.63012553741279</v>
      </c>
      <c r="T45" s="330">
        <v>60.630341766493977</v>
      </c>
      <c r="U45" s="330">
        <v>1.9487635865171211E-4</v>
      </c>
      <c r="V45" s="330">
        <v>1.357590017608617E-2</v>
      </c>
      <c r="W45" s="330">
        <v>5.7301957196447199E-2</v>
      </c>
      <c r="X45" s="330">
        <v>6.9756508123634164E-9</v>
      </c>
      <c r="Y45" s="330">
        <v>5.5171678151148889E-8</v>
      </c>
      <c r="Z45" s="330">
        <v>6.3782740099059099E-2</v>
      </c>
      <c r="AA45" s="330">
        <v>112.2711857204542</v>
      </c>
      <c r="AB45" s="330">
        <v>2.617500775073768E-5</v>
      </c>
      <c r="AC45" s="330">
        <v>2.8062921240180781E-8</v>
      </c>
      <c r="AD45" s="330">
        <v>2.0805944349719041E-7</v>
      </c>
      <c r="AE45" s="330">
        <v>1.8604197833450999E-2</v>
      </c>
      <c r="AF45" s="330">
        <v>8.2599950516310088</v>
      </c>
      <c r="AH45" s="316" t="s">
        <v>232</v>
      </c>
      <c r="AI45" s="331" t="s">
        <v>232</v>
      </c>
      <c r="AJ45" s="311" t="s">
        <v>232</v>
      </c>
      <c r="AK45" s="311" t="s">
        <v>232</v>
      </c>
      <c r="AL45" s="311" t="s">
        <v>232</v>
      </c>
      <c r="AM45" s="311" t="s">
        <v>232</v>
      </c>
      <c r="AN45" s="311" t="s">
        <v>232</v>
      </c>
      <c r="AO45" s="311" t="s">
        <v>232</v>
      </c>
      <c r="AP45" s="311" t="s">
        <v>232</v>
      </c>
      <c r="AQ45" s="318" t="s">
        <v>232</v>
      </c>
      <c r="AR45" s="318" t="s">
        <v>232</v>
      </c>
      <c r="AS45" s="318" t="s">
        <v>232</v>
      </c>
      <c r="AT45" s="315" t="s">
        <v>232</v>
      </c>
      <c r="AU45" s="315" t="s">
        <v>232</v>
      </c>
      <c r="AV45" s="318" t="s">
        <v>232</v>
      </c>
      <c r="AW45" s="311" t="s">
        <v>232</v>
      </c>
      <c r="AX45" s="318" t="s">
        <v>232</v>
      </c>
      <c r="AY45" s="315" t="s">
        <v>232</v>
      </c>
      <c r="AZ45" s="318" t="s">
        <v>232</v>
      </c>
      <c r="BA45" s="311" t="s">
        <v>232</v>
      </c>
      <c r="BB45" s="311" t="s">
        <v>232</v>
      </c>
      <c r="BD45" s="316">
        <v>348.1936</v>
      </c>
      <c r="BE45" s="331">
        <f t="shared" si="9"/>
        <v>0.14999999999997726</v>
      </c>
      <c r="BF45" s="311">
        <f t="shared" si="10"/>
        <v>58.499999999991132</v>
      </c>
      <c r="BG45" s="311">
        <f t="shared" ref="BG45:BX45" si="77">$BE45*O$45</f>
        <v>2.9132232699144627E-3</v>
      </c>
      <c r="BH45" s="311">
        <f t="shared" si="77"/>
        <v>0.61239900980897166</v>
      </c>
      <c r="BI45" s="311">
        <f t="shared" si="77"/>
        <v>0.29786009581273187</v>
      </c>
      <c r="BJ45" s="311">
        <f t="shared" si="77"/>
        <v>0.91025910562170353</v>
      </c>
      <c r="BK45" s="311">
        <f t="shared" si="77"/>
        <v>15.694518830609541</v>
      </c>
      <c r="BL45" s="311">
        <f t="shared" si="77"/>
        <v>9.0945512649727185</v>
      </c>
      <c r="BM45" s="318">
        <f t="shared" si="77"/>
        <v>2.9231453797752385E-5</v>
      </c>
      <c r="BN45" s="318">
        <f t="shared" si="77"/>
        <v>2.0363850264126168E-3</v>
      </c>
      <c r="BO45" s="318">
        <f t="shared" si="77"/>
        <v>8.5952935794657778E-3</v>
      </c>
      <c r="BP45" s="315">
        <f t="shared" si="77"/>
        <v>1.0463476218543538E-9</v>
      </c>
      <c r="BQ45" s="315">
        <f t="shared" si="77"/>
        <v>8.2757517226710794E-9</v>
      </c>
      <c r="BR45" s="318">
        <f t="shared" si="77"/>
        <v>9.5674110148574153E-3</v>
      </c>
      <c r="BS45" s="311">
        <f t="shared" si="77"/>
        <v>16.840677858065575</v>
      </c>
      <c r="BT45" s="318">
        <f t="shared" si="77"/>
        <v>3.9262511626100565E-6</v>
      </c>
      <c r="BU45" s="315">
        <f t="shared" si="77"/>
        <v>4.209438186026479E-9</v>
      </c>
      <c r="BV45" s="318">
        <f t="shared" si="77"/>
        <v>3.1208916524573829E-8</v>
      </c>
      <c r="BW45" s="311">
        <f t="shared" si="77"/>
        <v>2.7906296750172268E-3</v>
      </c>
      <c r="BX45" s="311">
        <f t="shared" si="77"/>
        <v>1.2389992577444635</v>
      </c>
      <c r="BZ45" s="316">
        <v>348.1936</v>
      </c>
      <c r="CA45" s="332">
        <f t="shared" ref="CA45" si="78">IF(BZ45&gt;0,BZ$2-BZ45,0)</f>
        <v>0.14999999999997726</v>
      </c>
      <c r="CB45" s="311" t="s">
        <v>232</v>
      </c>
      <c r="CC45" s="311">
        <f t="shared" ref="CC45:CT45" si="79">$CA45*O$45</f>
        <v>2.9132232699144627E-3</v>
      </c>
      <c r="CD45" s="311">
        <f t="shared" si="79"/>
        <v>0.61239900980897166</v>
      </c>
      <c r="CE45" s="311">
        <f t="shared" si="79"/>
        <v>0.29786009581273187</v>
      </c>
      <c r="CF45" s="311">
        <f t="shared" si="79"/>
        <v>0.91025910562170353</v>
      </c>
      <c r="CG45" s="311">
        <f t="shared" si="79"/>
        <v>15.694518830609541</v>
      </c>
      <c r="CH45" s="311">
        <f t="shared" si="79"/>
        <v>9.0945512649727185</v>
      </c>
      <c r="CI45" s="318">
        <f t="shared" si="79"/>
        <v>2.9231453797752385E-5</v>
      </c>
      <c r="CJ45" s="318">
        <f t="shared" si="79"/>
        <v>2.0363850264126168E-3</v>
      </c>
      <c r="CK45" s="318">
        <f t="shared" si="79"/>
        <v>8.5952935794657778E-3</v>
      </c>
      <c r="CL45" s="315">
        <f t="shared" si="79"/>
        <v>1.0463476218543538E-9</v>
      </c>
      <c r="CM45" s="315">
        <f t="shared" si="79"/>
        <v>8.2757517226710794E-9</v>
      </c>
      <c r="CN45" s="318">
        <f t="shared" si="79"/>
        <v>9.5674110148574153E-3</v>
      </c>
      <c r="CO45" s="311">
        <f t="shared" si="79"/>
        <v>16.840677858065575</v>
      </c>
      <c r="CP45" s="318">
        <f t="shared" si="79"/>
        <v>3.9262511626100565E-6</v>
      </c>
      <c r="CQ45" s="315">
        <f t="shared" si="79"/>
        <v>4.209438186026479E-9</v>
      </c>
      <c r="CR45" s="318">
        <f t="shared" si="79"/>
        <v>3.1208916524573829E-8</v>
      </c>
      <c r="CS45" s="311">
        <f t="shared" si="79"/>
        <v>2.7906296750172268E-3</v>
      </c>
      <c r="CT45" s="311">
        <f t="shared" si="79"/>
        <v>1.2389992577444635</v>
      </c>
    </row>
    <row r="46" spans="1:98" ht="22" customHeight="1" thickBot="1" x14ac:dyDescent="0.3">
      <c r="A46" s="320" t="s">
        <v>416</v>
      </c>
      <c r="B46" s="360" t="s">
        <v>417</v>
      </c>
      <c r="C46" s="322" t="s">
        <v>237</v>
      </c>
      <c r="D46" s="322" t="s">
        <v>233</v>
      </c>
      <c r="E46" s="323" t="s">
        <v>418</v>
      </c>
      <c r="F46" s="320">
        <v>1310</v>
      </c>
      <c r="G46" s="320">
        <v>50</v>
      </c>
      <c r="H46" s="320" t="s">
        <v>2</v>
      </c>
      <c r="I46" s="324">
        <v>1</v>
      </c>
      <c r="J46" s="325">
        <v>40</v>
      </c>
      <c r="K46" s="326">
        <f>F46/(G46*I46)</f>
        <v>26.2</v>
      </c>
      <c r="L46" s="327"/>
      <c r="M46" s="333" t="s">
        <v>419</v>
      </c>
      <c r="N46" s="329" t="s">
        <v>420</v>
      </c>
      <c r="O46" s="330">
        <v>7.2900523000570868E-3</v>
      </c>
      <c r="P46" s="330">
        <v>1.2905907175458251</v>
      </c>
      <c r="Q46" s="330">
        <f t="shared" si="1"/>
        <v>1.9857339720851801</v>
      </c>
      <c r="R46" s="330">
        <f t="shared" si="2"/>
        <v>3.2763246896310054</v>
      </c>
      <c r="S46" s="330">
        <v>8.2484917949167098</v>
      </c>
      <c r="T46" s="330">
        <v>16.612131643926769</v>
      </c>
      <c r="U46" s="330">
        <v>7.2658078870277965E-5</v>
      </c>
      <c r="V46" s="330">
        <v>1.3747002552769671E-3</v>
      </c>
      <c r="W46" s="330">
        <v>1.5268769536522399E-2</v>
      </c>
      <c r="X46" s="330">
        <v>6.7789082627939816E-10</v>
      </c>
      <c r="Y46" s="330">
        <v>2.3983181612384951E-8</v>
      </c>
      <c r="Z46" s="330">
        <v>6.2637992701644093E-2</v>
      </c>
      <c r="AA46" s="330">
        <v>4.4012505918084219</v>
      </c>
      <c r="AB46" s="330">
        <v>2.4979250426399631E-5</v>
      </c>
      <c r="AC46" s="330">
        <v>7.4012977624932386E-7</v>
      </c>
      <c r="AD46" s="330">
        <v>6.5853084646718034E-8</v>
      </c>
      <c r="AE46" s="330">
        <v>4.4699187646245432E-3</v>
      </c>
      <c r="AF46" s="330">
        <v>1.403439878391886</v>
      </c>
      <c r="AH46" s="316">
        <v>530.57799999999997</v>
      </c>
      <c r="AI46" s="331">
        <f t="shared" si="4"/>
        <v>1.794399999999996</v>
      </c>
      <c r="AJ46" s="311">
        <f t="shared" si="5"/>
        <v>47.013279999999895</v>
      </c>
      <c r="AK46" s="311">
        <f t="shared" ref="AK46:BB46" si="80">$AI46*O$46</f>
        <v>1.3081269847222408E-2</v>
      </c>
      <c r="AL46" s="311">
        <f t="shared" si="80"/>
        <v>2.3158359835642233</v>
      </c>
      <c r="AM46" s="311">
        <f t="shared" si="80"/>
        <v>3.5632010395096394</v>
      </c>
      <c r="AN46" s="311">
        <f t="shared" si="80"/>
        <v>5.8790370230738631</v>
      </c>
      <c r="AO46" s="311">
        <f t="shared" si="80"/>
        <v>14.80109367679851</v>
      </c>
      <c r="AP46" s="311">
        <f t="shared" si="80"/>
        <v>29.808809021862128</v>
      </c>
      <c r="AQ46" s="318">
        <f t="shared" si="80"/>
        <v>1.303776567248265E-4</v>
      </c>
      <c r="AR46" s="318">
        <f t="shared" si="80"/>
        <v>2.4667621380689841E-3</v>
      </c>
      <c r="AS46" s="318">
        <f t="shared" si="80"/>
        <v>2.7398280056335732E-2</v>
      </c>
      <c r="AT46" s="315">
        <f t="shared" si="80"/>
        <v>1.2164072986757493E-9</v>
      </c>
      <c r="AU46" s="315">
        <f t="shared" si="80"/>
        <v>4.3035421085263461E-8</v>
      </c>
      <c r="AV46" s="318">
        <f t="shared" si="80"/>
        <v>0.11239761410382991</v>
      </c>
      <c r="AW46" s="311">
        <f t="shared" si="80"/>
        <v>7.8976040619410144</v>
      </c>
      <c r="AX46" s="318">
        <f t="shared" si="80"/>
        <v>4.4822766965131398E-5</v>
      </c>
      <c r="AY46" s="315">
        <f t="shared" si="80"/>
        <v>1.3280888705017837E-6</v>
      </c>
      <c r="AZ46" s="318">
        <f t="shared" si="80"/>
        <v>1.1816677509007058E-7</v>
      </c>
      <c r="BA46" s="311">
        <f t="shared" si="80"/>
        <v>8.0208222312422618E-3</v>
      </c>
      <c r="BB46" s="311">
        <f t="shared" si="80"/>
        <v>2.5183325177863947</v>
      </c>
      <c r="BD46" s="316">
        <v>347.71080000000001</v>
      </c>
      <c r="BE46" s="331">
        <f t="shared" si="9"/>
        <v>0.63279999999997472</v>
      </c>
      <c r="BF46" s="311">
        <f t="shared" si="10"/>
        <v>16.579359999999337</v>
      </c>
      <c r="BG46" s="311">
        <f t="shared" ref="BG46:BX46" si="81">$BE46*O$46</f>
        <v>4.6131450954759404E-3</v>
      </c>
      <c r="BH46" s="311">
        <f t="shared" si="81"/>
        <v>0.81668580606296548</v>
      </c>
      <c r="BI46" s="311">
        <f t="shared" si="81"/>
        <v>1.2565724575354518</v>
      </c>
      <c r="BJ46" s="311">
        <f t="shared" si="81"/>
        <v>2.0732582635984174</v>
      </c>
      <c r="BK46" s="311">
        <f t="shared" si="81"/>
        <v>5.2196456078230851</v>
      </c>
      <c r="BL46" s="311">
        <f t="shared" si="81"/>
        <v>10.51215690427644</v>
      </c>
      <c r="BM46" s="318">
        <f t="shared" si="81"/>
        <v>4.5978032309110058E-5</v>
      </c>
      <c r="BN46" s="318">
        <f t="shared" si="81"/>
        <v>8.6991032153923003E-4</v>
      </c>
      <c r="BO46" s="318">
        <f t="shared" si="81"/>
        <v>9.6620773627109878E-3</v>
      </c>
      <c r="BP46" s="315">
        <f t="shared" si="81"/>
        <v>4.28969314869586E-10</v>
      </c>
      <c r="BQ46" s="315">
        <f t="shared" si="81"/>
        <v>1.5176557324316589E-8</v>
      </c>
      <c r="BR46" s="318">
        <f t="shared" si="81"/>
        <v>3.9637321781598796E-2</v>
      </c>
      <c r="BS46" s="311">
        <f t="shared" si="81"/>
        <v>2.7851113744962581</v>
      </c>
      <c r="BT46" s="318">
        <f t="shared" si="81"/>
        <v>1.5806869669825053E-5</v>
      </c>
      <c r="BU46" s="315">
        <f t="shared" si="81"/>
        <v>4.6835412241055343E-7</v>
      </c>
      <c r="BV46" s="318">
        <f t="shared" si="81"/>
        <v>4.1671831964441507E-8</v>
      </c>
      <c r="BW46" s="311">
        <f t="shared" si="81"/>
        <v>2.8285645942542981E-3</v>
      </c>
      <c r="BX46" s="311">
        <f t="shared" si="81"/>
        <v>0.88809675504634999</v>
      </c>
      <c r="BZ46" s="316" t="s">
        <v>232</v>
      </c>
      <c r="CA46" s="332" t="s">
        <v>232</v>
      </c>
      <c r="CB46" s="311" t="s">
        <v>232</v>
      </c>
      <c r="CC46" s="311" t="s">
        <v>232</v>
      </c>
      <c r="CD46" s="311" t="s">
        <v>232</v>
      </c>
      <c r="CE46" s="311" t="s">
        <v>232</v>
      </c>
      <c r="CF46" s="311" t="s">
        <v>232</v>
      </c>
      <c r="CG46" s="311" t="s">
        <v>232</v>
      </c>
      <c r="CH46" s="311" t="s">
        <v>232</v>
      </c>
      <c r="CI46" s="318" t="s">
        <v>232</v>
      </c>
      <c r="CJ46" s="318" t="s">
        <v>232</v>
      </c>
      <c r="CK46" s="318" t="s">
        <v>232</v>
      </c>
      <c r="CL46" s="315" t="s">
        <v>232</v>
      </c>
      <c r="CM46" s="315" t="s">
        <v>232</v>
      </c>
      <c r="CN46" s="318" t="s">
        <v>232</v>
      </c>
      <c r="CO46" s="311" t="s">
        <v>232</v>
      </c>
      <c r="CP46" s="318" t="s">
        <v>232</v>
      </c>
      <c r="CQ46" s="315" t="s">
        <v>232</v>
      </c>
      <c r="CR46" s="318" t="s">
        <v>232</v>
      </c>
      <c r="CS46" s="311" t="s">
        <v>232</v>
      </c>
      <c r="CT46" s="311" t="s">
        <v>232</v>
      </c>
    </row>
    <row r="47" spans="1:98" ht="22" customHeight="1" x14ac:dyDescent="0.25">
      <c r="A47" s="320" t="s">
        <v>421</v>
      </c>
      <c r="B47" s="338" t="s">
        <v>295</v>
      </c>
      <c r="C47" s="322" t="s">
        <v>296</v>
      </c>
      <c r="D47" s="322" t="s">
        <v>232</v>
      </c>
      <c r="E47" s="323" t="s">
        <v>232</v>
      </c>
      <c r="F47" s="320">
        <v>92.6</v>
      </c>
      <c r="G47" s="320">
        <v>0.1</v>
      </c>
      <c r="H47" s="320" t="s">
        <v>2</v>
      </c>
      <c r="I47" s="324">
        <v>1</v>
      </c>
      <c r="J47" s="325">
        <v>191.45</v>
      </c>
      <c r="K47" s="326">
        <f>F47/(G47*I47)</f>
        <v>925.99999999999989</v>
      </c>
      <c r="L47" s="327"/>
      <c r="M47" s="333" t="s">
        <v>422</v>
      </c>
      <c r="N47" s="329" t="s">
        <v>423</v>
      </c>
      <c r="O47" s="330">
        <f>O48+O49</f>
        <v>3.4735003788107753E-2</v>
      </c>
      <c r="P47" s="330">
        <f>P48+P49</f>
        <v>8.2659139575509002</v>
      </c>
      <c r="Q47" s="330">
        <f t="shared" si="1"/>
        <v>1.9857339720851801</v>
      </c>
      <c r="R47" s="330">
        <f>P47+Q47</f>
        <v>10.25164792963608</v>
      </c>
      <c r="S47" s="330">
        <f>S48+S49</f>
        <v>355.29516307260957</v>
      </c>
      <c r="T47" s="330">
        <f t="shared" ref="T47:AF47" si="82">T48+T49</f>
        <v>140.99668044282811</v>
      </c>
      <c r="U47" s="330">
        <f t="shared" si="82"/>
        <v>2.0394108848177282E-4</v>
      </c>
      <c r="V47" s="330">
        <f t="shared" si="82"/>
        <v>5.4221609663912991E-3</v>
      </c>
      <c r="W47" s="330">
        <f t="shared" si="82"/>
        <v>5.9851367647276929E-2</v>
      </c>
      <c r="X47" s="330">
        <f t="shared" si="82"/>
        <v>4.4511339743588618E-8</v>
      </c>
      <c r="Y47" s="330">
        <f t="shared" si="82"/>
        <v>1.0649965893867455E-7</v>
      </c>
      <c r="Z47" s="330">
        <f t="shared" si="82"/>
        <v>0.10656851602948916</v>
      </c>
      <c r="AA47" s="330">
        <f t="shared" si="82"/>
        <v>13.43955035550619</v>
      </c>
      <c r="AB47" s="330">
        <f t="shared" si="82"/>
        <v>5.0158647047702361E-5</v>
      </c>
      <c r="AC47" s="330">
        <f t="shared" si="82"/>
        <v>9.4003198378459548E-7</v>
      </c>
      <c r="AD47" s="330">
        <f t="shared" si="82"/>
        <v>3.8183152351892573E-7</v>
      </c>
      <c r="AE47" s="330">
        <f t="shared" si="82"/>
        <v>3.41866569154144E-2</v>
      </c>
      <c r="AF47" s="330">
        <f t="shared" si="82"/>
        <v>21.631501747552395</v>
      </c>
      <c r="AH47" s="316" t="s">
        <v>232</v>
      </c>
      <c r="AI47" s="331" t="s">
        <v>232</v>
      </c>
      <c r="AJ47" s="311" t="s">
        <v>232</v>
      </c>
      <c r="AK47" s="311" t="s">
        <v>232</v>
      </c>
      <c r="AL47" s="311" t="s">
        <v>232</v>
      </c>
      <c r="AM47" s="311" t="s">
        <v>232</v>
      </c>
      <c r="AN47" s="311" t="s">
        <v>232</v>
      </c>
      <c r="AO47" s="311" t="s">
        <v>232</v>
      </c>
      <c r="AP47" s="311" t="s">
        <v>232</v>
      </c>
      <c r="AQ47" s="318" t="s">
        <v>232</v>
      </c>
      <c r="AR47" s="318" t="s">
        <v>232</v>
      </c>
      <c r="AS47" s="318" t="s">
        <v>232</v>
      </c>
      <c r="AT47" s="315" t="s">
        <v>232</v>
      </c>
      <c r="AU47" s="315" t="s">
        <v>232</v>
      </c>
      <c r="AV47" s="318" t="s">
        <v>232</v>
      </c>
      <c r="AW47" s="311" t="s">
        <v>232</v>
      </c>
      <c r="AX47" s="318" t="s">
        <v>232</v>
      </c>
      <c r="AY47" s="315" t="s">
        <v>232</v>
      </c>
      <c r="AZ47" s="318" t="s">
        <v>232</v>
      </c>
      <c r="BA47" s="311" t="s">
        <v>232</v>
      </c>
      <c r="BB47" s="311" t="s">
        <v>232</v>
      </c>
      <c r="BD47" s="316">
        <v>348.27300000000002</v>
      </c>
      <c r="BE47" s="331">
        <f t="shared" si="9"/>
        <v>7.0599999999956253E-2</v>
      </c>
      <c r="BF47" s="311">
        <f t="shared" si="10"/>
        <v>65.375599999959476</v>
      </c>
      <c r="BG47" s="311">
        <f t="shared" ref="BG47:BX47" si="83">$BE47*O$47</f>
        <v>2.452291267438888E-3</v>
      </c>
      <c r="BH47" s="311">
        <f t="shared" si="83"/>
        <v>0.583573525402732</v>
      </c>
      <c r="BI47" s="311">
        <f t="shared" si="83"/>
        <v>0.14019281842912684</v>
      </c>
      <c r="BJ47" s="311">
        <f t="shared" si="83"/>
        <v>0.72376634383185878</v>
      </c>
      <c r="BK47" s="311">
        <f t="shared" si="83"/>
        <v>25.083838512910692</v>
      </c>
      <c r="BL47" s="311">
        <f t="shared" si="83"/>
        <v>9.954365639257496</v>
      </c>
      <c r="BM47" s="318">
        <f t="shared" si="83"/>
        <v>1.439824084680424E-5</v>
      </c>
      <c r="BN47" s="318">
        <f t="shared" si="83"/>
        <v>3.8280456422698853E-4</v>
      </c>
      <c r="BO47" s="318">
        <f t="shared" si="83"/>
        <v>4.2255065558951333E-3</v>
      </c>
      <c r="BP47" s="315">
        <f t="shared" si="83"/>
        <v>3.1425005858954092E-9</v>
      </c>
      <c r="BQ47" s="315">
        <f t="shared" si="83"/>
        <v>7.5188759210657635E-9</v>
      </c>
      <c r="BR47" s="318">
        <f t="shared" si="83"/>
        <v>7.5237372316772728E-3</v>
      </c>
      <c r="BS47" s="311">
        <f t="shared" si="83"/>
        <v>0.94883225509814906</v>
      </c>
      <c r="BT47" s="318">
        <f t="shared" si="83"/>
        <v>3.5412004815655923E-6</v>
      </c>
      <c r="BU47" s="315">
        <f t="shared" si="83"/>
        <v>6.6366258055151317E-8</v>
      </c>
      <c r="BV47" s="318">
        <f t="shared" si="83"/>
        <v>2.6957305560419453E-8</v>
      </c>
      <c r="BW47" s="311">
        <f t="shared" si="83"/>
        <v>2.413577978226761E-3</v>
      </c>
      <c r="BX47" s="311">
        <f t="shared" si="83"/>
        <v>1.5271840233762528</v>
      </c>
      <c r="BZ47" s="316" t="s">
        <v>232</v>
      </c>
      <c r="CA47" s="332" t="s">
        <v>232</v>
      </c>
      <c r="CB47" s="311" t="s">
        <v>232</v>
      </c>
      <c r="CC47" s="311" t="s">
        <v>232</v>
      </c>
      <c r="CD47" s="311" t="s">
        <v>232</v>
      </c>
      <c r="CE47" s="311" t="s">
        <v>232</v>
      </c>
      <c r="CF47" s="311" t="s">
        <v>232</v>
      </c>
      <c r="CG47" s="311" t="s">
        <v>232</v>
      </c>
      <c r="CH47" s="311" t="s">
        <v>232</v>
      </c>
      <c r="CI47" s="318" t="s">
        <v>232</v>
      </c>
      <c r="CJ47" s="318" t="s">
        <v>232</v>
      </c>
      <c r="CK47" s="318" t="s">
        <v>232</v>
      </c>
      <c r="CL47" s="315" t="s">
        <v>232</v>
      </c>
      <c r="CM47" s="315" t="s">
        <v>232</v>
      </c>
      <c r="CN47" s="318" t="s">
        <v>232</v>
      </c>
      <c r="CO47" s="311" t="s">
        <v>232</v>
      </c>
      <c r="CP47" s="318" t="s">
        <v>232</v>
      </c>
      <c r="CQ47" s="315" t="s">
        <v>232</v>
      </c>
      <c r="CR47" s="318" t="s">
        <v>232</v>
      </c>
      <c r="CS47" s="311" t="s">
        <v>232</v>
      </c>
      <c r="CT47" s="311" t="s">
        <v>232</v>
      </c>
    </row>
    <row r="48" spans="1:98" ht="22" customHeight="1" x14ac:dyDescent="0.25">
      <c r="A48" s="342"/>
      <c r="B48" s="350" t="s">
        <v>424</v>
      </c>
      <c r="C48" s="309" t="s">
        <v>232</v>
      </c>
      <c r="D48" s="340" t="s">
        <v>233</v>
      </c>
      <c r="E48" s="361" t="s">
        <v>425</v>
      </c>
      <c r="F48" s="342" t="s">
        <v>232</v>
      </c>
      <c r="G48" s="342" t="s">
        <v>232</v>
      </c>
      <c r="H48" s="342" t="s">
        <v>232</v>
      </c>
      <c r="I48" s="310" t="s">
        <v>232</v>
      </c>
      <c r="J48" s="310" t="s">
        <v>232</v>
      </c>
      <c r="K48" s="343" t="s">
        <v>232</v>
      </c>
      <c r="L48" s="344"/>
      <c r="M48" s="340" t="s">
        <v>232</v>
      </c>
      <c r="N48" s="342" t="s">
        <v>232</v>
      </c>
      <c r="O48" s="345">
        <v>2.0247971263522971E-2</v>
      </c>
      <c r="P48" s="345">
        <v>5.4741793240372347</v>
      </c>
      <c r="Q48" s="345" t="s">
        <v>232</v>
      </c>
      <c r="R48" s="345" t="s">
        <v>232</v>
      </c>
      <c r="S48" s="345">
        <v>17.68047291114328</v>
      </c>
      <c r="T48" s="345">
        <v>70.659570279862137</v>
      </c>
      <c r="U48" s="345">
        <v>1.064191187577397E-4</v>
      </c>
      <c r="V48" s="345">
        <v>3.0043819576732779E-3</v>
      </c>
      <c r="W48" s="345">
        <v>3.2940376167514121E-2</v>
      </c>
      <c r="X48" s="345">
        <v>1.59920949726671E-9</v>
      </c>
      <c r="Y48" s="345">
        <v>3.9163383679376412E-8</v>
      </c>
      <c r="Z48" s="345">
        <v>6.1339349351757368E-2</v>
      </c>
      <c r="AA48" s="345">
        <v>7.0765281055460854</v>
      </c>
      <c r="AB48" s="345">
        <v>2.265040828023274E-5</v>
      </c>
      <c r="AC48" s="345">
        <v>4.1364791192944829E-7</v>
      </c>
      <c r="AD48" s="345">
        <v>2.2287568259933121E-7</v>
      </c>
      <c r="AE48" s="345">
        <v>1.3642207792573659E-2</v>
      </c>
      <c r="AF48" s="345">
        <v>19.534752553643269</v>
      </c>
      <c r="AH48" s="316" t="s">
        <v>232</v>
      </c>
      <c r="AI48" s="317" t="s">
        <v>232</v>
      </c>
      <c r="AJ48" s="311" t="s">
        <v>232</v>
      </c>
      <c r="AK48" s="311" t="s">
        <v>232</v>
      </c>
      <c r="AL48" s="311" t="s">
        <v>232</v>
      </c>
      <c r="AM48" s="311" t="s">
        <v>232</v>
      </c>
      <c r="AN48" s="311" t="s">
        <v>232</v>
      </c>
      <c r="AO48" s="311" t="s">
        <v>232</v>
      </c>
      <c r="AP48" s="311" t="s">
        <v>232</v>
      </c>
      <c r="AQ48" s="318" t="s">
        <v>232</v>
      </c>
      <c r="AR48" s="318" t="s">
        <v>232</v>
      </c>
      <c r="AS48" s="318" t="s">
        <v>232</v>
      </c>
      <c r="AT48" s="315" t="s">
        <v>232</v>
      </c>
      <c r="AU48" s="315" t="s">
        <v>232</v>
      </c>
      <c r="AV48" s="318" t="s">
        <v>232</v>
      </c>
      <c r="AW48" s="311" t="s">
        <v>232</v>
      </c>
      <c r="AX48" s="318" t="s">
        <v>232</v>
      </c>
      <c r="AY48" s="315" t="s">
        <v>232</v>
      </c>
      <c r="AZ48" s="318" t="s">
        <v>232</v>
      </c>
      <c r="BA48" s="311" t="s">
        <v>232</v>
      </c>
      <c r="BB48" s="311" t="s">
        <v>232</v>
      </c>
      <c r="BD48" s="316" t="s">
        <v>232</v>
      </c>
      <c r="BE48" s="317" t="s">
        <v>232</v>
      </c>
      <c r="BF48" s="311" t="s">
        <v>232</v>
      </c>
      <c r="BG48" s="311" t="s">
        <v>232</v>
      </c>
      <c r="BH48" s="311" t="s">
        <v>232</v>
      </c>
      <c r="BI48" s="311" t="s">
        <v>232</v>
      </c>
      <c r="BJ48" s="311" t="s">
        <v>232</v>
      </c>
      <c r="BK48" s="311" t="s">
        <v>232</v>
      </c>
      <c r="BL48" s="311" t="s">
        <v>232</v>
      </c>
      <c r="BM48" s="318" t="s">
        <v>232</v>
      </c>
      <c r="BN48" s="318" t="s">
        <v>232</v>
      </c>
      <c r="BO48" s="318" t="s">
        <v>232</v>
      </c>
      <c r="BP48" s="315" t="s">
        <v>232</v>
      </c>
      <c r="BQ48" s="315" t="s">
        <v>232</v>
      </c>
      <c r="BR48" s="318" t="s">
        <v>232</v>
      </c>
      <c r="BS48" s="311" t="s">
        <v>232</v>
      </c>
      <c r="BT48" s="318" t="s">
        <v>232</v>
      </c>
      <c r="BU48" s="315" t="s">
        <v>232</v>
      </c>
      <c r="BV48" s="318" t="s">
        <v>232</v>
      </c>
      <c r="BW48" s="311" t="s">
        <v>232</v>
      </c>
      <c r="BX48" s="311" t="s">
        <v>232</v>
      </c>
      <c r="BZ48" s="316" t="s">
        <v>232</v>
      </c>
      <c r="CA48" s="319" t="s">
        <v>232</v>
      </c>
      <c r="CB48" s="311" t="s">
        <v>232</v>
      </c>
      <c r="CC48" s="311" t="s">
        <v>232</v>
      </c>
      <c r="CD48" s="311" t="s">
        <v>232</v>
      </c>
      <c r="CE48" s="311" t="s">
        <v>232</v>
      </c>
      <c r="CF48" s="311" t="s">
        <v>232</v>
      </c>
      <c r="CG48" s="311" t="s">
        <v>232</v>
      </c>
      <c r="CH48" s="311" t="s">
        <v>232</v>
      </c>
      <c r="CI48" s="318" t="s">
        <v>232</v>
      </c>
      <c r="CJ48" s="318" t="s">
        <v>232</v>
      </c>
      <c r="CK48" s="318" t="s">
        <v>232</v>
      </c>
      <c r="CL48" s="315" t="s">
        <v>232</v>
      </c>
      <c r="CM48" s="315" t="s">
        <v>232</v>
      </c>
      <c r="CN48" s="318" t="s">
        <v>232</v>
      </c>
      <c r="CO48" s="311" t="s">
        <v>232</v>
      </c>
      <c r="CP48" s="318" t="s">
        <v>232</v>
      </c>
      <c r="CQ48" s="315" t="s">
        <v>232</v>
      </c>
      <c r="CR48" s="318" t="s">
        <v>232</v>
      </c>
      <c r="CS48" s="311" t="s">
        <v>232</v>
      </c>
      <c r="CT48" s="311" t="s">
        <v>232</v>
      </c>
    </row>
    <row r="49" spans="1:98" ht="22" customHeight="1" thickBot="1" x14ac:dyDescent="0.3">
      <c r="A49" s="342"/>
      <c r="B49" s="346" t="s">
        <v>426</v>
      </c>
      <c r="C49" s="309" t="s">
        <v>232</v>
      </c>
      <c r="D49" s="340" t="s">
        <v>263</v>
      </c>
      <c r="E49" s="341" t="s">
        <v>427</v>
      </c>
      <c r="F49" s="342" t="s">
        <v>232</v>
      </c>
      <c r="G49" s="342" t="s">
        <v>232</v>
      </c>
      <c r="H49" s="342" t="s">
        <v>232</v>
      </c>
      <c r="I49" s="310" t="s">
        <v>232</v>
      </c>
      <c r="J49" s="310" t="s">
        <v>232</v>
      </c>
      <c r="K49" s="343" t="s">
        <v>232</v>
      </c>
      <c r="L49" s="344"/>
      <c r="M49" s="340" t="s">
        <v>232</v>
      </c>
      <c r="N49" s="342" t="s">
        <v>232</v>
      </c>
      <c r="O49" s="345">
        <v>1.4487032524584781E-2</v>
      </c>
      <c r="P49" s="345">
        <v>2.791734633513665</v>
      </c>
      <c r="Q49" s="345" t="s">
        <v>232</v>
      </c>
      <c r="R49" s="345" t="s">
        <v>232</v>
      </c>
      <c r="S49" s="345">
        <v>337.61469016146629</v>
      </c>
      <c r="T49" s="345">
        <v>70.337110162965971</v>
      </c>
      <c r="U49" s="345">
        <v>9.7521969724033132E-5</v>
      </c>
      <c r="V49" s="345">
        <v>2.4177790087180212E-3</v>
      </c>
      <c r="W49" s="345">
        <v>2.6910991479762812E-2</v>
      </c>
      <c r="X49" s="345">
        <v>4.2912130246321908E-8</v>
      </c>
      <c r="Y49" s="345">
        <v>6.733627525929814E-8</v>
      </c>
      <c r="Z49" s="345">
        <v>4.5229166677731802E-2</v>
      </c>
      <c r="AA49" s="345">
        <v>6.363022249960105</v>
      </c>
      <c r="AB49" s="345">
        <v>2.7508238767469621E-5</v>
      </c>
      <c r="AC49" s="345">
        <v>5.2638407185514718E-7</v>
      </c>
      <c r="AD49" s="345">
        <v>1.5895584091959449E-7</v>
      </c>
      <c r="AE49" s="345">
        <v>2.054444912284074E-2</v>
      </c>
      <c r="AF49" s="345">
        <v>2.0967491939091252</v>
      </c>
      <c r="AH49" s="316" t="s">
        <v>232</v>
      </c>
      <c r="AI49" s="317" t="s">
        <v>232</v>
      </c>
      <c r="AJ49" s="311" t="s">
        <v>232</v>
      </c>
      <c r="AK49" s="311" t="s">
        <v>232</v>
      </c>
      <c r="AL49" s="311" t="s">
        <v>232</v>
      </c>
      <c r="AM49" s="311" t="s">
        <v>232</v>
      </c>
      <c r="AN49" s="311" t="s">
        <v>232</v>
      </c>
      <c r="AO49" s="311" t="s">
        <v>232</v>
      </c>
      <c r="AP49" s="311" t="s">
        <v>232</v>
      </c>
      <c r="AQ49" s="318" t="s">
        <v>232</v>
      </c>
      <c r="AR49" s="318" t="s">
        <v>232</v>
      </c>
      <c r="AS49" s="318" t="s">
        <v>232</v>
      </c>
      <c r="AT49" s="315" t="s">
        <v>232</v>
      </c>
      <c r="AU49" s="315" t="s">
        <v>232</v>
      </c>
      <c r="AV49" s="318" t="s">
        <v>232</v>
      </c>
      <c r="AW49" s="311" t="s">
        <v>232</v>
      </c>
      <c r="AX49" s="318" t="s">
        <v>232</v>
      </c>
      <c r="AY49" s="315" t="s">
        <v>232</v>
      </c>
      <c r="AZ49" s="318" t="s">
        <v>232</v>
      </c>
      <c r="BA49" s="311" t="s">
        <v>232</v>
      </c>
      <c r="BB49" s="311" t="s">
        <v>232</v>
      </c>
      <c r="BD49" s="316" t="s">
        <v>232</v>
      </c>
      <c r="BE49" s="317" t="s">
        <v>232</v>
      </c>
      <c r="BF49" s="311" t="s">
        <v>232</v>
      </c>
      <c r="BG49" s="311" t="s">
        <v>232</v>
      </c>
      <c r="BH49" s="311" t="s">
        <v>232</v>
      </c>
      <c r="BI49" s="311" t="s">
        <v>232</v>
      </c>
      <c r="BJ49" s="311" t="s">
        <v>232</v>
      </c>
      <c r="BK49" s="311" t="s">
        <v>232</v>
      </c>
      <c r="BL49" s="311" t="s">
        <v>232</v>
      </c>
      <c r="BM49" s="318" t="s">
        <v>232</v>
      </c>
      <c r="BN49" s="318" t="s">
        <v>232</v>
      </c>
      <c r="BO49" s="318" t="s">
        <v>232</v>
      </c>
      <c r="BP49" s="315" t="s">
        <v>232</v>
      </c>
      <c r="BQ49" s="315" t="s">
        <v>232</v>
      </c>
      <c r="BR49" s="318" t="s">
        <v>232</v>
      </c>
      <c r="BS49" s="311" t="s">
        <v>232</v>
      </c>
      <c r="BT49" s="318" t="s">
        <v>232</v>
      </c>
      <c r="BU49" s="315" t="s">
        <v>232</v>
      </c>
      <c r="BV49" s="318" t="s">
        <v>232</v>
      </c>
      <c r="BW49" s="311" t="s">
        <v>232</v>
      </c>
      <c r="BX49" s="311" t="s">
        <v>232</v>
      </c>
      <c r="BZ49" s="316" t="s">
        <v>232</v>
      </c>
      <c r="CA49" s="319" t="s">
        <v>232</v>
      </c>
      <c r="CB49" s="311" t="s">
        <v>232</v>
      </c>
      <c r="CC49" s="311" t="s">
        <v>232</v>
      </c>
      <c r="CD49" s="311" t="s">
        <v>232</v>
      </c>
      <c r="CE49" s="311" t="s">
        <v>232</v>
      </c>
      <c r="CF49" s="311" t="s">
        <v>232</v>
      </c>
      <c r="CG49" s="311" t="s">
        <v>232</v>
      </c>
      <c r="CH49" s="311" t="s">
        <v>232</v>
      </c>
      <c r="CI49" s="318" t="s">
        <v>232</v>
      </c>
      <c r="CJ49" s="318" t="s">
        <v>232</v>
      </c>
      <c r="CK49" s="318" t="s">
        <v>232</v>
      </c>
      <c r="CL49" s="315" t="s">
        <v>232</v>
      </c>
      <c r="CM49" s="315" t="s">
        <v>232</v>
      </c>
      <c r="CN49" s="318" t="s">
        <v>232</v>
      </c>
      <c r="CO49" s="311" t="s">
        <v>232</v>
      </c>
      <c r="CP49" s="318" t="s">
        <v>232</v>
      </c>
      <c r="CQ49" s="315" t="s">
        <v>232</v>
      </c>
      <c r="CR49" s="318" t="s">
        <v>232</v>
      </c>
      <c r="CS49" s="311" t="s">
        <v>232</v>
      </c>
      <c r="CT49" s="311" t="s">
        <v>232</v>
      </c>
    </row>
    <row r="50" spans="1:98" ht="22" customHeight="1" x14ac:dyDescent="0.25">
      <c r="A50" s="320" t="s">
        <v>428</v>
      </c>
      <c r="B50" s="338" t="s">
        <v>295</v>
      </c>
      <c r="C50" s="322" t="s">
        <v>296</v>
      </c>
      <c r="D50" s="322" t="s">
        <v>232</v>
      </c>
      <c r="E50" s="323" t="s">
        <v>232</v>
      </c>
      <c r="F50" s="320">
        <v>762</v>
      </c>
      <c r="G50" s="320">
        <v>10</v>
      </c>
      <c r="H50" s="320" t="s">
        <v>2</v>
      </c>
      <c r="I50" s="324">
        <v>1</v>
      </c>
      <c r="J50" s="325">
        <v>138.16</v>
      </c>
      <c r="K50" s="326">
        <f>F50/(G50*I50)</f>
        <v>76.2</v>
      </c>
      <c r="L50" s="327"/>
      <c r="M50" s="333" t="s">
        <v>429</v>
      </c>
      <c r="N50" s="329" t="s">
        <v>430</v>
      </c>
      <c r="O50" s="330">
        <f>O51+O52</f>
        <v>8.0614734504866947E-2</v>
      </c>
      <c r="P50" s="330">
        <f>P51+P52</f>
        <v>15.257561662437055</v>
      </c>
      <c r="Q50" s="330">
        <f t="shared" si="1"/>
        <v>1.9857339720851801</v>
      </c>
      <c r="R50" s="330">
        <f>P50+Q50</f>
        <v>17.243295634522234</v>
      </c>
      <c r="S50" s="330">
        <f>S51+S52</f>
        <v>332.979702268984</v>
      </c>
      <c r="T50" s="330">
        <f t="shared" ref="T50:AF50" si="84">T51+T52</f>
        <v>252.75539622057175</v>
      </c>
      <c r="U50" s="330">
        <f t="shared" si="84"/>
        <v>3.528842552133964E-4</v>
      </c>
      <c r="V50" s="330">
        <f t="shared" si="84"/>
        <v>0.10007871991863525</v>
      </c>
      <c r="W50" s="330">
        <f t="shared" si="84"/>
        <v>0.10319234099750001</v>
      </c>
      <c r="X50" s="330">
        <f t="shared" si="84"/>
        <v>1.1914393928108818E-8</v>
      </c>
      <c r="Y50" s="330">
        <f t="shared" si="84"/>
        <v>1.5585904229096454E-7</v>
      </c>
      <c r="Z50" s="330">
        <f t="shared" si="84"/>
        <v>0.1917166241300787</v>
      </c>
      <c r="AA50" s="330">
        <f t="shared" si="84"/>
        <v>23.131515978544346</v>
      </c>
      <c r="AB50" s="330">
        <f t="shared" si="84"/>
        <v>1.247908806925912E-4</v>
      </c>
      <c r="AC50" s="330">
        <f t="shared" si="84"/>
        <v>7.7661620004676258E-7</v>
      </c>
      <c r="AD50" s="330">
        <f t="shared" si="84"/>
        <v>6.9887319640135741E-7</v>
      </c>
      <c r="AE50" s="330">
        <f t="shared" si="84"/>
        <v>4.994648161315722E-2</v>
      </c>
      <c r="AF50" s="330">
        <f t="shared" si="84"/>
        <v>6.8221237827712597</v>
      </c>
      <c r="AH50" s="316" t="s">
        <v>232</v>
      </c>
      <c r="AI50" s="331" t="s">
        <v>232</v>
      </c>
      <c r="AJ50" s="311" t="s">
        <v>232</v>
      </c>
      <c r="AK50" s="311" t="s">
        <v>232</v>
      </c>
      <c r="AL50" s="311" t="s">
        <v>232</v>
      </c>
      <c r="AM50" s="311" t="s">
        <v>232</v>
      </c>
      <c r="AN50" s="311" t="s">
        <v>232</v>
      </c>
      <c r="AO50" s="311" t="s">
        <v>232</v>
      </c>
      <c r="AP50" s="311" t="s">
        <v>232</v>
      </c>
      <c r="AQ50" s="318" t="s">
        <v>232</v>
      </c>
      <c r="AR50" s="318" t="s">
        <v>232</v>
      </c>
      <c r="AS50" s="318" t="s">
        <v>232</v>
      </c>
      <c r="AT50" s="315" t="s">
        <v>232</v>
      </c>
      <c r="AU50" s="315" t="s">
        <v>232</v>
      </c>
      <c r="AV50" s="318" t="s">
        <v>232</v>
      </c>
      <c r="AW50" s="311" t="s">
        <v>232</v>
      </c>
      <c r="AX50" s="318" t="s">
        <v>232</v>
      </c>
      <c r="AY50" s="315" t="s">
        <v>232</v>
      </c>
      <c r="AZ50" s="318" t="s">
        <v>232</v>
      </c>
      <c r="BA50" s="311" t="s">
        <v>232</v>
      </c>
      <c r="BB50" s="311" t="s">
        <v>232</v>
      </c>
      <c r="BD50" s="316">
        <v>348.2867</v>
      </c>
      <c r="BE50" s="331">
        <f t="shared" si="9"/>
        <v>5.689999999998463E-2</v>
      </c>
      <c r="BF50" s="311">
        <f t="shared" si="10"/>
        <v>4.3357799999988291</v>
      </c>
      <c r="BG50" s="311">
        <f>$BE50*O$50</f>
        <v>4.58697839332569E-3</v>
      </c>
      <c r="BH50" s="311">
        <f t="shared" ref="BH50:BX50" si="85">$BE50*P$50</f>
        <v>0.86815525859243392</v>
      </c>
      <c r="BI50" s="311">
        <f t="shared" si="85"/>
        <v>0.11298826301161623</v>
      </c>
      <c r="BJ50" s="311">
        <f t="shared" si="85"/>
        <v>0.98114352160405005</v>
      </c>
      <c r="BK50" s="311">
        <f t="shared" si="85"/>
        <v>18.946545059100071</v>
      </c>
      <c r="BL50" s="311">
        <f t="shared" si="85"/>
        <v>14.381782044946648</v>
      </c>
      <c r="BM50" s="318">
        <f t="shared" si="85"/>
        <v>2.0079114121636832E-5</v>
      </c>
      <c r="BN50" s="318">
        <f t="shared" si="85"/>
        <v>5.6944791633688078E-3</v>
      </c>
      <c r="BO50" s="318">
        <f t="shared" si="85"/>
        <v>5.8716442027561639E-3</v>
      </c>
      <c r="BP50" s="315">
        <f t="shared" si="85"/>
        <v>6.7792901450920863E-10</v>
      </c>
      <c r="BQ50" s="315">
        <f t="shared" si="85"/>
        <v>8.8683795063534872E-9</v>
      </c>
      <c r="BR50" s="318">
        <f t="shared" si="85"/>
        <v>1.0908675912998531E-2</v>
      </c>
      <c r="BS50" s="311">
        <f t="shared" si="85"/>
        <v>1.3161832591788178</v>
      </c>
      <c r="BT50" s="318">
        <f t="shared" si="85"/>
        <v>7.1006011114065213E-6</v>
      </c>
      <c r="BU50" s="315">
        <f t="shared" si="85"/>
        <v>4.4189461782648852E-8</v>
      </c>
      <c r="BV50" s="318">
        <f t="shared" si="85"/>
        <v>3.9765884875226495E-8</v>
      </c>
      <c r="BW50" s="311">
        <f t="shared" si="85"/>
        <v>2.8419548037878781E-3</v>
      </c>
      <c r="BX50" s="311">
        <f t="shared" si="85"/>
        <v>0.3881788432395798</v>
      </c>
      <c r="BZ50" s="316" t="s">
        <v>232</v>
      </c>
      <c r="CA50" s="332" t="s">
        <v>232</v>
      </c>
      <c r="CB50" s="311" t="s">
        <v>232</v>
      </c>
      <c r="CC50" s="311" t="s">
        <v>232</v>
      </c>
      <c r="CD50" s="311" t="s">
        <v>232</v>
      </c>
      <c r="CE50" s="311" t="s">
        <v>232</v>
      </c>
      <c r="CF50" s="311" t="s">
        <v>232</v>
      </c>
      <c r="CG50" s="311" t="s">
        <v>232</v>
      </c>
      <c r="CH50" s="311" t="s">
        <v>232</v>
      </c>
      <c r="CI50" s="318" t="s">
        <v>232</v>
      </c>
      <c r="CJ50" s="318" t="s">
        <v>232</v>
      </c>
      <c r="CK50" s="318" t="s">
        <v>232</v>
      </c>
      <c r="CL50" s="315" t="s">
        <v>232</v>
      </c>
      <c r="CM50" s="315" t="s">
        <v>232</v>
      </c>
      <c r="CN50" s="318" t="s">
        <v>232</v>
      </c>
      <c r="CO50" s="311" t="s">
        <v>232</v>
      </c>
      <c r="CP50" s="318" t="s">
        <v>232</v>
      </c>
      <c r="CQ50" s="315" t="s">
        <v>232</v>
      </c>
      <c r="CR50" s="318" t="s">
        <v>232</v>
      </c>
      <c r="CS50" s="311" t="s">
        <v>232</v>
      </c>
      <c r="CT50" s="311" t="s">
        <v>232</v>
      </c>
    </row>
    <row r="51" spans="1:98" ht="22" customHeight="1" x14ac:dyDescent="0.25">
      <c r="A51" s="342"/>
      <c r="B51" s="350" t="s">
        <v>431</v>
      </c>
      <c r="C51" s="309" t="s">
        <v>232</v>
      </c>
      <c r="D51" s="340" t="s">
        <v>233</v>
      </c>
      <c r="E51" s="341" t="s">
        <v>432</v>
      </c>
      <c r="F51" s="342" t="s">
        <v>232</v>
      </c>
      <c r="G51" s="342" t="s">
        <v>232</v>
      </c>
      <c r="H51" s="342" t="s">
        <v>232</v>
      </c>
      <c r="I51" s="310" t="s">
        <v>232</v>
      </c>
      <c r="J51" s="310" t="s">
        <v>232</v>
      </c>
      <c r="K51" s="343" t="s">
        <v>232</v>
      </c>
      <c r="L51" s="344"/>
      <c r="M51" s="340" t="s">
        <v>232</v>
      </c>
      <c r="N51" s="342" t="s">
        <v>232</v>
      </c>
      <c r="O51" s="345">
        <v>6.214513782697792E-2</v>
      </c>
      <c r="P51" s="345">
        <v>13.8275694975621</v>
      </c>
      <c r="Q51" s="345" t="s">
        <v>232</v>
      </c>
      <c r="R51" s="345" t="s">
        <v>232</v>
      </c>
      <c r="S51" s="345">
        <v>319.98653433500351</v>
      </c>
      <c r="T51" s="345">
        <v>222.17365673878129</v>
      </c>
      <c r="U51" s="345">
        <v>2.8870430415362739E-4</v>
      </c>
      <c r="V51" s="345">
        <v>9.8614208766260245E-2</v>
      </c>
      <c r="W51" s="345">
        <v>8.6270250911275589E-2</v>
      </c>
      <c r="X51" s="345">
        <v>1.042738562048711E-8</v>
      </c>
      <c r="Y51" s="345">
        <v>7.6758280083090717E-8</v>
      </c>
      <c r="Z51" s="345">
        <v>0.15632276324955999</v>
      </c>
      <c r="AA51" s="345">
        <v>17.088329623648871</v>
      </c>
      <c r="AB51" s="345">
        <v>4.2611253090911722E-5</v>
      </c>
      <c r="AC51" s="345">
        <v>7.3868949193679929E-7</v>
      </c>
      <c r="AD51" s="345">
        <v>5.8484779842951427E-7</v>
      </c>
      <c r="AE51" s="345">
        <v>4.2575949703637928E-2</v>
      </c>
      <c r="AF51" s="345">
        <v>5.0724529064808106</v>
      </c>
      <c r="AH51" s="316" t="s">
        <v>232</v>
      </c>
      <c r="AI51" s="317" t="s">
        <v>232</v>
      </c>
      <c r="AJ51" s="311" t="s">
        <v>232</v>
      </c>
      <c r="AK51" s="311" t="s">
        <v>232</v>
      </c>
      <c r="AL51" s="311" t="s">
        <v>232</v>
      </c>
      <c r="AM51" s="311" t="s">
        <v>232</v>
      </c>
      <c r="AN51" s="311" t="s">
        <v>232</v>
      </c>
      <c r="AO51" s="311" t="s">
        <v>232</v>
      </c>
      <c r="AP51" s="311" t="s">
        <v>232</v>
      </c>
      <c r="AQ51" s="318" t="s">
        <v>232</v>
      </c>
      <c r="AR51" s="318" t="s">
        <v>232</v>
      </c>
      <c r="AS51" s="318" t="s">
        <v>232</v>
      </c>
      <c r="AT51" s="315" t="s">
        <v>232</v>
      </c>
      <c r="AU51" s="315" t="s">
        <v>232</v>
      </c>
      <c r="AV51" s="318" t="s">
        <v>232</v>
      </c>
      <c r="AW51" s="311" t="s">
        <v>232</v>
      </c>
      <c r="AX51" s="318" t="s">
        <v>232</v>
      </c>
      <c r="AY51" s="315" t="s">
        <v>232</v>
      </c>
      <c r="AZ51" s="318" t="s">
        <v>232</v>
      </c>
      <c r="BA51" s="311" t="s">
        <v>232</v>
      </c>
      <c r="BB51" s="311" t="s">
        <v>232</v>
      </c>
      <c r="BD51" s="316" t="s">
        <v>232</v>
      </c>
      <c r="BE51" s="317" t="s">
        <v>232</v>
      </c>
      <c r="BF51" s="311" t="s">
        <v>232</v>
      </c>
      <c r="BG51" s="311" t="s">
        <v>232</v>
      </c>
      <c r="BH51" s="311" t="s">
        <v>232</v>
      </c>
      <c r="BI51" s="311" t="s">
        <v>232</v>
      </c>
      <c r="BJ51" s="311" t="s">
        <v>232</v>
      </c>
      <c r="BK51" s="311" t="s">
        <v>232</v>
      </c>
      <c r="BL51" s="311" t="s">
        <v>232</v>
      </c>
      <c r="BM51" s="318" t="s">
        <v>232</v>
      </c>
      <c r="BN51" s="318" t="s">
        <v>232</v>
      </c>
      <c r="BO51" s="318" t="s">
        <v>232</v>
      </c>
      <c r="BP51" s="315" t="s">
        <v>232</v>
      </c>
      <c r="BQ51" s="315" t="s">
        <v>232</v>
      </c>
      <c r="BR51" s="318" t="s">
        <v>232</v>
      </c>
      <c r="BS51" s="311" t="s">
        <v>232</v>
      </c>
      <c r="BT51" s="318" t="s">
        <v>232</v>
      </c>
      <c r="BU51" s="315" t="s">
        <v>232</v>
      </c>
      <c r="BV51" s="318" t="s">
        <v>232</v>
      </c>
      <c r="BW51" s="311" t="s">
        <v>232</v>
      </c>
      <c r="BX51" s="311" t="s">
        <v>232</v>
      </c>
      <c r="BZ51" s="316" t="s">
        <v>232</v>
      </c>
      <c r="CA51" s="319" t="s">
        <v>232</v>
      </c>
      <c r="CB51" s="311" t="s">
        <v>232</v>
      </c>
      <c r="CC51" s="311" t="s">
        <v>232</v>
      </c>
      <c r="CD51" s="311" t="s">
        <v>232</v>
      </c>
      <c r="CE51" s="311" t="s">
        <v>232</v>
      </c>
      <c r="CF51" s="311" t="s">
        <v>232</v>
      </c>
      <c r="CG51" s="311" t="s">
        <v>232</v>
      </c>
      <c r="CH51" s="311" t="s">
        <v>232</v>
      </c>
      <c r="CI51" s="318" t="s">
        <v>232</v>
      </c>
      <c r="CJ51" s="318" t="s">
        <v>232</v>
      </c>
      <c r="CK51" s="318" t="s">
        <v>232</v>
      </c>
      <c r="CL51" s="315" t="s">
        <v>232</v>
      </c>
      <c r="CM51" s="315" t="s">
        <v>232</v>
      </c>
      <c r="CN51" s="318" t="s">
        <v>232</v>
      </c>
      <c r="CO51" s="311" t="s">
        <v>232</v>
      </c>
      <c r="CP51" s="318" t="s">
        <v>232</v>
      </c>
      <c r="CQ51" s="315" t="s">
        <v>232</v>
      </c>
      <c r="CR51" s="318" t="s">
        <v>232</v>
      </c>
      <c r="CS51" s="311" t="s">
        <v>232</v>
      </c>
      <c r="CT51" s="311" t="s">
        <v>232</v>
      </c>
    </row>
    <row r="52" spans="1:98" ht="22" customHeight="1" thickBot="1" x14ac:dyDescent="0.3">
      <c r="A52" s="342"/>
      <c r="B52" s="346" t="s">
        <v>433</v>
      </c>
      <c r="C52" s="309" t="s">
        <v>232</v>
      </c>
      <c r="D52" s="340" t="s">
        <v>263</v>
      </c>
      <c r="E52" s="341" t="s">
        <v>434</v>
      </c>
      <c r="F52" s="342" t="s">
        <v>232</v>
      </c>
      <c r="G52" s="342" t="s">
        <v>232</v>
      </c>
      <c r="H52" s="342" t="s">
        <v>232</v>
      </c>
      <c r="I52" s="310" t="s">
        <v>232</v>
      </c>
      <c r="J52" s="310" t="s">
        <v>232</v>
      </c>
      <c r="K52" s="343" t="s">
        <v>232</v>
      </c>
      <c r="L52" s="344"/>
      <c r="M52" s="340" t="s">
        <v>232</v>
      </c>
      <c r="N52" s="342" t="s">
        <v>232</v>
      </c>
      <c r="O52" s="345">
        <v>1.8469596677889021E-2</v>
      </c>
      <c r="P52" s="345">
        <v>1.429992164874955</v>
      </c>
      <c r="Q52" s="345" t="s">
        <v>232</v>
      </c>
      <c r="R52" s="345" t="s">
        <v>232</v>
      </c>
      <c r="S52" s="345">
        <v>12.99316793398051</v>
      </c>
      <c r="T52" s="345">
        <v>30.58173948179045</v>
      </c>
      <c r="U52" s="345">
        <v>6.4179951059768994E-5</v>
      </c>
      <c r="V52" s="345">
        <v>1.4645111523750021E-3</v>
      </c>
      <c r="W52" s="345">
        <v>1.6922090086224421E-2</v>
      </c>
      <c r="X52" s="345">
        <v>1.487008307621708E-9</v>
      </c>
      <c r="Y52" s="345">
        <v>7.9100762207873835E-8</v>
      </c>
      <c r="Z52" s="345">
        <v>3.5393860880518713E-2</v>
      </c>
      <c r="AA52" s="345">
        <v>6.0431863548954743</v>
      </c>
      <c r="AB52" s="345">
        <v>8.2179627601679475E-5</v>
      </c>
      <c r="AC52" s="345">
        <v>3.7926708109963279E-8</v>
      </c>
      <c r="AD52" s="345">
        <v>1.140253979718432E-7</v>
      </c>
      <c r="AE52" s="345">
        <v>7.3705319095192911E-3</v>
      </c>
      <c r="AF52" s="345">
        <v>1.7496708762904489</v>
      </c>
      <c r="AH52" s="316" t="s">
        <v>232</v>
      </c>
      <c r="AI52" s="317" t="s">
        <v>232</v>
      </c>
      <c r="AJ52" s="311" t="s">
        <v>232</v>
      </c>
      <c r="AK52" s="311" t="s">
        <v>232</v>
      </c>
      <c r="AL52" s="311" t="s">
        <v>232</v>
      </c>
      <c r="AM52" s="311" t="s">
        <v>232</v>
      </c>
      <c r="AN52" s="311" t="s">
        <v>232</v>
      </c>
      <c r="AO52" s="311" t="s">
        <v>232</v>
      </c>
      <c r="AP52" s="311" t="s">
        <v>232</v>
      </c>
      <c r="AQ52" s="318" t="s">
        <v>232</v>
      </c>
      <c r="AR52" s="318" t="s">
        <v>232</v>
      </c>
      <c r="AS52" s="318" t="s">
        <v>232</v>
      </c>
      <c r="AT52" s="315" t="s">
        <v>232</v>
      </c>
      <c r="AU52" s="315" t="s">
        <v>232</v>
      </c>
      <c r="AV52" s="318" t="s">
        <v>232</v>
      </c>
      <c r="AW52" s="311" t="s">
        <v>232</v>
      </c>
      <c r="AX52" s="318" t="s">
        <v>232</v>
      </c>
      <c r="AY52" s="315" t="s">
        <v>232</v>
      </c>
      <c r="AZ52" s="318" t="s">
        <v>232</v>
      </c>
      <c r="BA52" s="311" t="s">
        <v>232</v>
      </c>
      <c r="BB52" s="311" t="s">
        <v>232</v>
      </c>
      <c r="BD52" s="316" t="s">
        <v>232</v>
      </c>
      <c r="BE52" s="317" t="s">
        <v>232</v>
      </c>
      <c r="BF52" s="311" t="s">
        <v>232</v>
      </c>
      <c r="BG52" s="311" t="s">
        <v>232</v>
      </c>
      <c r="BH52" s="311" t="s">
        <v>232</v>
      </c>
      <c r="BI52" s="311" t="s">
        <v>232</v>
      </c>
      <c r="BJ52" s="311" t="s">
        <v>232</v>
      </c>
      <c r="BK52" s="311" t="s">
        <v>232</v>
      </c>
      <c r="BL52" s="311" t="s">
        <v>232</v>
      </c>
      <c r="BM52" s="318" t="s">
        <v>232</v>
      </c>
      <c r="BN52" s="318" t="s">
        <v>232</v>
      </c>
      <c r="BO52" s="318" t="s">
        <v>232</v>
      </c>
      <c r="BP52" s="315" t="s">
        <v>232</v>
      </c>
      <c r="BQ52" s="315" t="s">
        <v>232</v>
      </c>
      <c r="BR52" s="318" t="s">
        <v>232</v>
      </c>
      <c r="BS52" s="311" t="s">
        <v>232</v>
      </c>
      <c r="BT52" s="318" t="s">
        <v>232</v>
      </c>
      <c r="BU52" s="315" t="s">
        <v>232</v>
      </c>
      <c r="BV52" s="318" t="s">
        <v>232</v>
      </c>
      <c r="BW52" s="311" t="s">
        <v>232</v>
      </c>
      <c r="BX52" s="311" t="s">
        <v>232</v>
      </c>
      <c r="BZ52" s="316" t="s">
        <v>232</v>
      </c>
      <c r="CA52" s="319" t="s">
        <v>232</v>
      </c>
      <c r="CB52" s="311" t="s">
        <v>232</v>
      </c>
      <c r="CC52" s="311" t="s">
        <v>232</v>
      </c>
      <c r="CD52" s="311" t="s">
        <v>232</v>
      </c>
      <c r="CE52" s="311" t="s">
        <v>232</v>
      </c>
      <c r="CF52" s="311" t="s">
        <v>232</v>
      </c>
      <c r="CG52" s="311" t="s">
        <v>232</v>
      </c>
      <c r="CH52" s="311" t="s">
        <v>232</v>
      </c>
      <c r="CI52" s="318" t="s">
        <v>232</v>
      </c>
      <c r="CJ52" s="318" t="s">
        <v>232</v>
      </c>
      <c r="CK52" s="318" t="s">
        <v>232</v>
      </c>
      <c r="CL52" s="315" t="s">
        <v>232</v>
      </c>
      <c r="CM52" s="315" t="s">
        <v>232</v>
      </c>
      <c r="CN52" s="318" t="s">
        <v>232</v>
      </c>
      <c r="CO52" s="311" t="s">
        <v>232</v>
      </c>
      <c r="CP52" s="318" t="s">
        <v>232</v>
      </c>
      <c r="CQ52" s="315" t="s">
        <v>232</v>
      </c>
      <c r="CR52" s="318" t="s">
        <v>232</v>
      </c>
      <c r="CS52" s="311" t="s">
        <v>232</v>
      </c>
      <c r="CT52" s="311" t="s">
        <v>232</v>
      </c>
    </row>
    <row r="53" spans="1:98" ht="22" customHeight="1" x14ac:dyDescent="0.25">
      <c r="A53" s="320" t="s">
        <v>435</v>
      </c>
      <c r="B53" s="338" t="s">
        <v>295</v>
      </c>
      <c r="C53" s="322" t="s">
        <v>296</v>
      </c>
      <c r="D53" s="322" t="s">
        <v>232</v>
      </c>
      <c r="E53" s="323" t="s">
        <v>232</v>
      </c>
      <c r="F53" s="320">
        <v>272</v>
      </c>
      <c r="G53" s="320">
        <v>5.0000000000000001E-3</v>
      </c>
      <c r="H53" s="320" t="s">
        <v>2</v>
      </c>
      <c r="I53" s="324">
        <v>1</v>
      </c>
      <c r="J53" s="325">
        <v>232.73</v>
      </c>
      <c r="K53" s="326">
        <f>F53/(G53*I53)</f>
        <v>54400</v>
      </c>
      <c r="L53" s="327"/>
      <c r="M53" s="333" t="s">
        <v>436</v>
      </c>
      <c r="N53" s="329" t="s">
        <v>437</v>
      </c>
      <c r="O53" s="330">
        <f>O54+O55+O56+O57</f>
        <v>0.16233385445659598</v>
      </c>
      <c r="P53" s="330">
        <f>P54+P55+P56+P57</f>
        <v>40.549959938381036</v>
      </c>
      <c r="Q53" s="330">
        <f t="shared" si="1"/>
        <v>1.9857339720851801</v>
      </c>
      <c r="R53" s="330">
        <f t="shared" si="2"/>
        <v>42.535693910466215</v>
      </c>
      <c r="S53" s="330">
        <f>S54+S55+S56+S57</f>
        <v>127.83060189580991</v>
      </c>
      <c r="T53" s="330">
        <f t="shared" ref="T53:AF53" si="86">T54+T55+T56+T57</f>
        <v>558.56682546535558</v>
      </c>
      <c r="U53" s="330">
        <f t="shared" si="86"/>
        <v>1.3969533215116145E-2</v>
      </c>
      <c r="V53" s="330">
        <f t="shared" si="86"/>
        <v>3.3979006383605778E-2</v>
      </c>
      <c r="W53" s="330">
        <f t="shared" si="86"/>
        <v>0.37720506325135955</v>
      </c>
      <c r="X53" s="330">
        <f t="shared" si="86"/>
        <v>1.587988867076896E-7</v>
      </c>
      <c r="Y53" s="330">
        <f t="shared" si="86"/>
        <v>2.9724195122127276E-7</v>
      </c>
      <c r="Z53" s="330">
        <f t="shared" si="86"/>
        <v>0.70749210274622887</v>
      </c>
      <c r="AA53" s="330">
        <f t="shared" si="86"/>
        <v>110.50644997068471</v>
      </c>
      <c r="AB53" s="330">
        <f t="shared" si="86"/>
        <v>1.1746188140731865E-4</v>
      </c>
      <c r="AC53" s="330">
        <f t="shared" si="86"/>
        <v>1.7416477671880808E-6</v>
      </c>
      <c r="AD53" s="330">
        <f t="shared" si="86"/>
        <v>2.1448616367339778E-5</v>
      </c>
      <c r="AE53" s="330">
        <f t="shared" si="86"/>
        <v>0.18208197997802864</v>
      </c>
      <c r="AF53" s="330">
        <f t="shared" si="86"/>
        <v>26.170178591052704</v>
      </c>
      <c r="AH53" s="316" t="s">
        <v>232</v>
      </c>
      <c r="AI53" s="331" t="s">
        <v>232</v>
      </c>
      <c r="AJ53" s="311" t="s">
        <v>232</v>
      </c>
      <c r="AK53" s="311" t="s">
        <v>232</v>
      </c>
      <c r="AL53" s="311" t="s">
        <v>232</v>
      </c>
      <c r="AM53" s="311" t="s">
        <v>232</v>
      </c>
      <c r="AN53" s="311" t="s">
        <v>232</v>
      </c>
      <c r="AO53" s="311" t="s">
        <v>232</v>
      </c>
      <c r="AP53" s="311" t="s">
        <v>232</v>
      </c>
      <c r="AQ53" s="318" t="s">
        <v>232</v>
      </c>
      <c r="AR53" s="318" t="s">
        <v>232</v>
      </c>
      <c r="AS53" s="318" t="s">
        <v>232</v>
      </c>
      <c r="AT53" s="315" t="s">
        <v>232</v>
      </c>
      <c r="AU53" s="315" t="s">
        <v>232</v>
      </c>
      <c r="AV53" s="318" t="s">
        <v>232</v>
      </c>
      <c r="AW53" s="311" t="s">
        <v>232</v>
      </c>
      <c r="AX53" s="318" t="s">
        <v>232</v>
      </c>
      <c r="AY53" s="315" t="s">
        <v>232</v>
      </c>
      <c r="AZ53" s="318" t="s">
        <v>232</v>
      </c>
      <c r="BA53" s="311" t="s">
        <v>232</v>
      </c>
      <c r="BB53" s="311" t="s">
        <v>232</v>
      </c>
      <c r="BD53" s="316">
        <v>348.25749999999999</v>
      </c>
      <c r="BE53" s="331">
        <f t="shared" si="9"/>
        <v>8.6099999999987631E-2</v>
      </c>
      <c r="BF53" s="311">
        <f t="shared" si="10"/>
        <v>4683.8399999993271</v>
      </c>
      <c r="BG53" s="311">
        <f t="shared" ref="BG53:BX53" si="87">$BE53*O$53</f>
        <v>1.3976944868710907E-2</v>
      </c>
      <c r="BH53" s="311">
        <f t="shared" si="87"/>
        <v>3.4913515506941057</v>
      </c>
      <c r="BI53" s="311">
        <f t="shared" si="87"/>
        <v>0.17097169499650944</v>
      </c>
      <c r="BJ53" s="311">
        <f t="shared" si="87"/>
        <v>3.6623232456906147</v>
      </c>
      <c r="BK53" s="311">
        <f t="shared" si="87"/>
        <v>11.006214823227651</v>
      </c>
      <c r="BL53" s="311">
        <f t="shared" si="87"/>
        <v>48.092603672560209</v>
      </c>
      <c r="BM53" s="318">
        <f t="shared" si="87"/>
        <v>1.2027768098213272E-3</v>
      </c>
      <c r="BN53" s="318">
        <f t="shared" si="87"/>
        <v>2.9255924496280374E-3</v>
      </c>
      <c r="BO53" s="318">
        <f t="shared" si="87"/>
        <v>3.247735594593739E-2</v>
      </c>
      <c r="BP53" s="315">
        <f t="shared" si="87"/>
        <v>1.367258414553011E-8</v>
      </c>
      <c r="BQ53" s="315">
        <f t="shared" si="87"/>
        <v>2.5592532000147909E-8</v>
      </c>
      <c r="BR53" s="318">
        <f t="shared" si="87"/>
        <v>6.0915070046441554E-2</v>
      </c>
      <c r="BS53" s="311">
        <f t="shared" si="87"/>
        <v>9.5146053424745869</v>
      </c>
      <c r="BT53" s="318">
        <f t="shared" si="87"/>
        <v>1.0113467989168683E-5</v>
      </c>
      <c r="BU53" s="315">
        <f t="shared" si="87"/>
        <v>1.4995587275487222E-7</v>
      </c>
      <c r="BV53" s="318">
        <f t="shared" si="87"/>
        <v>1.8467258692276896E-6</v>
      </c>
      <c r="BW53" s="311">
        <f t="shared" si="87"/>
        <v>1.5677258476106012E-2</v>
      </c>
      <c r="BX53" s="311">
        <f t="shared" si="87"/>
        <v>2.2532523766893142</v>
      </c>
      <c r="BZ53" s="316" t="s">
        <v>232</v>
      </c>
      <c r="CA53" s="332" t="s">
        <v>232</v>
      </c>
      <c r="CB53" s="311" t="s">
        <v>232</v>
      </c>
      <c r="CC53" s="311" t="s">
        <v>232</v>
      </c>
      <c r="CD53" s="311" t="s">
        <v>232</v>
      </c>
      <c r="CE53" s="311" t="s">
        <v>232</v>
      </c>
      <c r="CF53" s="311" t="s">
        <v>232</v>
      </c>
      <c r="CG53" s="311" t="s">
        <v>232</v>
      </c>
      <c r="CH53" s="311" t="s">
        <v>232</v>
      </c>
      <c r="CI53" s="318" t="s">
        <v>232</v>
      </c>
      <c r="CJ53" s="318" t="s">
        <v>232</v>
      </c>
      <c r="CK53" s="318" t="s">
        <v>232</v>
      </c>
      <c r="CL53" s="315" t="s">
        <v>232</v>
      </c>
      <c r="CM53" s="315" t="s">
        <v>232</v>
      </c>
      <c r="CN53" s="318" t="s">
        <v>232</v>
      </c>
      <c r="CO53" s="311" t="s">
        <v>232</v>
      </c>
      <c r="CP53" s="318" t="s">
        <v>232</v>
      </c>
      <c r="CQ53" s="315" t="s">
        <v>232</v>
      </c>
      <c r="CR53" s="318" t="s">
        <v>232</v>
      </c>
      <c r="CS53" s="311" t="s">
        <v>232</v>
      </c>
      <c r="CT53" s="311" t="s">
        <v>232</v>
      </c>
    </row>
    <row r="54" spans="1:98" ht="22" customHeight="1" x14ac:dyDescent="0.25">
      <c r="A54" s="342"/>
      <c r="B54" s="350" t="s">
        <v>424</v>
      </c>
      <c r="C54" s="309" t="s">
        <v>232</v>
      </c>
      <c r="D54" s="340" t="s">
        <v>233</v>
      </c>
      <c r="E54" s="341" t="s">
        <v>425</v>
      </c>
      <c r="F54" s="342" t="s">
        <v>232</v>
      </c>
      <c r="G54" s="342" t="s">
        <v>232</v>
      </c>
      <c r="H54" s="342" t="s">
        <v>232</v>
      </c>
      <c r="I54" s="310" t="s">
        <v>232</v>
      </c>
      <c r="J54" s="310" t="s">
        <v>232</v>
      </c>
      <c r="K54" s="343" t="s">
        <v>232</v>
      </c>
      <c r="L54" s="344"/>
      <c r="M54" s="340" t="s">
        <v>232</v>
      </c>
      <c r="N54" s="342" t="s">
        <v>232</v>
      </c>
      <c r="O54" s="345">
        <v>2.0247971263522971E-2</v>
      </c>
      <c r="P54" s="345">
        <v>5.4741793240372347</v>
      </c>
      <c r="Q54" s="345" t="s">
        <v>232</v>
      </c>
      <c r="R54" s="345" t="s">
        <v>232</v>
      </c>
      <c r="S54" s="345">
        <v>17.68047291114328</v>
      </c>
      <c r="T54" s="345">
        <v>70.659570279862137</v>
      </c>
      <c r="U54" s="345">
        <v>1.064191187577397E-4</v>
      </c>
      <c r="V54" s="345">
        <v>3.0043819576732779E-3</v>
      </c>
      <c r="W54" s="345">
        <v>3.2940376167514121E-2</v>
      </c>
      <c r="X54" s="345">
        <v>1.59920949726671E-9</v>
      </c>
      <c r="Y54" s="345">
        <v>3.9163383679376412E-8</v>
      </c>
      <c r="Z54" s="345">
        <v>6.1339349351757368E-2</v>
      </c>
      <c r="AA54" s="345">
        <v>7.0765281055460854</v>
      </c>
      <c r="AB54" s="345">
        <v>2.265040828023274E-5</v>
      </c>
      <c r="AC54" s="345">
        <v>4.1364791192944829E-7</v>
      </c>
      <c r="AD54" s="345">
        <v>2.2287568259933121E-7</v>
      </c>
      <c r="AE54" s="345">
        <v>1.3642207792573659E-2</v>
      </c>
      <c r="AF54" s="345">
        <v>19.534752553643269</v>
      </c>
      <c r="AH54" s="316" t="s">
        <v>232</v>
      </c>
      <c r="AI54" s="317" t="s">
        <v>232</v>
      </c>
      <c r="AJ54" s="311" t="s">
        <v>232</v>
      </c>
      <c r="AK54" s="311" t="s">
        <v>232</v>
      </c>
      <c r="AL54" s="311" t="s">
        <v>232</v>
      </c>
      <c r="AM54" s="311" t="s">
        <v>232</v>
      </c>
      <c r="AN54" s="311" t="s">
        <v>232</v>
      </c>
      <c r="AO54" s="311" t="s">
        <v>232</v>
      </c>
      <c r="AP54" s="311" t="s">
        <v>232</v>
      </c>
      <c r="AQ54" s="318" t="s">
        <v>232</v>
      </c>
      <c r="AR54" s="318" t="s">
        <v>232</v>
      </c>
      <c r="AS54" s="318" t="s">
        <v>232</v>
      </c>
      <c r="AT54" s="315" t="s">
        <v>232</v>
      </c>
      <c r="AU54" s="315" t="s">
        <v>232</v>
      </c>
      <c r="AV54" s="318" t="s">
        <v>232</v>
      </c>
      <c r="AW54" s="311" t="s">
        <v>232</v>
      </c>
      <c r="AX54" s="318" t="s">
        <v>232</v>
      </c>
      <c r="AY54" s="315" t="s">
        <v>232</v>
      </c>
      <c r="AZ54" s="318" t="s">
        <v>232</v>
      </c>
      <c r="BA54" s="311" t="s">
        <v>232</v>
      </c>
      <c r="BB54" s="311" t="s">
        <v>232</v>
      </c>
      <c r="BD54" s="316" t="s">
        <v>232</v>
      </c>
      <c r="BE54" s="317" t="s">
        <v>232</v>
      </c>
      <c r="BF54" s="311" t="s">
        <v>232</v>
      </c>
      <c r="BG54" s="311" t="s">
        <v>232</v>
      </c>
      <c r="BH54" s="311" t="s">
        <v>232</v>
      </c>
      <c r="BI54" s="311" t="s">
        <v>232</v>
      </c>
      <c r="BJ54" s="311" t="s">
        <v>232</v>
      </c>
      <c r="BK54" s="311" t="s">
        <v>232</v>
      </c>
      <c r="BL54" s="311" t="s">
        <v>232</v>
      </c>
      <c r="BM54" s="318" t="s">
        <v>232</v>
      </c>
      <c r="BN54" s="318" t="s">
        <v>232</v>
      </c>
      <c r="BO54" s="318" t="s">
        <v>232</v>
      </c>
      <c r="BP54" s="315" t="s">
        <v>232</v>
      </c>
      <c r="BQ54" s="315" t="s">
        <v>232</v>
      </c>
      <c r="BR54" s="318" t="s">
        <v>232</v>
      </c>
      <c r="BS54" s="311" t="s">
        <v>232</v>
      </c>
      <c r="BT54" s="318" t="s">
        <v>232</v>
      </c>
      <c r="BU54" s="315" t="s">
        <v>232</v>
      </c>
      <c r="BV54" s="318" t="s">
        <v>232</v>
      </c>
      <c r="BW54" s="311" t="s">
        <v>232</v>
      </c>
      <c r="BX54" s="311" t="s">
        <v>232</v>
      </c>
      <c r="BZ54" s="316" t="s">
        <v>232</v>
      </c>
      <c r="CA54" s="319" t="s">
        <v>232</v>
      </c>
      <c r="CB54" s="311" t="s">
        <v>232</v>
      </c>
      <c r="CC54" s="311" t="s">
        <v>232</v>
      </c>
      <c r="CD54" s="311" t="s">
        <v>232</v>
      </c>
      <c r="CE54" s="311" t="s">
        <v>232</v>
      </c>
      <c r="CF54" s="311" t="s">
        <v>232</v>
      </c>
      <c r="CG54" s="311" t="s">
        <v>232</v>
      </c>
      <c r="CH54" s="311" t="s">
        <v>232</v>
      </c>
      <c r="CI54" s="318" t="s">
        <v>232</v>
      </c>
      <c r="CJ54" s="318" t="s">
        <v>232</v>
      </c>
      <c r="CK54" s="318" t="s">
        <v>232</v>
      </c>
      <c r="CL54" s="315" t="s">
        <v>232</v>
      </c>
      <c r="CM54" s="315" t="s">
        <v>232</v>
      </c>
      <c r="CN54" s="318" t="s">
        <v>232</v>
      </c>
      <c r="CO54" s="311" t="s">
        <v>232</v>
      </c>
      <c r="CP54" s="318" t="s">
        <v>232</v>
      </c>
      <c r="CQ54" s="315" t="s">
        <v>232</v>
      </c>
      <c r="CR54" s="318" t="s">
        <v>232</v>
      </c>
      <c r="CS54" s="311" t="s">
        <v>232</v>
      </c>
      <c r="CT54" s="311" t="s">
        <v>232</v>
      </c>
    </row>
    <row r="55" spans="1:98" ht="22" customHeight="1" x14ac:dyDescent="0.25">
      <c r="A55" s="342"/>
      <c r="B55" s="350" t="s">
        <v>438</v>
      </c>
      <c r="C55" s="309" t="s">
        <v>232</v>
      </c>
      <c r="D55" s="340" t="s">
        <v>233</v>
      </c>
      <c r="E55" s="341" t="s">
        <v>439</v>
      </c>
      <c r="F55" s="342" t="s">
        <v>232</v>
      </c>
      <c r="G55" s="342" t="s">
        <v>232</v>
      </c>
      <c r="H55" s="342" t="s">
        <v>232</v>
      </c>
      <c r="I55" s="310" t="s">
        <v>232</v>
      </c>
      <c r="J55" s="310" t="s">
        <v>232</v>
      </c>
      <c r="K55" s="343" t="s">
        <v>232</v>
      </c>
      <c r="L55" s="344"/>
      <c r="M55" s="340" t="s">
        <v>232</v>
      </c>
      <c r="N55" s="342" t="s">
        <v>232</v>
      </c>
      <c r="O55" s="345">
        <v>1.1813170921599831E-2</v>
      </c>
      <c r="P55" s="345">
        <v>2.452705780301621</v>
      </c>
      <c r="Q55" s="345" t="s">
        <v>232</v>
      </c>
      <c r="R55" s="345" t="s">
        <v>232</v>
      </c>
      <c r="S55" s="345">
        <v>5.2654054451744026</v>
      </c>
      <c r="T55" s="345">
        <v>73.294382771228442</v>
      </c>
      <c r="U55" s="345">
        <v>5.9359949947814853E-5</v>
      </c>
      <c r="V55" s="345">
        <v>1.84662978315082E-3</v>
      </c>
      <c r="W55" s="345">
        <v>2.053161884951463E-2</v>
      </c>
      <c r="X55" s="345">
        <v>8.0721933262397471E-9</v>
      </c>
      <c r="Y55" s="345">
        <v>1.336903042178626E-8</v>
      </c>
      <c r="Z55" s="345">
        <v>1.1870169331341459E-2</v>
      </c>
      <c r="AA55" s="345">
        <v>4.3581056160325513</v>
      </c>
      <c r="AB55" s="345">
        <v>9.2636062170128382E-6</v>
      </c>
      <c r="AC55" s="345">
        <v>5.7621022618648993E-8</v>
      </c>
      <c r="AD55" s="345">
        <v>1.4437644195439329E-7</v>
      </c>
      <c r="AE55" s="345">
        <v>1.1499866653455201E-2</v>
      </c>
      <c r="AF55" s="345">
        <v>1.565413846639452</v>
      </c>
      <c r="AH55" s="316" t="s">
        <v>232</v>
      </c>
      <c r="AI55" s="317" t="s">
        <v>232</v>
      </c>
      <c r="AJ55" s="311" t="s">
        <v>232</v>
      </c>
      <c r="AK55" s="311" t="s">
        <v>232</v>
      </c>
      <c r="AL55" s="311" t="s">
        <v>232</v>
      </c>
      <c r="AM55" s="311" t="s">
        <v>232</v>
      </c>
      <c r="AN55" s="311" t="s">
        <v>232</v>
      </c>
      <c r="AO55" s="311" t="s">
        <v>232</v>
      </c>
      <c r="AP55" s="311" t="s">
        <v>232</v>
      </c>
      <c r="AQ55" s="318" t="s">
        <v>232</v>
      </c>
      <c r="AR55" s="318" t="s">
        <v>232</v>
      </c>
      <c r="AS55" s="318" t="s">
        <v>232</v>
      </c>
      <c r="AT55" s="315" t="s">
        <v>232</v>
      </c>
      <c r="AU55" s="315" t="s">
        <v>232</v>
      </c>
      <c r="AV55" s="318" t="s">
        <v>232</v>
      </c>
      <c r="AW55" s="311" t="s">
        <v>232</v>
      </c>
      <c r="AX55" s="318" t="s">
        <v>232</v>
      </c>
      <c r="AY55" s="315" t="s">
        <v>232</v>
      </c>
      <c r="AZ55" s="318" t="s">
        <v>232</v>
      </c>
      <c r="BA55" s="311" t="s">
        <v>232</v>
      </c>
      <c r="BB55" s="311" t="s">
        <v>232</v>
      </c>
      <c r="BD55" s="316" t="s">
        <v>232</v>
      </c>
      <c r="BE55" s="317" t="s">
        <v>232</v>
      </c>
      <c r="BF55" s="311" t="s">
        <v>232</v>
      </c>
      <c r="BG55" s="311" t="s">
        <v>232</v>
      </c>
      <c r="BH55" s="311" t="s">
        <v>232</v>
      </c>
      <c r="BI55" s="311" t="s">
        <v>232</v>
      </c>
      <c r="BJ55" s="311" t="s">
        <v>232</v>
      </c>
      <c r="BK55" s="311" t="s">
        <v>232</v>
      </c>
      <c r="BL55" s="311" t="s">
        <v>232</v>
      </c>
      <c r="BM55" s="318" t="s">
        <v>232</v>
      </c>
      <c r="BN55" s="318" t="s">
        <v>232</v>
      </c>
      <c r="BO55" s="318" t="s">
        <v>232</v>
      </c>
      <c r="BP55" s="315" t="s">
        <v>232</v>
      </c>
      <c r="BQ55" s="315" t="s">
        <v>232</v>
      </c>
      <c r="BR55" s="318" t="s">
        <v>232</v>
      </c>
      <c r="BS55" s="311" t="s">
        <v>232</v>
      </c>
      <c r="BT55" s="318" t="s">
        <v>232</v>
      </c>
      <c r="BU55" s="315" t="s">
        <v>232</v>
      </c>
      <c r="BV55" s="318" t="s">
        <v>232</v>
      </c>
      <c r="BW55" s="311" t="s">
        <v>232</v>
      </c>
      <c r="BX55" s="311" t="s">
        <v>232</v>
      </c>
      <c r="BZ55" s="316" t="s">
        <v>232</v>
      </c>
      <c r="CA55" s="319" t="s">
        <v>232</v>
      </c>
      <c r="CB55" s="311" t="s">
        <v>232</v>
      </c>
      <c r="CC55" s="311" t="s">
        <v>232</v>
      </c>
      <c r="CD55" s="311" t="s">
        <v>232</v>
      </c>
      <c r="CE55" s="311" t="s">
        <v>232</v>
      </c>
      <c r="CF55" s="311" t="s">
        <v>232</v>
      </c>
      <c r="CG55" s="311" t="s">
        <v>232</v>
      </c>
      <c r="CH55" s="311" t="s">
        <v>232</v>
      </c>
      <c r="CI55" s="318" t="s">
        <v>232</v>
      </c>
      <c r="CJ55" s="318" t="s">
        <v>232</v>
      </c>
      <c r="CK55" s="318" t="s">
        <v>232</v>
      </c>
      <c r="CL55" s="315" t="s">
        <v>232</v>
      </c>
      <c r="CM55" s="315" t="s">
        <v>232</v>
      </c>
      <c r="CN55" s="318" t="s">
        <v>232</v>
      </c>
      <c r="CO55" s="311" t="s">
        <v>232</v>
      </c>
      <c r="CP55" s="318" t="s">
        <v>232</v>
      </c>
      <c r="CQ55" s="315" t="s">
        <v>232</v>
      </c>
      <c r="CR55" s="318" t="s">
        <v>232</v>
      </c>
      <c r="CS55" s="311" t="s">
        <v>232</v>
      </c>
      <c r="CT55" s="311" t="s">
        <v>232</v>
      </c>
    </row>
    <row r="56" spans="1:98" ht="22" customHeight="1" x14ac:dyDescent="0.25">
      <c r="A56" s="342"/>
      <c r="B56" s="350" t="s">
        <v>384</v>
      </c>
      <c r="C56" s="309" t="s">
        <v>232</v>
      </c>
      <c r="D56" s="340" t="s">
        <v>233</v>
      </c>
      <c r="E56" s="341" t="s">
        <v>385</v>
      </c>
      <c r="F56" s="342" t="s">
        <v>232</v>
      </c>
      <c r="G56" s="342" t="s">
        <v>232</v>
      </c>
      <c r="H56" s="342" t="s">
        <v>232</v>
      </c>
      <c r="I56" s="310" t="s">
        <v>232</v>
      </c>
      <c r="J56" s="310" t="s">
        <v>232</v>
      </c>
      <c r="K56" s="343" t="s">
        <v>232</v>
      </c>
      <c r="L56" s="344"/>
      <c r="M56" s="340" t="s">
        <v>232</v>
      </c>
      <c r="N56" s="342" t="s">
        <v>232</v>
      </c>
      <c r="O56" s="345">
        <v>0.1057577598386298</v>
      </c>
      <c r="P56" s="345">
        <v>27.917436382069958</v>
      </c>
      <c r="Q56" s="345" t="s">
        <v>232</v>
      </c>
      <c r="R56" s="345" t="s">
        <v>232</v>
      </c>
      <c r="S56" s="345">
        <v>84.128895515522117</v>
      </c>
      <c r="T56" s="345">
        <v>345.55981888652008</v>
      </c>
      <c r="U56" s="345">
        <v>1.28695024577801E-3</v>
      </c>
      <c r="V56" s="345">
        <v>2.4140198605243891E-2</v>
      </c>
      <c r="W56" s="345">
        <v>0.27045021189811042</v>
      </c>
      <c r="X56" s="345">
        <v>1.4731252701791109E-7</v>
      </c>
      <c r="Y56" s="345">
        <v>1.8873490801949871E-7</v>
      </c>
      <c r="Z56" s="345">
        <v>0.31336495674731379</v>
      </c>
      <c r="AA56" s="345">
        <v>63.803495604125281</v>
      </c>
      <c r="AB56" s="345">
        <v>4.8717098150915937E-5</v>
      </c>
      <c r="AC56" s="345">
        <v>7.8743408992313067E-7</v>
      </c>
      <c r="AD56" s="345">
        <v>2.0843144031195489E-5</v>
      </c>
      <c r="AE56" s="345">
        <v>0.13778765186813891</v>
      </c>
      <c r="AF56" s="345">
        <v>2.9464548204938779</v>
      </c>
      <c r="AH56" s="316" t="s">
        <v>232</v>
      </c>
      <c r="AI56" s="317" t="s">
        <v>232</v>
      </c>
      <c r="AJ56" s="311" t="s">
        <v>232</v>
      </c>
      <c r="AK56" s="311" t="s">
        <v>232</v>
      </c>
      <c r="AL56" s="311" t="s">
        <v>232</v>
      </c>
      <c r="AM56" s="311" t="s">
        <v>232</v>
      </c>
      <c r="AN56" s="311" t="s">
        <v>232</v>
      </c>
      <c r="AO56" s="311" t="s">
        <v>232</v>
      </c>
      <c r="AP56" s="311" t="s">
        <v>232</v>
      </c>
      <c r="AQ56" s="318" t="s">
        <v>232</v>
      </c>
      <c r="AR56" s="318" t="s">
        <v>232</v>
      </c>
      <c r="AS56" s="318" t="s">
        <v>232</v>
      </c>
      <c r="AT56" s="315" t="s">
        <v>232</v>
      </c>
      <c r="AU56" s="315" t="s">
        <v>232</v>
      </c>
      <c r="AV56" s="318" t="s">
        <v>232</v>
      </c>
      <c r="AW56" s="311" t="s">
        <v>232</v>
      </c>
      <c r="AX56" s="318" t="s">
        <v>232</v>
      </c>
      <c r="AY56" s="315" t="s">
        <v>232</v>
      </c>
      <c r="AZ56" s="318" t="s">
        <v>232</v>
      </c>
      <c r="BA56" s="311" t="s">
        <v>232</v>
      </c>
      <c r="BB56" s="311" t="s">
        <v>232</v>
      </c>
      <c r="BD56" s="316" t="s">
        <v>232</v>
      </c>
      <c r="BE56" s="317" t="s">
        <v>232</v>
      </c>
      <c r="BF56" s="311" t="s">
        <v>232</v>
      </c>
      <c r="BG56" s="311" t="s">
        <v>232</v>
      </c>
      <c r="BH56" s="311" t="s">
        <v>232</v>
      </c>
      <c r="BI56" s="311" t="s">
        <v>232</v>
      </c>
      <c r="BJ56" s="311" t="s">
        <v>232</v>
      </c>
      <c r="BK56" s="311" t="s">
        <v>232</v>
      </c>
      <c r="BL56" s="311" t="s">
        <v>232</v>
      </c>
      <c r="BM56" s="318" t="s">
        <v>232</v>
      </c>
      <c r="BN56" s="318" t="s">
        <v>232</v>
      </c>
      <c r="BO56" s="318" t="s">
        <v>232</v>
      </c>
      <c r="BP56" s="315" t="s">
        <v>232</v>
      </c>
      <c r="BQ56" s="315" t="s">
        <v>232</v>
      </c>
      <c r="BR56" s="318" t="s">
        <v>232</v>
      </c>
      <c r="BS56" s="311" t="s">
        <v>232</v>
      </c>
      <c r="BT56" s="318" t="s">
        <v>232</v>
      </c>
      <c r="BU56" s="315" t="s">
        <v>232</v>
      </c>
      <c r="BV56" s="318" t="s">
        <v>232</v>
      </c>
      <c r="BW56" s="311" t="s">
        <v>232</v>
      </c>
      <c r="BX56" s="311" t="s">
        <v>232</v>
      </c>
      <c r="BZ56" s="316" t="s">
        <v>232</v>
      </c>
      <c r="CA56" s="319" t="s">
        <v>232</v>
      </c>
      <c r="CB56" s="311" t="s">
        <v>232</v>
      </c>
      <c r="CC56" s="311" t="s">
        <v>232</v>
      </c>
      <c r="CD56" s="311" t="s">
        <v>232</v>
      </c>
      <c r="CE56" s="311" t="s">
        <v>232</v>
      </c>
      <c r="CF56" s="311" t="s">
        <v>232</v>
      </c>
      <c r="CG56" s="311" t="s">
        <v>232</v>
      </c>
      <c r="CH56" s="311" t="s">
        <v>232</v>
      </c>
      <c r="CI56" s="318" t="s">
        <v>232</v>
      </c>
      <c r="CJ56" s="318" t="s">
        <v>232</v>
      </c>
      <c r="CK56" s="318" t="s">
        <v>232</v>
      </c>
      <c r="CL56" s="315" t="s">
        <v>232</v>
      </c>
      <c r="CM56" s="315" t="s">
        <v>232</v>
      </c>
      <c r="CN56" s="318" t="s">
        <v>232</v>
      </c>
      <c r="CO56" s="311" t="s">
        <v>232</v>
      </c>
      <c r="CP56" s="318" t="s">
        <v>232</v>
      </c>
      <c r="CQ56" s="315" t="s">
        <v>232</v>
      </c>
      <c r="CR56" s="318" t="s">
        <v>232</v>
      </c>
      <c r="CS56" s="311" t="s">
        <v>232</v>
      </c>
      <c r="CT56" s="311" t="s">
        <v>232</v>
      </c>
    </row>
    <row r="57" spans="1:98" ht="22" customHeight="1" thickBot="1" x14ac:dyDescent="0.3">
      <c r="A57" s="342"/>
      <c r="B57" s="346" t="s">
        <v>440</v>
      </c>
      <c r="C57" s="309" t="s">
        <v>232</v>
      </c>
      <c r="D57" s="340" t="s">
        <v>233</v>
      </c>
      <c r="E57" s="341" t="s">
        <v>441</v>
      </c>
      <c r="F57" s="342" t="s">
        <v>232</v>
      </c>
      <c r="G57" s="342" t="s">
        <v>232</v>
      </c>
      <c r="H57" s="342" t="s">
        <v>232</v>
      </c>
      <c r="I57" s="310" t="s">
        <v>232</v>
      </c>
      <c r="J57" s="310" t="s">
        <v>232</v>
      </c>
      <c r="K57" s="343" t="s">
        <v>232</v>
      </c>
      <c r="L57" s="344"/>
      <c r="M57" s="340" t="s">
        <v>232</v>
      </c>
      <c r="N57" s="342" t="s">
        <v>232</v>
      </c>
      <c r="O57" s="345">
        <v>2.4514952432843379E-2</v>
      </c>
      <c r="P57" s="345">
        <v>4.7056384519722183</v>
      </c>
      <c r="Q57" s="345" t="s">
        <v>232</v>
      </c>
      <c r="R57" s="345" t="s">
        <v>232</v>
      </c>
      <c r="S57" s="345">
        <v>20.755828023970111</v>
      </c>
      <c r="T57" s="345">
        <v>69.053053527744922</v>
      </c>
      <c r="U57" s="345">
        <v>1.2516803900632581E-2</v>
      </c>
      <c r="V57" s="345">
        <v>4.9877960375377863E-3</v>
      </c>
      <c r="W57" s="345">
        <v>5.3282856336220367E-2</v>
      </c>
      <c r="X57" s="345">
        <v>1.8149568662720391E-9</v>
      </c>
      <c r="Y57" s="345">
        <v>5.5974629100611342E-8</v>
      </c>
      <c r="Z57" s="345">
        <v>0.3209176273158163</v>
      </c>
      <c r="AA57" s="345">
        <v>35.268320644980797</v>
      </c>
      <c r="AB57" s="345">
        <v>3.6830768759157127E-5</v>
      </c>
      <c r="AC57" s="345">
        <v>4.8294474271685272E-7</v>
      </c>
      <c r="AD57" s="345">
        <v>2.3822021159056201E-7</v>
      </c>
      <c r="AE57" s="345">
        <v>1.915225366386086E-2</v>
      </c>
      <c r="AF57" s="345">
        <v>2.1235573702761061</v>
      </c>
      <c r="AH57" s="316" t="s">
        <v>232</v>
      </c>
      <c r="AI57" s="317" t="s">
        <v>232</v>
      </c>
      <c r="AJ57" s="311" t="s">
        <v>232</v>
      </c>
      <c r="AK57" s="311" t="s">
        <v>232</v>
      </c>
      <c r="AL57" s="311" t="s">
        <v>232</v>
      </c>
      <c r="AM57" s="311" t="s">
        <v>232</v>
      </c>
      <c r="AN57" s="311" t="s">
        <v>232</v>
      </c>
      <c r="AO57" s="311" t="s">
        <v>232</v>
      </c>
      <c r="AP57" s="311" t="s">
        <v>232</v>
      </c>
      <c r="AQ57" s="318" t="s">
        <v>232</v>
      </c>
      <c r="AR57" s="318" t="s">
        <v>232</v>
      </c>
      <c r="AS57" s="318" t="s">
        <v>232</v>
      </c>
      <c r="AT57" s="315" t="s">
        <v>232</v>
      </c>
      <c r="AU57" s="315" t="s">
        <v>232</v>
      </c>
      <c r="AV57" s="318" t="s">
        <v>232</v>
      </c>
      <c r="AW57" s="311" t="s">
        <v>232</v>
      </c>
      <c r="AX57" s="318" t="s">
        <v>232</v>
      </c>
      <c r="AY57" s="315" t="s">
        <v>232</v>
      </c>
      <c r="AZ57" s="318" t="s">
        <v>232</v>
      </c>
      <c r="BA57" s="311" t="s">
        <v>232</v>
      </c>
      <c r="BB57" s="311" t="s">
        <v>232</v>
      </c>
      <c r="BD57" s="316" t="s">
        <v>232</v>
      </c>
      <c r="BE57" s="317" t="s">
        <v>232</v>
      </c>
      <c r="BF57" s="311" t="s">
        <v>232</v>
      </c>
      <c r="BG57" s="311" t="s">
        <v>232</v>
      </c>
      <c r="BH57" s="311" t="s">
        <v>232</v>
      </c>
      <c r="BI57" s="311" t="s">
        <v>232</v>
      </c>
      <c r="BJ57" s="311" t="s">
        <v>232</v>
      </c>
      <c r="BK57" s="311" t="s">
        <v>232</v>
      </c>
      <c r="BL57" s="311" t="s">
        <v>232</v>
      </c>
      <c r="BM57" s="318" t="s">
        <v>232</v>
      </c>
      <c r="BN57" s="318" t="s">
        <v>232</v>
      </c>
      <c r="BO57" s="318" t="s">
        <v>232</v>
      </c>
      <c r="BP57" s="315" t="s">
        <v>232</v>
      </c>
      <c r="BQ57" s="315" t="s">
        <v>232</v>
      </c>
      <c r="BR57" s="318" t="s">
        <v>232</v>
      </c>
      <c r="BS57" s="311" t="s">
        <v>232</v>
      </c>
      <c r="BT57" s="318" t="s">
        <v>232</v>
      </c>
      <c r="BU57" s="315" t="s">
        <v>232</v>
      </c>
      <c r="BV57" s="318" t="s">
        <v>232</v>
      </c>
      <c r="BW57" s="311" t="s">
        <v>232</v>
      </c>
      <c r="BX57" s="311" t="s">
        <v>232</v>
      </c>
      <c r="BZ57" s="316" t="s">
        <v>232</v>
      </c>
      <c r="CA57" s="319" t="s">
        <v>232</v>
      </c>
      <c r="CB57" s="311" t="s">
        <v>232</v>
      </c>
      <c r="CC57" s="311" t="s">
        <v>232</v>
      </c>
      <c r="CD57" s="311" t="s">
        <v>232</v>
      </c>
      <c r="CE57" s="311" t="s">
        <v>232</v>
      </c>
      <c r="CF57" s="311" t="s">
        <v>232</v>
      </c>
      <c r="CG57" s="311" t="s">
        <v>232</v>
      </c>
      <c r="CH57" s="311" t="s">
        <v>232</v>
      </c>
      <c r="CI57" s="318" t="s">
        <v>232</v>
      </c>
      <c r="CJ57" s="318" t="s">
        <v>232</v>
      </c>
      <c r="CK57" s="318" t="s">
        <v>232</v>
      </c>
      <c r="CL57" s="315" t="s">
        <v>232</v>
      </c>
      <c r="CM57" s="315" t="s">
        <v>232</v>
      </c>
      <c r="CN57" s="318" t="s">
        <v>232</v>
      </c>
      <c r="CO57" s="311" t="s">
        <v>232</v>
      </c>
      <c r="CP57" s="318" t="s">
        <v>232</v>
      </c>
      <c r="CQ57" s="315" t="s">
        <v>232</v>
      </c>
      <c r="CR57" s="318" t="s">
        <v>232</v>
      </c>
      <c r="CS57" s="311" t="s">
        <v>232</v>
      </c>
      <c r="CT57" s="311" t="s">
        <v>232</v>
      </c>
    </row>
    <row r="58" spans="1:98" ht="22" customHeight="1" x14ac:dyDescent="0.25">
      <c r="A58" s="322" t="s">
        <v>442</v>
      </c>
      <c r="B58" s="338" t="s">
        <v>295</v>
      </c>
      <c r="C58" s="322" t="s">
        <v>296</v>
      </c>
      <c r="D58" s="322" t="s">
        <v>232</v>
      </c>
      <c r="E58" s="323" t="s">
        <v>232</v>
      </c>
      <c r="F58" s="322">
        <v>160</v>
      </c>
      <c r="G58" s="322">
        <v>0.1</v>
      </c>
      <c r="H58" s="322" t="s">
        <v>2</v>
      </c>
      <c r="I58" s="324">
        <v>1</v>
      </c>
      <c r="J58" s="362">
        <v>163.04</v>
      </c>
      <c r="K58" s="326">
        <f>F58/(G58*I58)</f>
        <v>1600</v>
      </c>
      <c r="L58" s="327"/>
      <c r="M58" s="333" t="s">
        <v>443</v>
      </c>
      <c r="N58" s="334" t="s">
        <v>444</v>
      </c>
      <c r="O58" s="330">
        <f>O59+O60+O61</f>
        <v>4.9474949808527777E-2</v>
      </c>
      <c r="P58" s="330">
        <f>P59+P60+P61</f>
        <v>6.7552953307425732</v>
      </c>
      <c r="Q58" s="330" cm="1">
        <f t="array" ref="Q58">IF(H58="kg",1.98573397208518,_FV(P661,"47716617832055"))</f>
        <v>1.9857339720851801</v>
      </c>
      <c r="R58" s="330">
        <f t="shared" ref="R58:R65" si="88">P58+Q58</f>
        <v>8.7410293028277533</v>
      </c>
      <c r="S58" s="330">
        <f>S60+S59+S61</f>
        <v>22.848100983502153</v>
      </c>
      <c r="T58" s="330">
        <f t="shared" ref="T58:AF58" si="89">T60+T59+T61</f>
        <v>129.76971642929468</v>
      </c>
      <c r="U58" s="330">
        <f t="shared" si="89"/>
        <v>1.3204029569821438E-4</v>
      </c>
      <c r="V58" s="330">
        <f t="shared" si="89"/>
        <v>4.1013017774495994E-3</v>
      </c>
      <c r="W58" s="330">
        <f t="shared" si="89"/>
        <v>4.5088386222369749E-2</v>
      </c>
      <c r="X58" s="330">
        <f t="shared" si="89"/>
        <v>2.3181547229626336E-9</v>
      </c>
      <c r="Y58" s="330">
        <f t="shared" si="89"/>
        <v>5.253783755147223E-8</v>
      </c>
      <c r="Z58" s="330">
        <f t="shared" si="89"/>
        <v>7.7024704124540752E-2</v>
      </c>
      <c r="AA58" s="330">
        <f t="shared" si="89"/>
        <v>10.586876210399797</v>
      </c>
      <c r="AB58" s="330">
        <f t="shared" si="89"/>
        <v>3.1811389707768095E-5</v>
      </c>
      <c r="AC58" s="330">
        <f t="shared" si="89"/>
        <v>4.9659094329318447E-7</v>
      </c>
      <c r="AD58" s="330">
        <f t="shared" si="89"/>
        <v>4.2395776735961535E-7</v>
      </c>
      <c r="AE58" s="330">
        <f t="shared" si="89"/>
        <v>2.3033300717725459E-2</v>
      </c>
      <c r="AF58" s="330">
        <f t="shared" si="89"/>
        <v>19.704480420855731</v>
      </c>
      <c r="AH58" s="316">
        <v>528.30999999999995</v>
      </c>
      <c r="AI58" s="331">
        <f t="shared" ref="AI58" si="90">IF(AH58&gt;0,AH$2-AH58,0)</f>
        <v>4.0624000000000251</v>
      </c>
      <c r="AJ58" s="311">
        <f t="shared" ref="AJ58:AJ62" si="91">AI58*K58</f>
        <v>6499.8400000000402</v>
      </c>
      <c r="AK58" s="311">
        <f t="shared" ref="AK58:BB58" si="92">$AI58*O$58</f>
        <v>0.20098703610216448</v>
      </c>
      <c r="AL58" s="311">
        <f t="shared" si="92"/>
        <v>27.442711751608797</v>
      </c>
      <c r="AM58" s="311">
        <f t="shared" si="92"/>
        <v>8.0668456881988853</v>
      </c>
      <c r="AN58" s="311">
        <f t="shared" si="92"/>
        <v>35.509557439807686</v>
      </c>
      <c r="AO58" s="311">
        <f t="shared" si="92"/>
        <v>92.818125435379727</v>
      </c>
      <c r="AP58" s="311">
        <f t="shared" si="92"/>
        <v>527.17649602236997</v>
      </c>
      <c r="AQ58" s="318">
        <f t="shared" si="92"/>
        <v>5.3640049724442947E-4</v>
      </c>
      <c r="AR58" s="318">
        <f t="shared" si="92"/>
        <v>1.6661128340711356E-2</v>
      </c>
      <c r="AS58" s="318">
        <f t="shared" si="92"/>
        <v>0.18316706018975601</v>
      </c>
      <c r="AT58" s="315">
        <f t="shared" si="92"/>
        <v>9.4172717465634606E-9</v>
      </c>
      <c r="AU58" s="315">
        <f t="shared" si="92"/>
        <v>2.1342971126910211E-7</v>
      </c>
      <c r="AV58" s="318">
        <f t="shared" si="92"/>
        <v>0.31290515803553626</v>
      </c>
      <c r="AW58" s="311">
        <f t="shared" si="92"/>
        <v>43.008125917128403</v>
      </c>
      <c r="AX58" s="318">
        <f t="shared" si="92"/>
        <v>1.292305895488379E-4</v>
      </c>
      <c r="AY58" s="315">
        <f t="shared" si="92"/>
        <v>2.0173510480342449E-6</v>
      </c>
      <c r="AZ58" s="318">
        <f t="shared" si="92"/>
        <v>1.722286034121712E-6</v>
      </c>
      <c r="BA58" s="311">
        <f t="shared" si="92"/>
        <v>9.3570480835688474E-2</v>
      </c>
      <c r="BB58" s="311">
        <f t="shared" si="92"/>
        <v>80.047481261684823</v>
      </c>
      <c r="BD58" s="316">
        <v>346.911</v>
      </c>
      <c r="BE58" s="331">
        <f t="shared" ref="BE58" si="93">IF(BD58&gt;0,BD$2-BD58,0)</f>
        <v>1.4325999999999794</v>
      </c>
      <c r="BF58" s="311">
        <f t="shared" ref="BF58:BF65" si="94">BE58*K58</f>
        <v>2292.1599999999671</v>
      </c>
      <c r="BG58" s="311">
        <f t="shared" ref="BG58:BX58" si="95">$BE58*O$58</f>
        <v>7.087781309569588E-2</v>
      </c>
      <c r="BH58" s="311">
        <f t="shared" si="95"/>
        <v>9.6776360908216716</v>
      </c>
      <c r="BI58" s="311">
        <f t="shared" si="95"/>
        <v>2.844762488409188</v>
      </c>
      <c r="BJ58" s="311">
        <f t="shared" si="95"/>
        <v>12.52239857923086</v>
      </c>
      <c r="BK58" s="311">
        <f t="shared" si="95"/>
        <v>32.732189468964712</v>
      </c>
      <c r="BL58" s="311">
        <f t="shared" si="95"/>
        <v>185.90809575660489</v>
      </c>
      <c r="BM58" s="318">
        <f t="shared" si="95"/>
        <v>1.8916092761725922E-4</v>
      </c>
      <c r="BN58" s="318">
        <f t="shared" si="95"/>
        <v>5.8755249263742117E-3</v>
      </c>
      <c r="BO58" s="318">
        <f t="shared" si="95"/>
        <v>6.4593622102165973E-2</v>
      </c>
      <c r="BP58" s="315">
        <f t="shared" si="95"/>
        <v>3.3209884561162215E-9</v>
      </c>
      <c r="BQ58" s="315">
        <f t="shared" si="95"/>
        <v>7.5265706076238034E-8</v>
      </c>
      <c r="BR58" s="318">
        <f t="shared" si="95"/>
        <v>0.11034559112881549</v>
      </c>
      <c r="BS58" s="311">
        <f t="shared" si="95"/>
        <v>15.166758859018532</v>
      </c>
      <c r="BT58" s="318">
        <f t="shared" si="95"/>
        <v>4.5572996895347918E-5</v>
      </c>
      <c r="BU58" s="315">
        <f t="shared" si="95"/>
        <v>7.1141618536180592E-7</v>
      </c>
      <c r="BV58" s="318">
        <f t="shared" si="95"/>
        <v>6.073618975193762E-7</v>
      </c>
      <c r="BW58" s="311">
        <f t="shared" si="95"/>
        <v>3.2997506608213018E-2</v>
      </c>
      <c r="BX58" s="311">
        <f t="shared" si="95"/>
        <v>28.228638650917514</v>
      </c>
      <c r="BZ58" s="316" t="s">
        <v>232</v>
      </c>
      <c r="CA58" s="332" t="s">
        <v>232</v>
      </c>
      <c r="CB58" s="311" t="s">
        <v>232</v>
      </c>
      <c r="CC58" s="311" t="s">
        <v>232</v>
      </c>
      <c r="CD58" s="311" t="s">
        <v>232</v>
      </c>
      <c r="CE58" s="311" t="s">
        <v>232</v>
      </c>
      <c r="CF58" s="311" t="s">
        <v>232</v>
      </c>
      <c r="CG58" s="311" t="s">
        <v>232</v>
      </c>
      <c r="CH58" s="311" t="s">
        <v>232</v>
      </c>
      <c r="CI58" s="318" t="s">
        <v>232</v>
      </c>
      <c r="CJ58" s="318" t="s">
        <v>232</v>
      </c>
      <c r="CK58" s="318" t="s">
        <v>232</v>
      </c>
      <c r="CL58" s="315" t="s">
        <v>232</v>
      </c>
      <c r="CM58" s="315" t="s">
        <v>232</v>
      </c>
      <c r="CN58" s="318" t="s">
        <v>232</v>
      </c>
      <c r="CO58" s="311" t="s">
        <v>232</v>
      </c>
      <c r="CP58" s="318" t="s">
        <v>232</v>
      </c>
      <c r="CQ58" s="315" t="s">
        <v>232</v>
      </c>
      <c r="CR58" s="318" t="s">
        <v>232</v>
      </c>
      <c r="CS58" s="311" t="s">
        <v>232</v>
      </c>
      <c r="CT58" s="311" t="s">
        <v>232</v>
      </c>
    </row>
    <row r="59" spans="1:98" s="363" customFormat="1" ht="22" customHeight="1" x14ac:dyDescent="0.25">
      <c r="A59" s="342"/>
      <c r="B59" s="350" t="s">
        <v>445</v>
      </c>
      <c r="C59" s="309" t="s">
        <v>232</v>
      </c>
      <c r="D59" s="340" t="s">
        <v>233</v>
      </c>
      <c r="E59" s="361" t="s">
        <v>446</v>
      </c>
      <c r="F59" s="342" t="s">
        <v>232</v>
      </c>
      <c r="G59" s="342" t="s">
        <v>232</v>
      </c>
      <c r="H59" s="342" t="s">
        <v>232</v>
      </c>
      <c r="I59" s="310" t="s">
        <v>232</v>
      </c>
      <c r="J59" s="310" t="s">
        <v>232</v>
      </c>
      <c r="K59" s="343" t="s">
        <v>232</v>
      </c>
      <c r="L59" s="344"/>
      <c r="M59" s="340" t="s">
        <v>232</v>
      </c>
      <c r="N59" s="342" t="s">
        <v>232</v>
      </c>
      <c r="O59" s="345">
        <v>4.6984729218289903E-3</v>
      </c>
      <c r="P59" s="345">
        <v>1.0966266893288019</v>
      </c>
      <c r="Q59" s="345" t="s">
        <v>232</v>
      </c>
      <c r="R59" s="345" t="s">
        <v>232</v>
      </c>
      <c r="S59" s="345">
        <v>3.8317154235593121</v>
      </c>
      <c r="T59" s="345">
        <v>56.729235900418828</v>
      </c>
      <c r="U59" s="345">
        <v>2.4477618606004399E-5</v>
      </c>
      <c r="V59" s="345">
        <v>9.4679331018142419E-4</v>
      </c>
      <c r="W59" s="345">
        <v>1.0542801427194061E-2</v>
      </c>
      <c r="X59" s="345">
        <v>6.7128476126984362E-10</v>
      </c>
      <c r="Y59" s="345">
        <v>1.243173098568522E-8</v>
      </c>
      <c r="Z59" s="345">
        <v>1.527244264740176E-2</v>
      </c>
      <c r="AA59" s="345">
        <v>3.28830070435184</v>
      </c>
      <c r="AB59" s="345">
        <v>8.7499128231119764E-6</v>
      </c>
      <c r="AC59" s="345">
        <v>8.0222606786767986E-8</v>
      </c>
      <c r="AD59" s="345">
        <v>4.6917664106470952E-8</v>
      </c>
      <c r="AE59" s="345">
        <v>7.2597286758522058E-3</v>
      </c>
      <c r="AF59" s="345">
        <v>0.15820276867788341</v>
      </c>
      <c r="AH59" s="316" t="s">
        <v>232</v>
      </c>
      <c r="AI59" s="317" t="s">
        <v>232</v>
      </c>
      <c r="AJ59" s="311" t="s">
        <v>232</v>
      </c>
      <c r="AK59" s="311" t="s">
        <v>232</v>
      </c>
      <c r="AL59" s="311" t="s">
        <v>232</v>
      </c>
      <c r="AM59" s="311" t="s">
        <v>232</v>
      </c>
      <c r="AN59" s="311" t="s">
        <v>232</v>
      </c>
      <c r="AO59" s="311" t="s">
        <v>232</v>
      </c>
      <c r="AP59" s="311" t="s">
        <v>232</v>
      </c>
      <c r="AQ59" s="318" t="s">
        <v>232</v>
      </c>
      <c r="AR59" s="318" t="s">
        <v>232</v>
      </c>
      <c r="AS59" s="318" t="s">
        <v>232</v>
      </c>
      <c r="AT59" s="315" t="s">
        <v>232</v>
      </c>
      <c r="AU59" s="315" t="s">
        <v>232</v>
      </c>
      <c r="AV59" s="318" t="s">
        <v>232</v>
      </c>
      <c r="AW59" s="311" t="s">
        <v>232</v>
      </c>
      <c r="AX59" s="318" t="s">
        <v>232</v>
      </c>
      <c r="AY59" s="315" t="s">
        <v>232</v>
      </c>
      <c r="AZ59" s="318" t="s">
        <v>232</v>
      </c>
      <c r="BA59" s="311" t="s">
        <v>232</v>
      </c>
      <c r="BB59" s="311" t="s">
        <v>232</v>
      </c>
      <c r="BC59" s="335"/>
      <c r="BD59" s="316" t="s">
        <v>232</v>
      </c>
      <c r="BE59" s="364" t="s">
        <v>232</v>
      </c>
      <c r="BF59" s="311" t="s">
        <v>232</v>
      </c>
      <c r="BG59" s="311" t="s">
        <v>232</v>
      </c>
      <c r="BH59" s="311" t="s">
        <v>232</v>
      </c>
      <c r="BI59" s="311" t="s">
        <v>232</v>
      </c>
      <c r="BJ59" s="311" t="s">
        <v>232</v>
      </c>
      <c r="BK59" s="311" t="s">
        <v>232</v>
      </c>
      <c r="BL59" s="311" t="s">
        <v>232</v>
      </c>
      <c r="BM59" s="318" t="s">
        <v>232</v>
      </c>
      <c r="BN59" s="318" t="s">
        <v>232</v>
      </c>
      <c r="BO59" s="318" t="s">
        <v>232</v>
      </c>
      <c r="BP59" s="315" t="s">
        <v>232</v>
      </c>
      <c r="BQ59" s="315" t="s">
        <v>232</v>
      </c>
      <c r="BR59" s="318" t="s">
        <v>232</v>
      </c>
      <c r="BS59" s="311" t="s">
        <v>232</v>
      </c>
      <c r="BT59" s="318" t="s">
        <v>232</v>
      </c>
      <c r="BU59" s="315" t="s">
        <v>232</v>
      </c>
      <c r="BV59" s="318" t="s">
        <v>232</v>
      </c>
      <c r="BW59" s="311" t="s">
        <v>232</v>
      </c>
      <c r="BX59" s="311" t="s">
        <v>232</v>
      </c>
      <c r="BZ59" s="365" t="s">
        <v>232</v>
      </c>
      <c r="CA59" s="366" t="s">
        <v>232</v>
      </c>
      <c r="CB59" s="311" t="s">
        <v>232</v>
      </c>
      <c r="CC59" s="311" t="s">
        <v>232</v>
      </c>
      <c r="CD59" s="311" t="s">
        <v>232</v>
      </c>
      <c r="CE59" s="311" t="s">
        <v>232</v>
      </c>
      <c r="CF59" s="311" t="s">
        <v>232</v>
      </c>
      <c r="CG59" s="311" t="s">
        <v>232</v>
      </c>
      <c r="CH59" s="311" t="s">
        <v>232</v>
      </c>
      <c r="CI59" s="318" t="s">
        <v>232</v>
      </c>
      <c r="CJ59" s="318" t="s">
        <v>232</v>
      </c>
      <c r="CK59" s="318" t="s">
        <v>232</v>
      </c>
      <c r="CL59" s="315" t="s">
        <v>232</v>
      </c>
      <c r="CM59" s="315" t="s">
        <v>232</v>
      </c>
      <c r="CN59" s="318" t="s">
        <v>232</v>
      </c>
      <c r="CO59" s="311" t="s">
        <v>232</v>
      </c>
      <c r="CP59" s="318" t="s">
        <v>232</v>
      </c>
      <c r="CQ59" s="315" t="s">
        <v>232</v>
      </c>
      <c r="CR59" s="318" t="s">
        <v>232</v>
      </c>
      <c r="CS59" s="311" t="s">
        <v>232</v>
      </c>
      <c r="CT59" s="311" t="s">
        <v>232</v>
      </c>
    </row>
    <row r="60" spans="1:98" ht="22" customHeight="1" x14ac:dyDescent="0.25">
      <c r="A60" s="342"/>
      <c r="B60" s="350" t="s">
        <v>424</v>
      </c>
      <c r="C60" s="309" t="s">
        <v>232</v>
      </c>
      <c r="D60" s="340" t="s">
        <v>233</v>
      </c>
      <c r="E60" s="361" t="s">
        <v>425</v>
      </c>
      <c r="F60" s="342" t="s">
        <v>232</v>
      </c>
      <c r="G60" s="342" t="s">
        <v>232</v>
      </c>
      <c r="H60" s="342" t="s">
        <v>232</v>
      </c>
      <c r="I60" s="310" t="s">
        <v>232</v>
      </c>
      <c r="J60" s="310" t="s">
        <v>232</v>
      </c>
      <c r="K60" s="343" t="s">
        <v>232</v>
      </c>
      <c r="L60" s="344"/>
      <c r="M60" s="340" t="s">
        <v>232</v>
      </c>
      <c r="N60" s="342" t="s">
        <v>232</v>
      </c>
      <c r="O60" s="345">
        <v>2.0247971263522971E-2</v>
      </c>
      <c r="P60" s="345">
        <v>5.4741793240372347</v>
      </c>
      <c r="Q60" s="345" t="s">
        <v>232</v>
      </c>
      <c r="R60" s="345" t="s">
        <v>232</v>
      </c>
      <c r="S60" s="345">
        <v>17.68047291114328</v>
      </c>
      <c r="T60" s="345">
        <v>70.659570279862137</v>
      </c>
      <c r="U60" s="345">
        <v>1.064191187577397E-4</v>
      </c>
      <c r="V60" s="345">
        <v>3.0043819576732779E-3</v>
      </c>
      <c r="W60" s="345">
        <v>3.2940376167514121E-2</v>
      </c>
      <c r="X60" s="345">
        <v>1.59920949726671E-9</v>
      </c>
      <c r="Y60" s="345">
        <v>3.9163383679376412E-8</v>
      </c>
      <c r="Z60" s="345">
        <v>6.1339349351757368E-2</v>
      </c>
      <c r="AA60" s="345">
        <v>7.0765281055460854</v>
      </c>
      <c r="AB60" s="345">
        <v>2.265040828023274E-5</v>
      </c>
      <c r="AC60" s="345">
        <v>4.1364791192944829E-7</v>
      </c>
      <c r="AD60" s="345">
        <v>2.2287568259933121E-7</v>
      </c>
      <c r="AE60" s="345">
        <v>1.3642207792573659E-2</v>
      </c>
      <c r="AF60" s="345">
        <v>19.534752553643269</v>
      </c>
      <c r="AH60" s="316" t="s">
        <v>232</v>
      </c>
      <c r="AI60" s="317" t="s">
        <v>232</v>
      </c>
      <c r="AJ60" s="311" t="s">
        <v>232</v>
      </c>
      <c r="AK60" s="311" t="s">
        <v>232</v>
      </c>
      <c r="AL60" s="311" t="s">
        <v>232</v>
      </c>
      <c r="AM60" s="311" t="s">
        <v>232</v>
      </c>
      <c r="AN60" s="311" t="s">
        <v>232</v>
      </c>
      <c r="AO60" s="311" t="s">
        <v>232</v>
      </c>
      <c r="AP60" s="311" t="s">
        <v>232</v>
      </c>
      <c r="AQ60" s="318" t="s">
        <v>232</v>
      </c>
      <c r="AR60" s="318" t="s">
        <v>232</v>
      </c>
      <c r="AS60" s="318" t="s">
        <v>232</v>
      </c>
      <c r="AT60" s="315" t="s">
        <v>232</v>
      </c>
      <c r="AU60" s="315" t="s">
        <v>232</v>
      </c>
      <c r="AV60" s="318" t="s">
        <v>232</v>
      </c>
      <c r="AW60" s="311" t="s">
        <v>232</v>
      </c>
      <c r="AX60" s="318" t="s">
        <v>232</v>
      </c>
      <c r="AY60" s="315" t="s">
        <v>232</v>
      </c>
      <c r="AZ60" s="318" t="s">
        <v>232</v>
      </c>
      <c r="BA60" s="311" t="s">
        <v>232</v>
      </c>
      <c r="BB60" s="311" t="s">
        <v>232</v>
      </c>
      <c r="BD60" s="316" t="s">
        <v>232</v>
      </c>
      <c r="BE60" s="364" t="s">
        <v>232</v>
      </c>
      <c r="BF60" s="311" t="s">
        <v>232</v>
      </c>
      <c r="BG60" s="311" t="s">
        <v>232</v>
      </c>
      <c r="BH60" s="311" t="s">
        <v>232</v>
      </c>
      <c r="BI60" s="311" t="s">
        <v>232</v>
      </c>
      <c r="BJ60" s="311" t="s">
        <v>232</v>
      </c>
      <c r="BK60" s="311" t="s">
        <v>232</v>
      </c>
      <c r="BL60" s="311" t="s">
        <v>232</v>
      </c>
      <c r="BM60" s="318" t="s">
        <v>232</v>
      </c>
      <c r="BN60" s="318" t="s">
        <v>232</v>
      </c>
      <c r="BO60" s="318" t="s">
        <v>232</v>
      </c>
      <c r="BP60" s="315" t="s">
        <v>232</v>
      </c>
      <c r="BQ60" s="315" t="s">
        <v>232</v>
      </c>
      <c r="BR60" s="318" t="s">
        <v>232</v>
      </c>
      <c r="BS60" s="311" t="s">
        <v>232</v>
      </c>
      <c r="BT60" s="318" t="s">
        <v>232</v>
      </c>
      <c r="BU60" s="315" t="s">
        <v>232</v>
      </c>
      <c r="BV60" s="318" t="s">
        <v>232</v>
      </c>
      <c r="BW60" s="311" t="s">
        <v>232</v>
      </c>
      <c r="BX60" s="311" t="s">
        <v>232</v>
      </c>
      <c r="BZ60" s="365" t="s">
        <v>232</v>
      </c>
      <c r="CA60" s="366" t="s">
        <v>232</v>
      </c>
      <c r="CB60" s="311" t="s">
        <v>232</v>
      </c>
      <c r="CC60" s="311" t="s">
        <v>232</v>
      </c>
      <c r="CD60" s="311" t="s">
        <v>232</v>
      </c>
      <c r="CE60" s="311" t="s">
        <v>232</v>
      </c>
      <c r="CF60" s="311" t="s">
        <v>232</v>
      </c>
      <c r="CG60" s="311" t="s">
        <v>232</v>
      </c>
      <c r="CH60" s="311" t="s">
        <v>232</v>
      </c>
      <c r="CI60" s="318" t="s">
        <v>232</v>
      </c>
      <c r="CJ60" s="318" t="s">
        <v>232</v>
      </c>
      <c r="CK60" s="318" t="s">
        <v>232</v>
      </c>
      <c r="CL60" s="315" t="s">
        <v>232</v>
      </c>
      <c r="CM60" s="315" t="s">
        <v>232</v>
      </c>
      <c r="CN60" s="318" t="s">
        <v>232</v>
      </c>
      <c r="CO60" s="311" t="s">
        <v>232</v>
      </c>
      <c r="CP60" s="318" t="s">
        <v>232</v>
      </c>
      <c r="CQ60" s="315" t="s">
        <v>232</v>
      </c>
      <c r="CR60" s="318" t="s">
        <v>232</v>
      </c>
      <c r="CS60" s="311" t="s">
        <v>232</v>
      </c>
      <c r="CT60" s="311" t="s">
        <v>232</v>
      </c>
    </row>
    <row r="61" spans="1:98" ht="22" customHeight="1" thickBot="1" x14ac:dyDescent="0.3">
      <c r="A61" s="342"/>
      <c r="B61" s="346" t="s">
        <v>447</v>
      </c>
      <c r="C61" s="309" t="s">
        <v>232</v>
      </c>
      <c r="D61" s="340" t="s">
        <v>233</v>
      </c>
      <c r="E61" s="361" t="s">
        <v>448</v>
      </c>
      <c r="F61" s="342" t="s">
        <v>232</v>
      </c>
      <c r="G61" s="342" t="s">
        <v>232</v>
      </c>
      <c r="H61" s="342" t="s">
        <v>232</v>
      </c>
      <c r="I61" s="310" t="s">
        <v>232</v>
      </c>
      <c r="J61" s="310" t="s">
        <v>232</v>
      </c>
      <c r="K61" s="343" t="s">
        <v>232</v>
      </c>
      <c r="L61" s="344"/>
      <c r="M61" s="340" t="s">
        <v>232</v>
      </c>
      <c r="N61" s="342" t="s">
        <v>232</v>
      </c>
      <c r="O61" s="345">
        <v>2.4528505623175819E-2</v>
      </c>
      <c r="P61" s="345">
        <v>0.18448931737653659</v>
      </c>
      <c r="Q61" s="345" t="s">
        <v>232</v>
      </c>
      <c r="R61" s="345" t="s">
        <v>232</v>
      </c>
      <c r="S61" s="345">
        <v>1.3359126487995601</v>
      </c>
      <c r="T61" s="345">
        <v>2.380910249013708</v>
      </c>
      <c r="U61" s="345">
        <v>1.1435583344703E-6</v>
      </c>
      <c r="V61" s="345">
        <v>1.501265095948972E-4</v>
      </c>
      <c r="W61" s="345">
        <v>1.6052086276615661E-3</v>
      </c>
      <c r="X61" s="345">
        <v>4.7660464426079793E-11</v>
      </c>
      <c r="Y61" s="345">
        <v>9.4272288641060015E-10</v>
      </c>
      <c r="Z61" s="345">
        <v>4.1291212538161962E-4</v>
      </c>
      <c r="AA61" s="345">
        <v>0.22204740050187069</v>
      </c>
      <c r="AB61" s="345">
        <v>4.1106860442338069E-7</v>
      </c>
      <c r="AC61" s="345">
        <v>2.7204245769682599E-9</v>
      </c>
      <c r="AD61" s="345">
        <v>1.5416442065381321E-7</v>
      </c>
      <c r="AE61" s="345">
        <v>2.1313642492995959E-3</v>
      </c>
      <c r="AF61" s="345">
        <v>1.1525098534576721E-2</v>
      </c>
      <c r="AH61" s="316" t="s">
        <v>232</v>
      </c>
      <c r="AI61" s="317" t="s">
        <v>232</v>
      </c>
      <c r="AJ61" s="311" t="s">
        <v>232</v>
      </c>
      <c r="AK61" s="311" t="s">
        <v>232</v>
      </c>
      <c r="AL61" s="311" t="s">
        <v>232</v>
      </c>
      <c r="AM61" s="311" t="s">
        <v>232</v>
      </c>
      <c r="AN61" s="311" t="s">
        <v>232</v>
      </c>
      <c r="AO61" s="311" t="s">
        <v>232</v>
      </c>
      <c r="AP61" s="311" t="s">
        <v>232</v>
      </c>
      <c r="AQ61" s="318" t="s">
        <v>232</v>
      </c>
      <c r="AR61" s="318" t="s">
        <v>232</v>
      </c>
      <c r="AS61" s="318" t="s">
        <v>232</v>
      </c>
      <c r="AT61" s="315" t="s">
        <v>232</v>
      </c>
      <c r="AU61" s="315" t="s">
        <v>232</v>
      </c>
      <c r="AV61" s="318" t="s">
        <v>232</v>
      </c>
      <c r="AW61" s="311" t="s">
        <v>232</v>
      </c>
      <c r="AX61" s="318" t="s">
        <v>232</v>
      </c>
      <c r="AY61" s="315" t="s">
        <v>232</v>
      </c>
      <c r="AZ61" s="318" t="s">
        <v>232</v>
      </c>
      <c r="BA61" s="311" t="s">
        <v>232</v>
      </c>
      <c r="BB61" s="311" t="s">
        <v>232</v>
      </c>
      <c r="BD61" s="316" t="s">
        <v>232</v>
      </c>
      <c r="BE61" s="364" t="s">
        <v>232</v>
      </c>
      <c r="BF61" s="311" t="s">
        <v>232</v>
      </c>
      <c r="BG61" s="311" t="s">
        <v>232</v>
      </c>
      <c r="BH61" s="311" t="s">
        <v>232</v>
      </c>
      <c r="BI61" s="311" t="s">
        <v>232</v>
      </c>
      <c r="BJ61" s="311" t="s">
        <v>232</v>
      </c>
      <c r="BK61" s="311" t="s">
        <v>232</v>
      </c>
      <c r="BL61" s="311" t="s">
        <v>232</v>
      </c>
      <c r="BM61" s="318" t="s">
        <v>232</v>
      </c>
      <c r="BN61" s="318" t="s">
        <v>232</v>
      </c>
      <c r="BO61" s="318" t="s">
        <v>232</v>
      </c>
      <c r="BP61" s="315" t="s">
        <v>232</v>
      </c>
      <c r="BQ61" s="315" t="s">
        <v>232</v>
      </c>
      <c r="BR61" s="318" t="s">
        <v>232</v>
      </c>
      <c r="BS61" s="311" t="s">
        <v>232</v>
      </c>
      <c r="BT61" s="318" t="s">
        <v>232</v>
      </c>
      <c r="BU61" s="315" t="s">
        <v>232</v>
      </c>
      <c r="BV61" s="318" t="s">
        <v>232</v>
      </c>
      <c r="BW61" s="311" t="s">
        <v>232</v>
      </c>
      <c r="BX61" s="311" t="s">
        <v>232</v>
      </c>
      <c r="BZ61" s="365" t="s">
        <v>232</v>
      </c>
      <c r="CA61" s="366" t="s">
        <v>232</v>
      </c>
      <c r="CB61" s="311" t="s">
        <v>232</v>
      </c>
      <c r="CC61" s="311" t="s">
        <v>232</v>
      </c>
      <c r="CD61" s="311" t="s">
        <v>232</v>
      </c>
      <c r="CE61" s="311" t="s">
        <v>232</v>
      </c>
      <c r="CF61" s="311" t="s">
        <v>232</v>
      </c>
      <c r="CG61" s="311" t="s">
        <v>232</v>
      </c>
      <c r="CH61" s="311" t="s">
        <v>232</v>
      </c>
      <c r="CI61" s="318" t="s">
        <v>232</v>
      </c>
      <c r="CJ61" s="318" t="s">
        <v>232</v>
      </c>
      <c r="CK61" s="318" t="s">
        <v>232</v>
      </c>
      <c r="CL61" s="315" t="s">
        <v>232</v>
      </c>
      <c r="CM61" s="315" t="s">
        <v>232</v>
      </c>
      <c r="CN61" s="318" t="s">
        <v>232</v>
      </c>
      <c r="CO61" s="311" t="s">
        <v>232</v>
      </c>
      <c r="CP61" s="318" t="s">
        <v>232</v>
      </c>
      <c r="CQ61" s="315" t="s">
        <v>232</v>
      </c>
      <c r="CR61" s="318" t="s">
        <v>232</v>
      </c>
      <c r="CS61" s="311" t="s">
        <v>232</v>
      </c>
      <c r="CT61" s="311" t="s">
        <v>232</v>
      </c>
    </row>
    <row r="62" spans="1:98" ht="22" customHeight="1" x14ac:dyDescent="0.25">
      <c r="A62" s="322" t="s">
        <v>449</v>
      </c>
      <c r="B62" s="338" t="s">
        <v>295</v>
      </c>
      <c r="C62" s="322" t="s">
        <v>296</v>
      </c>
      <c r="D62" s="322" t="s">
        <v>232</v>
      </c>
      <c r="E62" s="367" t="s">
        <v>232</v>
      </c>
      <c r="F62" s="320">
        <v>82</v>
      </c>
      <c r="G62" s="320">
        <v>2.5000000000000001E-2</v>
      </c>
      <c r="H62" s="320" t="s">
        <v>2</v>
      </c>
      <c r="I62" s="324">
        <v>1</v>
      </c>
      <c r="J62" s="325">
        <v>158.97999999999999</v>
      </c>
      <c r="K62" s="326">
        <f t="shared" ref="K62" si="96">F62/(G62*I62)</f>
        <v>3280</v>
      </c>
      <c r="L62" s="327"/>
      <c r="M62" s="333" t="s">
        <v>450</v>
      </c>
      <c r="N62" s="329" t="s">
        <v>451</v>
      </c>
      <c r="O62" s="330">
        <f>O63+O64</f>
        <v>0.17829059845564404</v>
      </c>
      <c r="P62" s="330">
        <f>P63+P64</f>
        <v>20.357134555198016</v>
      </c>
      <c r="Q62" s="330">
        <f t="shared" ref="Q62:Q65" si="97">IF(H62="kg",1.98573397208518,2.47716617832055)</f>
        <v>1.9857339720851801</v>
      </c>
      <c r="R62" s="330">
        <f t="shared" si="88"/>
        <v>22.342868527283194</v>
      </c>
      <c r="S62" s="330">
        <f>S63+S64</f>
        <v>584.2298854930774</v>
      </c>
      <c r="T62" s="330">
        <f t="shared" ref="T62:AF62" si="98">T63+T64</f>
        <v>281.89704329597714</v>
      </c>
      <c r="U62" s="330">
        <f t="shared" si="98"/>
        <v>9.2923546659649386E-3</v>
      </c>
      <c r="V62" s="330">
        <f t="shared" si="98"/>
        <v>2.6340204692994737E-2</v>
      </c>
      <c r="W62" s="330">
        <f t="shared" si="98"/>
        <v>0.18738718559099105</v>
      </c>
      <c r="X62" s="330">
        <f t="shared" si="98"/>
        <v>1.9169376452426061E-8</v>
      </c>
      <c r="Y62" s="330">
        <f t="shared" si="98"/>
        <v>3.1481590103190012E-7</v>
      </c>
      <c r="Z62" s="330">
        <f t="shared" si="98"/>
        <v>0.52458858850718326</v>
      </c>
      <c r="AA62" s="330">
        <f t="shared" si="98"/>
        <v>53.876548017367014</v>
      </c>
      <c r="AB62" s="330">
        <f t="shared" si="98"/>
        <v>2.4876176245727046E-4</v>
      </c>
      <c r="AC62" s="330">
        <f t="shared" si="98"/>
        <v>8.716219319796078E-6</v>
      </c>
      <c r="AD62" s="330">
        <f t="shared" si="98"/>
        <v>1.5039626080536822E-6</v>
      </c>
      <c r="AE62" s="330">
        <f t="shared" si="98"/>
        <v>7.3709589761285804E-2</v>
      </c>
      <c r="AF62" s="330">
        <f t="shared" si="98"/>
        <v>37.57069093872078</v>
      </c>
      <c r="AH62" s="316">
        <v>531.08330000000001</v>
      </c>
      <c r="AI62" s="331">
        <f t="shared" ref="AI62" si="99">IF(AH62&gt;0,AH$2-AH62,0)</f>
        <v>1.2890999999999622</v>
      </c>
      <c r="AJ62" s="311">
        <f t="shared" si="91"/>
        <v>4228.2479999998759</v>
      </c>
      <c r="AK62" s="311">
        <f>$AI62*O$62</f>
        <v>0.229834410469164</v>
      </c>
      <c r="AL62" s="311">
        <f t="shared" ref="AL62:BB62" si="100">$AI62*P$62</f>
        <v>26.242382155104991</v>
      </c>
      <c r="AM62" s="311">
        <f t="shared" si="100"/>
        <v>2.5598096634149305</v>
      </c>
      <c r="AN62" s="311">
        <f t="shared" si="100"/>
        <v>28.802191818519919</v>
      </c>
      <c r="AO62" s="311">
        <f t="shared" si="100"/>
        <v>753.13074538910394</v>
      </c>
      <c r="AP62" s="311">
        <f t="shared" si="100"/>
        <v>363.39347851283344</v>
      </c>
      <c r="AQ62" s="318">
        <f t="shared" si="100"/>
        <v>1.197877439989505E-2</v>
      </c>
      <c r="AR62" s="318">
        <f t="shared" si="100"/>
        <v>3.3955157869738517E-2</v>
      </c>
      <c r="AS62" s="318">
        <f t="shared" si="100"/>
        <v>0.24156082094533946</v>
      </c>
      <c r="AT62" s="315">
        <f t="shared" si="100"/>
        <v>2.4711243184821709E-8</v>
      </c>
      <c r="AU62" s="315">
        <f t="shared" si="100"/>
        <v>4.0582917802021053E-7</v>
      </c>
      <c r="AV62" s="318">
        <f t="shared" si="100"/>
        <v>0.67624714944459008</v>
      </c>
      <c r="AW62" s="311">
        <f t="shared" si="100"/>
        <v>69.452258049185787</v>
      </c>
      <c r="AX62" s="318">
        <f t="shared" si="100"/>
        <v>3.2067878798365795E-4</v>
      </c>
      <c r="AY62" s="315">
        <f t="shared" si="100"/>
        <v>1.1236078325148795E-5</v>
      </c>
      <c r="AZ62" s="318">
        <f t="shared" si="100"/>
        <v>1.9387581980419448E-6</v>
      </c>
      <c r="BA62" s="311">
        <f t="shared" si="100"/>
        <v>9.5019032161270736E-2</v>
      </c>
      <c r="BB62" s="311">
        <f t="shared" si="100"/>
        <v>48.432377689103539</v>
      </c>
      <c r="BD62" s="316">
        <v>347.39729999999997</v>
      </c>
      <c r="BE62" s="368">
        <f t="shared" ref="BE62:BE65" si="101">IF(BD62&gt;0,BD$2-BD62,0)</f>
        <v>0.94630000000000791</v>
      </c>
      <c r="BF62" s="311">
        <f t="shared" si="94"/>
        <v>3103.864000000026</v>
      </c>
      <c r="BG62" s="311">
        <f>$BE62*O$62</f>
        <v>0.16871639331857738</v>
      </c>
      <c r="BH62" s="311">
        <f t="shared" ref="BH62:BX62" si="102">$BE62*P$62</f>
        <v>19.263956429584045</v>
      </c>
      <c r="BI62" s="311">
        <f t="shared" si="102"/>
        <v>1.8791000577842216</v>
      </c>
      <c r="BJ62" s="311">
        <f t="shared" si="102"/>
        <v>21.143056487368263</v>
      </c>
      <c r="BK62" s="311">
        <f t="shared" si="102"/>
        <v>552.85674064210377</v>
      </c>
      <c r="BL62" s="311">
        <f t="shared" si="102"/>
        <v>266.75917207098541</v>
      </c>
      <c r="BM62" s="318">
        <f t="shared" si="102"/>
        <v>8.7933552204026953E-3</v>
      </c>
      <c r="BN62" s="318">
        <f t="shared" si="102"/>
        <v>2.4925735700981128E-2</v>
      </c>
      <c r="BO62" s="318">
        <f t="shared" si="102"/>
        <v>0.17732449372475631</v>
      </c>
      <c r="BP62" s="315">
        <f t="shared" si="102"/>
        <v>1.8139980936930932E-8</v>
      </c>
      <c r="BQ62" s="315">
        <f t="shared" si="102"/>
        <v>2.9791028714648956E-7</v>
      </c>
      <c r="BR62" s="318">
        <f t="shared" si="102"/>
        <v>0.49641818130435167</v>
      </c>
      <c r="BS62" s="311">
        <f t="shared" si="102"/>
        <v>50.983377388834832</v>
      </c>
      <c r="BT62" s="318">
        <f t="shared" si="102"/>
        <v>2.35403255813317E-4</v>
      </c>
      <c r="BU62" s="315">
        <f t="shared" si="102"/>
        <v>8.2481583423230973E-6</v>
      </c>
      <c r="BV62" s="318">
        <f t="shared" si="102"/>
        <v>1.4231998160012114E-6</v>
      </c>
      <c r="BW62" s="311">
        <f t="shared" si="102"/>
        <v>6.9751384791105334E-2</v>
      </c>
      <c r="BX62" s="311">
        <f t="shared" si="102"/>
        <v>35.55314483531177</v>
      </c>
      <c r="BZ62" s="365" t="s">
        <v>232</v>
      </c>
      <c r="CA62" s="369" t="s">
        <v>232</v>
      </c>
      <c r="CB62" s="311" t="s">
        <v>232</v>
      </c>
      <c r="CC62" s="311" t="s">
        <v>232</v>
      </c>
      <c r="CD62" s="311" t="s">
        <v>232</v>
      </c>
      <c r="CE62" s="311" t="s">
        <v>232</v>
      </c>
      <c r="CF62" s="311" t="s">
        <v>232</v>
      </c>
      <c r="CG62" s="311" t="s">
        <v>232</v>
      </c>
      <c r="CH62" s="311" t="s">
        <v>232</v>
      </c>
      <c r="CI62" s="318" t="s">
        <v>232</v>
      </c>
      <c r="CJ62" s="318" t="s">
        <v>232</v>
      </c>
      <c r="CK62" s="318" t="s">
        <v>232</v>
      </c>
      <c r="CL62" s="315" t="s">
        <v>232</v>
      </c>
      <c r="CM62" s="315" t="s">
        <v>232</v>
      </c>
      <c r="CN62" s="318" t="s">
        <v>232</v>
      </c>
      <c r="CO62" s="311" t="s">
        <v>232</v>
      </c>
      <c r="CP62" s="318" t="s">
        <v>232</v>
      </c>
      <c r="CQ62" s="315" t="s">
        <v>232</v>
      </c>
      <c r="CR62" s="318" t="s">
        <v>232</v>
      </c>
      <c r="CS62" s="311" t="s">
        <v>232</v>
      </c>
      <c r="CT62" s="311" t="s">
        <v>232</v>
      </c>
    </row>
    <row r="63" spans="1:98" ht="22" customHeight="1" x14ac:dyDescent="0.25">
      <c r="A63" s="342"/>
      <c r="B63" s="350" t="s">
        <v>452</v>
      </c>
      <c r="C63" s="309" t="s">
        <v>232</v>
      </c>
      <c r="D63" s="340" t="s">
        <v>233</v>
      </c>
      <c r="E63" s="361" t="s">
        <v>453</v>
      </c>
      <c r="F63" s="342" t="s">
        <v>232</v>
      </c>
      <c r="G63" s="342" t="s">
        <v>232</v>
      </c>
      <c r="H63" s="342" t="s">
        <v>232</v>
      </c>
      <c r="I63" s="310" t="s">
        <v>232</v>
      </c>
      <c r="J63" s="310" t="s">
        <v>232</v>
      </c>
      <c r="K63" s="343" t="s">
        <v>232</v>
      </c>
      <c r="L63" s="344"/>
      <c r="M63" s="340" t="s">
        <v>232</v>
      </c>
      <c r="N63" s="342" t="s">
        <v>232</v>
      </c>
      <c r="O63" s="345">
        <v>0.15804262719212109</v>
      </c>
      <c r="P63" s="345">
        <v>14.88295523116078</v>
      </c>
      <c r="Q63" s="345" t="s">
        <v>232</v>
      </c>
      <c r="R63" s="345" t="s">
        <v>232</v>
      </c>
      <c r="S63" s="345">
        <v>566.54941258193412</v>
      </c>
      <c r="T63" s="345">
        <v>211.23747301611499</v>
      </c>
      <c r="U63" s="345">
        <v>9.1859355472071989E-3</v>
      </c>
      <c r="V63" s="345">
        <v>2.3335822735321459E-2</v>
      </c>
      <c r="W63" s="345">
        <v>0.15444680942347691</v>
      </c>
      <c r="X63" s="345">
        <v>1.7570166955159351E-8</v>
      </c>
      <c r="Y63" s="345">
        <v>2.7565251735252371E-7</v>
      </c>
      <c r="Z63" s="345">
        <v>0.46324923915542587</v>
      </c>
      <c r="AA63" s="345">
        <v>46.800019911820932</v>
      </c>
      <c r="AB63" s="345">
        <v>2.2611135417703769E-4</v>
      </c>
      <c r="AC63" s="345">
        <v>8.30257140786663E-6</v>
      </c>
      <c r="AD63" s="345">
        <v>1.281086925454351E-6</v>
      </c>
      <c r="AE63" s="345">
        <v>6.0067381968712148E-2</v>
      </c>
      <c r="AF63" s="345">
        <v>18.035938385077511</v>
      </c>
      <c r="AH63" s="316" t="s">
        <v>232</v>
      </c>
      <c r="AI63" s="317" t="s">
        <v>232</v>
      </c>
      <c r="AJ63" s="311" t="s">
        <v>232</v>
      </c>
      <c r="AK63" s="311" t="s">
        <v>232</v>
      </c>
      <c r="AL63" s="311" t="s">
        <v>232</v>
      </c>
      <c r="AM63" s="311" t="s">
        <v>232</v>
      </c>
      <c r="AN63" s="311" t="s">
        <v>232</v>
      </c>
      <c r="AO63" s="311" t="s">
        <v>232</v>
      </c>
      <c r="AP63" s="311" t="s">
        <v>232</v>
      </c>
      <c r="AQ63" s="318" t="s">
        <v>232</v>
      </c>
      <c r="AR63" s="318" t="s">
        <v>232</v>
      </c>
      <c r="AS63" s="318" t="s">
        <v>232</v>
      </c>
      <c r="AT63" s="315" t="s">
        <v>232</v>
      </c>
      <c r="AU63" s="315" t="s">
        <v>232</v>
      </c>
      <c r="AV63" s="318" t="s">
        <v>232</v>
      </c>
      <c r="AW63" s="311" t="s">
        <v>232</v>
      </c>
      <c r="AX63" s="318" t="s">
        <v>232</v>
      </c>
      <c r="AY63" s="315" t="s">
        <v>232</v>
      </c>
      <c r="AZ63" s="318" t="s">
        <v>232</v>
      </c>
      <c r="BA63" s="311" t="s">
        <v>232</v>
      </c>
      <c r="BB63" s="311" t="s">
        <v>232</v>
      </c>
      <c r="BD63" s="316" t="s">
        <v>232</v>
      </c>
      <c r="BE63" s="364" t="s">
        <v>232</v>
      </c>
      <c r="BF63" s="311" t="s">
        <v>232</v>
      </c>
      <c r="BG63" s="311" t="s">
        <v>232</v>
      </c>
      <c r="BH63" s="311" t="s">
        <v>232</v>
      </c>
      <c r="BI63" s="311" t="s">
        <v>232</v>
      </c>
      <c r="BJ63" s="311" t="s">
        <v>232</v>
      </c>
      <c r="BK63" s="311" t="s">
        <v>232</v>
      </c>
      <c r="BL63" s="311" t="s">
        <v>232</v>
      </c>
      <c r="BM63" s="318" t="s">
        <v>232</v>
      </c>
      <c r="BN63" s="318" t="s">
        <v>232</v>
      </c>
      <c r="BO63" s="318" t="s">
        <v>232</v>
      </c>
      <c r="BP63" s="315" t="s">
        <v>232</v>
      </c>
      <c r="BQ63" s="315" t="s">
        <v>232</v>
      </c>
      <c r="BR63" s="318" t="s">
        <v>232</v>
      </c>
      <c r="BS63" s="311" t="s">
        <v>232</v>
      </c>
      <c r="BT63" s="318" t="s">
        <v>232</v>
      </c>
      <c r="BU63" s="315" t="s">
        <v>232</v>
      </c>
      <c r="BV63" s="318" t="s">
        <v>232</v>
      </c>
      <c r="BW63" s="311" t="s">
        <v>232</v>
      </c>
      <c r="BX63" s="311" t="s">
        <v>232</v>
      </c>
      <c r="BZ63" s="365" t="s">
        <v>232</v>
      </c>
      <c r="CA63" s="366" t="s">
        <v>232</v>
      </c>
      <c r="CB63" s="311" t="s">
        <v>232</v>
      </c>
      <c r="CC63" s="311" t="s">
        <v>232</v>
      </c>
      <c r="CD63" s="311" t="s">
        <v>232</v>
      </c>
      <c r="CE63" s="311" t="s">
        <v>232</v>
      </c>
      <c r="CF63" s="311" t="s">
        <v>232</v>
      </c>
      <c r="CG63" s="311" t="s">
        <v>232</v>
      </c>
      <c r="CH63" s="311" t="s">
        <v>232</v>
      </c>
      <c r="CI63" s="318" t="s">
        <v>232</v>
      </c>
      <c r="CJ63" s="318" t="s">
        <v>232</v>
      </c>
      <c r="CK63" s="318" t="s">
        <v>232</v>
      </c>
      <c r="CL63" s="315" t="s">
        <v>232</v>
      </c>
      <c r="CM63" s="315" t="s">
        <v>232</v>
      </c>
      <c r="CN63" s="318" t="s">
        <v>232</v>
      </c>
      <c r="CO63" s="311" t="s">
        <v>232</v>
      </c>
      <c r="CP63" s="318" t="s">
        <v>232</v>
      </c>
      <c r="CQ63" s="315" t="s">
        <v>232</v>
      </c>
      <c r="CR63" s="318" t="s">
        <v>232</v>
      </c>
      <c r="CS63" s="311" t="s">
        <v>232</v>
      </c>
      <c r="CT63" s="311" t="s">
        <v>232</v>
      </c>
    </row>
    <row r="64" spans="1:98" ht="22" customHeight="1" thickBot="1" x14ac:dyDescent="0.3">
      <c r="A64" s="342"/>
      <c r="B64" s="346" t="s">
        <v>424</v>
      </c>
      <c r="C64" s="309" t="s">
        <v>232</v>
      </c>
      <c r="D64" s="340" t="s">
        <v>233</v>
      </c>
      <c r="E64" s="361" t="s">
        <v>425</v>
      </c>
      <c r="F64" s="342" t="s">
        <v>232</v>
      </c>
      <c r="G64" s="342" t="s">
        <v>232</v>
      </c>
      <c r="H64" s="342" t="s">
        <v>232</v>
      </c>
      <c r="I64" s="310" t="s">
        <v>232</v>
      </c>
      <c r="J64" s="310" t="s">
        <v>232</v>
      </c>
      <c r="K64" s="343" t="s">
        <v>232</v>
      </c>
      <c r="L64" s="344"/>
      <c r="M64" s="340" t="s">
        <v>232</v>
      </c>
      <c r="N64" s="342" t="s">
        <v>232</v>
      </c>
      <c r="O64" s="345">
        <v>2.0247971263522971E-2</v>
      </c>
      <c r="P64" s="345">
        <v>5.4741793240372347</v>
      </c>
      <c r="Q64" s="345" t="s">
        <v>232</v>
      </c>
      <c r="R64" s="345" t="s">
        <v>232</v>
      </c>
      <c r="S64" s="345">
        <v>17.68047291114328</v>
      </c>
      <c r="T64" s="345">
        <v>70.659570279862137</v>
      </c>
      <c r="U64" s="345">
        <v>1.064191187577397E-4</v>
      </c>
      <c r="V64" s="345">
        <v>3.0043819576732779E-3</v>
      </c>
      <c r="W64" s="345">
        <v>3.2940376167514121E-2</v>
      </c>
      <c r="X64" s="345">
        <v>1.59920949726671E-9</v>
      </c>
      <c r="Y64" s="345">
        <v>3.9163383679376412E-8</v>
      </c>
      <c r="Z64" s="345">
        <v>6.1339349351757368E-2</v>
      </c>
      <c r="AA64" s="345">
        <v>7.0765281055460854</v>
      </c>
      <c r="AB64" s="345">
        <v>2.265040828023274E-5</v>
      </c>
      <c r="AC64" s="345">
        <v>4.1364791192944829E-7</v>
      </c>
      <c r="AD64" s="345">
        <v>2.2287568259933121E-7</v>
      </c>
      <c r="AE64" s="345">
        <v>1.3642207792573659E-2</v>
      </c>
      <c r="AF64" s="345">
        <v>19.534752553643269</v>
      </c>
      <c r="AH64" s="316" t="s">
        <v>232</v>
      </c>
      <c r="AI64" s="317" t="s">
        <v>232</v>
      </c>
      <c r="AJ64" s="311" t="s">
        <v>232</v>
      </c>
      <c r="AK64" s="311" t="s">
        <v>232</v>
      </c>
      <c r="AL64" s="311" t="s">
        <v>232</v>
      </c>
      <c r="AM64" s="311" t="s">
        <v>232</v>
      </c>
      <c r="AN64" s="311" t="s">
        <v>232</v>
      </c>
      <c r="AO64" s="311" t="s">
        <v>232</v>
      </c>
      <c r="AP64" s="311" t="s">
        <v>232</v>
      </c>
      <c r="AQ64" s="318" t="s">
        <v>232</v>
      </c>
      <c r="AR64" s="318" t="s">
        <v>232</v>
      </c>
      <c r="AS64" s="318" t="s">
        <v>232</v>
      </c>
      <c r="AT64" s="315" t="s">
        <v>232</v>
      </c>
      <c r="AU64" s="315" t="s">
        <v>232</v>
      </c>
      <c r="AV64" s="318" t="s">
        <v>232</v>
      </c>
      <c r="AW64" s="311" t="s">
        <v>232</v>
      </c>
      <c r="AX64" s="318" t="s">
        <v>232</v>
      </c>
      <c r="AY64" s="315" t="s">
        <v>232</v>
      </c>
      <c r="AZ64" s="318" t="s">
        <v>232</v>
      </c>
      <c r="BA64" s="311" t="s">
        <v>232</v>
      </c>
      <c r="BB64" s="311" t="s">
        <v>232</v>
      </c>
      <c r="BD64" s="316" t="s">
        <v>232</v>
      </c>
      <c r="BE64" s="364" t="s">
        <v>232</v>
      </c>
      <c r="BF64" s="311" t="s">
        <v>232</v>
      </c>
      <c r="BG64" s="311" t="s">
        <v>232</v>
      </c>
      <c r="BH64" s="311" t="s">
        <v>232</v>
      </c>
      <c r="BI64" s="311" t="s">
        <v>232</v>
      </c>
      <c r="BJ64" s="311" t="s">
        <v>232</v>
      </c>
      <c r="BK64" s="311" t="s">
        <v>232</v>
      </c>
      <c r="BL64" s="311" t="s">
        <v>232</v>
      </c>
      <c r="BM64" s="318" t="s">
        <v>232</v>
      </c>
      <c r="BN64" s="318" t="s">
        <v>232</v>
      </c>
      <c r="BO64" s="318" t="s">
        <v>232</v>
      </c>
      <c r="BP64" s="315" t="s">
        <v>232</v>
      </c>
      <c r="BQ64" s="315" t="s">
        <v>232</v>
      </c>
      <c r="BR64" s="318" t="s">
        <v>232</v>
      </c>
      <c r="BS64" s="311" t="s">
        <v>232</v>
      </c>
      <c r="BT64" s="318" t="s">
        <v>232</v>
      </c>
      <c r="BU64" s="315" t="s">
        <v>232</v>
      </c>
      <c r="BV64" s="318" t="s">
        <v>232</v>
      </c>
      <c r="BW64" s="311" t="s">
        <v>232</v>
      </c>
      <c r="BX64" s="311" t="s">
        <v>232</v>
      </c>
      <c r="BZ64" s="365" t="s">
        <v>232</v>
      </c>
      <c r="CA64" s="366" t="s">
        <v>232</v>
      </c>
      <c r="CB64" s="311" t="s">
        <v>232</v>
      </c>
      <c r="CC64" s="311" t="s">
        <v>232</v>
      </c>
      <c r="CD64" s="311" t="s">
        <v>232</v>
      </c>
      <c r="CE64" s="311" t="s">
        <v>232</v>
      </c>
      <c r="CF64" s="311" t="s">
        <v>232</v>
      </c>
      <c r="CG64" s="311" t="s">
        <v>232</v>
      </c>
      <c r="CH64" s="311" t="s">
        <v>232</v>
      </c>
      <c r="CI64" s="318" t="s">
        <v>232</v>
      </c>
      <c r="CJ64" s="318" t="s">
        <v>232</v>
      </c>
      <c r="CK64" s="318" t="s">
        <v>232</v>
      </c>
      <c r="CL64" s="315" t="s">
        <v>232</v>
      </c>
      <c r="CM64" s="315" t="s">
        <v>232</v>
      </c>
      <c r="CN64" s="318" t="s">
        <v>232</v>
      </c>
      <c r="CO64" s="311" t="s">
        <v>232</v>
      </c>
      <c r="CP64" s="318" t="s">
        <v>232</v>
      </c>
      <c r="CQ64" s="315" t="s">
        <v>232</v>
      </c>
      <c r="CR64" s="318" t="s">
        <v>232</v>
      </c>
      <c r="CS64" s="311" t="s">
        <v>232</v>
      </c>
      <c r="CT64" s="311" t="s">
        <v>232</v>
      </c>
    </row>
    <row r="65" spans="1:98" ht="22" customHeight="1" x14ac:dyDescent="0.25">
      <c r="A65" s="370" t="s">
        <v>454</v>
      </c>
      <c r="B65" s="338" t="s">
        <v>295</v>
      </c>
      <c r="C65" s="322" t="s">
        <v>296</v>
      </c>
      <c r="D65" s="322" t="s">
        <v>232</v>
      </c>
      <c r="E65" s="371" t="s">
        <v>232</v>
      </c>
      <c r="F65" s="322">
        <v>3607</v>
      </c>
      <c r="G65" s="322">
        <v>20</v>
      </c>
      <c r="H65" s="322" t="s">
        <v>2</v>
      </c>
      <c r="I65" s="324">
        <v>1</v>
      </c>
      <c r="J65" s="362">
        <v>430.71</v>
      </c>
      <c r="K65" s="326">
        <f>F65/(G65*I65)</f>
        <v>180.35</v>
      </c>
      <c r="L65" s="327"/>
      <c r="M65" s="333" t="s">
        <v>455</v>
      </c>
      <c r="N65" s="334" t="s">
        <v>456</v>
      </c>
      <c r="O65" s="330">
        <f>SUM(O66:O78)</f>
        <v>0.17280538220740624</v>
      </c>
      <c r="P65" s="330">
        <f>SUM(P66:P78)</f>
        <v>37.77076275162166</v>
      </c>
      <c r="Q65" s="330">
        <f t="shared" si="97"/>
        <v>1.9857339720851801</v>
      </c>
      <c r="R65" s="330">
        <f t="shared" si="88"/>
        <v>39.756496723706839</v>
      </c>
      <c r="S65" s="330">
        <f>SUM(S66:S78)</f>
        <v>183.70509670293694</v>
      </c>
      <c r="T65" s="330">
        <f t="shared" ref="T65:AF65" si="103">SUM(T66:T78)</f>
        <v>767.84704528307611</v>
      </c>
      <c r="U65" s="330">
        <f t="shared" si="103"/>
        <v>1.7077684194664146E-3</v>
      </c>
      <c r="V65" s="330">
        <f t="shared" si="103"/>
        <v>3.3470237784458845E-2</v>
      </c>
      <c r="W65" s="330">
        <f t="shared" si="103"/>
        <v>0.34046490018557851</v>
      </c>
      <c r="X65" s="330">
        <f t="shared" si="103"/>
        <v>2.0386782025628649E-8</v>
      </c>
      <c r="Y65" s="330">
        <f t="shared" si="103"/>
        <v>3.6946641631231445E-7</v>
      </c>
      <c r="Z65" s="330">
        <f t="shared" si="103"/>
        <v>0.68903185904325259</v>
      </c>
      <c r="AA65" s="330">
        <f t="shared" si="103"/>
        <v>79.305067358471561</v>
      </c>
      <c r="AB65" s="330">
        <f t="shared" si="103"/>
        <v>1.0744194808745293E-3</v>
      </c>
      <c r="AC65" s="330">
        <f t="shared" si="103"/>
        <v>1.2196164065962163E-6</v>
      </c>
      <c r="AD65" s="330">
        <f t="shared" si="103"/>
        <v>1.6080720639412146E-6</v>
      </c>
      <c r="AE65" s="330">
        <f t="shared" si="103"/>
        <v>0.13357092763914469</v>
      </c>
      <c r="AF65" s="330">
        <f t="shared" si="103"/>
        <v>29.212823020961952</v>
      </c>
      <c r="AH65" s="316" t="s">
        <v>232</v>
      </c>
      <c r="AI65" s="331" t="s">
        <v>232</v>
      </c>
      <c r="AJ65" s="311" t="s">
        <v>232</v>
      </c>
      <c r="AK65" s="311" t="s">
        <v>232</v>
      </c>
      <c r="AL65" s="311" t="s">
        <v>232</v>
      </c>
      <c r="AM65" s="311" t="s">
        <v>232</v>
      </c>
      <c r="AN65" s="311" t="s">
        <v>232</v>
      </c>
      <c r="AO65" s="311" t="s">
        <v>232</v>
      </c>
      <c r="AP65" s="311" t="s">
        <v>232</v>
      </c>
      <c r="AQ65" s="318" t="s">
        <v>232</v>
      </c>
      <c r="AR65" s="318" t="s">
        <v>232</v>
      </c>
      <c r="AS65" s="318" t="s">
        <v>232</v>
      </c>
      <c r="AT65" s="315" t="s">
        <v>232</v>
      </c>
      <c r="AU65" s="315" t="s">
        <v>232</v>
      </c>
      <c r="AV65" s="318" t="s">
        <v>232</v>
      </c>
      <c r="AW65" s="311" t="s">
        <v>232</v>
      </c>
      <c r="AX65" s="318" t="s">
        <v>232</v>
      </c>
      <c r="AY65" s="315" t="s">
        <v>232</v>
      </c>
      <c r="AZ65" s="318" t="s">
        <v>232</v>
      </c>
      <c r="BA65" s="311" t="s">
        <v>232</v>
      </c>
      <c r="BB65" s="311" t="s">
        <v>232</v>
      </c>
      <c r="BD65" s="316">
        <v>348.25259999999997</v>
      </c>
      <c r="BE65" s="368">
        <f t="shared" si="101"/>
        <v>9.1000000000008185E-2</v>
      </c>
      <c r="BF65" s="311">
        <f t="shared" si="94"/>
        <v>16.411850000001476</v>
      </c>
      <c r="BG65" s="311">
        <f>$BE65*O$65</f>
        <v>1.5725289780875382E-2</v>
      </c>
      <c r="BH65" s="311">
        <f t="shared" ref="BH65:BX65" si="104">$BE65*P$65</f>
        <v>3.4371394103978803</v>
      </c>
      <c r="BI65" s="311">
        <f t="shared" si="104"/>
        <v>0.18070179145976764</v>
      </c>
      <c r="BJ65" s="311">
        <f t="shared" si="104"/>
        <v>3.6178412018576478</v>
      </c>
      <c r="BK65" s="311">
        <f t="shared" si="104"/>
        <v>16.717163799968766</v>
      </c>
      <c r="BL65" s="311">
        <f t="shared" si="104"/>
        <v>69.874081120766206</v>
      </c>
      <c r="BM65" s="318">
        <f t="shared" si="104"/>
        <v>1.5540692617145772E-4</v>
      </c>
      <c r="BN65" s="318">
        <f t="shared" si="104"/>
        <v>3.0457916383860289E-3</v>
      </c>
      <c r="BO65" s="318">
        <f t="shared" si="104"/>
        <v>3.098230591689043E-2</v>
      </c>
      <c r="BP65" s="315">
        <f t="shared" si="104"/>
        <v>1.8551971643323739E-9</v>
      </c>
      <c r="BQ65" s="315">
        <f t="shared" si="104"/>
        <v>3.3621443884423641E-8</v>
      </c>
      <c r="BR65" s="318">
        <f t="shared" si="104"/>
        <v>6.2701899172941625E-2</v>
      </c>
      <c r="BS65" s="311">
        <f t="shared" si="104"/>
        <v>7.2167611296215615</v>
      </c>
      <c r="BT65" s="318">
        <f t="shared" si="104"/>
        <v>9.777217275959096E-5</v>
      </c>
      <c r="BU65" s="315">
        <f t="shared" si="104"/>
        <v>1.1098509300026567E-7</v>
      </c>
      <c r="BV65" s="318">
        <f t="shared" si="104"/>
        <v>1.463345578186637E-7</v>
      </c>
      <c r="BW65" s="311">
        <f t="shared" si="104"/>
        <v>1.215495441516326E-2</v>
      </c>
      <c r="BX65" s="311">
        <f t="shared" si="104"/>
        <v>2.6583668949077768</v>
      </c>
      <c r="BZ65" s="365">
        <v>348.25259999999997</v>
      </c>
      <c r="CA65" s="369">
        <f t="shared" ref="CA65" si="105">IF(BZ65&gt;0,BZ$2-BZ65,0)</f>
        <v>9.1000000000008185E-2</v>
      </c>
      <c r="CB65" s="311" t="s">
        <v>232</v>
      </c>
      <c r="CC65" s="311">
        <f t="shared" ref="CC65:CT65" si="106">$CA65*O$65</f>
        <v>1.5725289780875382E-2</v>
      </c>
      <c r="CD65" s="311">
        <f t="shared" si="106"/>
        <v>3.4371394103978803</v>
      </c>
      <c r="CE65" s="311">
        <f t="shared" si="106"/>
        <v>0.18070179145976764</v>
      </c>
      <c r="CF65" s="311">
        <f t="shared" si="106"/>
        <v>3.6178412018576478</v>
      </c>
      <c r="CG65" s="311">
        <f t="shared" si="106"/>
        <v>16.717163799968766</v>
      </c>
      <c r="CH65" s="311">
        <f t="shared" si="106"/>
        <v>69.874081120766206</v>
      </c>
      <c r="CI65" s="318">
        <f t="shared" si="106"/>
        <v>1.5540692617145772E-4</v>
      </c>
      <c r="CJ65" s="318">
        <f t="shared" si="106"/>
        <v>3.0457916383860289E-3</v>
      </c>
      <c r="CK65" s="318">
        <f t="shared" si="106"/>
        <v>3.098230591689043E-2</v>
      </c>
      <c r="CL65" s="315">
        <f t="shared" si="106"/>
        <v>1.8551971643323739E-9</v>
      </c>
      <c r="CM65" s="315">
        <f t="shared" si="106"/>
        <v>3.3621443884423641E-8</v>
      </c>
      <c r="CN65" s="318">
        <f t="shared" si="106"/>
        <v>6.2701899172941625E-2</v>
      </c>
      <c r="CO65" s="311">
        <f t="shared" si="106"/>
        <v>7.2167611296215615</v>
      </c>
      <c r="CP65" s="318">
        <f t="shared" si="106"/>
        <v>9.777217275959096E-5</v>
      </c>
      <c r="CQ65" s="315">
        <f t="shared" si="106"/>
        <v>1.1098509300026567E-7</v>
      </c>
      <c r="CR65" s="318">
        <f t="shared" si="106"/>
        <v>1.463345578186637E-7</v>
      </c>
      <c r="CS65" s="311">
        <f t="shared" si="106"/>
        <v>1.215495441516326E-2</v>
      </c>
      <c r="CT65" s="311">
        <f t="shared" si="106"/>
        <v>2.6583668949077768</v>
      </c>
    </row>
    <row r="66" spans="1:98" ht="22" customHeight="1" x14ac:dyDescent="0.25">
      <c r="A66" s="456"/>
      <c r="B66" s="350" t="s">
        <v>457</v>
      </c>
      <c r="C66" s="309" t="s">
        <v>232</v>
      </c>
      <c r="D66" s="340" t="s">
        <v>263</v>
      </c>
      <c r="E66" s="341" t="s">
        <v>458</v>
      </c>
      <c r="F66" s="342" t="s">
        <v>232</v>
      </c>
      <c r="G66" s="342" t="s">
        <v>232</v>
      </c>
      <c r="H66" s="342" t="s">
        <v>232</v>
      </c>
      <c r="I66" s="310" t="s">
        <v>232</v>
      </c>
      <c r="J66" s="310" t="s">
        <v>232</v>
      </c>
      <c r="K66" s="343" t="s">
        <v>232</v>
      </c>
      <c r="L66" s="344"/>
      <c r="M66" s="340" t="s">
        <v>232</v>
      </c>
      <c r="N66" s="342" t="s">
        <v>232</v>
      </c>
      <c r="O66" s="345">
        <v>9.4741260328486607E-3</v>
      </c>
      <c r="P66" s="345">
        <v>2.3788639252166979</v>
      </c>
      <c r="Q66" s="345" t="s">
        <v>232</v>
      </c>
      <c r="R66" s="345" t="s">
        <v>232</v>
      </c>
      <c r="S66" s="345">
        <v>5.3368196154776379</v>
      </c>
      <c r="T66" s="345">
        <v>63.853680898577707</v>
      </c>
      <c r="U66" s="345">
        <v>5.7026436998403032E-5</v>
      </c>
      <c r="V66" s="345">
        <v>1.692372165734134E-3</v>
      </c>
      <c r="W66" s="345">
        <v>1.8893979467398739E-2</v>
      </c>
      <c r="X66" s="345">
        <v>4.9509766865930591E-10</v>
      </c>
      <c r="Y66" s="345">
        <v>1.6103015315317239E-8</v>
      </c>
      <c r="Z66" s="345">
        <v>3.3481950628474158E-2</v>
      </c>
      <c r="AA66" s="345">
        <v>2.831013577955332</v>
      </c>
      <c r="AB66" s="345">
        <v>8.9465525165115555E-6</v>
      </c>
      <c r="AC66" s="345">
        <v>6.9504513651185688E-9</v>
      </c>
      <c r="AD66" s="345">
        <v>8.8460302733513376E-8</v>
      </c>
      <c r="AE66" s="345">
        <v>7.6865446725725914E-3</v>
      </c>
      <c r="AF66" s="345">
        <v>1.002936240946035</v>
      </c>
      <c r="AH66" s="316" t="s">
        <v>232</v>
      </c>
      <c r="AI66" s="317" t="s">
        <v>232</v>
      </c>
      <c r="AJ66" s="311" t="s">
        <v>232</v>
      </c>
      <c r="AK66" s="311" t="s">
        <v>232</v>
      </c>
      <c r="AL66" s="311" t="s">
        <v>232</v>
      </c>
      <c r="AM66" s="311" t="s">
        <v>232</v>
      </c>
      <c r="AN66" s="311" t="s">
        <v>232</v>
      </c>
      <c r="AO66" s="311" t="s">
        <v>232</v>
      </c>
      <c r="AP66" s="311" t="s">
        <v>232</v>
      </c>
      <c r="AQ66" s="318" t="s">
        <v>232</v>
      </c>
      <c r="AR66" s="318" t="s">
        <v>232</v>
      </c>
      <c r="AS66" s="318" t="s">
        <v>232</v>
      </c>
      <c r="AT66" s="315" t="s">
        <v>232</v>
      </c>
      <c r="AU66" s="315" t="s">
        <v>232</v>
      </c>
      <c r="AV66" s="318" t="s">
        <v>232</v>
      </c>
      <c r="AW66" s="311" t="s">
        <v>232</v>
      </c>
      <c r="AX66" s="318" t="s">
        <v>232</v>
      </c>
      <c r="AY66" s="315" t="s">
        <v>232</v>
      </c>
      <c r="AZ66" s="318" t="s">
        <v>232</v>
      </c>
      <c r="BA66" s="311" t="s">
        <v>232</v>
      </c>
      <c r="BB66" s="311" t="s">
        <v>232</v>
      </c>
      <c r="BD66" s="316" t="s">
        <v>232</v>
      </c>
      <c r="BE66" s="364" t="s">
        <v>232</v>
      </c>
      <c r="BF66" s="311" t="s">
        <v>232</v>
      </c>
      <c r="BG66" s="311" t="s">
        <v>232</v>
      </c>
      <c r="BH66" s="311" t="s">
        <v>232</v>
      </c>
      <c r="BI66" s="311" t="s">
        <v>232</v>
      </c>
      <c r="BJ66" s="311" t="s">
        <v>232</v>
      </c>
      <c r="BK66" s="311" t="s">
        <v>232</v>
      </c>
      <c r="BL66" s="311" t="s">
        <v>232</v>
      </c>
      <c r="BM66" s="318" t="s">
        <v>232</v>
      </c>
      <c r="BN66" s="318" t="s">
        <v>232</v>
      </c>
      <c r="BO66" s="318" t="s">
        <v>232</v>
      </c>
      <c r="BP66" s="315" t="s">
        <v>232</v>
      </c>
      <c r="BQ66" s="315" t="s">
        <v>232</v>
      </c>
      <c r="BR66" s="318" t="s">
        <v>232</v>
      </c>
      <c r="BS66" s="311" t="s">
        <v>232</v>
      </c>
      <c r="BT66" s="318" t="s">
        <v>232</v>
      </c>
      <c r="BU66" s="315" t="s">
        <v>232</v>
      </c>
      <c r="BV66" s="318" t="s">
        <v>232</v>
      </c>
      <c r="BW66" s="311" t="s">
        <v>232</v>
      </c>
      <c r="BX66" s="311" t="s">
        <v>232</v>
      </c>
      <c r="BZ66" s="365" t="s">
        <v>232</v>
      </c>
      <c r="CA66" s="366" t="s">
        <v>232</v>
      </c>
      <c r="CB66" s="311" t="s">
        <v>232</v>
      </c>
      <c r="CC66" s="311" t="s">
        <v>232</v>
      </c>
      <c r="CD66" s="311" t="s">
        <v>232</v>
      </c>
      <c r="CE66" s="311" t="s">
        <v>232</v>
      </c>
      <c r="CF66" s="311" t="s">
        <v>232</v>
      </c>
      <c r="CG66" s="311" t="s">
        <v>232</v>
      </c>
      <c r="CH66" s="311" t="s">
        <v>232</v>
      </c>
      <c r="CI66" s="318" t="s">
        <v>232</v>
      </c>
      <c r="CJ66" s="318" t="s">
        <v>232</v>
      </c>
      <c r="CK66" s="318" t="s">
        <v>232</v>
      </c>
      <c r="CL66" s="315" t="s">
        <v>232</v>
      </c>
      <c r="CM66" s="315" t="s">
        <v>232</v>
      </c>
      <c r="CN66" s="318" t="s">
        <v>232</v>
      </c>
      <c r="CO66" s="311" t="s">
        <v>232</v>
      </c>
      <c r="CP66" s="318" t="s">
        <v>232</v>
      </c>
      <c r="CQ66" s="315" t="s">
        <v>232</v>
      </c>
      <c r="CR66" s="318" t="s">
        <v>232</v>
      </c>
      <c r="CS66" s="311" t="s">
        <v>232</v>
      </c>
      <c r="CT66" s="311" t="s">
        <v>232</v>
      </c>
    </row>
    <row r="67" spans="1:98" ht="22" customHeight="1" x14ac:dyDescent="0.25">
      <c r="A67" s="456"/>
      <c r="B67" s="350" t="s">
        <v>459</v>
      </c>
      <c r="C67" s="309" t="s">
        <v>232</v>
      </c>
      <c r="D67" s="340" t="s">
        <v>263</v>
      </c>
      <c r="E67" s="341" t="s">
        <v>460</v>
      </c>
      <c r="F67" s="342" t="s">
        <v>232</v>
      </c>
      <c r="G67" s="342" t="s">
        <v>232</v>
      </c>
      <c r="H67" s="342" t="s">
        <v>232</v>
      </c>
      <c r="I67" s="310" t="s">
        <v>232</v>
      </c>
      <c r="J67" s="310" t="s">
        <v>232</v>
      </c>
      <c r="K67" s="343" t="s">
        <v>232</v>
      </c>
      <c r="L67" s="344"/>
      <c r="M67" s="340" t="s">
        <v>232</v>
      </c>
      <c r="N67" s="342" t="s">
        <v>232</v>
      </c>
      <c r="O67" s="345">
        <v>4.6618608203488326E-3</v>
      </c>
      <c r="P67" s="345">
        <v>1.6028780373026339</v>
      </c>
      <c r="Q67" s="345" t="s">
        <v>232</v>
      </c>
      <c r="R67" s="345" t="s">
        <v>232</v>
      </c>
      <c r="S67" s="345">
        <v>0.25762869467009653</v>
      </c>
      <c r="T67" s="345">
        <v>62.447911358060111</v>
      </c>
      <c r="U67" s="345">
        <v>5.0260889880479528E-7</v>
      </c>
      <c r="V67" s="345">
        <v>8.3922838767284383E-4</v>
      </c>
      <c r="W67" s="345">
        <v>9.1601553576436852E-3</v>
      </c>
      <c r="X67" s="345">
        <v>7.7896194976280394E-11</v>
      </c>
      <c r="Y67" s="345">
        <v>1.6130247008699079E-9</v>
      </c>
      <c r="Z67" s="345">
        <v>4.8814900694420852E-5</v>
      </c>
      <c r="AA67" s="345">
        <v>3.0759527833916341E-2</v>
      </c>
      <c r="AB67" s="345">
        <v>4.1575429009475243E-8</v>
      </c>
      <c r="AC67" s="345">
        <v>3.6118688472730451E-10</v>
      </c>
      <c r="AD67" s="345">
        <v>5.8771747330844049E-8</v>
      </c>
      <c r="AE67" s="345">
        <v>4.5072887304123998E-3</v>
      </c>
      <c r="AF67" s="345">
        <v>0.68190016882079163</v>
      </c>
      <c r="AH67" s="316" t="s">
        <v>232</v>
      </c>
      <c r="AI67" s="317" t="s">
        <v>232</v>
      </c>
      <c r="AJ67" s="311" t="s">
        <v>232</v>
      </c>
      <c r="AK67" s="311" t="s">
        <v>232</v>
      </c>
      <c r="AL67" s="311" t="s">
        <v>232</v>
      </c>
      <c r="AM67" s="311" t="s">
        <v>232</v>
      </c>
      <c r="AN67" s="311" t="s">
        <v>232</v>
      </c>
      <c r="AO67" s="311" t="s">
        <v>232</v>
      </c>
      <c r="AP67" s="311" t="s">
        <v>232</v>
      </c>
      <c r="AQ67" s="318" t="s">
        <v>232</v>
      </c>
      <c r="AR67" s="318" t="s">
        <v>232</v>
      </c>
      <c r="AS67" s="318" t="s">
        <v>232</v>
      </c>
      <c r="AT67" s="315" t="s">
        <v>232</v>
      </c>
      <c r="AU67" s="315" t="s">
        <v>232</v>
      </c>
      <c r="AV67" s="318" t="s">
        <v>232</v>
      </c>
      <c r="AW67" s="311" t="s">
        <v>232</v>
      </c>
      <c r="AX67" s="318" t="s">
        <v>232</v>
      </c>
      <c r="AY67" s="315" t="s">
        <v>232</v>
      </c>
      <c r="AZ67" s="318" t="s">
        <v>232</v>
      </c>
      <c r="BA67" s="311" t="s">
        <v>232</v>
      </c>
      <c r="BB67" s="311" t="s">
        <v>232</v>
      </c>
      <c r="BD67" s="316" t="s">
        <v>232</v>
      </c>
      <c r="BE67" s="364" t="s">
        <v>232</v>
      </c>
      <c r="BF67" s="311" t="s">
        <v>232</v>
      </c>
      <c r="BG67" s="311" t="s">
        <v>232</v>
      </c>
      <c r="BH67" s="311" t="s">
        <v>232</v>
      </c>
      <c r="BI67" s="311" t="s">
        <v>232</v>
      </c>
      <c r="BJ67" s="311" t="s">
        <v>232</v>
      </c>
      <c r="BK67" s="311" t="s">
        <v>232</v>
      </c>
      <c r="BL67" s="311" t="s">
        <v>232</v>
      </c>
      <c r="BM67" s="318" t="s">
        <v>232</v>
      </c>
      <c r="BN67" s="318" t="s">
        <v>232</v>
      </c>
      <c r="BO67" s="318" t="s">
        <v>232</v>
      </c>
      <c r="BP67" s="315" t="s">
        <v>232</v>
      </c>
      <c r="BQ67" s="315" t="s">
        <v>232</v>
      </c>
      <c r="BR67" s="318" t="s">
        <v>232</v>
      </c>
      <c r="BS67" s="311" t="s">
        <v>232</v>
      </c>
      <c r="BT67" s="318" t="s">
        <v>232</v>
      </c>
      <c r="BU67" s="315" t="s">
        <v>232</v>
      </c>
      <c r="BV67" s="318" t="s">
        <v>232</v>
      </c>
      <c r="BW67" s="311" t="s">
        <v>232</v>
      </c>
      <c r="BX67" s="311" t="s">
        <v>232</v>
      </c>
      <c r="BZ67" s="365" t="s">
        <v>232</v>
      </c>
      <c r="CA67" s="366" t="s">
        <v>232</v>
      </c>
      <c r="CB67" s="311" t="s">
        <v>232</v>
      </c>
      <c r="CC67" s="311" t="s">
        <v>232</v>
      </c>
      <c r="CD67" s="311" t="s">
        <v>232</v>
      </c>
      <c r="CE67" s="311" t="s">
        <v>232</v>
      </c>
      <c r="CF67" s="311" t="s">
        <v>232</v>
      </c>
      <c r="CG67" s="311" t="s">
        <v>232</v>
      </c>
      <c r="CH67" s="311" t="s">
        <v>232</v>
      </c>
      <c r="CI67" s="318" t="s">
        <v>232</v>
      </c>
      <c r="CJ67" s="318" t="s">
        <v>232</v>
      </c>
      <c r="CK67" s="318" t="s">
        <v>232</v>
      </c>
      <c r="CL67" s="315" t="s">
        <v>232</v>
      </c>
      <c r="CM67" s="315" t="s">
        <v>232</v>
      </c>
      <c r="CN67" s="318" t="s">
        <v>232</v>
      </c>
      <c r="CO67" s="311" t="s">
        <v>232</v>
      </c>
      <c r="CP67" s="318" t="s">
        <v>232</v>
      </c>
      <c r="CQ67" s="315" t="s">
        <v>232</v>
      </c>
      <c r="CR67" s="318" t="s">
        <v>232</v>
      </c>
      <c r="CS67" s="311" t="s">
        <v>232</v>
      </c>
      <c r="CT67" s="311" t="s">
        <v>232</v>
      </c>
    </row>
    <row r="68" spans="1:98" ht="22" customHeight="1" x14ac:dyDescent="0.25">
      <c r="A68" s="457"/>
      <c r="B68" s="350" t="s">
        <v>461</v>
      </c>
      <c r="C68" s="340" t="s">
        <v>232</v>
      </c>
      <c r="D68" s="340" t="s">
        <v>263</v>
      </c>
      <c r="E68" s="341" t="s">
        <v>462</v>
      </c>
      <c r="F68" s="342" t="s">
        <v>232</v>
      </c>
      <c r="G68" s="342" t="s">
        <v>232</v>
      </c>
      <c r="H68" s="342" t="s">
        <v>232</v>
      </c>
      <c r="I68" s="310" t="s">
        <v>232</v>
      </c>
      <c r="J68" s="310" t="s">
        <v>232</v>
      </c>
      <c r="K68" s="343" t="s">
        <v>232</v>
      </c>
      <c r="L68" s="344"/>
      <c r="M68" s="340" t="s">
        <v>232</v>
      </c>
      <c r="N68" s="342" t="s">
        <v>232</v>
      </c>
      <c r="O68" s="345">
        <v>3.9583199689313319E-3</v>
      </c>
      <c r="P68" s="345">
        <v>1.1099964352788521</v>
      </c>
      <c r="Q68" s="345" t="s">
        <v>232</v>
      </c>
      <c r="R68" s="345" t="s">
        <v>232</v>
      </c>
      <c r="S68" s="345">
        <v>4.012832601825993</v>
      </c>
      <c r="T68" s="345">
        <v>36.490729883035733</v>
      </c>
      <c r="U68" s="345">
        <v>2.9465498940952451E-5</v>
      </c>
      <c r="V68" s="345">
        <v>1.0119050668784789E-3</v>
      </c>
      <c r="W68" s="345">
        <v>1.122986158876731E-2</v>
      </c>
      <c r="X68" s="345">
        <v>1.0533271849474309E-9</v>
      </c>
      <c r="Y68" s="345">
        <v>1.09805468947746E-8</v>
      </c>
      <c r="Z68" s="345">
        <v>1.265280175307021E-2</v>
      </c>
      <c r="AA68" s="345">
        <v>2.575942296272181</v>
      </c>
      <c r="AB68" s="345">
        <v>9.0461292636785603E-6</v>
      </c>
      <c r="AC68" s="345">
        <v>5.2402102068092397E-8</v>
      </c>
      <c r="AD68" s="345">
        <v>2.8189165797865019E-8</v>
      </c>
      <c r="AE68" s="345">
        <v>5.8870867496256451E-3</v>
      </c>
      <c r="AF68" s="345">
        <v>0.27953956624484561</v>
      </c>
      <c r="AH68" s="316" t="s">
        <v>232</v>
      </c>
      <c r="AI68" s="317" t="s">
        <v>232</v>
      </c>
      <c r="AJ68" s="311" t="s">
        <v>232</v>
      </c>
      <c r="AK68" s="311" t="s">
        <v>232</v>
      </c>
      <c r="AL68" s="311" t="s">
        <v>232</v>
      </c>
      <c r="AM68" s="311" t="s">
        <v>232</v>
      </c>
      <c r="AN68" s="311" t="s">
        <v>232</v>
      </c>
      <c r="AO68" s="311" t="s">
        <v>232</v>
      </c>
      <c r="AP68" s="311" t="s">
        <v>232</v>
      </c>
      <c r="AQ68" s="318" t="s">
        <v>232</v>
      </c>
      <c r="AR68" s="318" t="s">
        <v>232</v>
      </c>
      <c r="AS68" s="318" t="s">
        <v>232</v>
      </c>
      <c r="AT68" s="315" t="s">
        <v>232</v>
      </c>
      <c r="AU68" s="315" t="s">
        <v>232</v>
      </c>
      <c r="AV68" s="318" t="s">
        <v>232</v>
      </c>
      <c r="AW68" s="311" t="s">
        <v>232</v>
      </c>
      <c r="AX68" s="318" t="s">
        <v>232</v>
      </c>
      <c r="AY68" s="315" t="s">
        <v>232</v>
      </c>
      <c r="AZ68" s="318" t="s">
        <v>232</v>
      </c>
      <c r="BA68" s="311" t="s">
        <v>232</v>
      </c>
      <c r="BB68" s="311" t="s">
        <v>232</v>
      </c>
      <c r="BD68" s="316" t="s">
        <v>232</v>
      </c>
      <c r="BE68" s="364" t="s">
        <v>232</v>
      </c>
      <c r="BF68" s="311" t="s">
        <v>232</v>
      </c>
      <c r="BG68" s="311" t="s">
        <v>232</v>
      </c>
      <c r="BH68" s="311" t="s">
        <v>232</v>
      </c>
      <c r="BI68" s="311" t="s">
        <v>232</v>
      </c>
      <c r="BJ68" s="311" t="s">
        <v>232</v>
      </c>
      <c r="BK68" s="311" t="s">
        <v>232</v>
      </c>
      <c r="BL68" s="311" t="s">
        <v>232</v>
      </c>
      <c r="BM68" s="318" t="s">
        <v>232</v>
      </c>
      <c r="BN68" s="318" t="s">
        <v>232</v>
      </c>
      <c r="BO68" s="318" t="s">
        <v>232</v>
      </c>
      <c r="BP68" s="315" t="s">
        <v>232</v>
      </c>
      <c r="BQ68" s="315" t="s">
        <v>232</v>
      </c>
      <c r="BR68" s="318" t="s">
        <v>232</v>
      </c>
      <c r="BS68" s="311" t="s">
        <v>232</v>
      </c>
      <c r="BT68" s="318" t="s">
        <v>232</v>
      </c>
      <c r="BU68" s="315" t="s">
        <v>232</v>
      </c>
      <c r="BV68" s="318" t="s">
        <v>232</v>
      </c>
      <c r="BW68" s="311" t="s">
        <v>232</v>
      </c>
      <c r="BX68" s="311" t="s">
        <v>232</v>
      </c>
      <c r="BZ68" s="365" t="s">
        <v>232</v>
      </c>
      <c r="CA68" s="366" t="s">
        <v>232</v>
      </c>
      <c r="CB68" s="311" t="s">
        <v>232</v>
      </c>
      <c r="CC68" s="311" t="s">
        <v>232</v>
      </c>
      <c r="CD68" s="311" t="s">
        <v>232</v>
      </c>
      <c r="CE68" s="311" t="s">
        <v>232</v>
      </c>
      <c r="CF68" s="311" t="s">
        <v>232</v>
      </c>
      <c r="CG68" s="311" t="s">
        <v>232</v>
      </c>
      <c r="CH68" s="311" t="s">
        <v>232</v>
      </c>
      <c r="CI68" s="318" t="s">
        <v>232</v>
      </c>
      <c r="CJ68" s="318" t="s">
        <v>232</v>
      </c>
      <c r="CK68" s="318" t="s">
        <v>232</v>
      </c>
      <c r="CL68" s="315" t="s">
        <v>232</v>
      </c>
      <c r="CM68" s="315" t="s">
        <v>232</v>
      </c>
      <c r="CN68" s="318" t="s">
        <v>232</v>
      </c>
      <c r="CO68" s="311" t="s">
        <v>232</v>
      </c>
      <c r="CP68" s="318" t="s">
        <v>232</v>
      </c>
      <c r="CQ68" s="315" t="s">
        <v>232</v>
      </c>
      <c r="CR68" s="318" t="s">
        <v>232</v>
      </c>
      <c r="CS68" s="311" t="s">
        <v>232</v>
      </c>
      <c r="CT68" s="311" t="s">
        <v>232</v>
      </c>
    </row>
    <row r="69" spans="1:98" ht="22" customHeight="1" x14ac:dyDescent="0.25">
      <c r="A69" s="342"/>
      <c r="B69" s="350" t="s">
        <v>463</v>
      </c>
      <c r="C69" s="340" t="s">
        <v>232</v>
      </c>
      <c r="D69" s="340" t="s">
        <v>263</v>
      </c>
      <c r="E69" s="341" t="s">
        <v>464</v>
      </c>
      <c r="F69" s="342" t="s">
        <v>232</v>
      </c>
      <c r="G69" s="342" t="s">
        <v>232</v>
      </c>
      <c r="H69" s="342" t="s">
        <v>232</v>
      </c>
      <c r="I69" s="310" t="s">
        <v>232</v>
      </c>
      <c r="J69" s="310" t="s">
        <v>232</v>
      </c>
      <c r="K69" s="343" t="s">
        <v>232</v>
      </c>
      <c r="L69" s="344"/>
      <c r="M69" s="340" t="s">
        <v>232</v>
      </c>
      <c r="N69" s="342" t="s">
        <v>232</v>
      </c>
      <c r="O69" s="345">
        <v>2.913804801923664E-2</v>
      </c>
      <c r="P69" s="345">
        <v>5.8797252859843274</v>
      </c>
      <c r="Q69" s="345" t="s">
        <v>232</v>
      </c>
      <c r="R69" s="345" t="s">
        <v>232</v>
      </c>
      <c r="S69" s="345">
        <v>15.60491810991525</v>
      </c>
      <c r="T69" s="345">
        <v>71.4723904157227</v>
      </c>
      <c r="U69" s="345">
        <v>2.7261121834142678E-4</v>
      </c>
      <c r="V69" s="345">
        <v>5.3826074440054958E-3</v>
      </c>
      <c r="W69" s="345">
        <v>5.9835369981141938E-2</v>
      </c>
      <c r="X69" s="345">
        <v>1.553220520662206E-9</v>
      </c>
      <c r="Y69" s="345">
        <v>5.6438468004052479E-8</v>
      </c>
      <c r="Z69" s="345">
        <v>0.23352792591974769</v>
      </c>
      <c r="AA69" s="345">
        <v>12.1467346090382</v>
      </c>
      <c r="AB69" s="345">
        <v>1.313986221363256E-5</v>
      </c>
      <c r="AC69" s="345">
        <v>3.335357001161221E-8</v>
      </c>
      <c r="AD69" s="345">
        <v>2.7111263188397641E-7</v>
      </c>
      <c r="AE69" s="345">
        <v>1.892131154021439E-2</v>
      </c>
      <c r="AF69" s="345">
        <v>6.0926361609049717</v>
      </c>
      <c r="AH69" s="316" t="s">
        <v>232</v>
      </c>
      <c r="AI69" s="317" t="s">
        <v>232</v>
      </c>
      <c r="AJ69" s="311" t="s">
        <v>232</v>
      </c>
      <c r="AK69" s="311" t="s">
        <v>232</v>
      </c>
      <c r="AL69" s="311" t="s">
        <v>232</v>
      </c>
      <c r="AM69" s="311" t="s">
        <v>232</v>
      </c>
      <c r="AN69" s="311" t="s">
        <v>232</v>
      </c>
      <c r="AO69" s="311" t="s">
        <v>232</v>
      </c>
      <c r="AP69" s="311" t="s">
        <v>232</v>
      </c>
      <c r="AQ69" s="318" t="s">
        <v>232</v>
      </c>
      <c r="AR69" s="318" t="s">
        <v>232</v>
      </c>
      <c r="AS69" s="318" t="s">
        <v>232</v>
      </c>
      <c r="AT69" s="315" t="s">
        <v>232</v>
      </c>
      <c r="AU69" s="315" t="s">
        <v>232</v>
      </c>
      <c r="AV69" s="318" t="s">
        <v>232</v>
      </c>
      <c r="AW69" s="311" t="s">
        <v>232</v>
      </c>
      <c r="AX69" s="318" t="s">
        <v>232</v>
      </c>
      <c r="AY69" s="315" t="s">
        <v>232</v>
      </c>
      <c r="AZ69" s="318" t="s">
        <v>232</v>
      </c>
      <c r="BA69" s="311" t="s">
        <v>232</v>
      </c>
      <c r="BB69" s="311" t="s">
        <v>232</v>
      </c>
      <c r="BD69" s="316" t="s">
        <v>232</v>
      </c>
      <c r="BE69" s="364" t="s">
        <v>232</v>
      </c>
      <c r="BF69" s="311" t="s">
        <v>232</v>
      </c>
      <c r="BG69" s="311" t="s">
        <v>232</v>
      </c>
      <c r="BH69" s="311" t="s">
        <v>232</v>
      </c>
      <c r="BI69" s="311" t="s">
        <v>232</v>
      </c>
      <c r="BJ69" s="311" t="s">
        <v>232</v>
      </c>
      <c r="BK69" s="311" t="s">
        <v>232</v>
      </c>
      <c r="BL69" s="311" t="s">
        <v>232</v>
      </c>
      <c r="BM69" s="318" t="s">
        <v>232</v>
      </c>
      <c r="BN69" s="318" t="s">
        <v>232</v>
      </c>
      <c r="BO69" s="318" t="s">
        <v>232</v>
      </c>
      <c r="BP69" s="315" t="s">
        <v>232</v>
      </c>
      <c r="BQ69" s="315" t="s">
        <v>232</v>
      </c>
      <c r="BR69" s="318" t="s">
        <v>232</v>
      </c>
      <c r="BS69" s="311" t="s">
        <v>232</v>
      </c>
      <c r="BT69" s="318" t="s">
        <v>232</v>
      </c>
      <c r="BU69" s="315" t="s">
        <v>232</v>
      </c>
      <c r="BV69" s="318" t="s">
        <v>232</v>
      </c>
      <c r="BW69" s="311" t="s">
        <v>232</v>
      </c>
      <c r="BX69" s="311" t="s">
        <v>232</v>
      </c>
      <c r="BZ69" s="365" t="s">
        <v>232</v>
      </c>
      <c r="CA69" s="366" t="s">
        <v>232</v>
      </c>
      <c r="CB69" s="311" t="s">
        <v>232</v>
      </c>
      <c r="CC69" s="311" t="s">
        <v>232</v>
      </c>
      <c r="CD69" s="311" t="s">
        <v>232</v>
      </c>
      <c r="CE69" s="311" t="s">
        <v>232</v>
      </c>
      <c r="CF69" s="311" t="s">
        <v>232</v>
      </c>
      <c r="CG69" s="311" t="s">
        <v>232</v>
      </c>
      <c r="CH69" s="311" t="s">
        <v>232</v>
      </c>
      <c r="CI69" s="318" t="s">
        <v>232</v>
      </c>
      <c r="CJ69" s="318" t="s">
        <v>232</v>
      </c>
      <c r="CK69" s="318" t="s">
        <v>232</v>
      </c>
      <c r="CL69" s="315" t="s">
        <v>232</v>
      </c>
      <c r="CM69" s="315" t="s">
        <v>232</v>
      </c>
      <c r="CN69" s="318" t="s">
        <v>232</v>
      </c>
      <c r="CO69" s="311" t="s">
        <v>232</v>
      </c>
      <c r="CP69" s="318" t="s">
        <v>232</v>
      </c>
      <c r="CQ69" s="315" t="s">
        <v>232</v>
      </c>
      <c r="CR69" s="318" t="s">
        <v>232</v>
      </c>
      <c r="CS69" s="311" t="s">
        <v>232</v>
      </c>
      <c r="CT69" s="311" t="s">
        <v>232</v>
      </c>
    </row>
    <row r="70" spans="1:98" ht="22" customHeight="1" x14ac:dyDescent="0.25">
      <c r="A70" s="342"/>
      <c r="B70" s="350" t="s">
        <v>369</v>
      </c>
      <c r="C70" s="340" t="s">
        <v>232</v>
      </c>
      <c r="D70" s="340" t="s">
        <v>263</v>
      </c>
      <c r="E70" s="361" t="s">
        <v>370</v>
      </c>
      <c r="F70" s="342" t="s">
        <v>232</v>
      </c>
      <c r="G70" s="342" t="s">
        <v>232</v>
      </c>
      <c r="H70" s="342" t="s">
        <v>232</v>
      </c>
      <c r="I70" s="310" t="s">
        <v>232</v>
      </c>
      <c r="J70" s="310" t="s">
        <v>232</v>
      </c>
      <c r="K70" s="343" t="s">
        <v>232</v>
      </c>
      <c r="L70" s="344"/>
      <c r="M70" s="340" t="s">
        <v>232</v>
      </c>
      <c r="N70" s="342" t="s">
        <v>232</v>
      </c>
      <c r="O70" s="345">
        <v>7.7629427276214797E-3</v>
      </c>
      <c r="P70" s="345">
        <v>1.613485557039956</v>
      </c>
      <c r="Q70" s="345" t="s">
        <v>232</v>
      </c>
      <c r="R70" s="345" t="s">
        <v>232</v>
      </c>
      <c r="S70" s="345">
        <v>10.070471509895061</v>
      </c>
      <c r="T70" s="345">
        <v>39.563977163400871</v>
      </c>
      <c r="U70" s="345">
        <v>5.2775445177866212E-5</v>
      </c>
      <c r="V70" s="345">
        <v>1.346895552887351E-3</v>
      </c>
      <c r="W70" s="345">
        <v>1.5142792367581551E-2</v>
      </c>
      <c r="X70" s="345">
        <v>2.8075016261610429E-9</v>
      </c>
      <c r="Y70" s="345">
        <v>1.317031586113205E-8</v>
      </c>
      <c r="Z70" s="345">
        <v>1.503050427725686E-2</v>
      </c>
      <c r="AA70" s="345">
        <v>3.0701168036722009</v>
      </c>
      <c r="AB70" s="345">
        <v>7.9347792951222131E-6</v>
      </c>
      <c r="AC70" s="345">
        <v>1.565254022960186E-8</v>
      </c>
      <c r="AD70" s="345">
        <v>6.7526939027127074E-8</v>
      </c>
      <c r="AE70" s="345">
        <v>7.6759046433628082E-3</v>
      </c>
      <c r="AF70" s="345">
        <v>0.79456038623426772</v>
      </c>
      <c r="AG70" s="315"/>
      <c r="AH70" s="316" t="s">
        <v>232</v>
      </c>
      <c r="AI70" s="317" t="s">
        <v>232</v>
      </c>
      <c r="AJ70" s="311" t="s">
        <v>232</v>
      </c>
      <c r="AK70" s="311" t="s">
        <v>232</v>
      </c>
      <c r="AL70" s="311" t="s">
        <v>232</v>
      </c>
      <c r="AM70" s="311" t="s">
        <v>232</v>
      </c>
      <c r="AN70" s="311" t="s">
        <v>232</v>
      </c>
      <c r="AO70" s="311" t="s">
        <v>232</v>
      </c>
      <c r="AP70" s="311" t="s">
        <v>232</v>
      </c>
      <c r="AQ70" s="318" t="s">
        <v>232</v>
      </c>
      <c r="AR70" s="318" t="s">
        <v>232</v>
      </c>
      <c r="AS70" s="318" t="s">
        <v>232</v>
      </c>
      <c r="AT70" s="315" t="s">
        <v>232</v>
      </c>
      <c r="AU70" s="315" t="s">
        <v>232</v>
      </c>
      <c r="AV70" s="318" t="s">
        <v>232</v>
      </c>
      <c r="AW70" s="311" t="s">
        <v>232</v>
      </c>
      <c r="AX70" s="318" t="s">
        <v>232</v>
      </c>
      <c r="AY70" s="315" t="s">
        <v>232</v>
      </c>
      <c r="AZ70" s="318" t="s">
        <v>232</v>
      </c>
      <c r="BA70" s="311" t="s">
        <v>232</v>
      </c>
      <c r="BB70" s="311" t="s">
        <v>232</v>
      </c>
      <c r="BD70" s="316" t="s">
        <v>232</v>
      </c>
      <c r="BE70" s="364" t="s">
        <v>232</v>
      </c>
      <c r="BF70" s="311" t="s">
        <v>232</v>
      </c>
      <c r="BG70" s="311" t="s">
        <v>232</v>
      </c>
      <c r="BH70" s="311" t="s">
        <v>232</v>
      </c>
      <c r="BI70" s="311" t="s">
        <v>232</v>
      </c>
      <c r="BJ70" s="311" t="s">
        <v>232</v>
      </c>
      <c r="BK70" s="311" t="s">
        <v>232</v>
      </c>
      <c r="BL70" s="311" t="s">
        <v>232</v>
      </c>
      <c r="BM70" s="318" t="s">
        <v>232</v>
      </c>
      <c r="BN70" s="318" t="s">
        <v>232</v>
      </c>
      <c r="BO70" s="318" t="s">
        <v>232</v>
      </c>
      <c r="BP70" s="315" t="s">
        <v>232</v>
      </c>
      <c r="BQ70" s="315" t="s">
        <v>232</v>
      </c>
      <c r="BR70" s="318" t="s">
        <v>232</v>
      </c>
      <c r="BS70" s="311" t="s">
        <v>232</v>
      </c>
      <c r="BT70" s="318" t="s">
        <v>232</v>
      </c>
      <c r="BU70" s="315" t="s">
        <v>232</v>
      </c>
      <c r="BV70" s="318" t="s">
        <v>232</v>
      </c>
      <c r="BW70" s="311" t="s">
        <v>232</v>
      </c>
      <c r="BX70" s="311" t="s">
        <v>232</v>
      </c>
      <c r="BZ70" s="365" t="s">
        <v>232</v>
      </c>
      <c r="CA70" s="366" t="s">
        <v>232</v>
      </c>
      <c r="CB70" s="311" t="s">
        <v>232</v>
      </c>
      <c r="CC70" s="311" t="s">
        <v>232</v>
      </c>
      <c r="CD70" s="311" t="s">
        <v>232</v>
      </c>
      <c r="CE70" s="311" t="s">
        <v>232</v>
      </c>
      <c r="CF70" s="311" t="s">
        <v>232</v>
      </c>
      <c r="CG70" s="311" t="s">
        <v>232</v>
      </c>
      <c r="CH70" s="311" t="s">
        <v>232</v>
      </c>
      <c r="CI70" s="318" t="s">
        <v>232</v>
      </c>
      <c r="CJ70" s="318" t="s">
        <v>232</v>
      </c>
      <c r="CK70" s="318" t="s">
        <v>232</v>
      </c>
      <c r="CL70" s="315" t="s">
        <v>232</v>
      </c>
      <c r="CM70" s="315" t="s">
        <v>232</v>
      </c>
      <c r="CN70" s="318" t="s">
        <v>232</v>
      </c>
      <c r="CO70" s="311" t="s">
        <v>232</v>
      </c>
      <c r="CP70" s="318" t="s">
        <v>232</v>
      </c>
      <c r="CQ70" s="315" t="s">
        <v>232</v>
      </c>
      <c r="CR70" s="318" t="s">
        <v>232</v>
      </c>
      <c r="CS70" s="311" t="s">
        <v>232</v>
      </c>
      <c r="CT70" s="311" t="s">
        <v>232</v>
      </c>
    </row>
    <row r="71" spans="1:98" ht="22" customHeight="1" x14ac:dyDescent="0.25">
      <c r="A71" s="342"/>
      <c r="B71" s="350" t="s">
        <v>465</v>
      </c>
      <c r="C71" s="340" t="s">
        <v>232</v>
      </c>
      <c r="D71" s="340" t="s">
        <v>233</v>
      </c>
      <c r="E71" s="341" t="s">
        <v>466</v>
      </c>
      <c r="F71" s="342" t="s">
        <v>232</v>
      </c>
      <c r="G71" s="342" t="s">
        <v>232</v>
      </c>
      <c r="H71" s="342" t="s">
        <v>232</v>
      </c>
      <c r="I71" s="310" t="s">
        <v>232</v>
      </c>
      <c r="J71" s="310" t="s">
        <v>232</v>
      </c>
      <c r="K71" s="343" t="s">
        <v>232</v>
      </c>
      <c r="L71" s="344"/>
      <c r="M71" s="340" t="s">
        <v>232</v>
      </c>
      <c r="N71" s="342" t="s">
        <v>232</v>
      </c>
      <c r="O71" s="345">
        <v>2.5966169119825092E-2</v>
      </c>
      <c r="P71" s="345">
        <v>3.7652809878094939</v>
      </c>
      <c r="Q71" s="345" t="s">
        <v>232</v>
      </c>
      <c r="R71" s="345" t="s">
        <v>232</v>
      </c>
      <c r="S71" s="345">
        <v>33.42376674783609</v>
      </c>
      <c r="T71" s="345">
        <v>42.190915567416532</v>
      </c>
      <c r="U71" s="345">
        <v>1.5795693206446939E-4</v>
      </c>
      <c r="V71" s="345">
        <v>4.0357753089529467E-3</v>
      </c>
      <c r="W71" s="345">
        <v>4.5359812584322243E-2</v>
      </c>
      <c r="X71" s="345">
        <v>2.0646832021734011E-9</v>
      </c>
      <c r="Y71" s="345">
        <v>8.4454327653221265E-8</v>
      </c>
      <c r="Z71" s="345">
        <v>0.13036331816874441</v>
      </c>
      <c r="AA71" s="345">
        <v>13.04641840740749</v>
      </c>
      <c r="AB71" s="345">
        <v>9.2351750469232754E-4</v>
      </c>
      <c r="AC71" s="345">
        <v>5.3663707832714721E-7</v>
      </c>
      <c r="AD71" s="345">
        <v>1.9571021618412369E-7</v>
      </c>
      <c r="AE71" s="345">
        <v>1.409380961791136E-2</v>
      </c>
      <c r="AF71" s="345">
        <v>2.4164060069788889</v>
      </c>
      <c r="AH71" s="316" t="s">
        <v>232</v>
      </c>
      <c r="AI71" s="317" t="s">
        <v>232</v>
      </c>
      <c r="AJ71" s="311" t="s">
        <v>232</v>
      </c>
      <c r="AK71" s="311" t="s">
        <v>232</v>
      </c>
      <c r="AL71" s="311" t="s">
        <v>232</v>
      </c>
      <c r="AM71" s="311" t="s">
        <v>232</v>
      </c>
      <c r="AN71" s="311" t="s">
        <v>232</v>
      </c>
      <c r="AO71" s="311" t="s">
        <v>232</v>
      </c>
      <c r="AP71" s="311" t="s">
        <v>232</v>
      </c>
      <c r="AQ71" s="318" t="s">
        <v>232</v>
      </c>
      <c r="AR71" s="318" t="s">
        <v>232</v>
      </c>
      <c r="AS71" s="318" t="s">
        <v>232</v>
      </c>
      <c r="AT71" s="315" t="s">
        <v>232</v>
      </c>
      <c r="AU71" s="315" t="s">
        <v>232</v>
      </c>
      <c r="AV71" s="318" t="s">
        <v>232</v>
      </c>
      <c r="AW71" s="311" t="s">
        <v>232</v>
      </c>
      <c r="AX71" s="318" t="s">
        <v>232</v>
      </c>
      <c r="AY71" s="315" t="s">
        <v>232</v>
      </c>
      <c r="AZ71" s="318" t="s">
        <v>232</v>
      </c>
      <c r="BA71" s="311" t="s">
        <v>232</v>
      </c>
      <c r="BB71" s="311" t="s">
        <v>232</v>
      </c>
      <c r="BD71" s="316" t="s">
        <v>232</v>
      </c>
      <c r="BE71" s="364" t="s">
        <v>232</v>
      </c>
      <c r="BF71" s="311" t="s">
        <v>232</v>
      </c>
      <c r="BG71" s="311" t="s">
        <v>232</v>
      </c>
      <c r="BH71" s="311" t="s">
        <v>232</v>
      </c>
      <c r="BI71" s="311" t="s">
        <v>232</v>
      </c>
      <c r="BJ71" s="311" t="s">
        <v>232</v>
      </c>
      <c r="BK71" s="311" t="s">
        <v>232</v>
      </c>
      <c r="BL71" s="311" t="s">
        <v>232</v>
      </c>
      <c r="BM71" s="318" t="s">
        <v>232</v>
      </c>
      <c r="BN71" s="318" t="s">
        <v>232</v>
      </c>
      <c r="BO71" s="318" t="s">
        <v>232</v>
      </c>
      <c r="BP71" s="315" t="s">
        <v>232</v>
      </c>
      <c r="BQ71" s="315" t="s">
        <v>232</v>
      </c>
      <c r="BR71" s="318" t="s">
        <v>232</v>
      </c>
      <c r="BS71" s="311" t="s">
        <v>232</v>
      </c>
      <c r="BT71" s="318" t="s">
        <v>232</v>
      </c>
      <c r="BU71" s="315" t="s">
        <v>232</v>
      </c>
      <c r="BV71" s="318" t="s">
        <v>232</v>
      </c>
      <c r="BW71" s="311" t="s">
        <v>232</v>
      </c>
      <c r="BX71" s="311" t="s">
        <v>232</v>
      </c>
      <c r="BZ71" s="365" t="s">
        <v>232</v>
      </c>
      <c r="CA71" s="366" t="s">
        <v>232</v>
      </c>
      <c r="CB71" s="311" t="s">
        <v>232</v>
      </c>
      <c r="CC71" s="311" t="s">
        <v>232</v>
      </c>
      <c r="CD71" s="311" t="s">
        <v>232</v>
      </c>
      <c r="CE71" s="311" t="s">
        <v>232</v>
      </c>
      <c r="CF71" s="311" t="s">
        <v>232</v>
      </c>
      <c r="CG71" s="311" t="s">
        <v>232</v>
      </c>
      <c r="CH71" s="311" t="s">
        <v>232</v>
      </c>
      <c r="CI71" s="318" t="s">
        <v>232</v>
      </c>
      <c r="CJ71" s="318" t="s">
        <v>232</v>
      </c>
      <c r="CK71" s="318" t="s">
        <v>232</v>
      </c>
      <c r="CL71" s="315" t="s">
        <v>232</v>
      </c>
      <c r="CM71" s="315" t="s">
        <v>232</v>
      </c>
      <c r="CN71" s="318" t="s">
        <v>232</v>
      </c>
      <c r="CO71" s="311" t="s">
        <v>232</v>
      </c>
      <c r="CP71" s="318" t="s">
        <v>232</v>
      </c>
      <c r="CQ71" s="315" t="s">
        <v>232</v>
      </c>
      <c r="CR71" s="318" t="s">
        <v>232</v>
      </c>
      <c r="CS71" s="311" t="s">
        <v>232</v>
      </c>
      <c r="CT71" s="311" t="s">
        <v>232</v>
      </c>
    </row>
    <row r="72" spans="1:98" ht="22" customHeight="1" x14ac:dyDescent="0.25">
      <c r="A72" s="342"/>
      <c r="B72" s="350" t="s">
        <v>334</v>
      </c>
      <c r="C72" s="340" t="s">
        <v>232</v>
      </c>
      <c r="D72" s="340" t="s">
        <v>233</v>
      </c>
      <c r="E72" s="341" t="s">
        <v>335</v>
      </c>
      <c r="F72" s="342" t="s">
        <v>232</v>
      </c>
      <c r="G72" s="342" t="s">
        <v>232</v>
      </c>
      <c r="H72" s="342" t="s">
        <v>232</v>
      </c>
      <c r="I72" s="310" t="s">
        <v>232</v>
      </c>
      <c r="J72" s="310" t="s">
        <v>232</v>
      </c>
      <c r="K72" s="343" t="s">
        <v>232</v>
      </c>
      <c r="L72" s="344"/>
      <c r="M72" s="340" t="s">
        <v>232</v>
      </c>
      <c r="N72" s="342" t="s">
        <v>232</v>
      </c>
      <c r="O72" s="345">
        <v>1.8397652561970731E-2</v>
      </c>
      <c r="P72" s="345">
        <v>3.9115056163757749</v>
      </c>
      <c r="Q72" s="345" t="s">
        <v>232</v>
      </c>
      <c r="R72" s="345" t="s">
        <v>232</v>
      </c>
      <c r="S72" s="345">
        <v>28.38620032565353</v>
      </c>
      <c r="T72" s="345">
        <v>86.531013959494757</v>
      </c>
      <c r="U72" s="345">
        <v>6.2468190359095648E-4</v>
      </c>
      <c r="V72" s="345">
        <v>6.3284397023628293E-3</v>
      </c>
      <c r="W72" s="345">
        <v>3.8604899771365678E-2</v>
      </c>
      <c r="X72" s="345">
        <v>1.5252222686925631E-9</v>
      </c>
      <c r="Y72" s="345">
        <v>3.4610529139544771E-8</v>
      </c>
      <c r="Z72" s="345">
        <v>3.2915999367778281E-2</v>
      </c>
      <c r="AA72" s="345">
        <v>8.2203838522701247</v>
      </c>
      <c r="AB72" s="345">
        <v>2.325183534047221E-5</v>
      </c>
      <c r="AC72" s="345">
        <v>3.5024139239590447E-8</v>
      </c>
      <c r="AD72" s="345">
        <v>1.512270309209401E-7</v>
      </c>
      <c r="AE72" s="345">
        <v>1.7194339853697681E-2</v>
      </c>
      <c r="AF72" s="345">
        <v>1.8219662231563141</v>
      </c>
      <c r="AH72" s="316" t="s">
        <v>232</v>
      </c>
      <c r="AI72" s="317" t="s">
        <v>232</v>
      </c>
      <c r="AJ72" s="311" t="s">
        <v>232</v>
      </c>
      <c r="AK72" s="311" t="s">
        <v>232</v>
      </c>
      <c r="AL72" s="311" t="s">
        <v>232</v>
      </c>
      <c r="AM72" s="311" t="s">
        <v>232</v>
      </c>
      <c r="AN72" s="311" t="s">
        <v>232</v>
      </c>
      <c r="AO72" s="311" t="s">
        <v>232</v>
      </c>
      <c r="AP72" s="311" t="s">
        <v>232</v>
      </c>
      <c r="AQ72" s="318" t="s">
        <v>232</v>
      </c>
      <c r="AR72" s="318" t="s">
        <v>232</v>
      </c>
      <c r="AS72" s="318" t="s">
        <v>232</v>
      </c>
      <c r="AT72" s="315" t="s">
        <v>232</v>
      </c>
      <c r="AU72" s="315" t="s">
        <v>232</v>
      </c>
      <c r="AV72" s="318" t="s">
        <v>232</v>
      </c>
      <c r="AW72" s="311" t="s">
        <v>232</v>
      </c>
      <c r="AX72" s="318" t="s">
        <v>232</v>
      </c>
      <c r="AY72" s="315" t="s">
        <v>232</v>
      </c>
      <c r="AZ72" s="318" t="s">
        <v>232</v>
      </c>
      <c r="BA72" s="311" t="s">
        <v>232</v>
      </c>
      <c r="BB72" s="311" t="s">
        <v>232</v>
      </c>
      <c r="BD72" s="316" t="s">
        <v>232</v>
      </c>
      <c r="BE72" s="364" t="s">
        <v>232</v>
      </c>
      <c r="BF72" s="311" t="s">
        <v>232</v>
      </c>
      <c r="BG72" s="311" t="s">
        <v>232</v>
      </c>
      <c r="BH72" s="311" t="s">
        <v>232</v>
      </c>
      <c r="BI72" s="311" t="s">
        <v>232</v>
      </c>
      <c r="BJ72" s="311" t="s">
        <v>232</v>
      </c>
      <c r="BK72" s="311" t="s">
        <v>232</v>
      </c>
      <c r="BL72" s="311" t="s">
        <v>232</v>
      </c>
      <c r="BM72" s="318" t="s">
        <v>232</v>
      </c>
      <c r="BN72" s="318" t="s">
        <v>232</v>
      </c>
      <c r="BO72" s="318" t="s">
        <v>232</v>
      </c>
      <c r="BP72" s="315" t="s">
        <v>232</v>
      </c>
      <c r="BQ72" s="315" t="s">
        <v>232</v>
      </c>
      <c r="BR72" s="318" t="s">
        <v>232</v>
      </c>
      <c r="BS72" s="311" t="s">
        <v>232</v>
      </c>
      <c r="BT72" s="318" t="s">
        <v>232</v>
      </c>
      <c r="BU72" s="315" t="s">
        <v>232</v>
      </c>
      <c r="BV72" s="318" t="s">
        <v>232</v>
      </c>
      <c r="BW72" s="311" t="s">
        <v>232</v>
      </c>
      <c r="BX72" s="311" t="s">
        <v>232</v>
      </c>
      <c r="BZ72" s="365" t="s">
        <v>232</v>
      </c>
      <c r="CA72" s="366" t="s">
        <v>232</v>
      </c>
      <c r="CB72" s="311" t="s">
        <v>232</v>
      </c>
      <c r="CC72" s="311" t="s">
        <v>232</v>
      </c>
      <c r="CD72" s="311" t="s">
        <v>232</v>
      </c>
      <c r="CE72" s="311" t="s">
        <v>232</v>
      </c>
      <c r="CF72" s="311" t="s">
        <v>232</v>
      </c>
      <c r="CG72" s="311" t="s">
        <v>232</v>
      </c>
      <c r="CH72" s="311" t="s">
        <v>232</v>
      </c>
      <c r="CI72" s="318" t="s">
        <v>232</v>
      </c>
      <c r="CJ72" s="318" t="s">
        <v>232</v>
      </c>
      <c r="CK72" s="318" t="s">
        <v>232</v>
      </c>
      <c r="CL72" s="315" t="s">
        <v>232</v>
      </c>
      <c r="CM72" s="315" t="s">
        <v>232</v>
      </c>
      <c r="CN72" s="318" t="s">
        <v>232</v>
      </c>
      <c r="CO72" s="311" t="s">
        <v>232</v>
      </c>
      <c r="CP72" s="318" t="s">
        <v>232</v>
      </c>
      <c r="CQ72" s="315" t="s">
        <v>232</v>
      </c>
      <c r="CR72" s="318" t="s">
        <v>232</v>
      </c>
      <c r="CS72" s="311" t="s">
        <v>232</v>
      </c>
      <c r="CT72" s="311" t="s">
        <v>232</v>
      </c>
    </row>
    <row r="73" spans="1:98" ht="22" customHeight="1" x14ac:dyDescent="0.25">
      <c r="A73" s="342"/>
      <c r="B73" s="350" t="s">
        <v>467</v>
      </c>
      <c r="C73" s="340" t="s">
        <v>232</v>
      </c>
      <c r="D73" s="340" t="s">
        <v>263</v>
      </c>
      <c r="E73" s="341" t="s">
        <v>468</v>
      </c>
      <c r="F73" s="342" t="s">
        <v>232</v>
      </c>
      <c r="G73" s="342" t="s">
        <v>232</v>
      </c>
      <c r="H73" s="342" t="s">
        <v>232</v>
      </c>
      <c r="I73" s="310" t="s">
        <v>232</v>
      </c>
      <c r="J73" s="310" t="s">
        <v>232</v>
      </c>
      <c r="K73" s="343" t="s">
        <v>232</v>
      </c>
      <c r="L73" s="344"/>
      <c r="M73" s="340" t="s">
        <v>232</v>
      </c>
      <c r="N73" s="342" t="s">
        <v>232</v>
      </c>
      <c r="O73" s="345">
        <v>8.7768743442318466E-3</v>
      </c>
      <c r="P73" s="345">
        <v>3.219053075547579</v>
      </c>
      <c r="Q73" s="345" t="s">
        <v>232</v>
      </c>
      <c r="R73" s="345" t="s">
        <v>232</v>
      </c>
      <c r="S73" s="345">
        <v>5.1155810380133104</v>
      </c>
      <c r="T73" s="345">
        <v>37.051836133131118</v>
      </c>
      <c r="U73" s="345">
        <v>9.0732335955885789E-5</v>
      </c>
      <c r="V73" s="345">
        <v>1.5422363771124129E-3</v>
      </c>
      <c r="W73" s="345">
        <v>1.749602327718662E-2</v>
      </c>
      <c r="X73" s="345">
        <v>6.118769805939361E-10</v>
      </c>
      <c r="Y73" s="345">
        <v>1.4488012996934141E-8</v>
      </c>
      <c r="Z73" s="345">
        <v>8.1411583897095935E-3</v>
      </c>
      <c r="AA73" s="345">
        <v>6.5088198374587023</v>
      </c>
      <c r="AB73" s="345">
        <v>9.5695870735049975E-6</v>
      </c>
      <c r="AC73" s="345">
        <v>4.6768796708573409E-8</v>
      </c>
      <c r="AD73" s="345">
        <v>9.9681523604270217E-8</v>
      </c>
      <c r="AE73" s="345">
        <v>6.5619345444352106E-3</v>
      </c>
      <c r="AF73" s="345">
        <v>2.4697998410879749</v>
      </c>
      <c r="AH73" s="316" t="s">
        <v>232</v>
      </c>
      <c r="AI73" s="317" t="s">
        <v>232</v>
      </c>
      <c r="AJ73" s="311" t="s">
        <v>232</v>
      </c>
      <c r="AK73" s="311" t="s">
        <v>232</v>
      </c>
      <c r="AL73" s="311" t="s">
        <v>232</v>
      </c>
      <c r="AM73" s="311" t="s">
        <v>232</v>
      </c>
      <c r="AN73" s="311" t="s">
        <v>232</v>
      </c>
      <c r="AO73" s="311" t="s">
        <v>232</v>
      </c>
      <c r="AP73" s="311" t="s">
        <v>232</v>
      </c>
      <c r="AQ73" s="318" t="s">
        <v>232</v>
      </c>
      <c r="AR73" s="318" t="s">
        <v>232</v>
      </c>
      <c r="AS73" s="318" t="s">
        <v>232</v>
      </c>
      <c r="AT73" s="315" t="s">
        <v>232</v>
      </c>
      <c r="AU73" s="315" t="s">
        <v>232</v>
      </c>
      <c r="AV73" s="318" t="s">
        <v>232</v>
      </c>
      <c r="AW73" s="311" t="s">
        <v>232</v>
      </c>
      <c r="AX73" s="318" t="s">
        <v>232</v>
      </c>
      <c r="AY73" s="315" t="s">
        <v>232</v>
      </c>
      <c r="AZ73" s="318" t="s">
        <v>232</v>
      </c>
      <c r="BA73" s="311" t="s">
        <v>232</v>
      </c>
      <c r="BB73" s="311" t="s">
        <v>232</v>
      </c>
      <c r="BD73" s="356" t="s">
        <v>232</v>
      </c>
      <c r="BE73" s="364" t="s">
        <v>232</v>
      </c>
      <c r="BF73" s="311" t="s">
        <v>232</v>
      </c>
      <c r="BG73" s="311" t="s">
        <v>232</v>
      </c>
      <c r="BH73" s="311" t="s">
        <v>232</v>
      </c>
      <c r="BI73" s="311" t="s">
        <v>232</v>
      </c>
      <c r="BJ73" s="311" t="s">
        <v>232</v>
      </c>
      <c r="BK73" s="311" t="s">
        <v>232</v>
      </c>
      <c r="BL73" s="311" t="s">
        <v>232</v>
      </c>
      <c r="BM73" s="318" t="s">
        <v>232</v>
      </c>
      <c r="BN73" s="318" t="s">
        <v>232</v>
      </c>
      <c r="BO73" s="318" t="s">
        <v>232</v>
      </c>
      <c r="BP73" s="315" t="s">
        <v>232</v>
      </c>
      <c r="BQ73" s="315" t="s">
        <v>232</v>
      </c>
      <c r="BR73" s="318" t="s">
        <v>232</v>
      </c>
      <c r="BS73" s="311" t="s">
        <v>232</v>
      </c>
      <c r="BT73" s="318" t="s">
        <v>232</v>
      </c>
      <c r="BU73" s="315" t="s">
        <v>232</v>
      </c>
      <c r="BV73" s="318" t="s">
        <v>232</v>
      </c>
      <c r="BW73" s="311" t="s">
        <v>232</v>
      </c>
      <c r="BX73" s="311" t="s">
        <v>232</v>
      </c>
      <c r="BZ73" s="365" t="s">
        <v>232</v>
      </c>
      <c r="CA73" s="366" t="s">
        <v>232</v>
      </c>
      <c r="CB73" s="311" t="s">
        <v>232</v>
      </c>
      <c r="CC73" s="311" t="s">
        <v>232</v>
      </c>
      <c r="CD73" s="311" t="s">
        <v>232</v>
      </c>
      <c r="CE73" s="311" t="s">
        <v>232</v>
      </c>
      <c r="CF73" s="311" t="s">
        <v>232</v>
      </c>
      <c r="CG73" s="311" t="s">
        <v>232</v>
      </c>
      <c r="CH73" s="311" t="s">
        <v>232</v>
      </c>
      <c r="CI73" s="318" t="s">
        <v>232</v>
      </c>
      <c r="CJ73" s="318" t="s">
        <v>232</v>
      </c>
      <c r="CK73" s="318" t="s">
        <v>232</v>
      </c>
      <c r="CL73" s="315" t="s">
        <v>232</v>
      </c>
      <c r="CM73" s="315" t="s">
        <v>232</v>
      </c>
      <c r="CN73" s="318" t="s">
        <v>232</v>
      </c>
      <c r="CO73" s="311" t="s">
        <v>232</v>
      </c>
      <c r="CP73" s="318" t="s">
        <v>232</v>
      </c>
      <c r="CQ73" s="315" t="s">
        <v>232</v>
      </c>
      <c r="CR73" s="318" t="s">
        <v>232</v>
      </c>
      <c r="CS73" s="311" t="s">
        <v>232</v>
      </c>
      <c r="CT73" s="311" t="s">
        <v>232</v>
      </c>
    </row>
    <row r="74" spans="1:98" ht="22" customHeight="1" x14ac:dyDescent="0.25">
      <c r="A74" s="342"/>
      <c r="B74" s="350" t="s">
        <v>469</v>
      </c>
      <c r="C74" s="340" t="s">
        <v>232</v>
      </c>
      <c r="D74" s="340" t="s">
        <v>263</v>
      </c>
      <c r="E74" s="341" t="s">
        <v>470</v>
      </c>
      <c r="F74" s="342" t="s">
        <v>232</v>
      </c>
      <c r="G74" s="342" t="s">
        <v>232</v>
      </c>
      <c r="H74" s="342" t="s">
        <v>232</v>
      </c>
      <c r="I74" s="310" t="s">
        <v>232</v>
      </c>
      <c r="J74" s="310" t="s">
        <v>232</v>
      </c>
      <c r="K74" s="343" t="s">
        <v>232</v>
      </c>
      <c r="L74" s="344"/>
      <c r="M74" s="340" t="s">
        <v>232</v>
      </c>
      <c r="N74" s="372" t="s">
        <v>232</v>
      </c>
      <c r="O74" s="345">
        <v>1.9151381926035719E-2</v>
      </c>
      <c r="P74" s="345">
        <v>3.6406086789662391</v>
      </c>
      <c r="Q74" s="345" t="s">
        <v>232</v>
      </c>
      <c r="R74" s="345" t="s">
        <v>232</v>
      </c>
      <c r="S74" s="345">
        <v>18.542200764639581</v>
      </c>
      <c r="T74" s="345">
        <v>59.89525017615324</v>
      </c>
      <c r="U74" s="345">
        <v>1.2366775233173301E-4</v>
      </c>
      <c r="V74" s="345">
        <v>3.2368264464930048E-3</v>
      </c>
      <c r="W74" s="345">
        <v>3.5566049288754543E-2</v>
      </c>
      <c r="X74" s="345">
        <v>1.2504233348885951E-9</v>
      </c>
      <c r="Y74" s="345">
        <v>3.5990584311241602E-8</v>
      </c>
      <c r="Z74" s="345">
        <v>8.0257744655406901E-2</v>
      </c>
      <c r="AA74" s="345">
        <v>12.15863514892663</v>
      </c>
      <c r="AB74" s="345">
        <v>1.4320353151103091E-5</v>
      </c>
      <c r="AC74" s="345">
        <v>4.9063763434138349E-8</v>
      </c>
      <c r="AD74" s="345">
        <v>2.3153639910908721E-7</v>
      </c>
      <c r="AE74" s="345">
        <v>1.3524156632518981E-2</v>
      </c>
      <c r="AF74" s="345">
        <v>6.6616122296387204</v>
      </c>
      <c r="AH74" s="316" t="s">
        <v>232</v>
      </c>
      <c r="AI74" s="317" t="s">
        <v>232</v>
      </c>
      <c r="AJ74" s="311" t="s">
        <v>232</v>
      </c>
      <c r="AK74" s="311" t="s">
        <v>232</v>
      </c>
      <c r="AL74" s="311" t="s">
        <v>232</v>
      </c>
      <c r="AM74" s="311" t="s">
        <v>232</v>
      </c>
      <c r="AN74" s="311" t="s">
        <v>232</v>
      </c>
      <c r="AO74" s="311" t="s">
        <v>232</v>
      </c>
      <c r="AP74" s="311" t="s">
        <v>232</v>
      </c>
      <c r="AQ74" s="318" t="s">
        <v>232</v>
      </c>
      <c r="AR74" s="318" t="s">
        <v>232</v>
      </c>
      <c r="AS74" s="318" t="s">
        <v>232</v>
      </c>
      <c r="AT74" s="315" t="s">
        <v>232</v>
      </c>
      <c r="AU74" s="315" t="s">
        <v>232</v>
      </c>
      <c r="AV74" s="318" t="s">
        <v>232</v>
      </c>
      <c r="AW74" s="311" t="s">
        <v>232</v>
      </c>
      <c r="AX74" s="318" t="s">
        <v>232</v>
      </c>
      <c r="AY74" s="315" t="s">
        <v>232</v>
      </c>
      <c r="AZ74" s="318" t="s">
        <v>232</v>
      </c>
      <c r="BA74" s="311" t="s">
        <v>232</v>
      </c>
      <c r="BB74" s="311" t="s">
        <v>232</v>
      </c>
      <c r="BD74" s="356" t="s">
        <v>232</v>
      </c>
      <c r="BE74" s="364" t="s">
        <v>232</v>
      </c>
      <c r="BF74" s="311" t="s">
        <v>232</v>
      </c>
      <c r="BG74" s="311" t="s">
        <v>232</v>
      </c>
      <c r="BH74" s="311" t="s">
        <v>232</v>
      </c>
      <c r="BI74" s="311" t="s">
        <v>232</v>
      </c>
      <c r="BJ74" s="311" t="s">
        <v>232</v>
      </c>
      <c r="BK74" s="311" t="s">
        <v>232</v>
      </c>
      <c r="BL74" s="311" t="s">
        <v>232</v>
      </c>
      <c r="BM74" s="318" t="s">
        <v>232</v>
      </c>
      <c r="BN74" s="318" t="s">
        <v>232</v>
      </c>
      <c r="BO74" s="318" t="s">
        <v>232</v>
      </c>
      <c r="BP74" s="315" t="s">
        <v>232</v>
      </c>
      <c r="BQ74" s="315" t="s">
        <v>232</v>
      </c>
      <c r="BR74" s="318" t="s">
        <v>232</v>
      </c>
      <c r="BS74" s="311" t="s">
        <v>232</v>
      </c>
      <c r="BT74" s="318" t="s">
        <v>232</v>
      </c>
      <c r="BU74" s="315" t="s">
        <v>232</v>
      </c>
      <c r="BV74" s="318" t="s">
        <v>232</v>
      </c>
      <c r="BW74" s="311" t="s">
        <v>232</v>
      </c>
      <c r="BX74" s="311" t="s">
        <v>232</v>
      </c>
      <c r="BZ74" s="365" t="s">
        <v>232</v>
      </c>
      <c r="CA74" s="366" t="s">
        <v>232</v>
      </c>
      <c r="CB74" s="311" t="s">
        <v>232</v>
      </c>
      <c r="CC74" s="311" t="s">
        <v>232</v>
      </c>
      <c r="CD74" s="311" t="s">
        <v>232</v>
      </c>
      <c r="CE74" s="311" t="s">
        <v>232</v>
      </c>
      <c r="CF74" s="311" t="s">
        <v>232</v>
      </c>
      <c r="CG74" s="311" t="s">
        <v>232</v>
      </c>
      <c r="CH74" s="311" t="s">
        <v>232</v>
      </c>
      <c r="CI74" s="318" t="s">
        <v>232</v>
      </c>
      <c r="CJ74" s="318" t="s">
        <v>232</v>
      </c>
      <c r="CK74" s="318" t="s">
        <v>232</v>
      </c>
      <c r="CL74" s="315" t="s">
        <v>232</v>
      </c>
      <c r="CM74" s="315" t="s">
        <v>232</v>
      </c>
      <c r="CN74" s="318" t="s">
        <v>232</v>
      </c>
      <c r="CO74" s="311" t="s">
        <v>232</v>
      </c>
      <c r="CP74" s="318" t="s">
        <v>232</v>
      </c>
      <c r="CQ74" s="315" t="s">
        <v>232</v>
      </c>
      <c r="CR74" s="318" t="s">
        <v>232</v>
      </c>
      <c r="CS74" s="311" t="s">
        <v>232</v>
      </c>
      <c r="CT74" s="311" t="s">
        <v>232</v>
      </c>
    </row>
    <row r="75" spans="1:98" ht="22" customHeight="1" x14ac:dyDescent="0.25">
      <c r="A75" s="342"/>
      <c r="B75" s="350" t="s">
        <v>471</v>
      </c>
      <c r="C75" s="340" t="s">
        <v>232</v>
      </c>
      <c r="D75" s="340" t="s">
        <v>263</v>
      </c>
      <c r="E75" s="341" t="s">
        <v>472</v>
      </c>
      <c r="F75" s="342" t="s">
        <v>232</v>
      </c>
      <c r="G75" s="342" t="s">
        <v>232</v>
      </c>
      <c r="H75" s="342" t="s">
        <v>232</v>
      </c>
      <c r="I75" s="310" t="s">
        <v>232</v>
      </c>
      <c r="J75" s="310" t="s">
        <v>232</v>
      </c>
      <c r="K75" s="343" t="s">
        <v>232</v>
      </c>
      <c r="L75" s="344"/>
      <c r="M75" s="340" t="s">
        <v>232</v>
      </c>
      <c r="N75" s="342" t="s">
        <v>232</v>
      </c>
      <c r="O75" s="345">
        <v>1.44356092958682E-2</v>
      </c>
      <c r="P75" s="345">
        <v>2.753521161931384</v>
      </c>
      <c r="Q75" s="345" t="s">
        <v>232</v>
      </c>
      <c r="R75" s="345" t="s">
        <v>232</v>
      </c>
      <c r="S75" s="345">
        <v>22.61707541816417</v>
      </c>
      <c r="T75" s="345">
        <v>67.641267670134695</v>
      </c>
      <c r="U75" s="345">
        <v>1.1914007911907789E-4</v>
      </c>
      <c r="V75" s="345">
        <v>2.458134496128148E-3</v>
      </c>
      <c r="W75" s="345">
        <v>2.7803424589179119E-2</v>
      </c>
      <c r="X75" s="345">
        <v>7.9595031659265767E-10</v>
      </c>
      <c r="Y75" s="345">
        <v>2.5059410244337339E-8</v>
      </c>
      <c r="Z75" s="345">
        <v>1.8922259209755179E-2</v>
      </c>
      <c r="AA75" s="345">
        <v>5.6535441300894007</v>
      </c>
      <c r="AB75" s="345">
        <v>1.060416444390635E-5</v>
      </c>
      <c r="AC75" s="345">
        <v>2.3400679696823439E-8</v>
      </c>
      <c r="AD75" s="345">
        <v>9.2476322319412753E-8</v>
      </c>
      <c r="AE75" s="345">
        <v>9.9709005264316357E-3</v>
      </c>
      <c r="AF75" s="345">
        <v>1.277953208234184</v>
      </c>
      <c r="AH75" s="316" t="s">
        <v>232</v>
      </c>
      <c r="AI75" s="317" t="s">
        <v>232</v>
      </c>
      <c r="AJ75" s="311" t="s">
        <v>232</v>
      </c>
      <c r="AK75" s="311" t="s">
        <v>232</v>
      </c>
      <c r="AL75" s="311" t="s">
        <v>232</v>
      </c>
      <c r="AM75" s="311" t="s">
        <v>232</v>
      </c>
      <c r="AN75" s="311" t="s">
        <v>232</v>
      </c>
      <c r="AO75" s="311" t="s">
        <v>232</v>
      </c>
      <c r="AP75" s="311" t="s">
        <v>232</v>
      </c>
      <c r="AQ75" s="318" t="s">
        <v>232</v>
      </c>
      <c r="AR75" s="318" t="s">
        <v>232</v>
      </c>
      <c r="AS75" s="318" t="s">
        <v>232</v>
      </c>
      <c r="AT75" s="315" t="s">
        <v>232</v>
      </c>
      <c r="AU75" s="315" t="s">
        <v>232</v>
      </c>
      <c r="AV75" s="318" t="s">
        <v>232</v>
      </c>
      <c r="AW75" s="311" t="s">
        <v>232</v>
      </c>
      <c r="AX75" s="318" t="s">
        <v>232</v>
      </c>
      <c r="AY75" s="315" t="s">
        <v>232</v>
      </c>
      <c r="AZ75" s="318" t="s">
        <v>232</v>
      </c>
      <c r="BA75" s="311" t="s">
        <v>232</v>
      </c>
      <c r="BB75" s="311" t="s">
        <v>232</v>
      </c>
      <c r="BD75" s="356" t="s">
        <v>232</v>
      </c>
      <c r="BE75" s="364" t="s">
        <v>232</v>
      </c>
      <c r="BF75" s="311" t="s">
        <v>232</v>
      </c>
      <c r="BG75" s="311" t="s">
        <v>232</v>
      </c>
      <c r="BH75" s="311" t="s">
        <v>232</v>
      </c>
      <c r="BI75" s="311" t="s">
        <v>232</v>
      </c>
      <c r="BJ75" s="311" t="s">
        <v>232</v>
      </c>
      <c r="BK75" s="311" t="s">
        <v>232</v>
      </c>
      <c r="BL75" s="311" t="s">
        <v>232</v>
      </c>
      <c r="BM75" s="318" t="s">
        <v>232</v>
      </c>
      <c r="BN75" s="318" t="s">
        <v>232</v>
      </c>
      <c r="BO75" s="318" t="s">
        <v>232</v>
      </c>
      <c r="BP75" s="315" t="s">
        <v>232</v>
      </c>
      <c r="BQ75" s="315" t="s">
        <v>232</v>
      </c>
      <c r="BR75" s="318" t="s">
        <v>232</v>
      </c>
      <c r="BS75" s="311" t="s">
        <v>232</v>
      </c>
      <c r="BT75" s="318" t="s">
        <v>232</v>
      </c>
      <c r="BU75" s="315" t="s">
        <v>232</v>
      </c>
      <c r="BV75" s="318" t="s">
        <v>232</v>
      </c>
      <c r="BW75" s="311" t="s">
        <v>232</v>
      </c>
      <c r="BX75" s="311" t="s">
        <v>232</v>
      </c>
      <c r="BZ75" s="365" t="s">
        <v>232</v>
      </c>
      <c r="CA75" s="366" t="s">
        <v>232</v>
      </c>
      <c r="CB75" s="311" t="s">
        <v>232</v>
      </c>
      <c r="CC75" s="311" t="s">
        <v>232</v>
      </c>
      <c r="CD75" s="311" t="s">
        <v>232</v>
      </c>
      <c r="CE75" s="311" t="s">
        <v>232</v>
      </c>
      <c r="CF75" s="311" t="s">
        <v>232</v>
      </c>
      <c r="CG75" s="311" t="s">
        <v>232</v>
      </c>
      <c r="CH75" s="311" t="s">
        <v>232</v>
      </c>
      <c r="CI75" s="318" t="s">
        <v>232</v>
      </c>
      <c r="CJ75" s="318" t="s">
        <v>232</v>
      </c>
      <c r="CK75" s="318" t="s">
        <v>232</v>
      </c>
      <c r="CL75" s="315" t="s">
        <v>232</v>
      </c>
      <c r="CM75" s="315" t="s">
        <v>232</v>
      </c>
      <c r="CN75" s="318" t="s">
        <v>232</v>
      </c>
      <c r="CO75" s="311" t="s">
        <v>232</v>
      </c>
      <c r="CP75" s="318" t="s">
        <v>232</v>
      </c>
      <c r="CQ75" s="315" t="s">
        <v>232</v>
      </c>
      <c r="CR75" s="318" t="s">
        <v>232</v>
      </c>
      <c r="CS75" s="311" t="s">
        <v>232</v>
      </c>
      <c r="CT75" s="311" t="s">
        <v>232</v>
      </c>
    </row>
    <row r="76" spans="1:98" ht="22" customHeight="1" x14ac:dyDescent="0.25">
      <c r="A76" s="342"/>
      <c r="B76" s="350" t="s">
        <v>473</v>
      </c>
      <c r="C76" s="340" t="s">
        <v>232</v>
      </c>
      <c r="D76" s="340" t="s">
        <v>233</v>
      </c>
      <c r="E76" s="341" t="s">
        <v>474</v>
      </c>
      <c r="F76" s="342" t="s">
        <v>232</v>
      </c>
      <c r="G76" s="342" t="s">
        <v>232</v>
      </c>
      <c r="H76" s="342" t="s">
        <v>232</v>
      </c>
      <c r="I76" s="310" t="s">
        <v>232</v>
      </c>
      <c r="J76" s="310" t="s">
        <v>232</v>
      </c>
      <c r="K76" s="343" t="s">
        <v>232</v>
      </c>
      <c r="L76" s="344"/>
      <c r="M76" s="340" t="s">
        <v>232</v>
      </c>
      <c r="N76" s="342" t="s">
        <v>232</v>
      </c>
      <c r="O76" s="345">
        <v>7.0618248021875702E-3</v>
      </c>
      <c r="P76" s="345">
        <v>1.698962794747275</v>
      </c>
      <c r="Q76" s="345" t="s">
        <v>232</v>
      </c>
      <c r="R76" s="345" t="s">
        <v>232</v>
      </c>
      <c r="S76" s="345">
        <v>4.9304496851584858</v>
      </c>
      <c r="T76" s="345">
        <v>37.099736720260779</v>
      </c>
      <c r="U76" s="345">
        <v>4.403963738494594E-5</v>
      </c>
      <c r="V76" s="345">
        <v>1.3160928334944361E-3</v>
      </c>
      <c r="W76" s="345">
        <v>1.415660327850795E-2</v>
      </c>
      <c r="X76" s="345">
        <v>8.1792417782213634E-10</v>
      </c>
      <c r="Y76" s="345">
        <v>3.10349041259836E-8</v>
      </c>
      <c r="Z76" s="345">
        <v>3.2882738111538287E-2</v>
      </c>
      <c r="AA76" s="345">
        <v>3.7440984199994172</v>
      </c>
      <c r="AB76" s="345">
        <v>1.6624633181097271E-5</v>
      </c>
      <c r="AC76" s="345">
        <v>8.4878313699040166E-9</v>
      </c>
      <c r="AD76" s="345">
        <v>6.5703537970015479E-8</v>
      </c>
      <c r="AE76" s="345">
        <v>5.411391363765174E-3</v>
      </c>
      <c r="AF76" s="345">
        <v>0.62535311639619129</v>
      </c>
      <c r="AH76" s="316" t="s">
        <v>232</v>
      </c>
      <c r="AI76" s="317" t="s">
        <v>232</v>
      </c>
      <c r="AJ76" s="311" t="s">
        <v>232</v>
      </c>
      <c r="AK76" s="311" t="s">
        <v>232</v>
      </c>
      <c r="AL76" s="311" t="s">
        <v>232</v>
      </c>
      <c r="AM76" s="311" t="s">
        <v>232</v>
      </c>
      <c r="AN76" s="311" t="s">
        <v>232</v>
      </c>
      <c r="AO76" s="311" t="s">
        <v>232</v>
      </c>
      <c r="AP76" s="311" t="s">
        <v>232</v>
      </c>
      <c r="AQ76" s="318" t="s">
        <v>232</v>
      </c>
      <c r="AR76" s="318" t="s">
        <v>232</v>
      </c>
      <c r="AS76" s="318" t="s">
        <v>232</v>
      </c>
      <c r="AT76" s="315" t="s">
        <v>232</v>
      </c>
      <c r="AU76" s="315" t="s">
        <v>232</v>
      </c>
      <c r="AV76" s="318" t="s">
        <v>232</v>
      </c>
      <c r="AW76" s="311" t="s">
        <v>232</v>
      </c>
      <c r="AX76" s="318" t="s">
        <v>232</v>
      </c>
      <c r="AY76" s="315" t="s">
        <v>232</v>
      </c>
      <c r="AZ76" s="318" t="s">
        <v>232</v>
      </c>
      <c r="BA76" s="311" t="s">
        <v>232</v>
      </c>
      <c r="BB76" s="311" t="s">
        <v>232</v>
      </c>
      <c r="BD76" s="356" t="s">
        <v>232</v>
      </c>
      <c r="BE76" s="364" t="s">
        <v>232</v>
      </c>
      <c r="BF76" s="311" t="s">
        <v>232</v>
      </c>
      <c r="BG76" s="311" t="s">
        <v>232</v>
      </c>
      <c r="BH76" s="311" t="s">
        <v>232</v>
      </c>
      <c r="BI76" s="311" t="s">
        <v>232</v>
      </c>
      <c r="BJ76" s="311" t="s">
        <v>232</v>
      </c>
      <c r="BK76" s="311" t="s">
        <v>232</v>
      </c>
      <c r="BL76" s="311" t="s">
        <v>232</v>
      </c>
      <c r="BM76" s="318" t="s">
        <v>232</v>
      </c>
      <c r="BN76" s="318" t="s">
        <v>232</v>
      </c>
      <c r="BO76" s="318" t="s">
        <v>232</v>
      </c>
      <c r="BP76" s="315" t="s">
        <v>232</v>
      </c>
      <c r="BQ76" s="315" t="s">
        <v>232</v>
      </c>
      <c r="BR76" s="318" t="s">
        <v>232</v>
      </c>
      <c r="BS76" s="311" t="s">
        <v>232</v>
      </c>
      <c r="BT76" s="318" t="s">
        <v>232</v>
      </c>
      <c r="BU76" s="315" t="s">
        <v>232</v>
      </c>
      <c r="BV76" s="318" t="s">
        <v>232</v>
      </c>
      <c r="BW76" s="311" t="s">
        <v>232</v>
      </c>
      <c r="BX76" s="311" t="s">
        <v>232</v>
      </c>
      <c r="BZ76" s="365" t="s">
        <v>232</v>
      </c>
      <c r="CA76" s="366" t="s">
        <v>232</v>
      </c>
      <c r="CB76" s="311" t="s">
        <v>232</v>
      </c>
      <c r="CC76" s="311" t="s">
        <v>232</v>
      </c>
      <c r="CD76" s="311" t="s">
        <v>232</v>
      </c>
      <c r="CE76" s="311" t="s">
        <v>232</v>
      </c>
      <c r="CF76" s="311" t="s">
        <v>232</v>
      </c>
      <c r="CG76" s="311" t="s">
        <v>232</v>
      </c>
      <c r="CH76" s="311" t="s">
        <v>232</v>
      </c>
      <c r="CI76" s="318" t="s">
        <v>232</v>
      </c>
      <c r="CJ76" s="318" t="s">
        <v>232</v>
      </c>
      <c r="CK76" s="318" t="s">
        <v>232</v>
      </c>
      <c r="CL76" s="315" t="s">
        <v>232</v>
      </c>
      <c r="CM76" s="315" t="s">
        <v>232</v>
      </c>
      <c r="CN76" s="318" t="s">
        <v>232</v>
      </c>
      <c r="CO76" s="311" t="s">
        <v>232</v>
      </c>
      <c r="CP76" s="318" t="s">
        <v>232</v>
      </c>
      <c r="CQ76" s="315" t="s">
        <v>232</v>
      </c>
      <c r="CR76" s="318" t="s">
        <v>232</v>
      </c>
      <c r="CS76" s="311" t="s">
        <v>232</v>
      </c>
      <c r="CT76" s="311" t="s">
        <v>232</v>
      </c>
    </row>
    <row r="77" spans="1:98" ht="22" customHeight="1" x14ac:dyDescent="0.25">
      <c r="A77" s="342"/>
      <c r="B77" s="350" t="s">
        <v>475</v>
      </c>
      <c r="C77" s="340" t="s">
        <v>232</v>
      </c>
      <c r="D77" s="340" t="s">
        <v>263</v>
      </c>
      <c r="E77" s="341" t="s">
        <v>476</v>
      </c>
      <c r="F77" s="342" t="s">
        <v>232</v>
      </c>
      <c r="G77" s="342" t="s">
        <v>232</v>
      </c>
      <c r="H77" s="342" t="s">
        <v>232</v>
      </c>
      <c r="I77" s="310" t="s">
        <v>232</v>
      </c>
      <c r="J77" s="310" t="s">
        <v>232</v>
      </c>
      <c r="K77" s="343" t="s">
        <v>232</v>
      </c>
      <c r="L77" s="344"/>
      <c r="M77" s="340" t="s">
        <v>232</v>
      </c>
      <c r="N77" s="342" t="s">
        <v>232</v>
      </c>
      <c r="O77" s="345">
        <v>7.6392567078918091E-3</v>
      </c>
      <c r="P77" s="345">
        <v>2.3731381883194378</v>
      </c>
      <c r="Q77" s="345" t="s">
        <v>232</v>
      </c>
      <c r="R77" s="345" t="s">
        <v>232</v>
      </c>
      <c r="S77" s="345">
        <v>4.3594430184095918</v>
      </c>
      <c r="T77" s="345">
        <v>73.831840741742013</v>
      </c>
      <c r="U77" s="345">
        <v>3.5646932330482922E-5</v>
      </c>
      <c r="V77" s="345">
        <v>1.4485355288306699E-3</v>
      </c>
      <c r="W77" s="345">
        <v>1.5916142816399709E-2</v>
      </c>
      <c r="X77" s="345">
        <v>3.7898365259403281E-10</v>
      </c>
      <c r="Y77" s="345">
        <v>1.179674608342559E-8</v>
      </c>
      <c r="Z77" s="345">
        <v>2.5400298162812002E-2</v>
      </c>
      <c r="AA77" s="345">
        <v>1.969146545884138</v>
      </c>
      <c r="AB77" s="345">
        <v>1.219581998978738E-5</v>
      </c>
      <c r="AC77" s="345">
        <v>3.6010224152160281E-7</v>
      </c>
      <c r="AD77" s="345">
        <v>8.6996966719809952E-8</v>
      </c>
      <c r="AE77" s="345">
        <v>6.6099460313724986E-3</v>
      </c>
      <c r="AF77" s="345">
        <v>1.877098963972341</v>
      </c>
      <c r="AH77" s="316" t="s">
        <v>232</v>
      </c>
      <c r="AI77" s="317" t="s">
        <v>232</v>
      </c>
      <c r="AJ77" s="311" t="s">
        <v>232</v>
      </c>
      <c r="AK77" s="311" t="s">
        <v>232</v>
      </c>
      <c r="AL77" s="311" t="s">
        <v>232</v>
      </c>
      <c r="AM77" s="311" t="s">
        <v>232</v>
      </c>
      <c r="AN77" s="311" t="s">
        <v>232</v>
      </c>
      <c r="AO77" s="311" t="s">
        <v>232</v>
      </c>
      <c r="AP77" s="311" t="s">
        <v>232</v>
      </c>
      <c r="AQ77" s="318" t="s">
        <v>232</v>
      </c>
      <c r="AR77" s="318" t="s">
        <v>232</v>
      </c>
      <c r="AS77" s="318" t="s">
        <v>232</v>
      </c>
      <c r="AT77" s="315" t="s">
        <v>232</v>
      </c>
      <c r="AU77" s="315" t="s">
        <v>232</v>
      </c>
      <c r="AV77" s="318" t="s">
        <v>232</v>
      </c>
      <c r="AW77" s="311" t="s">
        <v>232</v>
      </c>
      <c r="AX77" s="318" t="s">
        <v>232</v>
      </c>
      <c r="AY77" s="315" t="s">
        <v>232</v>
      </c>
      <c r="AZ77" s="318" t="s">
        <v>232</v>
      </c>
      <c r="BA77" s="311" t="s">
        <v>232</v>
      </c>
      <c r="BB77" s="311" t="s">
        <v>232</v>
      </c>
      <c r="BD77" s="356" t="s">
        <v>232</v>
      </c>
      <c r="BE77" s="364" t="s">
        <v>232</v>
      </c>
      <c r="BF77" s="311" t="s">
        <v>232</v>
      </c>
      <c r="BG77" s="311" t="s">
        <v>232</v>
      </c>
      <c r="BH77" s="311" t="s">
        <v>232</v>
      </c>
      <c r="BI77" s="311" t="s">
        <v>232</v>
      </c>
      <c r="BJ77" s="311" t="s">
        <v>232</v>
      </c>
      <c r="BK77" s="311" t="s">
        <v>232</v>
      </c>
      <c r="BL77" s="311" t="s">
        <v>232</v>
      </c>
      <c r="BM77" s="318" t="s">
        <v>232</v>
      </c>
      <c r="BN77" s="318" t="s">
        <v>232</v>
      </c>
      <c r="BO77" s="318" t="s">
        <v>232</v>
      </c>
      <c r="BP77" s="315" t="s">
        <v>232</v>
      </c>
      <c r="BQ77" s="315" t="s">
        <v>232</v>
      </c>
      <c r="BR77" s="318" t="s">
        <v>232</v>
      </c>
      <c r="BS77" s="311" t="s">
        <v>232</v>
      </c>
      <c r="BT77" s="318" t="s">
        <v>232</v>
      </c>
      <c r="BU77" s="315" t="s">
        <v>232</v>
      </c>
      <c r="BV77" s="318" t="s">
        <v>232</v>
      </c>
      <c r="BW77" s="311" t="s">
        <v>232</v>
      </c>
      <c r="BX77" s="311" t="s">
        <v>232</v>
      </c>
      <c r="BZ77" s="365" t="s">
        <v>232</v>
      </c>
      <c r="CA77" s="366" t="s">
        <v>232</v>
      </c>
      <c r="CB77" s="311" t="s">
        <v>232</v>
      </c>
      <c r="CC77" s="311" t="s">
        <v>232</v>
      </c>
      <c r="CD77" s="311" t="s">
        <v>232</v>
      </c>
      <c r="CE77" s="311" t="s">
        <v>232</v>
      </c>
      <c r="CF77" s="311" t="s">
        <v>232</v>
      </c>
      <c r="CG77" s="311" t="s">
        <v>232</v>
      </c>
      <c r="CH77" s="311" t="s">
        <v>232</v>
      </c>
      <c r="CI77" s="318" t="s">
        <v>232</v>
      </c>
      <c r="CJ77" s="318" t="s">
        <v>232</v>
      </c>
      <c r="CK77" s="318" t="s">
        <v>232</v>
      </c>
      <c r="CL77" s="315" t="s">
        <v>232</v>
      </c>
      <c r="CM77" s="315" t="s">
        <v>232</v>
      </c>
      <c r="CN77" s="318" t="s">
        <v>232</v>
      </c>
      <c r="CO77" s="311" t="s">
        <v>232</v>
      </c>
      <c r="CP77" s="318" t="s">
        <v>232</v>
      </c>
      <c r="CQ77" s="315" t="s">
        <v>232</v>
      </c>
      <c r="CR77" s="318" t="s">
        <v>232</v>
      </c>
      <c r="CS77" s="311" t="s">
        <v>232</v>
      </c>
      <c r="CT77" s="311" t="s">
        <v>232</v>
      </c>
    </row>
    <row r="78" spans="1:98" ht="22" customHeight="1" thickBot="1" x14ac:dyDescent="0.3">
      <c r="A78" s="342"/>
      <c r="B78" s="346" t="s">
        <v>477</v>
      </c>
      <c r="C78" s="340" t="s">
        <v>232</v>
      </c>
      <c r="D78" s="340" t="s">
        <v>233</v>
      </c>
      <c r="E78" s="341" t="s">
        <v>478</v>
      </c>
      <c r="F78" s="342" t="s">
        <v>232</v>
      </c>
      <c r="G78" s="342" t="s">
        <v>232</v>
      </c>
      <c r="H78" s="342" t="s">
        <v>232</v>
      </c>
      <c r="I78" s="310" t="s">
        <v>232</v>
      </c>
      <c r="J78" s="310" t="s">
        <v>232</v>
      </c>
      <c r="K78" s="343" t="s">
        <v>232</v>
      </c>
      <c r="L78" s="344"/>
      <c r="M78" s="340" t="s">
        <v>232</v>
      </c>
      <c r="N78" s="342" t="s">
        <v>232</v>
      </c>
      <c r="O78" s="345">
        <v>1.638131588040832E-2</v>
      </c>
      <c r="P78" s="345">
        <v>3.8237430071020109</v>
      </c>
      <c r="Q78" s="345" t="s">
        <v>232</v>
      </c>
      <c r="R78" s="345" t="s">
        <v>232</v>
      </c>
      <c r="S78" s="345">
        <v>31.047709173278129</v>
      </c>
      <c r="T78" s="345">
        <v>89.776494595945834</v>
      </c>
      <c r="U78" s="345">
        <v>9.9521638331410229E-5</v>
      </c>
      <c r="V78" s="345">
        <v>2.8311884739060959E-3</v>
      </c>
      <c r="W78" s="345">
        <v>3.1299785817329423E-2</v>
      </c>
      <c r="X78" s="345">
        <v>6.9546748968650622E-9</v>
      </c>
      <c r="Y78" s="345">
        <v>3.3726530981479837E-8</v>
      </c>
      <c r="Z78" s="345">
        <v>6.5406345498264601E-2</v>
      </c>
      <c r="AA78" s="345">
        <v>7.3494542016638356</v>
      </c>
      <c r="AB78" s="345">
        <v>2.522668428437613E-5</v>
      </c>
      <c r="AC78" s="345">
        <v>5.1412025739284231E-8</v>
      </c>
      <c r="AD78" s="345">
        <v>1.7067928034022939E-7</v>
      </c>
      <c r="AE78" s="345">
        <v>1.552631273282431E-2</v>
      </c>
      <c r="AF78" s="345">
        <v>3.2110609083464299</v>
      </c>
      <c r="AH78" s="316" t="s">
        <v>232</v>
      </c>
      <c r="AI78" s="317" t="s">
        <v>232</v>
      </c>
      <c r="AJ78" s="311" t="s">
        <v>232</v>
      </c>
      <c r="AK78" s="311" t="s">
        <v>232</v>
      </c>
      <c r="AL78" s="311" t="s">
        <v>232</v>
      </c>
      <c r="AM78" s="311" t="s">
        <v>232</v>
      </c>
      <c r="AN78" s="311" t="s">
        <v>232</v>
      </c>
      <c r="AO78" s="311" t="s">
        <v>232</v>
      </c>
      <c r="AP78" s="311" t="s">
        <v>232</v>
      </c>
      <c r="AQ78" s="318" t="s">
        <v>232</v>
      </c>
      <c r="AR78" s="318" t="s">
        <v>232</v>
      </c>
      <c r="AS78" s="318" t="s">
        <v>232</v>
      </c>
      <c r="AT78" s="315" t="s">
        <v>232</v>
      </c>
      <c r="AU78" s="315" t="s">
        <v>232</v>
      </c>
      <c r="AV78" s="318" t="s">
        <v>232</v>
      </c>
      <c r="AW78" s="311" t="s">
        <v>232</v>
      </c>
      <c r="AX78" s="318" t="s">
        <v>232</v>
      </c>
      <c r="AY78" s="315" t="s">
        <v>232</v>
      </c>
      <c r="AZ78" s="318" t="s">
        <v>232</v>
      </c>
      <c r="BA78" s="311" t="s">
        <v>232</v>
      </c>
      <c r="BB78" s="311" t="s">
        <v>232</v>
      </c>
      <c r="BD78" s="356" t="s">
        <v>232</v>
      </c>
      <c r="BE78" s="364" t="s">
        <v>232</v>
      </c>
      <c r="BF78" s="311" t="s">
        <v>232</v>
      </c>
      <c r="BG78" s="311" t="s">
        <v>232</v>
      </c>
      <c r="BH78" s="311" t="s">
        <v>232</v>
      </c>
      <c r="BI78" s="311" t="s">
        <v>232</v>
      </c>
      <c r="BJ78" s="311" t="s">
        <v>232</v>
      </c>
      <c r="BK78" s="311" t="s">
        <v>232</v>
      </c>
      <c r="BL78" s="311" t="s">
        <v>232</v>
      </c>
      <c r="BM78" s="318" t="s">
        <v>232</v>
      </c>
      <c r="BN78" s="318" t="s">
        <v>232</v>
      </c>
      <c r="BO78" s="318" t="s">
        <v>232</v>
      </c>
      <c r="BP78" s="315" t="s">
        <v>232</v>
      </c>
      <c r="BQ78" s="315" t="s">
        <v>232</v>
      </c>
      <c r="BR78" s="318" t="s">
        <v>232</v>
      </c>
      <c r="BS78" s="311" t="s">
        <v>232</v>
      </c>
      <c r="BT78" s="318" t="s">
        <v>232</v>
      </c>
      <c r="BU78" s="315" t="s">
        <v>232</v>
      </c>
      <c r="BV78" s="318" t="s">
        <v>232</v>
      </c>
      <c r="BW78" s="311" t="s">
        <v>232</v>
      </c>
      <c r="BX78" s="311" t="s">
        <v>232</v>
      </c>
      <c r="BZ78" s="365" t="s">
        <v>232</v>
      </c>
      <c r="CA78" s="366" t="s">
        <v>232</v>
      </c>
      <c r="CB78" s="311" t="s">
        <v>232</v>
      </c>
      <c r="CC78" s="311" t="s">
        <v>232</v>
      </c>
      <c r="CD78" s="311" t="s">
        <v>232</v>
      </c>
      <c r="CE78" s="311" t="s">
        <v>232</v>
      </c>
      <c r="CF78" s="311" t="s">
        <v>232</v>
      </c>
      <c r="CG78" s="311" t="s">
        <v>232</v>
      </c>
      <c r="CH78" s="311" t="s">
        <v>232</v>
      </c>
      <c r="CI78" s="318" t="s">
        <v>232</v>
      </c>
      <c r="CJ78" s="318" t="s">
        <v>232</v>
      </c>
      <c r="CK78" s="318" t="s">
        <v>232</v>
      </c>
      <c r="CL78" s="315" t="s">
        <v>232</v>
      </c>
      <c r="CM78" s="315" t="s">
        <v>232</v>
      </c>
      <c r="CN78" s="318" t="s">
        <v>232</v>
      </c>
      <c r="CO78" s="311" t="s">
        <v>232</v>
      </c>
      <c r="CP78" s="318" t="s">
        <v>232</v>
      </c>
      <c r="CQ78" s="315" t="s">
        <v>232</v>
      </c>
      <c r="CR78" s="318" t="s">
        <v>232</v>
      </c>
      <c r="CS78" s="311" t="s">
        <v>232</v>
      </c>
      <c r="CT78" s="311" t="s">
        <v>232</v>
      </c>
    </row>
    <row r="79" spans="1:98" ht="22" customHeight="1" thickBot="1" x14ac:dyDescent="0.3">
      <c r="AH79" s="374"/>
      <c r="AI79" s="375"/>
      <c r="AJ79" s="311"/>
      <c r="BD79" s="374"/>
      <c r="BE79" s="375"/>
      <c r="BP79" s="315"/>
      <c r="BQ79" s="315"/>
      <c r="BU79" s="315"/>
    </row>
    <row r="80" spans="1:98" ht="22" customHeight="1" thickBot="1" x14ac:dyDescent="0.3">
      <c r="A80" s="377"/>
      <c r="Q80" s="378">
        <v>1.9857339720851801</v>
      </c>
      <c r="R80" s="379" t="s">
        <v>479</v>
      </c>
      <c r="AH80" s="380"/>
      <c r="AI80" s="381">
        <f>SUM(AI3:AI78)</f>
        <v>532.3719999999995</v>
      </c>
      <c r="AJ80" s="311" t="s">
        <v>480</v>
      </c>
      <c r="AK80" s="382">
        <f>SUM(AK3:AK78)</f>
        <v>9.395716075415633</v>
      </c>
      <c r="AL80" s="382">
        <f>SUM(AL3:AL78)</f>
        <v>1314.4329439279047</v>
      </c>
      <c r="AM80" s="382">
        <f t="shared" ref="AM80:BB80" si="107">SUM(AM3:AM78)</f>
        <v>1011.2182416536319</v>
      </c>
      <c r="AN80" s="382">
        <f t="shared" si="107"/>
        <v>2325.6511855815365</v>
      </c>
      <c r="AO80" s="382">
        <f t="shared" si="107"/>
        <v>13912.502986306461</v>
      </c>
      <c r="AP80" s="382">
        <f t="shared" si="107"/>
        <v>28343.261933824342</v>
      </c>
      <c r="AQ80" s="383">
        <f t="shared" si="107"/>
        <v>0.22112833189932321</v>
      </c>
      <c r="AR80" s="383">
        <f t="shared" si="107"/>
        <v>1.4418769139122418</v>
      </c>
      <c r="AS80" s="383">
        <f t="shared" si="107"/>
        <v>14.285518015882824</v>
      </c>
      <c r="AT80" s="384">
        <f t="shared" si="107"/>
        <v>7.5404378731628159E-7</v>
      </c>
      <c r="AU80" s="384">
        <f t="shared" si="107"/>
        <v>3.1569036768013956E-5</v>
      </c>
      <c r="AV80" s="383">
        <f t="shared" si="107"/>
        <v>27.504260339343077</v>
      </c>
      <c r="AW80" s="382">
        <f t="shared" si="107"/>
        <v>4920.2099697740805</v>
      </c>
      <c r="AX80" s="383">
        <f t="shared" si="107"/>
        <v>2.789650769924602E-2</v>
      </c>
      <c r="AY80" s="384">
        <f t="shared" si="107"/>
        <v>1.2490921521484736E-4</v>
      </c>
      <c r="AZ80" s="383">
        <f t="shared" si="107"/>
        <v>7.9903281385839282E-5</v>
      </c>
      <c r="BA80" s="382">
        <f t="shared" si="107"/>
        <v>6.3799707283220828</v>
      </c>
      <c r="BB80" s="382">
        <f t="shared" si="107"/>
        <v>1403.8063383063127</v>
      </c>
      <c r="BD80" s="380"/>
      <c r="BE80" s="385">
        <f>SUM(BE3:BE78)</f>
        <v>348.34309999999937</v>
      </c>
      <c r="BF80" s="386" t="s">
        <v>481</v>
      </c>
      <c r="BG80" s="382">
        <f>SUM(BG3:BG78)</f>
        <v>5.9639509254277714</v>
      </c>
      <c r="BH80" s="382">
        <f t="shared" ref="BH80:BX80" si="108">SUM(BH3:BH78)</f>
        <v>821.0552337830137</v>
      </c>
      <c r="BI80" s="382">
        <f t="shared" si="108"/>
        <v>733.03465391503028</v>
      </c>
      <c r="BJ80" s="382">
        <f t="shared" si="108"/>
        <v>1554.0898876980441</v>
      </c>
      <c r="BK80" s="382">
        <f t="shared" si="108"/>
        <v>9239.0835634225732</v>
      </c>
      <c r="BL80" s="382">
        <f t="shared" si="108"/>
        <v>18249.627856575928</v>
      </c>
      <c r="BM80" s="383">
        <f t="shared" si="108"/>
        <v>0.10827285993559475</v>
      </c>
      <c r="BN80" s="383">
        <f t="shared" si="108"/>
        <v>0.88346142797952831</v>
      </c>
      <c r="BO80" s="383">
        <f t="shared" si="108"/>
        <v>9.0854748027856083</v>
      </c>
      <c r="BP80" s="384">
        <f t="shared" si="108"/>
        <v>4.6220072826472537E-7</v>
      </c>
      <c r="BQ80" s="384">
        <f t="shared" si="108"/>
        <v>1.7067042124808031E-5</v>
      </c>
      <c r="BR80" s="383">
        <f t="shared" si="108"/>
        <v>15.501374301278693</v>
      </c>
      <c r="BS80" s="382">
        <f t="shared" si="108"/>
        <v>2886.6572723210043</v>
      </c>
      <c r="BT80" s="383">
        <f t="shared" si="108"/>
        <v>1.4118347648824999E-2</v>
      </c>
      <c r="BU80" s="384">
        <f t="shared" si="108"/>
        <v>5.1113894461405794E-4</v>
      </c>
      <c r="BV80" s="383">
        <f t="shared" si="108"/>
        <v>5.3713846156905393E-5</v>
      </c>
      <c r="BW80" s="382">
        <f t="shared" si="108"/>
        <v>4.2078966195526704</v>
      </c>
      <c r="BX80" s="382">
        <f t="shared" si="108"/>
        <v>739.8331772589305</v>
      </c>
      <c r="BZ80" s="380"/>
      <c r="CA80" s="385">
        <f>SUM(CA3:CA78)</f>
        <v>16.541799999999796</v>
      </c>
      <c r="CB80" s="386" t="s">
        <v>482</v>
      </c>
      <c r="CC80" s="382">
        <f>SUM(CC3:CC78)</f>
        <v>0.3453964447705633</v>
      </c>
      <c r="CD80" s="382">
        <f t="shared" ref="CD80:CT80" si="109">SUM(CD3:CD78)</f>
        <v>48.877063462787746</v>
      </c>
      <c r="CE80" s="382">
        <f t="shared" si="109"/>
        <v>37.628548334732614</v>
      </c>
      <c r="CF80" s="382">
        <f t="shared" si="109"/>
        <v>86.505611797520345</v>
      </c>
      <c r="CG80" s="382">
        <f t="shared" si="109"/>
        <v>682.82646469126314</v>
      </c>
      <c r="CH80" s="382">
        <f t="shared" si="109"/>
        <v>706.42639059070336</v>
      </c>
      <c r="CI80" s="383">
        <f t="shared" si="109"/>
        <v>8.9975635352800866E-4</v>
      </c>
      <c r="CJ80" s="383">
        <f t="shared" si="109"/>
        <v>6.8026829609791784E-2</v>
      </c>
      <c r="CK80" s="383">
        <f t="shared" si="109"/>
        <v>0.71867720914368682</v>
      </c>
      <c r="CL80" s="384">
        <f t="shared" si="109"/>
        <v>2.0708773866533493E-8</v>
      </c>
      <c r="CM80" s="384">
        <f t="shared" si="109"/>
        <v>8.9859245295148228E-7</v>
      </c>
      <c r="CN80" s="383">
        <f t="shared" si="109"/>
        <v>0.23736542041794306</v>
      </c>
      <c r="CO80" s="382">
        <f t="shared" si="109"/>
        <v>64.331217156106945</v>
      </c>
      <c r="CP80" s="383">
        <f t="shared" si="109"/>
        <v>4.2740400571938763E-4</v>
      </c>
      <c r="CQ80" s="384">
        <f t="shared" si="109"/>
        <v>4.5494582920779141E-4</v>
      </c>
      <c r="CR80" s="383">
        <f t="shared" si="109"/>
        <v>5.944594887259937E-6</v>
      </c>
      <c r="CS80" s="382">
        <f t="shared" si="109"/>
        <v>0.22453630074280301</v>
      </c>
      <c r="CT80" s="382">
        <f t="shared" si="109"/>
        <v>15.180136619060086</v>
      </c>
    </row>
    <row r="81" spans="1:80" ht="22" customHeight="1" thickBot="1" x14ac:dyDescent="0.3">
      <c r="Q81" s="378">
        <v>0.628</v>
      </c>
      <c r="R81" s="379" t="s">
        <v>483</v>
      </c>
      <c r="AH81" s="377"/>
      <c r="AI81" s="376" t="s">
        <v>484</v>
      </c>
      <c r="BE81" s="376" t="s">
        <v>484</v>
      </c>
      <c r="BF81" s="386" t="s">
        <v>482</v>
      </c>
      <c r="BG81" s="382">
        <f>CC80</f>
        <v>0.3453964447705633</v>
      </c>
      <c r="BH81" s="382">
        <f t="shared" ref="BH81:BX81" si="110">CD80</f>
        <v>48.877063462787746</v>
      </c>
      <c r="BI81" s="382">
        <f t="shared" si="110"/>
        <v>37.628548334732614</v>
      </c>
      <c r="BJ81" s="382">
        <f t="shared" si="110"/>
        <v>86.505611797520345</v>
      </c>
      <c r="BK81" s="382">
        <f t="shared" si="110"/>
        <v>682.82646469126314</v>
      </c>
      <c r="BL81" s="382">
        <f t="shared" si="110"/>
        <v>706.42639059070336</v>
      </c>
      <c r="BM81" s="383">
        <f t="shared" si="110"/>
        <v>8.9975635352800866E-4</v>
      </c>
      <c r="BN81" s="383">
        <f t="shared" si="110"/>
        <v>6.8026829609791784E-2</v>
      </c>
      <c r="BO81" s="383">
        <f t="shared" si="110"/>
        <v>0.71867720914368682</v>
      </c>
      <c r="BP81" s="384">
        <f t="shared" si="110"/>
        <v>2.0708773866533493E-8</v>
      </c>
      <c r="BQ81" s="384">
        <f t="shared" si="110"/>
        <v>8.9859245295148228E-7</v>
      </c>
      <c r="BR81" s="383">
        <f t="shared" si="110"/>
        <v>0.23736542041794306</v>
      </c>
      <c r="BS81" s="382">
        <f t="shared" si="110"/>
        <v>64.331217156106945</v>
      </c>
      <c r="BT81" s="383">
        <f t="shared" si="110"/>
        <v>4.2740400571938763E-4</v>
      </c>
      <c r="BU81" s="384">
        <f t="shared" si="110"/>
        <v>4.5494582920779141E-4</v>
      </c>
      <c r="BV81" s="383">
        <f t="shared" si="110"/>
        <v>5.944594887259937E-6</v>
      </c>
      <c r="BW81" s="382">
        <f t="shared" si="110"/>
        <v>0.22453630074280301</v>
      </c>
      <c r="BX81" s="382">
        <f t="shared" si="110"/>
        <v>15.180136619060086</v>
      </c>
      <c r="CA81" s="376" t="s">
        <v>484</v>
      </c>
      <c r="CB81" s="374"/>
    </row>
    <row r="82" spans="1:80" ht="22" customHeight="1" thickBot="1" x14ac:dyDescent="0.3">
      <c r="Q82" s="378">
        <v>2.4771661783205499</v>
      </c>
      <c r="R82" s="379" t="s">
        <v>485</v>
      </c>
      <c r="AI82" s="381">
        <v>532.37239999999997</v>
      </c>
      <c r="BD82" s="377"/>
      <c r="BE82" s="385">
        <v>348.34359999999998</v>
      </c>
    </row>
    <row r="83" spans="1:80" ht="22" customHeight="1" x14ac:dyDescent="0.25">
      <c r="AI83" s="376" t="s">
        <v>486</v>
      </c>
      <c r="BD83" s="377"/>
      <c r="BE83" s="376" t="s">
        <v>486</v>
      </c>
    </row>
    <row r="85" spans="1:80" ht="22" customHeight="1" x14ac:dyDescent="0.25">
      <c r="A85" s="387" t="s">
        <v>487</v>
      </c>
      <c r="B85" s="388"/>
      <c r="C85" s="389"/>
      <c r="D85" s="389"/>
    </row>
    <row r="86" spans="1:80" ht="22" customHeight="1" x14ac:dyDescent="0.25">
      <c r="A86" s="390"/>
      <c r="B86" s="390"/>
      <c r="C86" s="391"/>
    </row>
    <row r="87" spans="1:80" ht="22" customHeight="1" x14ac:dyDescent="0.25">
      <c r="A87" s="390"/>
      <c r="B87" s="392" t="s">
        <v>488</v>
      </c>
      <c r="C87" s="392" t="s">
        <v>489</v>
      </c>
    </row>
    <row r="88" spans="1:80" ht="22" customHeight="1" x14ac:dyDescent="0.25">
      <c r="A88" s="393" t="s">
        <v>490</v>
      </c>
      <c r="B88" s="394">
        <f>AJ10+AJ15+AJ16+AJ19+AJ20+AJ40+AJ41+AJ46</f>
        <v>5451.353630451501</v>
      </c>
      <c r="C88" s="394">
        <f>BF10+BF15+BF16+BF19+BF20+BF22+BF23+BF27+BF28+BF30+BF31+BF33+BF35+BF36+BF41+BF42+BF45+BF46+BF47+BF50+BF53+BF65</f>
        <v>7473.043709829155</v>
      </c>
    </row>
    <row r="89" spans="1:80" ht="22" customHeight="1" x14ac:dyDescent="0.25">
      <c r="A89" s="393" t="s">
        <v>491</v>
      </c>
      <c r="B89" s="394">
        <f>AJ58+AJ62</f>
        <v>10728.087999999916</v>
      </c>
      <c r="C89" s="394">
        <f>BF58+BF62</f>
        <v>5396.0239999999931</v>
      </c>
    </row>
    <row r="90" spans="1:80" ht="22" customHeight="1" x14ac:dyDescent="0.25">
      <c r="A90" s="393" t="s">
        <v>21</v>
      </c>
      <c r="B90" s="394">
        <f>AJ5+AJ6+AJ7+AJ8+AJ9+AJ11+AJ21</f>
        <v>12185.68452819939</v>
      </c>
      <c r="C90" s="394">
        <f>BF6+BF7+BF8+BF9+BF21+BF29+BF32+BF34+BF39</f>
        <v>10210.639438370306</v>
      </c>
    </row>
    <row r="91" spans="1:80" ht="22" customHeight="1" x14ac:dyDescent="0.25">
      <c r="A91" s="393" t="s">
        <v>492</v>
      </c>
      <c r="B91" s="394">
        <f>AJ14</f>
        <v>456.36516048144415</v>
      </c>
      <c r="C91" s="394">
        <f>BF14</f>
        <v>178.7607286860582</v>
      </c>
    </row>
    <row r="92" spans="1:80" ht="22" customHeight="1" x14ac:dyDescent="0.25">
      <c r="A92" s="393" t="s">
        <v>493</v>
      </c>
      <c r="B92" s="394">
        <f>AJ4</f>
        <v>17.387999999923522</v>
      </c>
      <c r="C92" s="394">
        <f>BF13</f>
        <v>36.449999999138072</v>
      </c>
    </row>
    <row r="93" spans="1:80" ht="22" customHeight="1" x14ac:dyDescent="0.25">
      <c r="A93" s="393" t="s">
        <v>494</v>
      </c>
      <c r="B93" s="394">
        <f>SUM(B88:B92)</f>
        <v>28838.879319132171</v>
      </c>
      <c r="C93" s="394">
        <f>SUM(C88:C92)</f>
        <v>23294.917876884654</v>
      </c>
    </row>
    <row r="94" spans="1:80" ht="22" customHeight="1" x14ac:dyDescent="0.25">
      <c r="A94" s="395"/>
      <c r="B94" s="311"/>
    </row>
    <row r="106" spans="1:19" ht="22" customHeight="1" x14ac:dyDescent="0.25">
      <c r="A106" s="387" t="s">
        <v>495</v>
      </c>
      <c r="B106" s="388"/>
      <c r="C106" s="388"/>
      <c r="D106" s="389"/>
    </row>
    <row r="107" spans="1:19" ht="22" customHeight="1" x14ac:dyDescent="0.25">
      <c r="A107" s="335"/>
      <c r="B107" s="396"/>
      <c r="C107" s="396"/>
      <c r="D107" s="396"/>
      <c r="E107" s="397"/>
      <c r="F107" s="335"/>
      <c r="G107" s="335"/>
      <c r="H107" s="335"/>
      <c r="I107" s="398"/>
      <c r="J107" s="398"/>
      <c r="K107" s="399"/>
      <c r="L107" s="400"/>
      <c r="M107" s="396"/>
      <c r="N107" s="335"/>
      <c r="O107" s="335"/>
      <c r="P107" s="335"/>
      <c r="Q107" s="335"/>
      <c r="R107" s="335"/>
    </row>
    <row r="108" spans="1:19" ht="22" customHeight="1" x14ac:dyDescent="0.25">
      <c r="B108" s="335" t="s">
        <v>496</v>
      </c>
      <c r="C108" s="396" t="s">
        <v>497</v>
      </c>
      <c r="D108" s="396" t="s">
        <v>498</v>
      </c>
      <c r="E108" s="396" t="s">
        <v>499</v>
      </c>
      <c r="F108" s="397" t="s">
        <v>500</v>
      </c>
      <c r="G108" s="335" t="s">
        <v>501</v>
      </c>
      <c r="H108" s="335" t="s">
        <v>502</v>
      </c>
      <c r="I108" s="335" t="s">
        <v>503</v>
      </c>
      <c r="J108" s="398" t="s">
        <v>504</v>
      </c>
      <c r="K108" s="398" t="s">
        <v>505</v>
      </c>
      <c r="L108" s="400" t="s">
        <v>506</v>
      </c>
      <c r="M108" s="400" t="s">
        <v>507</v>
      </c>
      <c r="N108" s="396" t="s">
        <v>508</v>
      </c>
      <c r="O108" s="335" t="s">
        <v>509</v>
      </c>
      <c r="P108" s="335" t="s">
        <v>510</v>
      </c>
      <c r="Q108" s="335" t="s">
        <v>511</v>
      </c>
      <c r="R108" s="335" t="s">
        <v>512</v>
      </c>
      <c r="S108" s="335" t="s">
        <v>513</v>
      </c>
    </row>
    <row r="109" spans="1:19" ht="22" customHeight="1" x14ac:dyDescent="0.25">
      <c r="A109" s="308" t="s">
        <v>488</v>
      </c>
      <c r="B109" s="400">
        <v>100</v>
      </c>
      <c r="C109" s="401">
        <v>100</v>
      </c>
      <c r="D109" s="401">
        <v>100</v>
      </c>
      <c r="E109" s="401">
        <v>100</v>
      </c>
      <c r="F109" s="402">
        <v>100</v>
      </c>
      <c r="G109" s="400">
        <v>100</v>
      </c>
      <c r="H109" s="400">
        <v>100</v>
      </c>
      <c r="I109" s="400">
        <v>100</v>
      </c>
      <c r="J109" s="400">
        <v>100</v>
      </c>
      <c r="K109" s="400">
        <v>100</v>
      </c>
      <c r="L109" s="400">
        <v>100</v>
      </c>
      <c r="M109" s="400">
        <v>100</v>
      </c>
      <c r="N109" s="401">
        <v>100</v>
      </c>
      <c r="O109" s="400">
        <v>100</v>
      </c>
      <c r="P109" s="400">
        <v>24.437428713079509</v>
      </c>
      <c r="Q109" s="400">
        <v>100</v>
      </c>
      <c r="R109" s="400">
        <v>100</v>
      </c>
      <c r="S109" s="400">
        <v>100</v>
      </c>
    </row>
    <row r="110" spans="1:19" ht="22" customHeight="1" x14ac:dyDescent="0.25">
      <c r="A110" s="308" t="s">
        <v>489</v>
      </c>
      <c r="B110" s="400">
        <v>63.475214422802232</v>
      </c>
      <c r="C110" s="401">
        <v>62.464596431177675</v>
      </c>
      <c r="D110" s="401">
        <v>72.490252224515686</v>
      </c>
      <c r="E110" s="401">
        <v>66.823859800343996</v>
      </c>
      <c r="F110" s="402">
        <v>66.408492939884695</v>
      </c>
      <c r="G110" s="400">
        <v>64.38788837779164</v>
      </c>
      <c r="H110" s="400">
        <v>48.96381164982963</v>
      </c>
      <c r="I110" s="400">
        <v>61.271625854833488</v>
      </c>
      <c r="J110" s="400">
        <v>63.599197401762119</v>
      </c>
      <c r="K110" s="400">
        <v>61.29627165416278</v>
      </c>
      <c r="L110" s="400">
        <v>54.062600168087862</v>
      </c>
      <c r="M110" s="400">
        <v>56.359902466109858</v>
      </c>
      <c r="N110" s="401">
        <v>58.669391957952357</v>
      </c>
      <c r="O110" s="400">
        <v>50.60973151562834</v>
      </c>
      <c r="P110" s="400">
        <v>100</v>
      </c>
      <c r="Q110" s="400">
        <v>67.223579839644401</v>
      </c>
      <c r="R110" s="400">
        <v>65.954795072536911</v>
      </c>
      <c r="S110" s="400">
        <v>52.701940222861268</v>
      </c>
    </row>
  </sheetData>
  <sheetProtection algorithmName="SHA-512" hashValue="Jlg2XPAPYL6ekuY0IpciBe/FGv1fhR9uj7ww0S780Oxpz4vb4N+IF6EXYa1QXAqA3dLkIwUL8k5ofyQoPMxG+Q==" saltValue="wAUJqdaJJgniXR00BiMxpg==" spinCount="100000" sheet="1" objects="1" scenarios="1" selectLockedCells="1" selectUnlockedCells="1"/>
  <mergeCells count="1">
    <mergeCell ref="A66:A68"/>
  </mergeCells>
  <conditionalFormatting sqref="AJ3:AJ78">
    <cfRule type="colorScale" priority="21">
      <colorScale>
        <cfvo type="min"/>
        <cfvo type="percentile" val="50"/>
        <cfvo type="max"/>
        <color rgb="FF63BE7B"/>
        <color rgb="FFFFEB84"/>
        <color rgb="FFF8696B"/>
      </colorScale>
    </cfRule>
  </conditionalFormatting>
  <conditionalFormatting sqref="AK3:AK78">
    <cfRule type="colorScale" priority="57">
      <colorScale>
        <cfvo type="min"/>
        <cfvo type="percentile" val="50"/>
        <cfvo type="max"/>
        <color rgb="FF63BE7B"/>
        <color rgb="FFFFEB84"/>
        <color rgb="FFF8696B"/>
      </colorScale>
    </cfRule>
  </conditionalFormatting>
  <conditionalFormatting sqref="AL3:AL78">
    <cfRule type="colorScale" priority="56">
      <colorScale>
        <cfvo type="min"/>
        <cfvo type="percentile" val="50"/>
        <cfvo type="max"/>
        <color rgb="FF63BE7B"/>
        <color rgb="FFFFEB84"/>
        <color rgb="FFF8696B"/>
      </colorScale>
    </cfRule>
  </conditionalFormatting>
  <conditionalFormatting sqref="AM3:AM78">
    <cfRule type="colorScale" priority="55">
      <colorScale>
        <cfvo type="min"/>
        <cfvo type="percentile" val="50"/>
        <cfvo type="max"/>
        <color rgb="FF63BE7B"/>
        <color rgb="FFFFEB84"/>
        <color rgb="FFF8696B"/>
      </colorScale>
    </cfRule>
  </conditionalFormatting>
  <conditionalFormatting sqref="AN3:AN78">
    <cfRule type="colorScale" priority="54">
      <colorScale>
        <cfvo type="min"/>
        <cfvo type="percentile" val="50"/>
        <cfvo type="max"/>
        <color rgb="FF63BE7B"/>
        <color rgb="FFFFEB84"/>
        <color rgb="FFF8696B"/>
      </colorScale>
    </cfRule>
  </conditionalFormatting>
  <conditionalFormatting sqref="AO3:AO78">
    <cfRule type="colorScale" priority="53">
      <colorScale>
        <cfvo type="min"/>
        <cfvo type="percentile" val="50"/>
        <cfvo type="max"/>
        <color rgb="FF63BE7B"/>
        <color rgb="FFFFEB84"/>
        <color rgb="FFF8696B"/>
      </colorScale>
    </cfRule>
  </conditionalFormatting>
  <conditionalFormatting sqref="AP3:AP78">
    <cfRule type="colorScale" priority="52">
      <colorScale>
        <cfvo type="min"/>
        <cfvo type="percentile" val="50"/>
        <cfvo type="max"/>
        <color rgb="FF63BE7B"/>
        <color rgb="FFFFEB84"/>
        <color rgb="FFF8696B"/>
      </colorScale>
    </cfRule>
  </conditionalFormatting>
  <conditionalFormatting sqref="AQ3:AQ78">
    <cfRule type="colorScale" priority="51">
      <colorScale>
        <cfvo type="min"/>
        <cfvo type="percentile" val="50"/>
        <cfvo type="max"/>
        <color rgb="FF63BE7B"/>
        <color rgb="FFFFEB84"/>
        <color rgb="FFF8696B"/>
      </colorScale>
    </cfRule>
  </conditionalFormatting>
  <conditionalFormatting sqref="AR3:AR78">
    <cfRule type="colorScale" priority="50">
      <colorScale>
        <cfvo type="min"/>
        <cfvo type="percentile" val="50"/>
        <cfvo type="max"/>
        <color rgb="FF63BE7B"/>
        <color rgb="FFFFEB84"/>
        <color rgb="FFF8696B"/>
      </colorScale>
    </cfRule>
  </conditionalFormatting>
  <conditionalFormatting sqref="AS3:AS78">
    <cfRule type="colorScale" priority="49">
      <colorScale>
        <cfvo type="min"/>
        <cfvo type="percentile" val="50"/>
        <cfvo type="max"/>
        <color rgb="FF63BE7B"/>
        <color rgb="FFFFEB84"/>
        <color rgb="FFF8696B"/>
      </colorScale>
    </cfRule>
  </conditionalFormatting>
  <conditionalFormatting sqref="AT3:AT78">
    <cfRule type="colorScale" priority="48">
      <colorScale>
        <cfvo type="min"/>
        <cfvo type="percentile" val="50"/>
        <cfvo type="max"/>
        <color rgb="FF63BE7B"/>
        <color rgb="FFFFEB84"/>
        <color rgb="FFF8696B"/>
      </colorScale>
    </cfRule>
  </conditionalFormatting>
  <conditionalFormatting sqref="AU3:AU78">
    <cfRule type="colorScale" priority="47">
      <colorScale>
        <cfvo type="min"/>
        <cfvo type="percentile" val="50"/>
        <cfvo type="max"/>
        <color rgb="FF63BE7B"/>
        <color rgb="FFFFEB84"/>
        <color rgb="FFF8696B"/>
      </colorScale>
    </cfRule>
  </conditionalFormatting>
  <conditionalFormatting sqref="AV3:AV78">
    <cfRule type="colorScale" priority="46">
      <colorScale>
        <cfvo type="min"/>
        <cfvo type="percentile" val="50"/>
        <cfvo type="max"/>
        <color rgb="FF63BE7B"/>
        <color rgb="FFFFEB84"/>
        <color rgb="FFF8696B"/>
      </colorScale>
    </cfRule>
  </conditionalFormatting>
  <conditionalFormatting sqref="AW3:AW78">
    <cfRule type="colorScale" priority="45">
      <colorScale>
        <cfvo type="min"/>
        <cfvo type="percentile" val="50"/>
        <cfvo type="max"/>
        <color rgb="FF63BE7B"/>
        <color rgb="FFFFEB84"/>
        <color rgb="FFF8696B"/>
      </colorScale>
    </cfRule>
  </conditionalFormatting>
  <conditionalFormatting sqref="AX3:AX78">
    <cfRule type="colorScale" priority="44">
      <colorScale>
        <cfvo type="min"/>
        <cfvo type="percentile" val="50"/>
        <cfvo type="max"/>
        <color rgb="FF63BE7B"/>
        <color rgb="FFFFEB84"/>
        <color rgb="FFF8696B"/>
      </colorScale>
    </cfRule>
  </conditionalFormatting>
  <conditionalFormatting sqref="AY3:AY78">
    <cfRule type="colorScale" priority="43">
      <colorScale>
        <cfvo type="min"/>
        <cfvo type="percentile" val="50"/>
        <cfvo type="max"/>
        <color rgb="FF63BE7B"/>
        <color rgb="FFFFEB84"/>
        <color rgb="FFF8696B"/>
      </colorScale>
    </cfRule>
  </conditionalFormatting>
  <conditionalFormatting sqref="AZ3:AZ78">
    <cfRule type="colorScale" priority="42">
      <colorScale>
        <cfvo type="min"/>
        <cfvo type="percentile" val="50"/>
        <cfvo type="max"/>
        <color rgb="FF63BE7B"/>
        <color rgb="FFFFEB84"/>
        <color rgb="FFF8696B"/>
      </colorScale>
    </cfRule>
  </conditionalFormatting>
  <conditionalFormatting sqref="BA3:BA78">
    <cfRule type="colorScale" priority="41">
      <colorScale>
        <cfvo type="min"/>
        <cfvo type="percentile" val="50"/>
        <cfvo type="max"/>
        <color rgb="FF63BE7B"/>
        <color rgb="FFFFEB84"/>
        <color rgb="FFF8696B"/>
      </colorScale>
    </cfRule>
  </conditionalFormatting>
  <conditionalFormatting sqref="BB3:BB78">
    <cfRule type="colorScale" priority="40">
      <colorScale>
        <cfvo type="min"/>
        <cfvo type="percentile" val="50"/>
        <cfvo type="max"/>
        <color rgb="FF63BE7B"/>
        <color rgb="FFFFEB84"/>
        <color rgb="FFF8696B"/>
      </colorScale>
    </cfRule>
  </conditionalFormatting>
  <conditionalFormatting sqref="BF3:BF78">
    <cfRule type="colorScale" priority="20">
      <colorScale>
        <cfvo type="min"/>
        <cfvo type="percentile" val="50"/>
        <cfvo type="max"/>
        <color rgb="FF63BE7B"/>
        <color rgb="FFFFEB84"/>
        <color rgb="FFF8696B"/>
      </colorScale>
    </cfRule>
  </conditionalFormatting>
  <conditionalFormatting sqref="BG3:BG78">
    <cfRule type="colorScale" priority="39">
      <colorScale>
        <cfvo type="min"/>
        <cfvo type="percentile" val="50"/>
        <cfvo type="max"/>
        <color rgb="FF63BE7B"/>
        <color rgb="FFFFEB84"/>
        <color rgb="FFF8696B"/>
      </colorScale>
    </cfRule>
  </conditionalFormatting>
  <conditionalFormatting sqref="BH3:BH78">
    <cfRule type="colorScale" priority="38">
      <colorScale>
        <cfvo type="min"/>
        <cfvo type="percentile" val="50"/>
        <cfvo type="max"/>
        <color rgb="FF63BE7B"/>
        <color rgb="FFFFEB84"/>
        <color rgb="FFF8696B"/>
      </colorScale>
    </cfRule>
  </conditionalFormatting>
  <conditionalFormatting sqref="BI3:BI78">
    <cfRule type="colorScale" priority="37">
      <colorScale>
        <cfvo type="min"/>
        <cfvo type="percentile" val="50"/>
        <cfvo type="max"/>
        <color rgb="FF63BE7B"/>
        <color rgb="FFFFEB84"/>
        <color rgb="FFF8696B"/>
      </colorScale>
    </cfRule>
  </conditionalFormatting>
  <conditionalFormatting sqref="BJ3:BJ78">
    <cfRule type="colorScale" priority="36">
      <colorScale>
        <cfvo type="min"/>
        <cfvo type="percentile" val="50"/>
        <cfvo type="max"/>
        <color rgb="FF63BE7B"/>
        <color rgb="FFFFEB84"/>
        <color rgb="FFF8696B"/>
      </colorScale>
    </cfRule>
  </conditionalFormatting>
  <conditionalFormatting sqref="BK3:BK78">
    <cfRule type="colorScale" priority="35">
      <colorScale>
        <cfvo type="min"/>
        <cfvo type="percentile" val="50"/>
        <cfvo type="max"/>
        <color rgb="FF63BE7B"/>
        <color rgb="FFFFEB84"/>
        <color rgb="FFF8696B"/>
      </colorScale>
    </cfRule>
  </conditionalFormatting>
  <conditionalFormatting sqref="BL3:BL78">
    <cfRule type="colorScale" priority="34">
      <colorScale>
        <cfvo type="min"/>
        <cfvo type="percentile" val="50"/>
        <cfvo type="max"/>
        <color rgb="FF63BE7B"/>
        <color rgb="FFFFEB84"/>
        <color rgb="FFF8696B"/>
      </colorScale>
    </cfRule>
  </conditionalFormatting>
  <conditionalFormatting sqref="BM3:BM78">
    <cfRule type="colorScale" priority="33">
      <colorScale>
        <cfvo type="min"/>
        <cfvo type="percentile" val="50"/>
        <cfvo type="max"/>
        <color rgb="FF63BE7B"/>
        <color rgb="FFFFEB84"/>
        <color rgb="FFF8696B"/>
      </colorScale>
    </cfRule>
  </conditionalFormatting>
  <conditionalFormatting sqref="BN3:BN78">
    <cfRule type="colorScale" priority="32">
      <colorScale>
        <cfvo type="min"/>
        <cfvo type="percentile" val="50"/>
        <cfvo type="max"/>
        <color rgb="FF63BE7B"/>
        <color rgb="FFFFEB84"/>
        <color rgb="FFF8696B"/>
      </colorScale>
    </cfRule>
  </conditionalFormatting>
  <conditionalFormatting sqref="BO3:BO78">
    <cfRule type="colorScale" priority="31">
      <colorScale>
        <cfvo type="min"/>
        <cfvo type="percentile" val="50"/>
        <cfvo type="max"/>
        <color rgb="FF63BE7B"/>
        <color rgb="FFFFEB84"/>
        <color rgb="FFF8696B"/>
      </colorScale>
    </cfRule>
  </conditionalFormatting>
  <conditionalFormatting sqref="BP3:BP78">
    <cfRule type="colorScale" priority="30">
      <colorScale>
        <cfvo type="min"/>
        <cfvo type="percentile" val="50"/>
        <cfvo type="max"/>
        <color rgb="FF63BE7B"/>
        <color rgb="FFFFEB84"/>
        <color rgb="FFF8696B"/>
      </colorScale>
    </cfRule>
  </conditionalFormatting>
  <conditionalFormatting sqref="BQ3:BQ78">
    <cfRule type="colorScale" priority="29">
      <colorScale>
        <cfvo type="min"/>
        <cfvo type="percentile" val="50"/>
        <cfvo type="max"/>
        <color rgb="FF63BE7B"/>
        <color rgb="FFFFEB84"/>
        <color rgb="FFF8696B"/>
      </colorScale>
    </cfRule>
  </conditionalFormatting>
  <conditionalFormatting sqref="BR3:BR78">
    <cfRule type="colorScale" priority="28">
      <colorScale>
        <cfvo type="min"/>
        <cfvo type="percentile" val="50"/>
        <cfvo type="max"/>
        <color rgb="FF63BE7B"/>
        <color rgb="FFFFEB84"/>
        <color rgb="FFF8696B"/>
      </colorScale>
    </cfRule>
  </conditionalFormatting>
  <conditionalFormatting sqref="BS3:BS78">
    <cfRule type="colorScale" priority="27">
      <colorScale>
        <cfvo type="min"/>
        <cfvo type="percentile" val="50"/>
        <cfvo type="max"/>
        <color rgb="FF63BE7B"/>
        <color rgb="FFFFEB84"/>
        <color rgb="FFF8696B"/>
      </colorScale>
    </cfRule>
  </conditionalFormatting>
  <conditionalFormatting sqref="BT3:BT78">
    <cfRule type="colorScale" priority="26">
      <colorScale>
        <cfvo type="min"/>
        <cfvo type="percentile" val="50"/>
        <cfvo type="max"/>
        <color rgb="FF63BE7B"/>
        <color rgb="FFFFEB84"/>
        <color rgb="FFF8696B"/>
      </colorScale>
    </cfRule>
  </conditionalFormatting>
  <conditionalFormatting sqref="BU3:BU78">
    <cfRule type="colorScale" priority="25">
      <colorScale>
        <cfvo type="min"/>
        <cfvo type="percentile" val="50"/>
        <cfvo type="max"/>
        <color rgb="FF63BE7B"/>
        <color rgb="FFFFEB84"/>
        <color rgb="FFF8696B"/>
      </colorScale>
    </cfRule>
  </conditionalFormatting>
  <conditionalFormatting sqref="BV3:BV78">
    <cfRule type="colorScale" priority="24">
      <colorScale>
        <cfvo type="min"/>
        <cfvo type="percentile" val="50"/>
        <cfvo type="max"/>
        <color rgb="FF63BE7B"/>
        <color rgb="FFFFEB84"/>
        <color rgb="FFF8696B"/>
      </colorScale>
    </cfRule>
  </conditionalFormatting>
  <conditionalFormatting sqref="BW3:BW78">
    <cfRule type="colorScale" priority="23">
      <colorScale>
        <cfvo type="min"/>
        <cfvo type="percentile" val="50"/>
        <cfvo type="max"/>
        <color rgb="FF63BE7B"/>
        <color rgb="FFFFEB84"/>
        <color rgb="FFF8696B"/>
      </colorScale>
    </cfRule>
  </conditionalFormatting>
  <conditionalFormatting sqref="BX3:BX78">
    <cfRule type="colorScale" priority="22">
      <colorScale>
        <cfvo type="min"/>
        <cfvo type="percentile" val="50"/>
        <cfvo type="max"/>
        <color rgb="FF63BE7B"/>
        <color rgb="FFFFEB84"/>
        <color rgb="FFF8696B"/>
      </colorScale>
    </cfRule>
  </conditionalFormatting>
  <conditionalFormatting sqref="CB3:CB78">
    <cfRule type="colorScale" priority="1">
      <colorScale>
        <cfvo type="min"/>
        <cfvo type="percentile" val="50"/>
        <cfvo type="max"/>
        <color rgb="FF63BE7B"/>
        <color rgb="FFFFEB84"/>
        <color rgb="FFF8696B"/>
      </colorScale>
    </cfRule>
  </conditionalFormatting>
  <conditionalFormatting sqref="CC3:CC78">
    <cfRule type="colorScale" priority="19">
      <colorScale>
        <cfvo type="min"/>
        <cfvo type="percentile" val="50"/>
        <cfvo type="max"/>
        <color rgb="FF63BE7B"/>
        <color rgb="FFFFEB84"/>
        <color rgb="FFF8696B"/>
      </colorScale>
    </cfRule>
  </conditionalFormatting>
  <conditionalFormatting sqref="CD3:CD78">
    <cfRule type="colorScale" priority="18">
      <colorScale>
        <cfvo type="min"/>
        <cfvo type="percentile" val="50"/>
        <cfvo type="max"/>
        <color rgb="FF63BE7B"/>
        <color rgb="FFFFEB84"/>
        <color rgb="FFF8696B"/>
      </colorScale>
    </cfRule>
  </conditionalFormatting>
  <conditionalFormatting sqref="CE3:CE78">
    <cfRule type="colorScale" priority="17">
      <colorScale>
        <cfvo type="min"/>
        <cfvo type="percentile" val="50"/>
        <cfvo type="max"/>
        <color rgb="FF63BE7B"/>
        <color rgb="FFFFEB84"/>
        <color rgb="FFF8696B"/>
      </colorScale>
    </cfRule>
  </conditionalFormatting>
  <conditionalFormatting sqref="CF3:CF78">
    <cfRule type="colorScale" priority="16">
      <colorScale>
        <cfvo type="min"/>
        <cfvo type="percentile" val="50"/>
        <cfvo type="max"/>
        <color rgb="FF63BE7B"/>
        <color rgb="FFFFEB84"/>
        <color rgb="FFF8696B"/>
      </colorScale>
    </cfRule>
  </conditionalFormatting>
  <conditionalFormatting sqref="CG3:CG78">
    <cfRule type="colorScale" priority="15">
      <colorScale>
        <cfvo type="min"/>
        <cfvo type="percentile" val="50"/>
        <cfvo type="max"/>
        <color rgb="FF63BE7B"/>
        <color rgb="FFFFEB84"/>
        <color rgb="FFF8696B"/>
      </colorScale>
    </cfRule>
  </conditionalFormatting>
  <conditionalFormatting sqref="CH3:CH78">
    <cfRule type="colorScale" priority="14">
      <colorScale>
        <cfvo type="min"/>
        <cfvo type="percentile" val="50"/>
        <cfvo type="max"/>
        <color rgb="FF63BE7B"/>
        <color rgb="FFFFEB84"/>
        <color rgb="FFF8696B"/>
      </colorScale>
    </cfRule>
  </conditionalFormatting>
  <conditionalFormatting sqref="CI3:CI78">
    <cfRule type="colorScale" priority="13">
      <colorScale>
        <cfvo type="min"/>
        <cfvo type="percentile" val="50"/>
        <cfvo type="max"/>
        <color rgb="FF63BE7B"/>
        <color rgb="FFFFEB84"/>
        <color rgb="FFF8696B"/>
      </colorScale>
    </cfRule>
  </conditionalFormatting>
  <conditionalFormatting sqref="CJ3:CJ78">
    <cfRule type="colorScale" priority="12">
      <colorScale>
        <cfvo type="min"/>
        <cfvo type="percentile" val="50"/>
        <cfvo type="max"/>
        <color rgb="FF63BE7B"/>
        <color rgb="FFFFEB84"/>
        <color rgb="FFF8696B"/>
      </colorScale>
    </cfRule>
  </conditionalFormatting>
  <conditionalFormatting sqref="CK3:CK78">
    <cfRule type="colorScale" priority="11">
      <colorScale>
        <cfvo type="min"/>
        <cfvo type="percentile" val="50"/>
        <cfvo type="max"/>
        <color rgb="FF63BE7B"/>
        <color rgb="FFFFEB84"/>
        <color rgb="FFF8696B"/>
      </colorScale>
    </cfRule>
  </conditionalFormatting>
  <conditionalFormatting sqref="CL3:CL78">
    <cfRule type="colorScale" priority="10">
      <colorScale>
        <cfvo type="min"/>
        <cfvo type="percentile" val="50"/>
        <cfvo type="max"/>
        <color rgb="FF63BE7B"/>
        <color rgb="FFFFEB84"/>
        <color rgb="FFF8696B"/>
      </colorScale>
    </cfRule>
  </conditionalFormatting>
  <conditionalFormatting sqref="CM3:CM78">
    <cfRule type="colorScale" priority="9">
      <colorScale>
        <cfvo type="min"/>
        <cfvo type="percentile" val="50"/>
        <cfvo type="max"/>
        <color rgb="FF63BE7B"/>
        <color rgb="FFFFEB84"/>
        <color rgb="FFF8696B"/>
      </colorScale>
    </cfRule>
  </conditionalFormatting>
  <conditionalFormatting sqref="CN3:CN78">
    <cfRule type="colorScale" priority="8">
      <colorScale>
        <cfvo type="min"/>
        <cfvo type="percentile" val="50"/>
        <cfvo type="max"/>
        <color rgb="FF63BE7B"/>
        <color rgb="FFFFEB84"/>
        <color rgb="FFF8696B"/>
      </colorScale>
    </cfRule>
  </conditionalFormatting>
  <conditionalFormatting sqref="CO3:CO78">
    <cfRule type="colorScale" priority="7">
      <colorScale>
        <cfvo type="min"/>
        <cfvo type="percentile" val="50"/>
        <cfvo type="max"/>
        <color rgb="FF63BE7B"/>
        <color rgb="FFFFEB84"/>
        <color rgb="FFF8696B"/>
      </colorScale>
    </cfRule>
  </conditionalFormatting>
  <conditionalFormatting sqref="CP3:CP78">
    <cfRule type="colorScale" priority="6">
      <colorScale>
        <cfvo type="min"/>
        <cfvo type="percentile" val="50"/>
        <cfvo type="max"/>
        <color rgb="FF63BE7B"/>
        <color rgb="FFFFEB84"/>
        <color rgb="FFF8696B"/>
      </colorScale>
    </cfRule>
  </conditionalFormatting>
  <conditionalFormatting sqref="CQ3:CQ78">
    <cfRule type="colorScale" priority="5">
      <colorScale>
        <cfvo type="min"/>
        <cfvo type="percentile" val="50"/>
        <cfvo type="max"/>
        <color rgb="FF63BE7B"/>
        <color rgb="FFFFEB84"/>
        <color rgb="FFF8696B"/>
      </colorScale>
    </cfRule>
  </conditionalFormatting>
  <conditionalFormatting sqref="CR3:CR78">
    <cfRule type="colorScale" priority="4">
      <colorScale>
        <cfvo type="min"/>
        <cfvo type="percentile" val="50"/>
        <cfvo type="max"/>
        <color rgb="FF63BE7B"/>
        <color rgb="FFFFEB84"/>
        <color rgb="FFF8696B"/>
      </colorScale>
    </cfRule>
  </conditionalFormatting>
  <conditionalFormatting sqref="CS3:CS78">
    <cfRule type="colorScale" priority="3">
      <colorScale>
        <cfvo type="min"/>
        <cfvo type="percentile" val="50"/>
        <cfvo type="max"/>
        <color rgb="FF63BE7B"/>
        <color rgb="FFFFEB84"/>
        <color rgb="FFF8696B"/>
      </colorScale>
    </cfRule>
  </conditionalFormatting>
  <conditionalFormatting sqref="CT3:CT78">
    <cfRule type="colorScale" priority="2">
      <colorScale>
        <cfvo type="min"/>
        <cfvo type="percentile" val="50"/>
        <cfvo type="max"/>
        <color rgb="FF63BE7B"/>
        <color rgb="FFFFEB84"/>
        <color rgb="FFF8696B"/>
      </colorScale>
    </cfRule>
  </conditionalFormatting>
  <pageMargins left="0.7" right="0.7" top="0.75" bottom="0.75"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E2A0E-ECCE-4E94-8A9E-8B9F3BD2EF64}">
  <sheetPr>
    <tabColor theme="1"/>
  </sheetPr>
  <dimension ref="A1:N143"/>
  <sheetViews>
    <sheetView zoomScaleNormal="100" workbookViewId="0">
      <selection activeCell="A9" sqref="A9:XFD11"/>
    </sheetView>
  </sheetViews>
  <sheetFormatPr defaultColWidth="18.54296875" defaultRowHeight="12.5" x14ac:dyDescent="0.25"/>
  <cols>
    <col min="1" max="11" width="18.54296875" style="1"/>
    <col min="12" max="16384" width="18.54296875" style="8"/>
  </cols>
  <sheetData>
    <row r="1" spans="1:14" s="6" customFormat="1" ht="15.5" x14ac:dyDescent="0.25">
      <c r="A1" s="4" t="s">
        <v>47</v>
      </c>
      <c r="B1" s="5"/>
      <c r="C1" s="5"/>
      <c r="D1" s="5"/>
      <c r="E1" s="5"/>
      <c r="F1" s="5"/>
      <c r="G1" s="5"/>
      <c r="H1" s="5"/>
      <c r="I1" s="5"/>
      <c r="J1" s="5"/>
      <c r="K1" s="5"/>
    </row>
    <row r="3" spans="1:14" ht="13" x14ac:dyDescent="0.25">
      <c r="A3" s="7">
        <v>0</v>
      </c>
      <c r="B3" s="7">
        <v>1</v>
      </c>
      <c r="C3" s="7">
        <v>2</v>
      </c>
      <c r="D3" s="7">
        <v>3</v>
      </c>
      <c r="E3" s="7">
        <v>4</v>
      </c>
      <c r="F3" s="7"/>
    </row>
    <row r="5" spans="1:14" s="6" customFormat="1" ht="15.5" x14ac:dyDescent="0.25">
      <c r="A5" s="9" t="s">
        <v>48</v>
      </c>
      <c r="B5" s="10"/>
      <c r="C5" s="10"/>
      <c r="D5" s="10"/>
      <c r="E5" s="10"/>
      <c r="F5" s="10"/>
      <c r="G5" s="10"/>
      <c r="H5" s="10"/>
      <c r="I5" s="10"/>
      <c r="J5" s="10"/>
      <c r="K5" s="10"/>
    </row>
    <row r="7" spans="1:14" ht="13" x14ac:dyDescent="0.25">
      <c r="A7" s="11" t="s">
        <v>49</v>
      </c>
      <c r="B7" s="11" t="s">
        <v>50</v>
      </c>
      <c r="C7" s="12"/>
      <c r="D7" s="12"/>
      <c r="E7" s="12"/>
      <c r="F7" s="12"/>
      <c r="G7" s="12"/>
      <c r="H7" s="12"/>
      <c r="I7" s="12"/>
      <c r="J7" s="12"/>
      <c r="K7" s="12"/>
      <c r="L7" s="13"/>
      <c r="M7" s="13"/>
      <c r="N7" s="13"/>
    </row>
    <row r="9" spans="1:14" s="14" customFormat="1" ht="15.5" x14ac:dyDescent="0.25">
      <c r="A9" s="4" t="s">
        <v>51</v>
      </c>
      <c r="B9" s="9"/>
      <c r="C9" s="9"/>
      <c r="D9" s="9"/>
      <c r="E9" s="9"/>
      <c r="F9" s="9"/>
      <c r="G9" s="9"/>
      <c r="H9" s="9"/>
      <c r="I9" s="9"/>
      <c r="J9" s="9"/>
      <c r="K9" s="9"/>
    </row>
    <row r="11" spans="1:14" s="15" customFormat="1" ht="13" x14ac:dyDescent="0.25">
      <c r="A11" s="7" t="s">
        <v>52</v>
      </c>
      <c r="B11" s="7"/>
      <c r="C11" s="7"/>
      <c r="D11" s="7"/>
      <c r="E11" s="7"/>
      <c r="F11" s="7"/>
      <c r="G11" s="7"/>
      <c r="H11" s="7"/>
      <c r="I11" s="7"/>
      <c r="J11" s="7"/>
      <c r="K11" s="7"/>
    </row>
    <row r="13" spans="1:14" s="6" customFormat="1" ht="15.5" x14ac:dyDescent="0.25">
      <c r="A13" s="4" t="s">
        <v>53</v>
      </c>
      <c r="B13" s="10"/>
      <c r="C13" s="10"/>
      <c r="D13" s="10"/>
      <c r="E13" s="10"/>
      <c r="F13" s="10"/>
      <c r="G13" s="10"/>
      <c r="H13" s="10"/>
      <c r="I13" s="10"/>
      <c r="J13" s="10"/>
      <c r="K13" s="10"/>
    </row>
    <row r="15" spans="1:14" s="16" customFormat="1" ht="10.5" x14ac:dyDescent="0.25">
      <c r="A15" s="16" t="s">
        <v>62</v>
      </c>
      <c r="B15" s="16" t="s">
        <v>54</v>
      </c>
      <c r="C15" s="16" t="s">
        <v>55</v>
      </c>
      <c r="D15" s="16" t="s">
        <v>57</v>
      </c>
      <c r="E15" s="16" t="s">
        <v>80</v>
      </c>
      <c r="F15" s="16" t="s">
        <v>56</v>
      </c>
      <c r="G15" s="16" t="s">
        <v>77</v>
      </c>
      <c r="H15" s="16" t="s">
        <v>78</v>
      </c>
      <c r="I15" s="16" t="s">
        <v>79</v>
      </c>
      <c r="J15" s="17" t="s">
        <v>81</v>
      </c>
    </row>
    <row r="17" spans="1:11" s="6" customFormat="1" ht="15.5" x14ac:dyDescent="0.25">
      <c r="A17" s="4" t="s">
        <v>1</v>
      </c>
      <c r="B17" s="10"/>
      <c r="C17" s="10"/>
      <c r="D17" s="10"/>
      <c r="E17" s="10"/>
      <c r="F17" s="10"/>
      <c r="G17" s="10"/>
      <c r="H17" s="10"/>
      <c r="I17" s="10"/>
      <c r="J17" s="10"/>
      <c r="K17" s="10"/>
    </row>
    <row r="19" spans="1:11" ht="13" x14ac:dyDescent="0.25">
      <c r="A19" s="7" t="s">
        <v>22</v>
      </c>
      <c r="B19" s="7" t="s">
        <v>2</v>
      </c>
    </row>
    <row r="21" spans="1:11" s="6" customFormat="1" ht="15.5" x14ac:dyDescent="0.25">
      <c r="A21" s="4" t="s">
        <v>84</v>
      </c>
      <c r="B21" s="10"/>
      <c r="C21" s="10"/>
      <c r="D21" s="10"/>
      <c r="E21" s="10"/>
      <c r="F21" s="10"/>
      <c r="G21" s="10"/>
      <c r="H21" s="10"/>
      <c r="I21" s="10"/>
      <c r="J21" s="10"/>
      <c r="K21" s="10"/>
    </row>
    <row r="23" spans="1:11" ht="13" x14ac:dyDescent="0.25">
      <c r="A23" s="7" t="s">
        <v>82</v>
      </c>
      <c r="B23" s="7" t="s">
        <v>83</v>
      </c>
    </row>
    <row r="91" spans="1:1" x14ac:dyDescent="0.25">
      <c r="A91" s="18"/>
    </row>
    <row r="140" spans="1:4" ht="14.15" customHeight="1" x14ac:dyDescent="0.25">
      <c r="A140" s="19"/>
    </row>
    <row r="141" spans="1:4" ht="14.15" customHeight="1" x14ac:dyDescent="0.25">
      <c r="C141" s="20"/>
      <c r="D141" s="20"/>
    </row>
    <row r="142" spans="1:4" ht="14.15" customHeight="1" x14ac:dyDescent="0.25">
      <c r="A142" s="21"/>
      <c r="C142" s="20"/>
      <c r="D142" s="20"/>
    </row>
    <row r="143" spans="1:4" ht="14.15" customHeight="1" x14ac:dyDescent="0.25">
      <c r="A143" s="21"/>
      <c r="C143" s="2"/>
      <c r="D143" s="2"/>
    </row>
  </sheetData>
  <sheetProtection selectLockedCells="1" selectUnlockedCell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9999"/>
  </sheetPr>
  <dimension ref="B1:Z63"/>
  <sheetViews>
    <sheetView showGridLines="0" zoomScale="80" zoomScaleNormal="80" workbookViewId="0">
      <selection activeCell="C2" sqref="C2"/>
    </sheetView>
  </sheetViews>
  <sheetFormatPr defaultColWidth="9.26953125" defaultRowHeight="13" outlineLevelRow="1" x14ac:dyDescent="0.25"/>
  <cols>
    <col min="1" max="1" width="2.26953125" style="36" customWidth="1"/>
    <col min="2" max="2" width="61.54296875" style="36" customWidth="1"/>
    <col min="3" max="16" width="12.7265625" style="36" customWidth="1"/>
    <col min="17" max="17" width="9.26953125" style="185"/>
    <col min="18" max="18" width="9.26953125" style="186"/>
    <col min="19" max="16384" width="9.26953125" style="36"/>
  </cols>
  <sheetData>
    <row r="1" spans="2:26" x14ac:dyDescent="0.25">
      <c r="B1" s="184"/>
      <c r="G1" s="118"/>
      <c r="H1" s="118"/>
      <c r="I1" s="118"/>
    </row>
    <row r="2" spans="2:26" ht="112.5" customHeight="1" x14ac:dyDescent="0.25">
      <c r="B2" s="36" t="s">
        <v>29</v>
      </c>
      <c r="C2" s="187"/>
      <c r="G2" s="35"/>
      <c r="H2" s="35"/>
      <c r="I2" s="35"/>
    </row>
    <row r="3" spans="2:26" ht="15" x14ac:dyDescent="0.25">
      <c r="B3" s="188"/>
      <c r="D3" s="189"/>
      <c r="G3" s="3"/>
      <c r="K3" s="23"/>
      <c r="L3" s="190"/>
      <c r="M3" s="190"/>
      <c r="N3" s="190"/>
      <c r="O3" s="190"/>
      <c r="P3" s="190"/>
      <c r="Q3" s="191"/>
      <c r="S3" s="190"/>
      <c r="T3" s="190"/>
      <c r="U3" s="190"/>
      <c r="V3" s="190"/>
      <c r="W3" s="190"/>
      <c r="X3" s="190"/>
      <c r="Y3" s="190"/>
      <c r="Z3" s="190"/>
    </row>
    <row r="4" spans="2:26" ht="13.5" thickBot="1" x14ac:dyDescent="0.3">
      <c r="C4" s="192"/>
      <c r="D4" s="192"/>
      <c r="E4" s="192"/>
      <c r="F4" s="192"/>
      <c r="G4" s="192"/>
      <c r="H4" s="192"/>
      <c r="I4" s="192"/>
      <c r="J4" s="192"/>
      <c r="K4" s="192"/>
      <c r="L4" s="192"/>
      <c r="M4" s="192"/>
      <c r="N4" s="192"/>
      <c r="O4" s="192"/>
      <c r="P4" s="192"/>
    </row>
    <row r="5" spans="2:26" ht="26" thickTop="1" thickBot="1" x14ac:dyDescent="0.3">
      <c r="B5" s="403" t="s">
        <v>90</v>
      </c>
      <c r="C5" s="404"/>
      <c r="D5" s="404"/>
      <c r="E5" s="404"/>
      <c r="F5" s="404"/>
      <c r="G5" s="404"/>
      <c r="H5" s="404"/>
      <c r="I5" s="404"/>
      <c r="J5" s="404"/>
      <c r="K5" s="404"/>
      <c r="L5" s="405"/>
      <c r="M5" s="406" t="s">
        <v>60</v>
      </c>
      <c r="N5" s="406"/>
      <c r="O5" s="406"/>
      <c r="P5" s="193">
        <f>'Metrics template - main chain'!C7*'Metrics template - main chain'!C80*'Metrics template - main chain'!C147*'Metrics template - main chain'!C214*'Metrics template - main chain'!C281*'Metrics template - main chain'!C348*'Metrics template - main chain'!C415*'Metrics template - main chain'!C482*'Metrics template - main chain'!C549*'Metrics template - main chain'!C616*'Metrics template - main chain'!C683*'Metrics template - main chain'!C750*'Metrics template - main chain'!C817*'Metrics template - main chain'!C884</f>
        <v>0.76</v>
      </c>
      <c r="Q5" s="194"/>
      <c r="T5" s="60"/>
      <c r="U5" s="60"/>
    </row>
    <row r="6" spans="2:26" ht="16.149999999999999" customHeight="1" thickTop="1" x14ac:dyDescent="0.25">
      <c r="B6" s="195" t="s">
        <v>41</v>
      </c>
      <c r="C6" s="196" t="str">
        <f>'Metrics template - main chain'!D2</f>
        <v>Suzuki</v>
      </c>
      <c r="D6" s="196">
        <f>'Metrics template - main chain'!D75</f>
        <v>0</v>
      </c>
      <c r="E6" s="196">
        <f>'Metrics template - main chain'!D142</f>
        <v>0</v>
      </c>
      <c r="F6" s="196">
        <f>'Metrics template - main chain'!D209</f>
        <v>0</v>
      </c>
      <c r="G6" s="196">
        <f>'Metrics template - main chain'!D276</f>
        <v>0</v>
      </c>
      <c r="H6" s="196">
        <f>'Metrics template - main chain'!D343</f>
        <v>0</v>
      </c>
      <c r="I6" s="196">
        <f>'Metrics template - main chain'!D410</f>
        <v>0</v>
      </c>
      <c r="J6" s="196">
        <f>'Metrics template - main chain'!D477</f>
        <v>0</v>
      </c>
      <c r="K6" s="196">
        <f>'Metrics template - main chain'!D544</f>
        <v>0</v>
      </c>
      <c r="L6" s="196">
        <f>'Metrics template - main chain'!D611</f>
        <v>0</v>
      </c>
      <c r="M6" s="196">
        <f>'Metrics template - main chain'!D678</f>
        <v>0</v>
      </c>
      <c r="N6" s="196">
        <f>'Metrics template - main chain'!D745</f>
        <v>0</v>
      </c>
      <c r="O6" s="196">
        <f>'Metrics template - main chain'!D812</f>
        <v>0</v>
      </c>
      <c r="P6" s="197">
        <f>'Metrics template - main chain'!D879</f>
        <v>0</v>
      </c>
    </row>
    <row r="7" spans="2:26" ht="16.149999999999999" customHeight="1" x14ac:dyDescent="0.25">
      <c r="B7" s="198" t="s">
        <v>30</v>
      </c>
      <c r="C7" s="1">
        <f>'Metrics template - main chain'!D56</f>
        <v>0.43701679383674996</v>
      </c>
      <c r="D7" s="1">
        <f>'Metrics template - main chain'!D123</f>
        <v>0</v>
      </c>
      <c r="E7" s="1">
        <f>'Metrics template - main chain'!D190</f>
        <v>0</v>
      </c>
      <c r="F7" s="1">
        <f>'Metrics template - main chain'!D257</f>
        <v>0</v>
      </c>
      <c r="G7" s="1">
        <f>'Metrics template - main chain'!D324</f>
        <v>0</v>
      </c>
      <c r="H7" s="1">
        <f>'Metrics template - main chain'!D391</f>
        <v>0</v>
      </c>
      <c r="I7" s="1">
        <f>'Metrics template - main chain'!D458</f>
        <v>0</v>
      </c>
      <c r="J7" s="1">
        <f>'Metrics template - main chain'!D525</f>
        <v>0</v>
      </c>
      <c r="K7" s="1">
        <f>'Metrics template - main chain'!D592</f>
        <v>0</v>
      </c>
      <c r="L7" s="1">
        <f>'Metrics template - main chain'!D659</f>
        <v>0</v>
      </c>
      <c r="M7" s="1">
        <f>'Metrics template - main chain'!D726</f>
        <v>0</v>
      </c>
      <c r="N7" s="1">
        <f>'Metrics template - main chain'!D793</f>
        <v>0</v>
      </c>
      <c r="O7" s="1">
        <f>'Metrics template - main chain'!D860</f>
        <v>0</v>
      </c>
      <c r="P7" s="199">
        <f>'Metrics template - main chain'!D927</f>
        <v>0</v>
      </c>
    </row>
    <row r="8" spans="2:26" ht="16.149999999999999" customHeight="1" x14ac:dyDescent="0.25">
      <c r="B8" s="200" t="s">
        <v>31</v>
      </c>
      <c r="C8" s="1">
        <f>'Metrics template - main chain'!D57</f>
        <v>4.8308759999999999</v>
      </c>
      <c r="D8" s="1">
        <f>'Metrics template - main chain'!D124</f>
        <v>0</v>
      </c>
      <c r="E8" s="1">
        <f>'Metrics template - main chain'!D191</f>
        <v>0</v>
      </c>
      <c r="F8" s="1">
        <f>'Metrics template - main chain'!D258</f>
        <v>0</v>
      </c>
      <c r="G8" s="1">
        <f>'Metrics template - main chain'!D325</f>
        <v>0</v>
      </c>
      <c r="H8" s="1">
        <f>'Metrics template - main chain'!D392</f>
        <v>0</v>
      </c>
      <c r="I8" s="1">
        <f>'Metrics template - main chain'!D459</f>
        <v>0</v>
      </c>
      <c r="J8" s="1">
        <f>'Metrics template - main chain'!D526</f>
        <v>0</v>
      </c>
      <c r="K8" s="1">
        <f>'Metrics template - main chain'!D593</f>
        <v>0</v>
      </c>
      <c r="L8" s="1">
        <f>'Metrics template - main chain'!D660</f>
        <v>0</v>
      </c>
      <c r="M8" s="1">
        <f>'Metrics template - main chain'!D727</f>
        <v>0</v>
      </c>
      <c r="N8" s="1">
        <f>'Metrics template - main chain'!D794</f>
        <v>0</v>
      </c>
      <c r="O8" s="1">
        <f>'Metrics template - main chain'!D861</f>
        <v>0</v>
      </c>
      <c r="P8" s="199">
        <f>'Metrics template - main chain'!D928</f>
        <v>0</v>
      </c>
    </row>
    <row r="9" spans="2:26" ht="16.149999999999999" customHeight="1" x14ac:dyDescent="0.25">
      <c r="B9" s="200" t="s">
        <v>32</v>
      </c>
      <c r="C9" s="1">
        <f>'Metrics template - main chain'!D58</f>
        <v>26.103742500000003</v>
      </c>
      <c r="D9" s="1">
        <f>'Metrics template - main chain'!D125</f>
        <v>0</v>
      </c>
      <c r="E9" s="1">
        <f>'Metrics template - main chain'!D192</f>
        <v>0</v>
      </c>
      <c r="F9" s="1">
        <f>'Metrics template - main chain'!D259</f>
        <v>0</v>
      </c>
      <c r="G9" s="1">
        <f>'Metrics template - main chain'!D326</f>
        <v>0</v>
      </c>
      <c r="H9" s="1">
        <f>'Metrics template - main chain'!D393</f>
        <v>0</v>
      </c>
      <c r="I9" s="1">
        <f>'Metrics template - main chain'!D460</f>
        <v>0</v>
      </c>
      <c r="J9" s="1">
        <f>'Metrics template - main chain'!D527</f>
        <v>0</v>
      </c>
      <c r="K9" s="1">
        <f>'Metrics template - main chain'!D594</f>
        <v>0</v>
      </c>
      <c r="L9" s="1">
        <f>'Metrics template - main chain'!D661</f>
        <v>0</v>
      </c>
      <c r="M9" s="1">
        <f>'Metrics template - main chain'!D728</f>
        <v>0</v>
      </c>
      <c r="N9" s="1">
        <f>'Metrics template - main chain'!D795</f>
        <v>0</v>
      </c>
      <c r="O9" s="1">
        <f>'Metrics template - main chain'!D862</f>
        <v>0</v>
      </c>
      <c r="P9" s="199">
        <f>'Metrics template - main chain'!D929</f>
        <v>0</v>
      </c>
    </row>
    <row r="10" spans="2:26" ht="16.149999999999999" customHeight="1" x14ac:dyDescent="0.25">
      <c r="B10" s="200" t="s">
        <v>33</v>
      </c>
      <c r="C10" s="1">
        <f>'Metrics template - main chain'!D59</f>
        <v>3.1095714999999995</v>
      </c>
      <c r="D10" s="1">
        <f>'Metrics template - main chain'!D126</f>
        <v>0</v>
      </c>
      <c r="E10" s="1">
        <f>'Metrics template - main chain'!D193</f>
        <v>0</v>
      </c>
      <c r="F10" s="1">
        <f>'Metrics template - main chain'!D260</f>
        <v>0</v>
      </c>
      <c r="G10" s="1">
        <f>'Metrics template - main chain'!D327</f>
        <v>0</v>
      </c>
      <c r="H10" s="1">
        <f>'Metrics template - main chain'!D394</f>
        <v>0</v>
      </c>
      <c r="I10" s="1">
        <f>'Metrics template - main chain'!D461</f>
        <v>0</v>
      </c>
      <c r="J10" s="1">
        <f>'Metrics template - main chain'!D528</f>
        <v>0</v>
      </c>
      <c r="K10" s="1">
        <f>'Metrics template - main chain'!D595</f>
        <v>0</v>
      </c>
      <c r="L10" s="1">
        <f>'Metrics template - main chain'!D662</f>
        <v>0</v>
      </c>
      <c r="M10" s="1">
        <f>'Metrics template - main chain'!D729</f>
        <v>0</v>
      </c>
      <c r="N10" s="1">
        <f>'Metrics template - main chain'!D796</f>
        <v>0</v>
      </c>
      <c r="O10" s="1">
        <f>'Metrics template - main chain'!D863</f>
        <v>0</v>
      </c>
      <c r="P10" s="199">
        <f>'Metrics template - main chain'!D930</f>
        <v>0</v>
      </c>
    </row>
    <row r="11" spans="2:26" s="206" customFormat="1" ht="16.149999999999999" customHeight="1" thickBot="1" x14ac:dyDescent="0.3">
      <c r="B11" s="201" t="s">
        <v>34</v>
      </c>
      <c r="C11" s="202">
        <f>'Metrics template - main chain'!C10</f>
        <v>0.111</v>
      </c>
      <c r="D11" s="202">
        <f>'Metrics template - main chain'!C83</f>
        <v>0</v>
      </c>
      <c r="E11" s="202">
        <f>'Metrics template - main chain'!C150</f>
        <v>0</v>
      </c>
      <c r="F11" s="202">
        <f>'Metrics template - main chain'!C217</f>
        <v>0</v>
      </c>
      <c r="G11" s="202">
        <f>'Metrics template - main chain'!C284</f>
        <v>0</v>
      </c>
      <c r="H11" s="202">
        <f>'Metrics template - main chain'!C351</f>
        <v>0</v>
      </c>
      <c r="I11" s="202">
        <f>'Metrics template - main chain'!C418</f>
        <v>0</v>
      </c>
      <c r="J11" s="202">
        <f>'Metrics template - main chain'!C485</f>
        <v>0</v>
      </c>
      <c r="K11" s="202">
        <f>'Metrics template - main chain'!C552</f>
        <v>0</v>
      </c>
      <c r="L11" s="202">
        <f>'Metrics template - main chain'!C619</f>
        <v>0</v>
      </c>
      <c r="M11" s="202">
        <f>'Metrics template - main chain'!C686</f>
        <v>0</v>
      </c>
      <c r="N11" s="202">
        <f>'Metrics template - main chain'!C753</f>
        <v>0</v>
      </c>
      <c r="O11" s="202">
        <f>'Metrics template - main chain'!C820</f>
        <v>0</v>
      </c>
      <c r="P11" s="203">
        <f>'Metrics template - main chain'!C887</f>
        <v>0</v>
      </c>
      <c r="Q11" s="204"/>
      <c r="R11" s="205"/>
    </row>
    <row r="12" spans="2:26" s="206" customFormat="1" ht="16.149999999999999" hidden="1" customHeight="1" outlineLevel="1" x14ac:dyDescent="0.25">
      <c r="B12" s="207" t="s">
        <v>35</v>
      </c>
      <c r="C12" s="208">
        <f t="shared" ref="C12:L12" si="0">C11/C7</f>
        <v>0.25399481568084697</v>
      </c>
      <c r="D12" s="208" t="e">
        <f t="shared" si="0"/>
        <v>#DIV/0!</v>
      </c>
      <c r="E12" s="208" t="e">
        <f t="shared" si="0"/>
        <v>#DIV/0!</v>
      </c>
      <c r="F12" s="208" t="e">
        <f t="shared" si="0"/>
        <v>#DIV/0!</v>
      </c>
      <c r="G12" s="208" t="e">
        <f t="shared" si="0"/>
        <v>#DIV/0!</v>
      </c>
      <c r="H12" s="208" t="e">
        <f t="shared" si="0"/>
        <v>#DIV/0!</v>
      </c>
      <c r="I12" s="208" t="e">
        <f t="shared" si="0"/>
        <v>#DIV/0!</v>
      </c>
      <c r="J12" s="208" t="e">
        <f t="shared" si="0"/>
        <v>#DIV/0!</v>
      </c>
      <c r="K12" s="208" t="e">
        <f t="shared" si="0"/>
        <v>#DIV/0!</v>
      </c>
      <c r="L12" s="208" t="e">
        <f t="shared" si="0"/>
        <v>#DIV/0!</v>
      </c>
      <c r="M12" s="208" t="e">
        <f t="shared" ref="M12:P12" si="1">M11/M7</f>
        <v>#DIV/0!</v>
      </c>
      <c r="N12" s="208" t="e">
        <f t="shared" si="1"/>
        <v>#DIV/0!</v>
      </c>
      <c r="O12" s="208" t="e">
        <f t="shared" si="1"/>
        <v>#DIV/0!</v>
      </c>
      <c r="P12" s="209" t="e">
        <f t="shared" si="1"/>
        <v>#DIV/0!</v>
      </c>
      <c r="Q12" s="204"/>
      <c r="R12" s="205"/>
    </row>
    <row r="13" spans="2:26" s="206" customFormat="1" ht="16.149999999999999" hidden="1" customHeight="1" outlineLevel="1" thickBot="1" x14ac:dyDescent="0.3">
      <c r="B13" s="201" t="s">
        <v>36</v>
      </c>
      <c r="C13" s="210">
        <f>C11/C7</f>
        <v>0.25399481568084697</v>
      </c>
      <c r="D13" s="210" t="e">
        <f>PRODUCT($C12:D12)</f>
        <v>#DIV/0!</v>
      </c>
      <c r="E13" s="210" t="e">
        <f>PRODUCT($C12:E12)</f>
        <v>#DIV/0!</v>
      </c>
      <c r="F13" s="210" t="e">
        <f>PRODUCT($C12:F12)</f>
        <v>#DIV/0!</v>
      </c>
      <c r="G13" s="210" t="e">
        <f>PRODUCT($C12:G12)</f>
        <v>#DIV/0!</v>
      </c>
      <c r="H13" s="210" t="e">
        <f>PRODUCT($C12:H12)</f>
        <v>#DIV/0!</v>
      </c>
      <c r="I13" s="210" t="e">
        <f>PRODUCT($C12:I12)</f>
        <v>#DIV/0!</v>
      </c>
      <c r="J13" s="210" t="e">
        <f>PRODUCT($C12:J12)</f>
        <v>#DIV/0!</v>
      </c>
      <c r="K13" s="210" t="e">
        <f>PRODUCT($C12:K12)</f>
        <v>#DIV/0!</v>
      </c>
      <c r="L13" s="210" t="e">
        <f>PRODUCT($C12:L12)</f>
        <v>#DIV/0!</v>
      </c>
      <c r="M13" s="210" t="e">
        <f>PRODUCT($C12:M12)</f>
        <v>#DIV/0!</v>
      </c>
      <c r="N13" s="210" t="e">
        <f>PRODUCT($C12:N12)</f>
        <v>#DIV/0!</v>
      </c>
      <c r="O13" s="210" t="e">
        <f>PRODUCT($C12:O12)</f>
        <v>#DIV/0!</v>
      </c>
      <c r="P13" s="211" t="e">
        <f>PRODUCT($C12:P12)</f>
        <v>#DIV/0!</v>
      </c>
      <c r="Q13" s="204"/>
      <c r="R13" s="205"/>
    </row>
    <row r="14" spans="2:26" ht="16.149999999999999" customHeight="1" collapsed="1" thickTop="1" x14ac:dyDescent="0.25">
      <c r="B14" s="212" t="s">
        <v>11</v>
      </c>
      <c r="C14" s="213">
        <f>'Metrics template - main chain'!D60</f>
        <v>47.458493638168918</v>
      </c>
      <c r="D14" s="213" t="e">
        <f>'Metrics template - main chain'!D127</f>
        <v>#DIV/0!</v>
      </c>
      <c r="E14" s="213" t="e">
        <f>'Metrics template - main chain'!D194</f>
        <v>#DIV/0!</v>
      </c>
      <c r="F14" s="213" t="e">
        <f>'Metrics template - main chain'!D261</f>
        <v>#DIV/0!</v>
      </c>
      <c r="G14" s="213" t="e">
        <f>'Metrics template - main chain'!D328</f>
        <v>#DIV/0!</v>
      </c>
      <c r="H14" s="213" t="e">
        <f>'Metrics template - main chain'!D395</f>
        <v>#DIV/0!</v>
      </c>
      <c r="I14" s="213" t="e">
        <f>'Metrics template - main chain'!D462</f>
        <v>#DIV/0!</v>
      </c>
      <c r="J14" s="213" t="e">
        <f>'Metrics template - main chain'!D529</f>
        <v>#DIV/0!</v>
      </c>
      <c r="K14" s="213" t="e">
        <f>'Metrics template - main chain'!D596</f>
        <v>#DIV/0!</v>
      </c>
      <c r="L14" s="213" t="e">
        <f>'Metrics template - main chain'!D663</f>
        <v>#DIV/0!</v>
      </c>
      <c r="M14" s="213" t="e">
        <f>'Metrics template - main chain'!D730</f>
        <v>#DIV/0!</v>
      </c>
      <c r="N14" s="213" t="e">
        <f>'Metrics template - main chain'!D797</f>
        <v>#DIV/0!</v>
      </c>
      <c r="O14" s="213" t="e">
        <f>'Metrics template - main chain'!D864</f>
        <v>#DIV/0!</v>
      </c>
      <c r="P14" s="214" t="e">
        <f>'Metrics template - main chain'!D931</f>
        <v>#DIV/0!</v>
      </c>
    </row>
    <row r="15" spans="2:26" ht="16.149999999999999" customHeight="1" x14ac:dyDescent="0.25">
      <c r="B15" s="212" t="s">
        <v>12</v>
      </c>
      <c r="C15" s="213">
        <f>'Metrics template - main chain'!D61</f>
        <v>282.62734498952028</v>
      </c>
      <c r="D15" s="213" t="e">
        <f>'Metrics template - main chain'!D128</f>
        <v>#DIV/0!</v>
      </c>
      <c r="E15" s="213" t="e">
        <f>'Metrics template - main chain'!D195</f>
        <v>#DIV/0!</v>
      </c>
      <c r="F15" s="213" t="e">
        <f>'Metrics template - main chain'!D262</f>
        <v>#DIV/0!</v>
      </c>
      <c r="G15" s="213" t="e">
        <f>'Metrics template - main chain'!D329</f>
        <v>#DIV/0!</v>
      </c>
      <c r="H15" s="213" t="e">
        <f>'Metrics template - main chain'!D396</f>
        <v>#DIV/0!</v>
      </c>
      <c r="I15" s="213" t="e">
        <f>'Metrics template - main chain'!D463</f>
        <v>#DIV/0!</v>
      </c>
      <c r="J15" s="213" t="e">
        <f>'Metrics template - main chain'!D530</f>
        <v>#DIV/0!</v>
      </c>
      <c r="K15" s="213" t="e">
        <f>'Metrics template - main chain'!D597</f>
        <v>#DIV/0!</v>
      </c>
      <c r="L15" s="213" t="e">
        <f>'Metrics template - main chain'!D664</f>
        <v>#DIV/0!</v>
      </c>
      <c r="M15" s="213" t="e">
        <f>'Metrics template - main chain'!D731</f>
        <v>#DIV/0!</v>
      </c>
      <c r="N15" s="213" t="e">
        <f>'Metrics template - main chain'!D798</f>
        <v>#DIV/0!</v>
      </c>
      <c r="O15" s="213" t="e">
        <f>'Metrics template - main chain'!D865</f>
        <v>#DIV/0!</v>
      </c>
      <c r="P15" s="214" t="e">
        <f>'Metrics template - main chain'!D932</f>
        <v>#DIV/0!</v>
      </c>
    </row>
    <row r="16" spans="2:26" ht="16.149999999999999" customHeight="1" x14ac:dyDescent="0.25">
      <c r="B16" s="212" t="s">
        <v>13</v>
      </c>
      <c r="C16" s="213">
        <f>'Metrics template - main chain'!D62</f>
        <v>235.16885135135138</v>
      </c>
      <c r="D16" s="213" t="e">
        <f>'Metrics template - main chain'!D129</f>
        <v>#DIV/0!</v>
      </c>
      <c r="E16" s="213" t="e">
        <f>'Metrics template - main chain'!D196</f>
        <v>#DIV/0!</v>
      </c>
      <c r="F16" s="213" t="e">
        <f>'Metrics template - main chain'!D263</f>
        <v>#DIV/0!</v>
      </c>
      <c r="G16" s="213" t="e">
        <f>'Metrics template - main chain'!D330</f>
        <v>#DIV/0!</v>
      </c>
      <c r="H16" s="213" t="e">
        <f>'Metrics template - main chain'!D397</f>
        <v>#DIV/0!</v>
      </c>
      <c r="I16" s="213" t="e">
        <f>'Metrics template - main chain'!D464</f>
        <v>#DIV/0!</v>
      </c>
      <c r="J16" s="213" t="e">
        <f>'Metrics template - main chain'!D531</f>
        <v>#DIV/0!</v>
      </c>
      <c r="K16" s="213" t="e">
        <f>'Metrics template - main chain'!D598</f>
        <v>#DIV/0!</v>
      </c>
      <c r="L16" s="213" t="e">
        <f>'Metrics template - main chain'!D665</f>
        <v>#DIV/0!</v>
      </c>
      <c r="M16" s="213" t="e">
        <f>'Metrics template - main chain'!D732</f>
        <v>#DIV/0!</v>
      </c>
      <c r="N16" s="213" t="e">
        <f>'Metrics template - main chain'!D799</f>
        <v>#DIV/0!</v>
      </c>
      <c r="O16" s="213" t="e">
        <f>'Metrics template - main chain'!D866</f>
        <v>#DIV/0!</v>
      </c>
      <c r="P16" s="214" t="e">
        <f>'Metrics template - main chain'!D933</f>
        <v>#DIV/0!</v>
      </c>
    </row>
    <row r="17" spans="2:19" ht="16.149999999999999" customHeight="1" x14ac:dyDescent="0.25">
      <c r="B17" s="212" t="s">
        <v>14</v>
      </c>
      <c r="C17" s="213">
        <f>'Metrics template - main chain'!D63</f>
        <v>28.014157657657652</v>
      </c>
      <c r="D17" s="213" t="e">
        <f>'Metrics template - main chain'!D130</f>
        <v>#DIV/0!</v>
      </c>
      <c r="E17" s="213" t="e">
        <f>'Metrics template - main chain'!D197</f>
        <v>#DIV/0!</v>
      </c>
      <c r="F17" s="213" t="e">
        <f>'Metrics template - main chain'!D264</f>
        <v>#DIV/0!</v>
      </c>
      <c r="G17" s="213" t="e">
        <f>'Metrics template - main chain'!D331</f>
        <v>#DIV/0!</v>
      </c>
      <c r="H17" s="213" t="e">
        <f>'Metrics template - main chain'!D398</f>
        <v>#DIV/0!</v>
      </c>
      <c r="I17" s="213" t="e">
        <f>'Metrics template - main chain'!D465</f>
        <v>#DIV/0!</v>
      </c>
      <c r="J17" s="213" t="e">
        <f>'Metrics template - main chain'!D532</f>
        <v>#DIV/0!</v>
      </c>
      <c r="K17" s="213" t="e">
        <f>'Metrics template - main chain'!D599</f>
        <v>#DIV/0!</v>
      </c>
      <c r="L17" s="213" t="e">
        <f>'Metrics template - main chain'!D666</f>
        <v>#DIV/0!</v>
      </c>
      <c r="M17" s="213" t="e">
        <f>'Metrics template - main chain'!D733</f>
        <v>#DIV/0!</v>
      </c>
      <c r="N17" s="213" t="e">
        <f>'Metrics template - main chain'!D800</f>
        <v>#DIV/0!</v>
      </c>
      <c r="O17" s="213" t="e">
        <f>'Metrics template - main chain'!D867</f>
        <v>#DIV/0!</v>
      </c>
      <c r="P17" s="214" t="e">
        <f>'Metrics template - main chain'!D934</f>
        <v>#DIV/0!</v>
      </c>
    </row>
    <row r="18" spans="2:19" ht="16.149999999999999" customHeight="1" thickBot="1" x14ac:dyDescent="0.3">
      <c r="B18" s="215" t="s">
        <v>15</v>
      </c>
      <c r="C18" s="216">
        <f>'Metrics template - main chain'!D64</f>
        <v>310.64150264717796</v>
      </c>
      <c r="D18" s="216" t="e">
        <f>'Metrics template - main chain'!D131</f>
        <v>#DIV/0!</v>
      </c>
      <c r="E18" s="216" t="e">
        <f>'Metrics template - main chain'!D198</f>
        <v>#DIV/0!</v>
      </c>
      <c r="F18" s="216" t="e">
        <f>'Metrics template - main chain'!D265</f>
        <v>#DIV/0!</v>
      </c>
      <c r="G18" s="216" t="e">
        <f>'Metrics template - main chain'!D332</f>
        <v>#DIV/0!</v>
      </c>
      <c r="H18" s="216" t="e">
        <f>'Metrics template - main chain'!D399</f>
        <v>#DIV/0!</v>
      </c>
      <c r="I18" s="216" t="e">
        <f>'Metrics template - main chain'!D466</f>
        <v>#DIV/0!</v>
      </c>
      <c r="J18" s="216" t="e">
        <f>'Metrics template - main chain'!D533</f>
        <v>#DIV/0!</v>
      </c>
      <c r="K18" s="216" t="e">
        <f>'Metrics template - main chain'!D600</f>
        <v>#DIV/0!</v>
      </c>
      <c r="L18" s="216" t="e">
        <f>'Metrics template - main chain'!D667</f>
        <v>#DIV/0!</v>
      </c>
      <c r="M18" s="216" t="e">
        <f>'Metrics template - main chain'!D734</f>
        <v>#DIV/0!</v>
      </c>
      <c r="N18" s="216" t="e">
        <f>'Metrics template - main chain'!D801</f>
        <v>#DIV/0!</v>
      </c>
      <c r="O18" s="216" t="e">
        <f>'Metrics template - main chain'!D868</f>
        <v>#DIV/0!</v>
      </c>
      <c r="P18" s="217" t="e">
        <f>'Metrics template - main chain'!D935</f>
        <v>#DIV/0!</v>
      </c>
      <c r="S18" s="139"/>
    </row>
    <row r="19" spans="2:19" ht="16.149999999999999" customHeight="1" thickTop="1" x14ac:dyDescent="0.25">
      <c r="B19" s="218" t="s">
        <v>16</v>
      </c>
      <c r="C19" s="219">
        <f>'Metrics template - main chain'!D65</f>
        <v>60.598053094679287</v>
      </c>
      <c r="D19" s="219" t="e">
        <f>'Metrics template - main chain'!D132</f>
        <v>#DIV/0!</v>
      </c>
      <c r="E19" s="219" t="e">
        <f>'Metrics template - main chain'!D199</f>
        <v>#DIV/0!</v>
      </c>
      <c r="F19" s="219" t="e">
        <f>'Metrics template - main chain'!D266</f>
        <v>#DIV/0!</v>
      </c>
      <c r="G19" s="219" t="e">
        <f>'Metrics template - main chain'!D333</f>
        <v>#DIV/0!</v>
      </c>
      <c r="H19" s="219" t="e">
        <f>'Metrics template - main chain'!D400</f>
        <v>#DIV/0!</v>
      </c>
      <c r="I19" s="219" t="e">
        <f>'Metrics template - main chain'!D467</f>
        <v>#DIV/0!</v>
      </c>
      <c r="J19" s="219" t="e">
        <f>'Metrics template - main chain'!D534</f>
        <v>#DIV/0!</v>
      </c>
      <c r="K19" s="219" t="e">
        <f>'Metrics template - main chain'!D601</f>
        <v>#DIV/0!</v>
      </c>
      <c r="L19" s="219" t="e">
        <f>'Metrics template - main chain'!D668</f>
        <v>#DIV/0!</v>
      </c>
      <c r="M19" s="219" t="e">
        <f>'Metrics template - main chain'!D735</f>
        <v>#DIV/0!</v>
      </c>
      <c r="N19" s="219" t="e">
        <f>'Metrics template - main chain'!D802</f>
        <v>#DIV/0!</v>
      </c>
      <c r="O19" s="219" t="e">
        <f>'Metrics template - main chain'!D869</f>
        <v>#DIV/0!</v>
      </c>
      <c r="P19" s="220" t="e">
        <f>'Metrics template - main chain'!D936</f>
        <v>#DIV/0!</v>
      </c>
    </row>
    <row r="20" spans="2:19" ht="16.149999999999999" customHeight="1" x14ac:dyDescent="0.25">
      <c r="B20" s="218" t="s">
        <v>17</v>
      </c>
      <c r="C20" s="219">
        <f>'Metrics template - main chain'!D66</f>
        <v>380.95940819467739</v>
      </c>
      <c r="D20" s="219" t="e">
        <f>'Metrics template - main chain'!D133</f>
        <v>#DIV/0!</v>
      </c>
      <c r="E20" s="219" t="e">
        <f>'Metrics template - main chain'!D200</f>
        <v>#DIV/0!</v>
      </c>
      <c r="F20" s="219" t="e">
        <f>'Metrics template - main chain'!D267</f>
        <v>#DIV/0!</v>
      </c>
      <c r="G20" s="219" t="e">
        <f>'Metrics template - main chain'!D334</f>
        <v>#DIV/0!</v>
      </c>
      <c r="H20" s="219" t="e">
        <f>'Metrics template - main chain'!D401</f>
        <v>#DIV/0!</v>
      </c>
      <c r="I20" s="219" t="e">
        <f>'Metrics template - main chain'!D468</f>
        <v>#DIV/0!</v>
      </c>
      <c r="J20" s="219" t="e">
        <f>'Metrics template - main chain'!D535</f>
        <v>#DIV/0!</v>
      </c>
      <c r="K20" s="219" t="e">
        <f>'Metrics template - main chain'!D602</f>
        <v>#DIV/0!</v>
      </c>
      <c r="L20" s="219" t="e">
        <f>'Metrics template - main chain'!D669</f>
        <v>#DIV/0!</v>
      </c>
      <c r="M20" s="219" t="e">
        <f>'Metrics template - main chain'!D736</f>
        <v>#DIV/0!</v>
      </c>
      <c r="N20" s="219" t="e">
        <f>'Metrics template - main chain'!D803</f>
        <v>#DIV/0!</v>
      </c>
      <c r="O20" s="219" t="e">
        <f>'Metrics template - main chain'!D870</f>
        <v>#DIV/0!</v>
      </c>
      <c r="P20" s="220" t="e">
        <f>'Metrics template - main chain'!D937</f>
        <v>#DIV/0!</v>
      </c>
    </row>
    <row r="21" spans="2:19" ht="16.149999999999999" customHeight="1" x14ac:dyDescent="0.25">
      <c r="B21" s="218" t="s">
        <v>18</v>
      </c>
      <c r="C21" s="219">
        <f>'Metrics template - main chain'!D67</f>
        <v>320.36135509999809</v>
      </c>
      <c r="D21" s="219" t="e">
        <f>'Metrics template - main chain'!D134</f>
        <v>#DIV/0!</v>
      </c>
      <c r="E21" s="219" t="e">
        <f>'Metrics template - main chain'!D201</f>
        <v>#DIV/0!</v>
      </c>
      <c r="F21" s="219" t="e">
        <f>'Metrics template - main chain'!D268</f>
        <v>#DIV/0!</v>
      </c>
      <c r="G21" s="219" t="e">
        <f>'Metrics template - main chain'!D335</f>
        <v>#DIV/0!</v>
      </c>
      <c r="H21" s="219" t="e">
        <f>'Metrics template - main chain'!D402</f>
        <v>#DIV/0!</v>
      </c>
      <c r="I21" s="219" t="e">
        <f>'Metrics template - main chain'!D469</f>
        <v>#DIV/0!</v>
      </c>
      <c r="J21" s="219" t="e">
        <f>'Metrics template - main chain'!D536</f>
        <v>#DIV/0!</v>
      </c>
      <c r="K21" s="219" t="e">
        <f>'Metrics template - main chain'!D603</f>
        <v>#DIV/0!</v>
      </c>
      <c r="L21" s="219" t="e">
        <f>'Metrics template - main chain'!D670</f>
        <v>#DIV/0!</v>
      </c>
      <c r="M21" s="219" t="e">
        <f>'Metrics template - main chain'!D737</f>
        <v>#DIV/0!</v>
      </c>
      <c r="N21" s="219" t="e">
        <f>'Metrics template - main chain'!D804</f>
        <v>#DIV/0!</v>
      </c>
      <c r="O21" s="219" t="e">
        <f>'Metrics template - main chain'!D871</f>
        <v>#DIV/0!</v>
      </c>
      <c r="P21" s="220" t="e">
        <f>'Metrics template - main chain'!D938</f>
        <v>#DIV/0!</v>
      </c>
    </row>
    <row r="22" spans="2:19" ht="16.149999999999999" customHeight="1" x14ac:dyDescent="0.25">
      <c r="B22" s="218" t="s">
        <v>19</v>
      </c>
      <c r="C22" s="219">
        <f>'Metrics template - main chain'!D68</f>
        <v>151.41300605876066</v>
      </c>
      <c r="D22" s="219" t="e">
        <f>'Metrics template - main chain'!D135</f>
        <v>#DIV/0!</v>
      </c>
      <c r="E22" s="219" t="e">
        <f>'Metrics template - main chain'!D202</f>
        <v>#DIV/0!</v>
      </c>
      <c r="F22" s="219" t="e">
        <f>'Metrics template - main chain'!D269</f>
        <v>#DIV/0!</v>
      </c>
      <c r="G22" s="219" t="e">
        <f>'Metrics template - main chain'!D336</f>
        <v>#DIV/0!</v>
      </c>
      <c r="H22" s="219" t="e">
        <f>'Metrics template - main chain'!D403</f>
        <v>#DIV/0!</v>
      </c>
      <c r="I22" s="219" t="e">
        <f>'Metrics template - main chain'!D470</f>
        <v>#DIV/0!</v>
      </c>
      <c r="J22" s="219" t="e">
        <f>'Metrics template - main chain'!D537</f>
        <v>#DIV/0!</v>
      </c>
      <c r="K22" s="219" t="e">
        <f>'Metrics template - main chain'!D604</f>
        <v>#DIV/0!</v>
      </c>
      <c r="L22" s="219" t="e">
        <f>'Metrics template - main chain'!D671</f>
        <v>#DIV/0!</v>
      </c>
      <c r="M22" s="219" t="e">
        <f>'Metrics template - main chain'!D738</f>
        <v>#DIV/0!</v>
      </c>
      <c r="N22" s="219" t="e">
        <f>'Metrics template - main chain'!D805</f>
        <v>#DIV/0!</v>
      </c>
      <c r="O22" s="219" t="e">
        <f>'Metrics template - main chain'!D872</f>
        <v>#DIV/0!</v>
      </c>
      <c r="P22" s="220" t="e">
        <f>'Metrics template - main chain'!D939</f>
        <v>#DIV/0!</v>
      </c>
    </row>
    <row r="23" spans="2:19" ht="16.149999999999999" customHeight="1" thickBot="1" x14ac:dyDescent="0.3">
      <c r="B23" s="221" t="s">
        <v>20</v>
      </c>
      <c r="C23" s="222">
        <f>'Metrics template - main chain'!D69</f>
        <v>532.37241425343802</v>
      </c>
      <c r="D23" s="222" t="e">
        <f>'Metrics template - main chain'!D136</f>
        <v>#DIV/0!</v>
      </c>
      <c r="E23" s="222" t="e">
        <f>'Metrics template - main chain'!D203</f>
        <v>#DIV/0!</v>
      </c>
      <c r="F23" s="222" t="e">
        <f>'Metrics template - main chain'!D270</f>
        <v>#DIV/0!</v>
      </c>
      <c r="G23" s="222" t="e">
        <f>'Metrics template - main chain'!D337</f>
        <v>#DIV/0!</v>
      </c>
      <c r="H23" s="222" t="e">
        <f>'Metrics template - main chain'!D404</f>
        <v>#DIV/0!</v>
      </c>
      <c r="I23" s="222" t="e">
        <f>'Metrics template - main chain'!D471</f>
        <v>#DIV/0!</v>
      </c>
      <c r="J23" s="222" t="e">
        <f>'Metrics template - main chain'!D538</f>
        <v>#DIV/0!</v>
      </c>
      <c r="K23" s="222" t="e">
        <f>'Metrics template - main chain'!D605</f>
        <v>#DIV/0!</v>
      </c>
      <c r="L23" s="222" t="e">
        <f>'Metrics template - main chain'!D672</f>
        <v>#DIV/0!</v>
      </c>
      <c r="M23" s="222" t="e">
        <f>'Metrics template - main chain'!D739</f>
        <v>#DIV/0!</v>
      </c>
      <c r="N23" s="222" t="e">
        <f>'Metrics template - main chain'!D806</f>
        <v>#DIV/0!</v>
      </c>
      <c r="O23" s="222" t="e">
        <f>'Metrics template - main chain'!D873</f>
        <v>#DIV/0!</v>
      </c>
      <c r="P23" s="223" t="e">
        <f>'Metrics template - main chain'!D940</f>
        <v>#DIV/0!</v>
      </c>
    </row>
    <row r="24" spans="2:19" ht="13.5" thickTop="1" x14ac:dyDescent="0.3">
      <c r="B24" s="224"/>
      <c r="C24" s="225"/>
      <c r="D24" s="226"/>
      <c r="E24" s="64"/>
      <c r="F24" s="64"/>
      <c r="G24" s="64"/>
      <c r="H24" s="64"/>
      <c r="I24" s="64"/>
      <c r="J24" s="64"/>
      <c r="K24" s="227"/>
      <c r="L24" s="227"/>
      <c r="M24" s="227"/>
      <c r="N24" s="227"/>
      <c r="O24" s="227"/>
      <c r="P24" s="227"/>
    </row>
    <row r="25" spans="2:19" ht="13.5" thickBot="1" x14ac:dyDescent="0.3">
      <c r="B25" s="228"/>
      <c r="C25" s="229"/>
      <c r="D25" s="230"/>
      <c r="E25" s="227"/>
      <c r="F25" s="227"/>
      <c r="G25" s="227"/>
      <c r="H25" s="227"/>
      <c r="I25" s="227"/>
      <c r="J25" s="227"/>
      <c r="K25" s="227"/>
      <c r="L25" s="227"/>
      <c r="M25" s="227"/>
      <c r="N25" s="227"/>
      <c r="O25" s="227"/>
      <c r="P25" s="227"/>
    </row>
    <row r="26" spans="2:19" ht="26" thickTop="1" thickBot="1" x14ac:dyDescent="0.3">
      <c r="B26" s="407" t="s">
        <v>88</v>
      </c>
      <c r="C26" s="408"/>
      <c r="D26" s="408"/>
      <c r="E26" s="408"/>
      <c r="F26" s="408"/>
      <c r="G26" s="408"/>
      <c r="H26" s="408"/>
      <c r="I26" s="408"/>
      <c r="J26" s="408"/>
      <c r="K26" s="408"/>
      <c r="L26" s="409"/>
      <c r="M26" s="410" t="s">
        <v>40</v>
      </c>
      <c r="N26" s="410"/>
      <c r="O26" s="410"/>
      <c r="P26" s="231">
        <f>'Metrics template - side chain'!C7*'Metrics template - side chain'!C74*'Metrics template - side chain'!C141*'Metrics template - side chain'!C208*'Metrics template - side chain'!C275*'Metrics template - side chain'!C342*'Metrics template - side chain'!C409*'Metrics template - side chain'!C476*'Metrics template - side chain'!C543*'Metrics template - side chain'!C610</f>
        <v>0.8</v>
      </c>
    </row>
    <row r="27" spans="2:19" ht="16" thickTop="1" x14ac:dyDescent="0.25">
      <c r="B27" s="195" t="s">
        <v>38</v>
      </c>
      <c r="C27" s="196" t="str">
        <f>'Metrics template - side chain'!D2</f>
        <v>RB(OH)2</v>
      </c>
      <c r="D27" s="196">
        <f>'Metrics template - side chain'!D69</f>
        <v>0</v>
      </c>
      <c r="E27" s="196">
        <f>'Metrics template - side chain'!D136</f>
        <v>0</v>
      </c>
      <c r="F27" s="196">
        <f>'Metrics template - side chain'!D203</f>
        <v>0</v>
      </c>
      <c r="G27" s="196">
        <f>'Metrics template - side chain'!D270</f>
        <v>0</v>
      </c>
      <c r="H27" s="196">
        <f>'Metrics template - side chain'!D337</f>
        <v>0</v>
      </c>
      <c r="I27" s="196">
        <f>'Metrics template - side chain'!D404</f>
        <v>0</v>
      </c>
      <c r="J27" s="196">
        <f>'Metrics template - side chain'!D471</f>
        <v>0</v>
      </c>
      <c r="K27" s="196">
        <f>'Metrics template - side chain'!D538</f>
        <v>0</v>
      </c>
      <c r="L27" s="196">
        <f>'Metrics template - side chain'!D605</f>
        <v>0</v>
      </c>
      <c r="M27" s="232"/>
      <c r="N27" s="232"/>
      <c r="O27" s="232"/>
      <c r="P27" s="233"/>
    </row>
    <row r="28" spans="2:19" x14ac:dyDescent="0.25">
      <c r="B28" s="198" t="s">
        <v>30</v>
      </c>
      <c r="C28" s="1">
        <f>'Metrics template - side chain'!D50</f>
        <v>8.15</v>
      </c>
      <c r="D28" s="1">
        <f>'Metrics template - side chain'!D117</f>
        <v>0</v>
      </c>
      <c r="E28" s="1">
        <f>'Metrics template - side chain'!D184</f>
        <v>0</v>
      </c>
      <c r="F28" s="1">
        <f>'Metrics template - side chain'!D251</f>
        <v>0</v>
      </c>
      <c r="G28" s="1">
        <f>'Metrics template - side chain'!D318</f>
        <v>0</v>
      </c>
      <c r="H28" s="1">
        <f>'Metrics template - side chain'!D385</f>
        <v>0</v>
      </c>
      <c r="I28" s="1">
        <f>'Metrics template - side chain'!D452</f>
        <v>0</v>
      </c>
      <c r="J28" s="1">
        <f>'Metrics template - side chain'!D519</f>
        <v>0</v>
      </c>
      <c r="K28" s="1">
        <f>'Metrics template - side chain'!D586</f>
        <v>0</v>
      </c>
      <c r="L28" s="1">
        <f>'Metrics template - side chain'!D653</f>
        <v>0</v>
      </c>
      <c r="M28" s="1"/>
      <c r="N28" s="1"/>
      <c r="O28" s="1"/>
      <c r="P28" s="199"/>
    </row>
    <row r="29" spans="2:19" x14ac:dyDescent="0.25">
      <c r="B29" s="200" t="s">
        <v>31</v>
      </c>
      <c r="C29" s="1">
        <f>'Metrics template - side chain'!D51</f>
        <v>23.388210000000001</v>
      </c>
      <c r="D29" s="1">
        <f>'Metrics template - side chain'!D118</f>
        <v>0</v>
      </c>
      <c r="E29" s="1">
        <f>'Metrics template - side chain'!D185</f>
        <v>0</v>
      </c>
      <c r="F29" s="1">
        <f>'Metrics template - side chain'!D252</f>
        <v>0</v>
      </c>
      <c r="G29" s="1">
        <f>'Metrics template - side chain'!D319</f>
        <v>0</v>
      </c>
      <c r="H29" s="1">
        <f>'Metrics template - side chain'!D386</f>
        <v>0</v>
      </c>
      <c r="I29" s="1">
        <f>'Metrics template - side chain'!D453</f>
        <v>0</v>
      </c>
      <c r="J29" s="1">
        <f>'Metrics template - side chain'!D520</f>
        <v>0</v>
      </c>
      <c r="K29" s="1">
        <f>'Metrics template - side chain'!D587</f>
        <v>0</v>
      </c>
      <c r="L29" s="1">
        <f>'Metrics template - side chain'!D654</f>
        <v>0</v>
      </c>
      <c r="M29" s="1"/>
      <c r="N29" s="1"/>
      <c r="O29" s="1"/>
      <c r="P29" s="199"/>
    </row>
    <row r="30" spans="2:19" x14ac:dyDescent="0.25">
      <c r="B30" s="200" t="s">
        <v>32</v>
      </c>
      <c r="C30" s="1">
        <f>'Metrics template - side chain'!D52</f>
        <v>170.09459000000001</v>
      </c>
      <c r="D30" s="1">
        <f>'Metrics template - side chain'!D119</f>
        <v>0</v>
      </c>
      <c r="E30" s="1">
        <f>'Metrics template - side chain'!D186</f>
        <v>0</v>
      </c>
      <c r="F30" s="1">
        <f>'Metrics template - side chain'!D253</f>
        <v>0</v>
      </c>
      <c r="G30" s="1">
        <f>'Metrics template - side chain'!D320</f>
        <v>0</v>
      </c>
      <c r="H30" s="1">
        <f>'Metrics template - side chain'!D387</f>
        <v>0</v>
      </c>
      <c r="I30" s="1">
        <f>'Metrics template - side chain'!D454</f>
        <v>0</v>
      </c>
      <c r="J30" s="1">
        <f>'Metrics template - side chain'!D521</f>
        <v>0</v>
      </c>
      <c r="K30" s="1">
        <f>'Metrics template - side chain'!D588</f>
        <v>0</v>
      </c>
      <c r="L30" s="1">
        <f>'Metrics template - side chain'!D655</f>
        <v>0</v>
      </c>
      <c r="M30" s="1"/>
      <c r="N30" s="1"/>
      <c r="O30" s="1"/>
      <c r="P30" s="199"/>
    </row>
    <row r="31" spans="2:19" x14ac:dyDescent="0.25">
      <c r="B31" s="200" t="s">
        <v>33</v>
      </c>
      <c r="C31" s="1">
        <f>'Metrics template - side chain'!D53</f>
        <v>247.21520000000001</v>
      </c>
      <c r="D31" s="1">
        <f>'Metrics template - side chain'!D120</f>
        <v>0</v>
      </c>
      <c r="E31" s="1">
        <f>'Metrics template - side chain'!D187</f>
        <v>0</v>
      </c>
      <c r="F31" s="1">
        <f>'Metrics template - side chain'!D254</f>
        <v>0</v>
      </c>
      <c r="G31" s="1">
        <f>'Metrics template - side chain'!D321</f>
        <v>0</v>
      </c>
      <c r="H31" s="1">
        <f>'Metrics template - side chain'!D388</f>
        <v>0</v>
      </c>
      <c r="I31" s="1">
        <f>'Metrics template - side chain'!D455</f>
        <v>0</v>
      </c>
      <c r="J31" s="1">
        <f>'Metrics template - side chain'!D522</f>
        <v>0</v>
      </c>
      <c r="K31" s="1">
        <f>'Metrics template - side chain'!D589</f>
        <v>0</v>
      </c>
      <c r="L31" s="1">
        <f>'Metrics template - side chain'!D656</f>
        <v>0</v>
      </c>
      <c r="M31" s="1"/>
      <c r="N31" s="1"/>
      <c r="O31" s="1"/>
      <c r="P31" s="199"/>
    </row>
    <row r="32" spans="2:19" ht="13.5" thickBot="1" x14ac:dyDescent="0.3">
      <c r="B32" s="201" t="s">
        <v>34</v>
      </c>
      <c r="C32" s="202">
        <f>'Metrics template - side chain'!C10</f>
        <v>5.2</v>
      </c>
      <c r="D32" s="202">
        <f>'Metrics template - side chain'!C77</f>
        <v>0</v>
      </c>
      <c r="E32" s="202">
        <f>'Metrics template - side chain'!C144</f>
        <v>0</v>
      </c>
      <c r="F32" s="202">
        <f>'Metrics template - side chain'!C211</f>
        <v>0</v>
      </c>
      <c r="G32" s="202">
        <f>'Metrics template - side chain'!C278</f>
        <v>0</v>
      </c>
      <c r="H32" s="202">
        <f>'Metrics template - side chain'!C345</f>
        <v>0</v>
      </c>
      <c r="I32" s="202">
        <f>'Metrics template - side chain'!C412</f>
        <v>0</v>
      </c>
      <c r="J32" s="202">
        <f>'Metrics template - side chain'!C479</f>
        <v>0</v>
      </c>
      <c r="K32" s="202">
        <f>'Metrics template - side chain'!C546</f>
        <v>0</v>
      </c>
      <c r="L32" s="202">
        <f>'Metrics template - side chain'!C613</f>
        <v>0</v>
      </c>
      <c r="M32" s="202"/>
      <c r="N32" s="202"/>
      <c r="O32" s="202"/>
      <c r="P32" s="203"/>
    </row>
    <row r="33" spans="2:17" ht="16" thickTop="1" x14ac:dyDescent="0.25">
      <c r="B33" s="234" t="s">
        <v>11</v>
      </c>
      <c r="C33" s="235">
        <f>'Metrics template - side chain'!D54</f>
        <v>6.0650403846153855</v>
      </c>
      <c r="D33" s="235" t="e">
        <f>'Metrics template - side chain'!D121</f>
        <v>#DIV/0!</v>
      </c>
      <c r="E33" s="235" t="e">
        <f>'Metrics template - side chain'!D188</f>
        <v>#DIV/0!</v>
      </c>
      <c r="F33" s="235" t="e">
        <f>'Metrics template - side chain'!D255</f>
        <v>#DIV/0!</v>
      </c>
      <c r="G33" s="235" t="e">
        <f>'Metrics template - side chain'!D322</f>
        <v>#DIV/0!</v>
      </c>
      <c r="H33" s="235" t="e">
        <f>'Metrics template - side chain'!D389</f>
        <v>#DIV/0!</v>
      </c>
      <c r="I33" s="235" t="e">
        <f>'Metrics template - side chain'!D456</f>
        <v>#DIV/0!</v>
      </c>
      <c r="J33" s="235" t="e">
        <f>'Metrics template - side chain'!D523</f>
        <v>#DIV/0!</v>
      </c>
      <c r="K33" s="235" t="e">
        <f>'Metrics template - side chain'!D590</f>
        <v>#DIV/0!</v>
      </c>
      <c r="L33" s="235" t="e">
        <f>'Metrics template - side chain'!D657</f>
        <v>#DIV/0!</v>
      </c>
      <c r="M33" s="236"/>
      <c r="N33" s="236"/>
      <c r="O33" s="236"/>
      <c r="P33" s="237"/>
    </row>
    <row r="34" spans="2:17" ht="15.5" x14ac:dyDescent="0.25">
      <c r="B34" s="234" t="s">
        <v>12</v>
      </c>
      <c r="C34" s="235">
        <f>'Metrics template - side chain'!D55</f>
        <v>38.77553846153846</v>
      </c>
      <c r="D34" s="235" t="e">
        <f>'Metrics template - side chain'!D122</f>
        <v>#DIV/0!</v>
      </c>
      <c r="E34" s="235" t="e">
        <f>'Metrics template - side chain'!D189</f>
        <v>#DIV/0!</v>
      </c>
      <c r="F34" s="235" t="e">
        <f>'Metrics template - side chain'!D256</f>
        <v>#DIV/0!</v>
      </c>
      <c r="G34" s="235" t="e">
        <f>'Metrics template - side chain'!D323</f>
        <v>#DIV/0!</v>
      </c>
      <c r="H34" s="235" t="e">
        <f>'Metrics template - side chain'!D390</f>
        <v>#DIV/0!</v>
      </c>
      <c r="I34" s="235" t="e">
        <f>'Metrics template - side chain'!D457</f>
        <v>#DIV/0!</v>
      </c>
      <c r="J34" s="235" t="e">
        <f>'Metrics template - side chain'!D524</f>
        <v>#DIV/0!</v>
      </c>
      <c r="K34" s="235" t="e">
        <f>'Metrics template - side chain'!D591</f>
        <v>#DIV/0!</v>
      </c>
      <c r="L34" s="235" t="e">
        <f>'Metrics template - side chain'!D658</f>
        <v>#DIV/0!</v>
      </c>
      <c r="M34" s="236"/>
      <c r="N34" s="236"/>
      <c r="O34" s="236"/>
      <c r="P34" s="237"/>
    </row>
    <row r="35" spans="2:17" ht="15.5" x14ac:dyDescent="0.25">
      <c r="B35" s="234" t="s">
        <v>13</v>
      </c>
      <c r="C35" s="235">
        <f>'Metrics template - side chain'!D56</f>
        <v>32.710498076923081</v>
      </c>
      <c r="D35" s="235" t="e">
        <f>'Metrics template - side chain'!D123</f>
        <v>#DIV/0!</v>
      </c>
      <c r="E35" s="235" t="e">
        <f>'Metrics template - side chain'!D190</f>
        <v>#DIV/0!</v>
      </c>
      <c r="F35" s="235" t="e">
        <f>'Metrics template - side chain'!D257</f>
        <v>#DIV/0!</v>
      </c>
      <c r="G35" s="235" t="e">
        <f>'Metrics template - side chain'!D324</f>
        <v>#DIV/0!</v>
      </c>
      <c r="H35" s="235" t="e">
        <f>'Metrics template - side chain'!D391</f>
        <v>#DIV/0!</v>
      </c>
      <c r="I35" s="235" t="e">
        <f>'Metrics template - side chain'!D458</f>
        <v>#DIV/0!</v>
      </c>
      <c r="J35" s="235" t="e">
        <f>'Metrics template - side chain'!D525</f>
        <v>#DIV/0!</v>
      </c>
      <c r="K35" s="235" t="e">
        <f>'Metrics template - side chain'!D592</f>
        <v>#DIV/0!</v>
      </c>
      <c r="L35" s="235" t="e">
        <f>'Metrics template - side chain'!D659</f>
        <v>#DIV/0!</v>
      </c>
      <c r="M35" s="236"/>
      <c r="N35" s="236"/>
      <c r="O35" s="236"/>
      <c r="P35" s="237"/>
    </row>
    <row r="36" spans="2:17" ht="15.5" x14ac:dyDescent="0.25">
      <c r="B36" s="234" t="s">
        <v>14</v>
      </c>
      <c r="C36" s="235">
        <f>'Metrics template - side chain'!D57</f>
        <v>47.541384615384615</v>
      </c>
      <c r="D36" s="235" t="e">
        <f>'Metrics template - side chain'!D124</f>
        <v>#DIV/0!</v>
      </c>
      <c r="E36" s="235" t="e">
        <f>'Metrics template - side chain'!D191</f>
        <v>#DIV/0!</v>
      </c>
      <c r="F36" s="235" t="e">
        <f>'Metrics template - side chain'!D258</f>
        <v>#DIV/0!</v>
      </c>
      <c r="G36" s="235" t="e">
        <f>'Metrics template - side chain'!D325</f>
        <v>#DIV/0!</v>
      </c>
      <c r="H36" s="235" t="e">
        <f>'Metrics template - side chain'!D392</f>
        <v>#DIV/0!</v>
      </c>
      <c r="I36" s="235" t="e">
        <f>'Metrics template - side chain'!D459</f>
        <v>#DIV/0!</v>
      </c>
      <c r="J36" s="235" t="e">
        <f>'Metrics template - side chain'!D526</f>
        <v>#DIV/0!</v>
      </c>
      <c r="K36" s="235" t="e">
        <f>'Metrics template - side chain'!D593</f>
        <v>#DIV/0!</v>
      </c>
      <c r="L36" s="235" t="e">
        <f>'Metrics template - side chain'!D660</f>
        <v>#DIV/0!</v>
      </c>
      <c r="M36" s="236"/>
      <c r="N36" s="236"/>
      <c r="O36" s="236"/>
      <c r="P36" s="237"/>
    </row>
    <row r="37" spans="2:17" ht="16" thickBot="1" x14ac:dyDescent="0.3">
      <c r="B37" s="238" t="s">
        <v>15</v>
      </c>
      <c r="C37" s="239">
        <f>'Metrics template - side chain'!D58</f>
        <v>86.316923076923075</v>
      </c>
      <c r="D37" s="239" t="e">
        <f>'Metrics template - side chain'!D125</f>
        <v>#DIV/0!</v>
      </c>
      <c r="E37" s="239" t="e">
        <f>'Metrics template - side chain'!D192</f>
        <v>#DIV/0!</v>
      </c>
      <c r="F37" s="239" t="e">
        <f>'Metrics template - side chain'!D259</f>
        <v>#DIV/0!</v>
      </c>
      <c r="G37" s="239" t="e">
        <f>'Metrics template - side chain'!D326</f>
        <v>#DIV/0!</v>
      </c>
      <c r="H37" s="239" t="e">
        <f>'Metrics template - side chain'!D393</f>
        <v>#DIV/0!</v>
      </c>
      <c r="I37" s="239" t="e">
        <f>'Metrics template - side chain'!D460</f>
        <v>#DIV/0!</v>
      </c>
      <c r="J37" s="239" t="e">
        <f>'Metrics template - side chain'!D527</f>
        <v>#DIV/0!</v>
      </c>
      <c r="K37" s="239" t="e">
        <f>'Metrics template - side chain'!D594</f>
        <v>#DIV/0!</v>
      </c>
      <c r="L37" s="239" t="e">
        <f>'Metrics template - side chain'!D661</f>
        <v>#DIV/0!</v>
      </c>
      <c r="M37" s="240"/>
      <c r="N37" s="240"/>
      <c r="O37" s="240"/>
      <c r="P37" s="241"/>
    </row>
    <row r="38" spans="2:17" ht="16" thickTop="1" x14ac:dyDescent="0.25">
      <c r="B38" s="242" t="s">
        <v>16</v>
      </c>
      <c r="C38" s="243">
        <f>'Metrics template - side chain'!D59</f>
        <v>6.0650403846153846</v>
      </c>
      <c r="D38" s="243" t="e">
        <f>'Metrics template - side chain'!D126</f>
        <v>#DIV/0!</v>
      </c>
      <c r="E38" s="243" t="e">
        <f>'Metrics template - side chain'!D193</f>
        <v>#DIV/0!</v>
      </c>
      <c r="F38" s="243" t="e">
        <f>'Metrics template - side chain'!D260</f>
        <v>#DIV/0!</v>
      </c>
      <c r="G38" s="243" t="e">
        <f>'Metrics template - side chain'!D327</f>
        <v>#DIV/0!</v>
      </c>
      <c r="H38" s="243" t="e">
        <f>'Metrics template - side chain'!D394</f>
        <v>#DIV/0!</v>
      </c>
      <c r="I38" s="243" t="e">
        <f>'Metrics template - side chain'!D461</f>
        <v>#DIV/0!</v>
      </c>
      <c r="J38" s="243" t="e">
        <f>'Metrics template - side chain'!D528</f>
        <v>#DIV/0!</v>
      </c>
      <c r="K38" s="243" t="e">
        <f>'Metrics template - side chain'!D595</f>
        <v>#DIV/0!</v>
      </c>
      <c r="L38" s="243" t="e">
        <f>'Metrics template - side chain'!D662</f>
        <v>#DIV/0!</v>
      </c>
      <c r="M38" s="244"/>
      <c r="N38" s="244"/>
      <c r="O38" s="244"/>
      <c r="P38" s="245"/>
    </row>
    <row r="39" spans="2:17" ht="15.5" x14ac:dyDescent="0.25">
      <c r="B39" s="242" t="s">
        <v>17</v>
      </c>
      <c r="C39" s="243">
        <f>'Metrics template - side chain'!D60</f>
        <v>38.77553846153846</v>
      </c>
      <c r="D39" s="243" t="e">
        <f>'Metrics template - side chain'!D127</f>
        <v>#DIV/0!</v>
      </c>
      <c r="E39" s="243" t="e">
        <f>'Metrics template - side chain'!D194</f>
        <v>#DIV/0!</v>
      </c>
      <c r="F39" s="243" t="e">
        <f>'Metrics template - side chain'!D261</f>
        <v>#DIV/0!</v>
      </c>
      <c r="G39" s="243" t="e">
        <f>'Metrics template - side chain'!D328</f>
        <v>#DIV/0!</v>
      </c>
      <c r="H39" s="243" t="e">
        <f>'Metrics template - side chain'!D395</f>
        <v>#DIV/0!</v>
      </c>
      <c r="I39" s="243" t="e">
        <f>'Metrics template - side chain'!D462</f>
        <v>#DIV/0!</v>
      </c>
      <c r="J39" s="243" t="e">
        <f>'Metrics template - side chain'!D529</f>
        <v>#DIV/0!</v>
      </c>
      <c r="K39" s="243" t="e">
        <f>'Metrics template - side chain'!D596</f>
        <v>#DIV/0!</v>
      </c>
      <c r="L39" s="243" t="e">
        <f>'Metrics template - side chain'!D663</f>
        <v>#DIV/0!</v>
      </c>
      <c r="M39" s="244"/>
      <c r="N39" s="244"/>
      <c r="O39" s="244"/>
      <c r="P39" s="245"/>
    </row>
    <row r="40" spans="2:17" ht="15.5" x14ac:dyDescent="0.25">
      <c r="B40" s="242" t="s">
        <v>18</v>
      </c>
      <c r="C40" s="243">
        <f>'Metrics template - side chain'!D61</f>
        <v>32.710498076923081</v>
      </c>
      <c r="D40" s="243" t="e">
        <f>'Metrics template - side chain'!D128</f>
        <v>#DIV/0!</v>
      </c>
      <c r="E40" s="243" t="e">
        <f>'Metrics template - side chain'!D195</f>
        <v>#DIV/0!</v>
      </c>
      <c r="F40" s="243" t="e">
        <f>'Metrics template - side chain'!D262</f>
        <v>#DIV/0!</v>
      </c>
      <c r="G40" s="243" t="e">
        <f>'Metrics template - side chain'!D329</f>
        <v>#DIV/0!</v>
      </c>
      <c r="H40" s="243" t="e">
        <f>'Metrics template - side chain'!D396</f>
        <v>#DIV/0!</v>
      </c>
      <c r="I40" s="243" t="e">
        <f>'Metrics template - side chain'!D463</f>
        <v>#DIV/0!</v>
      </c>
      <c r="J40" s="243" t="e">
        <f>'Metrics template - side chain'!D530</f>
        <v>#DIV/0!</v>
      </c>
      <c r="K40" s="243" t="e">
        <f>'Metrics template - side chain'!D597</f>
        <v>#DIV/0!</v>
      </c>
      <c r="L40" s="243" t="e">
        <f>'Metrics template - side chain'!D664</f>
        <v>#DIV/0!</v>
      </c>
      <c r="M40" s="412"/>
      <c r="N40" s="412"/>
      <c r="O40" s="412"/>
      <c r="P40" s="245"/>
      <c r="Q40" s="191"/>
    </row>
    <row r="41" spans="2:17" ht="15.5" x14ac:dyDescent="0.25">
      <c r="B41" s="242" t="s">
        <v>19</v>
      </c>
      <c r="C41" s="243">
        <f>'Metrics template - side chain'!D62</f>
        <v>47.541384615384615</v>
      </c>
      <c r="D41" s="243" t="e">
        <f>'Metrics template - side chain'!D129</f>
        <v>#DIV/0!</v>
      </c>
      <c r="E41" s="243" t="e">
        <f>'Metrics template - side chain'!D196</f>
        <v>#DIV/0!</v>
      </c>
      <c r="F41" s="243" t="e">
        <f>'Metrics template - side chain'!D263</f>
        <v>#DIV/0!</v>
      </c>
      <c r="G41" s="243" t="e">
        <f>'Metrics template - side chain'!D330</f>
        <v>#DIV/0!</v>
      </c>
      <c r="H41" s="243" t="e">
        <f>'Metrics template - side chain'!D397</f>
        <v>#DIV/0!</v>
      </c>
      <c r="I41" s="243" t="e">
        <f>'Metrics template - side chain'!D464</f>
        <v>#DIV/0!</v>
      </c>
      <c r="J41" s="243" t="e">
        <f>'Metrics template - side chain'!D531</f>
        <v>#DIV/0!</v>
      </c>
      <c r="K41" s="243" t="e">
        <f>'Metrics template - side chain'!D598</f>
        <v>#DIV/0!</v>
      </c>
      <c r="L41" s="243" t="e">
        <f>'Metrics template - side chain'!D665</f>
        <v>#DIV/0!</v>
      </c>
      <c r="M41" s="412"/>
      <c r="N41" s="412"/>
      <c r="O41" s="412"/>
      <c r="P41" s="245"/>
      <c r="Q41" s="191"/>
    </row>
    <row r="42" spans="2:17" ht="16" thickBot="1" x14ac:dyDescent="0.3">
      <c r="B42" s="246" t="s">
        <v>20</v>
      </c>
      <c r="C42" s="247">
        <f>'Metrics template - side chain'!D63</f>
        <v>86.316923076923061</v>
      </c>
      <c r="D42" s="247" t="e">
        <f>'Metrics template - side chain'!D130</f>
        <v>#DIV/0!</v>
      </c>
      <c r="E42" s="247" t="e">
        <f>'Metrics template - side chain'!D197</f>
        <v>#DIV/0!</v>
      </c>
      <c r="F42" s="247" t="e">
        <f>'Metrics template - side chain'!D264</f>
        <v>#DIV/0!</v>
      </c>
      <c r="G42" s="247" t="e">
        <f>'Metrics template - side chain'!D331</f>
        <v>#DIV/0!</v>
      </c>
      <c r="H42" s="247" t="e">
        <f>'Metrics template - side chain'!D398</f>
        <v>#DIV/0!</v>
      </c>
      <c r="I42" s="247" t="e">
        <f>'Metrics template - side chain'!D465</f>
        <v>#DIV/0!</v>
      </c>
      <c r="J42" s="247" t="e">
        <f>'Metrics template - side chain'!D532</f>
        <v>#DIV/0!</v>
      </c>
      <c r="K42" s="247" t="e">
        <f>'Metrics template - side chain'!D599</f>
        <v>#DIV/0!</v>
      </c>
      <c r="L42" s="247" t="e">
        <f>'Metrics template - side chain'!D666</f>
        <v>#DIV/0!</v>
      </c>
      <c r="M42" s="411"/>
      <c r="N42" s="411"/>
      <c r="O42" s="411"/>
      <c r="P42" s="248"/>
      <c r="Q42" s="191"/>
    </row>
    <row r="43" spans="2:17" ht="13.5" customHeight="1" thickTop="1" x14ac:dyDescent="0.25">
      <c r="B43" s="249"/>
      <c r="C43" s="250"/>
      <c r="D43" s="250"/>
      <c r="E43" s="250"/>
      <c r="F43" s="250"/>
      <c r="G43" s="250"/>
      <c r="H43" s="250"/>
      <c r="I43" s="250"/>
      <c r="J43" s="250"/>
      <c r="K43" s="250"/>
      <c r="L43" s="250"/>
      <c r="M43" s="251"/>
      <c r="N43" s="251"/>
      <c r="O43" s="251"/>
      <c r="P43" s="252"/>
    </row>
    <row r="44" spans="2:17" ht="13.5" customHeight="1" thickBot="1" x14ac:dyDescent="0.3">
      <c r="B44" s="64"/>
      <c r="C44" s="64"/>
      <c r="D44" s="64"/>
      <c r="E44" s="64"/>
      <c r="F44" s="64"/>
      <c r="G44" s="64"/>
      <c r="H44" s="64"/>
      <c r="I44" s="64"/>
      <c r="J44" s="64"/>
      <c r="K44" s="64"/>
      <c r="L44" s="64"/>
      <c r="M44" s="251"/>
      <c r="N44" s="251"/>
      <c r="O44" s="251"/>
      <c r="P44" s="253"/>
    </row>
    <row r="45" spans="2:17" ht="26" thickTop="1" thickBot="1" x14ac:dyDescent="0.3">
      <c r="B45" s="407" t="s">
        <v>89</v>
      </c>
      <c r="C45" s="408"/>
      <c r="D45" s="408"/>
      <c r="E45" s="408"/>
      <c r="F45" s="408"/>
      <c r="G45" s="408"/>
      <c r="H45" s="408"/>
      <c r="I45" s="408"/>
      <c r="J45" s="408"/>
      <c r="K45" s="408"/>
      <c r="L45" s="409"/>
      <c r="M45" s="410" t="s">
        <v>39</v>
      </c>
      <c r="N45" s="410"/>
      <c r="O45" s="410"/>
      <c r="P45" s="231">
        <f>'Metrics template - side chain 2'!C7*'Metrics template - side chain 2'!C74*'Metrics template - side chain 2'!C141*'Metrics template - side chain 2'!C208*'Metrics template - side chain 2'!C275*'Metrics template - side chain 2'!C342*'Metrics template - side chain 2'!C409*'Metrics template - side chain 2'!C476*'Metrics template - side chain 2'!C543*'Metrics template - side chain 2'!C610</f>
        <v>0.83599999999999997</v>
      </c>
    </row>
    <row r="46" spans="2:17" ht="16" thickTop="1" x14ac:dyDescent="0.25">
      <c r="B46" s="195" t="s">
        <v>38</v>
      </c>
      <c r="C46" s="196" t="str">
        <f>'Metrics template - side chain 2'!D2</f>
        <v>Ni Cat.</v>
      </c>
      <c r="D46" s="196">
        <f>'Metrics template - side chain 2'!D69</f>
        <v>0</v>
      </c>
      <c r="E46" s="196">
        <f>'Metrics template - side chain 2'!D136</f>
        <v>0</v>
      </c>
      <c r="F46" s="196">
        <f>'Metrics template - side chain 2'!D203</f>
        <v>0</v>
      </c>
      <c r="G46" s="196">
        <f>'Metrics template - side chain 2'!D270</f>
        <v>0</v>
      </c>
      <c r="H46" s="196">
        <f>'Metrics template - side chain 2'!D337</f>
        <v>0</v>
      </c>
      <c r="I46" s="196">
        <f>'Metrics template - side chain 2'!D404</f>
        <v>0</v>
      </c>
      <c r="J46" s="196">
        <f>'Metrics template - side chain 2'!D471</f>
        <v>0</v>
      </c>
      <c r="K46" s="196">
        <f>'Metrics template - side chain 2'!D538</f>
        <v>0</v>
      </c>
      <c r="L46" s="196">
        <f>'Metrics template - side chain 2'!D605</f>
        <v>0</v>
      </c>
      <c r="M46" s="232"/>
      <c r="N46" s="232"/>
      <c r="O46" s="232"/>
      <c r="P46" s="233"/>
    </row>
    <row r="47" spans="2:17" x14ac:dyDescent="0.25">
      <c r="B47" s="198" t="s">
        <v>30</v>
      </c>
      <c r="C47" s="1">
        <f>'Metrics template - side chain 2'!D50</f>
        <v>0.55000000000000004</v>
      </c>
      <c r="D47" s="1">
        <f>'Metrics template - side chain 2'!D117</f>
        <v>0</v>
      </c>
      <c r="E47" s="1">
        <f>'Metrics template - side chain 2'!D184</f>
        <v>0</v>
      </c>
      <c r="F47" s="1">
        <f>'Metrics template - side chain 2'!D251</f>
        <v>0</v>
      </c>
      <c r="G47" s="1">
        <f>'Metrics template - side chain 2'!D318</f>
        <v>0</v>
      </c>
      <c r="H47" s="1">
        <f>'Metrics template - side chain 2'!D385</f>
        <v>0</v>
      </c>
      <c r="I47" s="1">
        <f>'Metrics template - side chain 2'!D452</f>
        <v>0</v>
      </c>
      <c r="J47" s="1">
        <f>'Metrics template - side chain 2'!D519</f>
        <v>0</v>
      </c>
      <c r="K47" s="1">
        <f>'Metrics template - side chain 2'!D586</f>
        <v>0</v>
      </c>
      <c r="L47" s="1">
        <f>'Metrics template - side chain 2'!D653</f>
        <v>0</v>
      </c>
      <c r="M47" s="1"/>
      <c r="N47" s="1"/>
      <c r="O47" s="1"/>
      <c r="P47" s="199"/>
    </row>
    <row r="48" spans="2:17" x14ac:dyDescent="0.25">
      <c r="B48" s="200" t="s">
        <v>31</v>
      </c>
      <c r="C48" s="1">
        <f>'Metrics template - side chain 2'!D51</f>
        <v>1.4</v>
      </c>
      <c r="D48" s="1">
        <f>'Metrics template - side chain 2'!D118</f>
        <v>0</v>
      </c>
      <c r="E48" s="1">
        <f>'Metrics template - side chain 2'!D185</f>
        <v>0</v>
      </c>
      <c r="F48" s="1">
        <f>'Metrics template - side chain 2'!D252</f>
        <v>0</v>
      </c>
      <c r="G48" s="1">
        <f>'Metrics template - side chain 2'!D319</f>
        <v>0</v>
      </c>
      <c r="H48" s="1">
        <f>'Metrics template - side chain 2'!D386</f>
        <v>0</v>
      </c>
      <c r="I48" s="1">
        <f>'Metrics template - side chain 2'!D453</f>
        <v>0</v>
      </c>
      <c r="J48" s="1">
        <f>'Metrics template - side chain 2'!D520</f>
        <v>0</v>
      </c>
      <c r="K48" s="1">
        <f>'Metrics template - side chain 2'!D587</f>
        <v>0</v>
      </c>
      <c r="L48" s="1">
        <f>'Metrics template - side chain 2'!D654</f>
        <v>0</v>
      </c>
      <c r="M48" s="1"/>
      <c r="N48" s="1"/>
      <c r="O48" s="1"/>
      <c r="P48" s="199"/>
    </row>
    <row r="49" spans="2:17" x14ac:dyDescent="0.25">
      <c r="B49" s="200" t="s">
        <v>32</v>
      </c>
      <c r="C49" s="1">
        <f>'Metrics template - side chain 2'!D52</f>
        <v>11.850000000000001</v>
      </c>
      <c r="D49" s="1">
        <f>'Metrics template - side chain 2'!D119</f>
        <v>0</v>
      </c>
      <c r="E49" s="1">
        <f>'Metrics template - side chain 2'!D186</f>
        <v>0</v>
      </c>
      <c r="F49" s="1">
        <f>'Metrics template - side chain 2'!D253</f>
        <v>0</v>
      </c>
      <c r="G49" s="1">
        <f>'Metrics template - side chain 2'!D320</f>
        <v>0</v>
      </c>
      <c r="H49" s="1">
        <f>'Metrics template - side chain 2'!D387</f>
        <v>0</v>
      </c>
      <c r="I49" s="1">
        <f>'Metrics template - side chain 2'!D454</f>
        <v>0</v>
      </c>
      <c r="J49" s="1">
        <f>'Metrics template - side chain 2'!D521</f>
        <v>0</v>
      </c>
      <c r="K49" s="1">
        <f>'Metrics template - side chain 2'!D588</f>
        <v>0</v>
      </c>
      <c r="L49" s="1">
        <f>'Metrics template - side chain 2'!D655</f>
        <v>0</v>
      </c>
      <c r="M49" s="1"/>
      <c r="N49" s="1"/>
      <c r="O49" s="1"/>
      <c r="P49" s="199"/>
    </row>
    <row r="50" spans="2:17" x14ac:dyDescent="0.25">
      <c r="B50" s="200" t="s">
        <v>33</v>
      </c>
      <c r="C50" s="1">
        <f>'Metrics template - side chain 2'!D53</f>
        <v>5</v>
      </c>
      <c r="D50" s="1">
        <f>'Metrics template - side chain 2'!D120</f>
        <v>0</v>
      </c>
      <c r="E50" s="1">
        <f>'Metrics template - side chain 2'!D187</f>
        <v>0</v>
      </c>
      <c r="F50" s="1">
        <f>'Metrics template - side chain 2'!D254</f>
        <v>0</v>
      </c>
      <c r="G50" s="1">
        <f>'Metrics template - side chain 2'!D321</f>
        <v>0</v>
      </c>
      <c r="H50" s="1">
        <f>'Metrics template - side chain 2'!D388</f>
        <v>0</v>
      </c>
      <c r="I50" s="1">
        <f>'Metrics template - side chain 2'!D455</f>
        <v>0</v>
      </c>
      <c r="J50" s="1">
        <f>'Metrics template - side chain 2'!D522</f>
        <v>0</v>
      </c>
      <c r="K50" s="1">
        <f>'Metrics template - side chain 2'!D589</f>
        <v>0</v>
      </c>
      <c r="L50" s="1">
        <f>'Metrics template - side chain 2'!D656</f>
        <v>0</v>
      </c>
      <c r="M50" s="1"/>
      <c r="N50" s="1"/>
      <c r="O50" s="1"/>
      <c r="P50" s="199"/>
    </row>
    <row r="51" spans="2:17" ht="13.5" thickBot="1" x14ac:dyDescent="0.3">
      <c r="B51" s="201" t="s">
        <v>34</v>
      </c>
      <c r="C51" s="202">
        <f>'Metrics template - side chain 2'!C10</f>
        <v>1.63</v>
      </c>
      <c r="D51" s="202">
        <f>'Metrics template - side chain 2'!C77</f>
        <v>0</v>
      </c>
      <c r="E51" s="202">
        <f>'Metrics template - side chain 2'!C144</f>
        <v>0</v>
      </c>
      <c r="F51" s="202">
        <f>'Metrics template - side chain 2'!C211</f>
        <v>0</v>
      </c>
      <c r="G51" s="202">
        <f>'Metrics template - side chain 2'!C278</f>
        <v>0</v>
      </c>
      <c r="H51" s="202">
        <f>'Metrics template - side chain 2'!C345</f>
        <v>0</v>
      </c>
      <c r="I51" s="202">
        <f>'Metrics template - side chain 2'!C412</f>
        <v>0</v>
      </c>
      <c r="J51" s="202">
        <f>'Metrics template - side chain 2'!C479</f>
        <v>0</v>
      </c>
      <c r="K51" s="202">
        <f>'Metrics template - side chain 2'!C546</f>
        <v>0</v>
      </c>
      <c r="L51" s="202">
        <f>'Metrics template - side chain 2'!C613</f>
        <v>0</v>
      </c>
      <c r="M51" s="202"/>
      <c r="N51" s="202"/>
      <c r="O51" s="202"/>
      <c r="P51" s="203"/>
    </row>
    <row r="52" spans="2:17" ht="16" thickTop="1" x14ac:dyDescent="0.25">
      <c r="B52" s="234" t="s">
        <v>11</v>
      </c>
      <c r="C52" s="235">
        <f>'Metrics template - side chain 2'!D54</f>
        <v>1.196319018404908</v>
      </c>
      <c r="D52" s="235" t="e">
        <f>'Metrics template - side chain 2'!D121</f>
        <v>#DIV/0!</v>
      </c>
      <c r="E52" s="235" t="e">
        <f>'Metrics template - side chain 2'!D188</f>
        <v>#DIV/0!</v>
      </c>
      <c r="F52" s="235" t="e">
        <f>'Metrics template - side chain 2'!D255</f>
        <v>#DIV/0!</v>
      </c>
      <c r="G52" s="235" t="e">
        <f>'Metrics template - side chain 2'!D322</f>
        <v>#DIV/0!</v>
      </c>
      <c r="H52" s="235" t="e">
        <f>'Metrics template - side chain 2'!D389</f>
        <v>#DIV/0!</v>
      </c>
      <c r="I52" s="235" t="e">
        <f>'Metrics template - side chain 2'!D456</f>
        <v>#DIV/0!</v>
      </c>
      <c r="J52" s="235" t="e">
        <f>'Metrics template - side chain 2'!D523</f>
        <v>#DIV/0!</v>
      </c>
      <c r="K52" s="235" t="e">
        <f>'Metrics template - side chain 2'!D590</f>
        <v>#DIV/0!</v>
      </c>
      <c r="L52" s="235" t="e">
        <f>'Metrics template - side chain 2'!D657</f>
        <v>#DIV/0!</v>
      </c>
      <c r="M52" s="236"/>
      <c r="N52" s="236"/>
      <c r="O52" s="236"/>
      <c r="P52" s="237"/>
    </row>
    <row r="53" spans="2:17" ht="15.5" x14ac:dyDescent="0.25">
      <c r="B53" s="234" t="s">
        <v>12</v>
      </c>
      <c r="C53" s="235">
        <f>'Metrics template - side chain 2'!D55</f>
        <v>8.4662576687116573</v>
      </c>
      <c r="D53" s="235" t="e">
        <f>'Metrics template - side chain 2'!D122</f>
        <v>#DIV/0!</v>
      </c>
      <c r="E53" s="235" t="e">
        <f>'Metrics template - side chain 2'!D189</f>
        <v>#DIV/0!</v>
      </c>
      <c r="F53" s="235" t="e">
        <f>'Metrics template - side chain 2'!D256</f>
        <v>#DIV/0!</v>
      </c>
      <c r="G53" s="235" t="e">
        <f>'Metrics template - side chain 2'!D323</f>
        <v>#DIV/0!</v>
      </c>
      <c r="H53" s="235" t="e">
        <f>'Metrics template - side chain 2'!D390</f>
        <v>#DIV/0!</v>
      </c>
      <c r="I53" s="235" t="e">
        <f>'Metrics template - side chain 2'!D457</f>
        <v>#DIV/0!</v>
      </c>
      <c r="J53" s="235" t="e">
        <f>'Metrics template - side chain 2'!D524</f>
        <v>#DIV/0!</v>
      </c>
      <c r="K53" s="235" t="e">
        <f>'Metrics template - side chain 2'!D591</f>
        <v>#DIV/0!</v>
      </c>
      <c r="L53" s="235" t="e">
        <f>'Metrics template - side chain 2'!D658</f>
        <v>#DIV/0!</v>
      </c>
      <c r="M53" s="236"/>
      <c r="N53" s="236"/>
      <c r="O53" s="236"/>
      <c r="P53" s="237"/>
    </row>
    <row r="54" spans="2:17" ht="15.5" x14ac:dyDescent="0.25">
      <c r="B54" s="234" t="s">
        <v>13</v>
      </c>
      <c r="C54" s="235">
        <f>'Metrics template - side chain 2'!D56</f>
        <v>7.2699386503067496</v>
      </c>
      <c r="D54" s="235" t="e">
        <f>'Metrics template - side chain 2'!D123</f>
        <v>#DIV/0!</v>
      </c>
      <c r="E54" s="235" t="e">
        <f>'Metrics template - side chain 2'!D190</f>
        <v>#DIV/0!</v>
      </c>
      <c r="F54" s="235" t="e">
        <f>'Metrics template - side chain 2'!D257</f>
        <v>#DIV/0!</v>
      </c>
      <c r="G54" s="235" t="e">
        <f>'Metrics template - side chain 2'!D324</f>
        <v>#DIV/0!</v>
      </c>
      <c r="H54" s="235" t="e">
        <f>'Metrics template - side chain 2'!D391</f>
        <v>#DIV/0!</v>
      </c>
      <c r="I54" s="235" t="e">
        <f>'Metrics template - side chain 2'!D458</f>
        <v>#DIV/0!</v>
      </c>
      <c r="J54" s="235" t="e">
        <f>'Metrics template - side chain 2'!D525</f>
        <v>#DIV/0!</v>
      </c>
      <c r="K54" s="235" t="e">
        <f>'Metrics template - side chain 2'!D592</f>
        <v>#DIV/0!</v>
      </c>
      <c r="L54" s="235" t="e">
        <f>'Metrics template - side chain 2'!D659</f>
        <v>#DIV/0!</v>
      </c>
      <c r="M54" s="236"/>
      <c r="N54" s="236"/>
      <c r="O54" s="236"/>
      <c r="P54" s="237"/>
    </row>
    <row r="55" spans="2:17" ht="15.5" x14ac:dyDescent="0.25">
      <c r="B55" s="234" t="s">
        <v>14</v>
      </c>
      <c r="C55" s="235">
        <f>'Metrics template - side chain 2'!D57</f>
        <v>3.0674846625766872</v>
      </c>
      <c r="D55" s="235" t="e">
        <f>'Metrics template - side chain 2'!D124</f>
        <v>#DIV/0!</v>
      </c>
      <c r="E55" s="235" t="e">
        <f>'Metrics template - side chain 2'!D191</f>
        <v>#DIV/0!</v>
      </c>
      <c r="F55" s="235" t="e">
        <f>'Metrics template - side chain 2'!D258</f>
        <v>#DIV/0!</v>
      </c>
      <c r="G55" s="235" t="e">
        <f>'Metrics template - side chain 2'!D325</f>
        <v>#DIV/0!</v>
      </c>
      <c r="H55" s="235" t="e">
        <f>'Metrics template - side chain 2'!D392</f>
        <v>#DIV/0!</v>
      </c>
      <c r="I55" s="235" t="e">
        <f>'Metrics template - side chain 2'!D459</f>
        <v>#DIV/0!</v>
      </c>
      <c r="J55" s="235" t="e">
        <f>'Metrics template - side chain 2'!D526</f>
        <v>#DIV/0!</v>
      </c>
      <c r="K55" s="235" t="e">
        <f>'Metrics template - side chain 2'!D593</f>
        <v>#DIV/0!</v>
      </c>
      <c r="L55" s="235" t="e">
        <f>'Metrics template - side chain 2'!D660</f>
        <v>#DIV/0!</v>
      </c>
      <c r="M55" s="236"/>
      <c r="N55" s="236"/>
      <c r="O55" s="236"/>
      <c r="P55" s="237"/>
    </row>
    <row r="56" spans="2:17" ht="16" thickBot="1" x14ac:dyDescent="0.3">
      <c r="B56" s="238" t="s">
        <v>15</v>
      </c>
      <c r="C56" s="239">
        <f>'Metrics template - side chain 2'!D58</f>
        <v>11.533742331288344</v>
      </c>
      <c r="D56" s="239" t="e">
        <f>'Metrics template - side chain 2'!D125</f>
        <v>#DIV/0!</v>
      </c>
      <c r="E56" s="239" t="e">
        <f>'Metrics template - side chain 2'!D192</f>
        <v>#DIV/0!</v>
      </c>
      <c r="F56" s="239" t="e">
        <f>'Metrics template - side chain 2'!D259</f>
        <v>#DIV/0!</v>
      </c>
      <c r="G56" s="239" t="e">
        <f>'Metrics template - side chain 2'!D326</f>
        <v>#DIV/0!</v>
      </c>
      <c r="H56" s="239" t="e">
        <f>'Metrics template - side chain 2'!D393</f>
        <v>#DIV/0!</v>
      </c>
      <c r="I56" s="239" t="e">
        <f>'Metrics template - side chain 2'!D460</f>
        <v>#DIV/0!</v>
      </c>
      <c r="J56" s="239" t="e">
        <f>'Metrics template - side chain 2'!D527</f>
        <v>#DIV/0!</v>
      </c>
      <c r="K56" s="239" t="e">
        <f>'Metrics template - side chain 2'!D594</f>
        <v>#DIV/0!</v>
      </c>
      <c r="L56" s="239" t="e">
        <f>'Metrics template - side chain 2'!D661</f>
        <v>#DIV/0!</v>
      </c>
      <c r="M56" s="240"/>
      <c r="N56" s="240"/>
      <c r="O56" s="240"/>
      <c r="P56" s="241"/>
    </row>
    <row r="57" spans="2:17" ht="16" thickTop="1" x14ac:dyDescent="0.25">
      <c r="B57" s="242" t="s">
        <v>16</v>
      </c>
      <c r="C57" s="243">
        <f>'Metrics template - side chain 2'!D59</f>
        <v>1.196319018404908</v>
      </c>
      <c r="D57" s="243" t="e">
        <f>'Metrics template - side chain 2'!D126</f>
        <v>#DIV/0!</v>
      </c>
      <c r="E57" s="243" t="e">
        <f>'Metrics template - side chain 2'!D193</f>
        <v>#DIV/0!</v>
      </c>
      <c r="F57" s="243" t="e">
        <f>'Metrics template - side chain 2'!D260</f>
        <v>#DIV/0!</v>
      </c>
      <c r="G57" s="243" t="e">
        <f>'Metrics template - side chain 2'!D327</f>
        <v>#DIV/0!</v>
      </c>
      <c r="H57" s="243" t="e">
        <f>'Metrics template - side chain 2'!D394</f>
        <v>#DIV/0!</v>
      </c>
      <c r="I57" s="243" t="e">
        <f>'Metrics template - side chain 2'!D461</f>
        <v>#DIV/0!</v>
      </c>
      <c r="J57" s="243" t="e">
        <f>'Metrics template - side chain 2'!D528</f>
        <v>#DIV/0!</v>
      </c>
      <c r="K57" s="243" t="e">
        <f>'Metrics template - side chain 2'!D595</f>
        <v>#DIV/0!</v>
      </c>
      <c r="L57" s="243" t="e">
        <f>'Metrics template - side chain 2'!D662</f>
        <v>#DIV/0!</v>
      </c>
      <c r="M57" s="244"/>
      <c r="N57" s="244"/>
      <c r="O57" s="244"/>
      <c r="P57" s="245"/>
    </row>
    <row r="58" spans="2:17" ht="15.5" x14ac:dyDescent="0.25">
      <c r="B58" s="242" t="s">
        <v>17</v>
      </c>
      <c r="C58" s="243">
        <f>'Metrics template - side chain 2'!D60</f>
        <v>8.4662576687116591</v>
      </c>
      <c r="D58" s="243" t="e">
        <f>'Metrics template - side chain 2'!D127</f>
        <v>#DIV/0!</v>
      </c>
      <c r="E58" s="243" t="e">
        <f>'Metrics template - side chain 2'!D194</f>
        <v>#DIV/0!</v>
      </c>
      <c r="F58" s="243" t="e">
        <f>'Metrics template - side chain 2'!D261</f>
        <v>#DIV/0!</v>
      </c>
      <c r="G58" s="243" t="e">
        <f>'Metrics template - side chain 2'!D328</f>
        <v>#DIV/0!</v>
      </c>
      <c r="H58" s="243" t="e">
        <f>'Metrics template - side chain 2'!D395</f>
        <v>#DIV/0!</v>
      </c>
      <c r="I58" s="243" t="e">
        <f>'Metrics template - side chain 2'!D462</f>
        <v>#DIV/0!</v>
      </c>
      <c r="J58" s="243" t="e">
        <f>'Metrics template - side chain 2'!D529</f>
        <v>#DIV/0!</v>
      </c>
      <c r="K58" s="243" t="e">
        <f>'Metrics template - side chain 2'!D596</f>
        <v>#DIV/0!</v>
      </c>
      <c r="L58" s="243" t="e">
        <f>'Metrics template - side chain 2'!D663</f>
        <v>#DIV/0!</v>
      </c>
      <c r="M58" s="244"/>
      <c r="N58" s="244"/>
      <c r="O58" s="244"/>
      <c r="P58" s="245"/>
    </row>
    <row r="59" spans="2:17" ht="15.5" x14ac:dyDescent="0.25">
      <c r="B59" s="242" t="s">
        <v>18</v>
      </c>
      <c r="C59" s="243">
        <f>'Metrics template - side chain 2'!D61</f>
        <v>7.2699386503067496</v>
      </c>
      <c r="D59" s="243" t="e">
        <f>'Metrics template - side chain 2'!D128</f>
        <v>#DIV/0!</v>
      </c>
      <c r="E59" s="243" t="e">
        <f>'Metrics template - side chain 2'!D195</f>
        <v>#DIV/0!</v>
      </c>
      <c r="F59" s="243" t="e">
        <f>'Metrics template - side chain 2'!D262</f>
        <v>#DIV/0!</v>
      </c>
      <c r="G59" s="243" t="e">
        <f>'Metrics template - side chain 2'!D329</f>
        <v>#DIV/0!</v>
      </c>
      <c r="H59" s="243" t="e">
        <f>'Metrics template - side chain 2'!D396</f>
        <v>#DIV/0!</v>
      </c>
      <c r="I59" s="243" t="e">
        <f>'Metrics template - side chain 2'!D463</f>
        <v>#DIV/0!</v>
      </c>
      <c r="J59" s="243" t="e">
        <f>'Metrics template - side chain 2'!D530</f>
        <v>#DIV/0!</v>
      </c>
      <c r="K59" s="243" t="e">
        <f>'Metrics template - side chain 2'!D597</f>
        <v>#DIV/0!</v>
      </c>
      <c r="L59" s="243" t="e">
        <f>'Metrics template - side chain 2'!D664</f>
        <v>#DIV/0!</v>
      </c>
      <c r="M59" s="412"/>
      <c r="N59" s="412"/>
      <c r="O59" s="412"/>
      <c r="P59" s="245"/>
      <c r="Q59" s="191"/>
    </row>
    <row r="60" spans="2:17" ht="15.5" x14ac:dyDescent="0.25">
      <c r="B60" s="242" t="s">
        <v>19</v>
      </c>
      <c r="C60" s="243">
        <f>'Metrics template - side chain 2'!D62</f>
        <v>3.0674846625766872</v>
      </c>
      <c r="D60" s="243" t="e">
        <f>'Metrics template - side chain 2'!D129</f>
        <v>#DIV/0!</v>
      </c>
      <c r="E60" s="243" t="e">
        <f>'Metrics template - side chain 2'!D196</f>
        <v>#DIV/0!</v>
      </c>
      <c r="F60" s="243" t="e">
        <f>'Metrics template - side chain 2'!D263</f>
        <v>#DIV/0!</v>
      </c>
      <c r="G60" s="243" t="e">
        <f>'Metrics template - side chain 2'!D330</f>
        <v>#DIV/0!</v>
      </c>
      <c r="H60" s="243" t="e">
        <f>'Metrics template - side chain 2'!D397</f>
        <v>#DIV/0!</v>
      </c>
      <c r="I60" s="243" t="e">
        <f>'Metrics template - side chain 2'!D464</f>
        <v>#DIV/0!</v>
      </c>
      <c r="J60" s="243" t="e">
        <f>'Metrics template - side chain 2'!D531</f>
        <v>#DIV/0!</v>
      </c>
      <c r="K60" s="243" t="e">
        <f>'Metrics template - side chain 2'!D598</f>
        <v>#DIV/0!</v>
      </c>
      <c r="L60" s="243" t="e">
        <f>'Metrics template - side chain 2'!D665</f>
        <v>#DIV/0!</v>
      </c>
      <c r="M60" s="412"/>
      <c r="N60" s="412"/>
      <c r="O60" s="412"/>
      <c r="P60" s="245"/>
      <c r="Q60" s="191"/>
    </row>
    <row r="61" spans="2:17" ht="16" thickBot="1" x14ac:dyDescent="0.3">
      <c r="B61" s="246" t="s">
        <v>20</v>
      </c>
      <c r="C61" s="247">
        <f>'Metrics template - side chain 2'!D63</f>
        <v>11.533742331288344</v>
      </c>
      <c r="D61" s="247" t="e">
        <f>'Metrics template - side chain 2'!D130</f>
        <v>#DIV/0!</v>
      </c>
      <c r="E61" s="247" t="e">
        <f>'Metrics template - side chain 2'!D197</f>
        <v>#DIV/0!</v>
      </c>
      <c r="F61" s="247" t="e">
        <f>'Metrics template - side chain 2'!D264</f>
        <v>#DIV/0!</v>
      </c>
      <c r="G61" s="247" t="e">
        <f>'Metrics template - side chain 2'!D331</f>
        <v>#DIV/0!</v>
      </c>
      <c r="H61" s="247" t="e">
        <f>'Metrics template - side chain 2'!D398</f>
        <v>#DIV/0!</v>
      </c>
      <c r="I61" s="247" t="e">
        <f>'Metrics template - side chain 2'!D465</f>
        <v>#DIV/0!</v>
      </c>
      <c r="J61" s="247" t="e">
        <f>'Metrics template - side chain 2'!D532</f>
        <v>#DIV/0!</v>
      </c>
      <c r="K61" s="247" t="e">
        <f>'Metrics template - side chain 2'!D599</f>
        <v>#DIV/0!</v>
      </c>
      <c r="L61" s="247" t="e">
        <f>'Metrics template - side chain 2'!D666</f>
        <v>#DIV/0!</v>
      </c>
      <c r="M61" s="411"/>
      <c r="N61" s="411"/>
      <c r="O61" s="411"/>
      <c r="P61" s="254"/>
      <c r="Q61" s="255"/>
    </row>
    <row r="62" spans="2:17" ht="13.5" thickTop="1" x14ac:dyDescent="0.25">
      <c r="B62" s="227"/>
      <c r="C62" s="227"/>
      <c r="D62" s="227"/>
      <c r="E62" s="227"/>
      <c r="F62" s="227"/>
      <c r="G62" s="227"/>
      <c r="H62" s="227"/>
      <c r="I62" s="227"/>
      <c r="J62" s="227"/>
      <c r="K62" s="227"/>
      <c r="L62" s="227"/>
      <c r="M62" s="227"/>
      <c r="N62" s="227"/>
      <c r="O62" s="227"/>
      <c r="P62" s="227"/>
    </row>
    <row r="63" spans="2:17" x14ac:dyDescent="0.25">
      <c r="B63" s="227"/>
      <c r="C63" s="227"/>
      <c r="D63" s="227"/>
      <c r="E63" s="227"/>
      <c r="F63" s="227"/>
      <c r="G63" s="227"/>
      <c r="H63" s="227"/>
      <c r="I63" s="227"/>
      <c r="J63" s="227"/>
      <c r="K63" s="227"/>
      <c r="L63" s="227"/>
      <c r="M63" s="227"/>
      <c r="N63" s="227"/>
      <c r="O63" s="227"/>
      <c r="P63" s="227"/>
    </row>
  </sheetData>
  <sheetProtection algorithmName="SHA-512" hashValue="DrRG3ftybQR7hZ+ZXJYG6sQ/r614/ezJbOuLCRRMzAelOQlV9Lwg3+0mmQipdToq8XKIbzPVqws6Dxwiiddotw==" saltValue="ljy5K0CZVuKizY++CDdFtA==" spinCount="100000" sheet="1" objects="1" scenarios="1" selectLockedCells="1" selectUnlockedCells="1"/>
  <mergeCells count="12">
    <mergeCell ref="M61:O61"/>
    <mergeCell ref="M40:O40"/>
    <mergeCell ref="M41:O41"/>
    <mergeCell ref="M59:O59"/>
    <mergeCell ref="M60:O60"/>
    <mergeCell ref="B5:L5"/>
    <mergeCell ref="M5:O5"/>
    <mergeCell ref="B26:L26"/>
    <mergeCell ref="M26:O26"/>
    <mergeCell ref="B45:L45"/>
    <mergeCell ref="M45:O45"/>
    <mergeCell ref="M42:O42"/>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7170" r:id="rId4">
          <objectPr defaultSize="0" autoPict="0" r:id="rId5">
            <anchor moveWithCells="1" sizeWithCells="1">
              <from>
                <xdr:col>1</xdr:col>
                <xdr:colOff>1619250</xdr:colOff>
                <xdr:row>1</xdr:row>
                <xdr:rowOff>152400</xdr:rowOff>
              </from>
              <to>
                <xdr:col>1</xdr:col>
                <xdr:colOff>2813050</xdr:colOff>
                <xdr:row>1</xdr:row>
                <xdr:rowOff>1238250</xdr:rowOff>
              </to>
            </anchor>
          </objectPr>
        </oleObject>
      </mc:Choice>
      <mc:Fallback>
        <oleObject progId="MSPhotoEd.3" shapeId="7170"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999"/>
    <pageSetUpPr fitToPage="1"/>
  </sheetPr>
  <dimension ref="B1:P1001"/>
  <sheetViews>
    <sheetView showGridLines="0" zoomScale="80" zoomScaleNormal="80" zoomScaleSheetLayoutView="100" workbookViewId="0">
      <selection activeCell="V11" sqref="V11"/>
    </sheetView>
  </sheetViews>
  <sheetFormatPr defaultColWidth="9.26953125" defaultRowHeight="12.5" outlineLevelRow="1" x14ac:dyDescent="0.25"/>
  <cols>
    <col min="1" max="1" width="2.26953125" style="36" customWidth="1"/>
    <col min="2" max="2" width="64.26953125" style="139" bestFit="1" customWidth="1"/>
    <col min="3" max="3" width="17.7265625" style="36" customWidth="1"/>
    <col min="4" max="4" width="10.453125" style="36" bestFit="1" customWidth="1"/>
    <col min="5" max="5" width="10.26953125" style="36" hidden="1" customWidth="1"/>
    <col min="6" max="8" width="10.26953125" style="36" customWidth="1"/>
    <col min="9" max="12" width="10.26953125" style="36" hidden="1" customWidth="1"/>
    <col min="13" max="13" width="10.26953125" style="36" customWidth="1"/>
    <col min="14" max="15" width="9.26953125" style="60" customWidth="1"/>
    <col min="16" max="16384" width="9.26953125" style="36"/>
  </cols>
  <sheetData>
    <row r="1" spans="2:15" s="26" customFormat="1" ht="18.5" thickBot="1" x14ac:dyDescent="0.3">
      <c r="B1" s="24"/>
      <c r="C1" s="25"/>
      <c r="D1" s="25"/>
      <c r="I1" s="27"/>
      <c r="J1" s="27"/>
      <c r="M1" s="169"/>
      <c r="N1" s="160"/>
      <c r="O1" s="160"/>
    </row>
    <row r="2" spans="2:15" ht="21" thickTop="1" thickBot="1" x14ac:dyDescent="0.3">
      <c r="B2" s="28" t="s">
        <v>72</v>
      </c>
      <c r="C2" s="29"/>
      <c r="D2" s="30" t="s">
        <v>128</v>
      </c>
      <c r="E2" s="31"/>
      <c r="F2" s="32" t="s">
        <v>27</v>
      </c>
      <c r="G2" s="33"/>
      <c r="H2" s="33"/>
      <c r="I2" s="34"/>
      <c r="J2" s="35"/>
      <c r="K2" s="34"/>
      <c r="L2" s="35"/>
      <c r="M2" s="169"/>
    </row>
    <row r="3" spans="2:15" ht="14.5" thickBot="1" x14ac:dyDescent="0.3">
      <c r="B3" s="37"/>
      <c r="C3" s="38" t="s">
        <v>0</v>
      </c>
      <c r="D3" s="39" t="s">
        <v>1</v>
      </c>
      <c r="E3" s="40"/>
      <c r="F3" s="41" t="s">
        <v>28</v>
      </c>
      <c r="G3" s="41" t="s">
        <v>21</v>
      </c>
      <c r="H3" s="41" t="s">
        <v>8</v>
      </c>
      <c r="I3" s="42"/>
      <c r="J3" s="42"/>
      <c r="K3" s="34"/>
      <c r="N3" s="36"/>
      <c r="O3" s="36"/>
    </row>
    <row r="4" spans="2:15" ht="13" x14ac:dyDescent="0.25">
      <c r="B4" s="43" t="s">
        <v>65</v>
      </c>
      <c r="C4" s="161">
        <f>158.99*0.9/1000</f>
        <v>0.143091</v>
      </c>
      <c r="D4" s="45" t="s">
        <v>22</v>
      </c>
      <c r="E4" s="46"/>
      <c r="F4" s="47"/>
      <c r="G4" s="47"/>
      <c r="H4" s="47"/>
      <c r="I4" s="48"/>
      <c r="J4" s="48"/>
      <c r="K4" s="34"/>
    </row>
    <row r="5" spans="2:15" ht="13" x14ac:dyDescent="0.25">
      <c r="B5" s="43" t="s">
        <v>64</v>
      </c>
      <c r="C5" s="162">
        <v>1</v>
      </c>
      <c r="D5" s="45" t="s">
        <v>3</v>
      </c>
      <c r="E5" s="46"/>
      <c r="F5" s="47"/>
      <c r="G5" s="47"/>
      <c r="H5" s="47"/>
      <c r="I5" s="50"/>
      <c r="J5" s="50"/>
    </row>
    <row r="6" spans="2:15" ht="13" x14ac:dyDescent="0.25">
      <c r="B6" s="51" t="s">
        <v>63</v>
      </c>
      <c r="C6" s="163">
        <f>C4*C5</f>
        <v>0.143091</v>
      </c>
      <c r="D6" s="45" t="str">
        <f>D4</f>
        <v>g</v>
      </c>
      <c r="E6" s="46"/>
      <c r="F6" s="47"/>
      <c r="G6" s="47"/>
      <c r="H6" s="47"/>
      <c r="I6" s="53"/>
      <c r="J6" s="53"/>
    </row>
    <row r="7" spans="2:15" ht="14" x14ac:dyDescent="0.25">
      <c r="B7" s="54" t="s">
        <v>4</v>
      </c>
      <c r="C7" s="164">
        <v>0.76</v>
      </c>
      <c r="D7" s="56"/>
      <c r="E7" s="57"/>
      <c r="F7" s="58"/>
      <c r="G7" s="58"/>
      <c r="H7" s="58"/>
      <c r="I7" s="34"/>
      <c r="J7" s="53"/>
      <c r="L7" s="53"/>
    </row>
    <row r="8" spans="2:15" ht="13" x14ac:dyDescent="0.25">
      <c r="B8" s="43" t="s">
        <v>66</v>
      </c>
      <c r="C8" s="161">
        <v>0.111</v>
      </c>
      <c r="D8" s="45" t="str">
        <f>D4</f>
        <v>g</v>
      </c>
      <c r="E8" s="46"/>
      <c r="F8" s="47"/>
      <c r="G8" s="47"/>
      <c r="H8" s="47"/>
      <c r="I8" s="34"/>
      <c r="J8" s="53"/>
      <c r="L8" s="53"/>
    </row>
    <row r="9" spans="2:15" ht="13" x14ac:dyDescent="0.25">
      <c r="B9" s="43" t="s">
        <v>67</v>
      </c>
      <c r="C9" s="162">
        <v>1</v>
      </c>
      <c r="D9" s="45" t="s">
        <v>3</v>
      </c>
      <c r="E9" s="59"/>
      <c r="F9" s="47"/>
      <c r="G9" s="47"/>
      <c r="H9" s="47"/>
      <c r="I9" s="34"/>
      <c r="J9" s="53"/>
      <c r="L9" s="53"/>
    </row>
    <row r="10" spans="2:15" ht="13.5" thickBot="1" x14ac:dyDescent="0.3">
      <c r="B10" s="51" t="s">
        <v>68</v>
      </c>
      <c r="C10" s="163">
        <f>C8*C9</f>
        <v>0.111</v>
      </c>
      <c r="D10" s="45" t="str">
        <f>D4</f>
        <v>g</v>
      </c>
      <c r="E10" s="46"/>
      <c r="F10" s="47"/>
      <c r="G10" s="47"/>
      <c r="H10" s="47"/>
      <c r="I10" s="53"/>
      <c r="J10" s="53"/>
    </row>
    <row r="11" spans="2:15" ht="13.5" thickBot="1" x14ac:dyDescent="0.3">
      <c r="B11" s="61"/>
      <c r="C11" s="62"/>
      <c r="D11" s="63"/>
      <c r="F11" s="64"/>
      <c r="G11" s="64"/>
      <c r="H11" s="64"/>
    </row>
    <row r="12" spans="2:15" ht="14.5" thickBot="1" x14ac:dyDescent="0.3">
      <c r="B12" s="65" t="s">
        <v>5</v>
      </c>
      <c r="C12" s="66" t="s">
        <v>6</v>
      </c>
      <c r="D12" s="67" t="s">
        <v>1</v>
      </c>
      <c r="E12" s="68"/>
      <c r="F12" s="69"/>
      <c r="G12" s="69"/>
      <c r="H12" s="69"/>
    </row>
    <row r="13" spans="2:15" ht="13.5" thickBot="1" x14ac:dyDescent="0.3">
      <c r="B13" s="70" t="s">
        <v>91</v>
      </c>
      <c r="C13" s="71"/>
      <c r="D13" s="72"/>
      <c r="E13" s="73"/>
      <c r="F13" s="69"/>
      <c r="G13" s="69"/>
      <c r="H13" s="69"/>
      <c r="K13" s="34"/>
    </row>
    <row r="14" spans="2:15" ht="13.5" thickBot="1" x14ac:dyDescent="0.3">
      <c r="B14" s="74" t="s">
        <v>116</v>
      </c>
      <c r="C14" s="170">
        <f>C6</f>
        <v>0.143091</v>
      </c>
      <c r="D14" s="76" t="str">
        <f>D4</f>
        <v>g</v>
      </c>
      <c r="E14" s="77"/>
      <c r="F14" s="78"/>
      <c r="G14" s="78"/>
      <c r="H14" s="78"/>
    </row>
    <row r="15" spans="2:15" ht="13.5" thickBot="1" x14ac:dyDescent="0.3">
      <c r="B15" s="74" t="s">
        <v>117</v>
      </c>
      <c r="C15" s="170">
        <f>127.95*2.248625665/1000</f>
        <v>0.28771165383675001</v>
      </c>
      <c r="D15" s="76" t="str">
        <f>D4</f>
        <v>g</v>
      </c>
      <c r="E15" s="77"/>
      <c r="F15" s="78">
        <f>'Metrics template - side chain'!D59</f>
        <v>6.0650403846153846</v>
      </c>
      <c r="G15" s="78">
        <f>'Metrics template - side chain'!D61</f>
        <v>32.710498076923081</v>
      </c>
      <c r="H15" s="78">
        <f>'Metrics template - side chain'!D62</f>
        <v>47.541384615384615</v>
      </c>
    </row>
    <row r="16" spans="2:15" ht="13.5" thickBot="1" x14ac:dyDescent="0.3">
      <c r="B16" s="74" t="s">
        <v>118</v>
      </c>
      <c r="C16" s="170">
        <f>0.9/100*690.46/1000</f>
        <v>6.2141400000000017E-3</v>
      </c>
      <c r="D16" s="76" t="str">
        <f>D4</f>
        <v>g</v>
      </c>
      <c r="E16" s="77"/>
      <c r="F16" s="78">
        <f>'Metrics template - side chain 2'!$D$59</f>
        <v>1.196319018404908</v>
      </c>
      <c r="G16" s="78">
        <f>'Metrics template - side chain 2'!$D$61</f>
        <v>7.2699386503067496</v>
      </c>
      <c r="H16" s="78">
        <f>'Metrics template - side chain 2'!$D$62</f>
        <v>3.0674846625766872</v>
      </c>
    </row>
    <row r="17" spans="2:11" ht="13.5" thickBot="1" x14ac:dyDescent="0.3">
      <c r="B17" s="171"/>
      <c r="C17" s="75"/>
      <c r="D17" s="76" t="str">
        <f>D4</f>
        <v>g</v>
      </c>
      <c r="E17" s="77"/>
      <c r="F17" s="78"/>
      <c r="G17" s="78"/>
      <c r="H17" s="78"/>
    </row>
    <row r="18" spans="2:11" ht="13.5" thickBot="1" x14ac:dyDescent="0.3">
      <c r="B18" s="74"/>
      <c r="C18" s="75"/>
      <c r="D18" s="76" t="str">
        <f>D4</f>
        <v>g</v>
      </c>
      <c r="E18" s="77"/>
      <c r="F18" s="78"/>
      <c r="G18" s="78"/>
      <c r="H18" s="78"/>
    </row>
    <row r="19" spans="2:11" ht="13" x14ac:dyDescent="0.25">
      <c r="B19" s="79" t="s">
        <v>69</v>
      </c>
      <c r="C19" s="80"/>
      <c r="D19" s="81"/>
      <c r="E19" s="77"/>
      <c r="F19" s="82"/>
      <c r="G19" s="82"/>
      <c r="H19" s="82"/>
    </row>
    <row r="20" spans="2:11" ht="13" x14ac:dyDescent="0.25">
      <c r="B20" s="74" t="s">
        <v>120</v>
      </c>
      <c r="C20" s="83">
        <v>0.85970000000000002</v>
      </c>
      <c r="D20" s="76" t="str">
        <f>D4</f>
        <v>g</v>
      </c>
      <c r="E20" s="77"/>
      <c r="F20" s="82"/>
      <c r="G20" s="82"/>
      <c r="H20" s="82"/>
    </row>
    <row r="21" spans="2:11" ht="13" x14ac:dyDescent="0.25">
      <c r="B21" s="74"/>
      <c r="C21" s="83"/>
      <c r="D21" s="76" t="str">
        <f>D4</f>
        <v>g</v>
      </c>
      <c r="E21" s="77"/>
      <c r="F21" s="82"/>
      <c r="G21" s="82"/>
      <c r="H21" s="82"/>
    </row>
    <row r="22" spans="2:11" ht="13" x14ac:dyDescent="0.25">
      <c r="B22" s="74" t="s">
        <v>107</v>
      </c>
      <c r="C22" s="83">
        <f>2*1.0585*(36.458/1058.5)</f>
        <v>7.2915999999999995E-2</v>
      </c>
      <c r="D22" s="76" t="str">
        <f>D4</f>
        <v>g</v>
      </c>
      <c r="E22" s="77"/>
      <c r="F22" s="82"/>
      <c r="G22" s="82"/>
      <c r="H22" s="82"/>
    </row>
    <row r="23" spans="2:11" ht="13" x14ac:dyDescent="0.25">
      <c r="B23" s="74"/>
      <c r="C23" s="83"/>
      <c r="D23" s="76" t="str">
        <f>D4</f>
        <v>g</v>
      </c>
      <c r="E23" s="77"/>
      <c r="F23" s="82"/>
      <c r="G23" s="82"/>
      <c r="H23" s="82"/>
    </row>
    <row r="24" spans="2:11" ht="12.75" customHeight="1" x14ac:dyDescent="0.25">
      <c r="B24" s="74" t="s">
        <v>122</v>
      </c>
      <c r="C24" s="83">
        <f>C35/3*0.25</f>
        <v>0.35516249999999999</v>
      </c>
      <c r="D24" s="76" t="str">
        <f>D4</f>
        <v>g</v>
      </c>
      <c r="E24" s="77"/>
      <c r="F24" s="82"/>
      <c r="G24" s="82"/>
      <c r="H24" s="82"/>
    </row>
    <row r="25" spans="2:11" ht="12.75" customHeight="1" x14ac:dyDescent="0.25">
      <c r="B25" s="74"/>
      <c r="C25" s="83"/>
      <c r="D25" s="76" t="str">
        <f>D4</f>
        <v>g</v>
      </c>
      <c r="E25" s="77"/>
      <c r="F25" s="82"/>
      <c r="G25" s="82"/>
      <c r="H25" s="82"/>
    </row>
    <row r="26" spans="2:11" ht="12.75" customHeight="1" x14ac:dyDescent="0.25">
      <c r="B26" s="166" t="s">
        <v>130</v>
      </c>
      <c r="C26" s="83">
        <f>0.05*C35</f>
        <v>0.2130975</v>
      </c>
      <c r="D26" s="76" t="str">
        <f>D4</f>
        <v>g</v>
      </c>
      <c r="E26" s="77"/>
      <c r="F26" s="82"/>
      <c r="G26" s="82"/>
      <c r="H26" s="82"/>
    </row>
    <row r="27" spans="2:11" ht="12.75" customHeight="1" x14ac:dyDescent="0.25">
      <c r="B27" s="74"/>
      <c r="C27" s="83"/>
      <c r="D27" s="76" t="str">
        <f>D4</f>
        <v>g</v>
      </c>
      <c r="E27" s="77"/>
      <c r="F27" s="82"/>
      <c r="G27" s="82"/>
      <c r="H27" s="82"/>
    </row>
    <row r="28" spans="2:11" ht="12.75" customHeight="1" x14ac:dyDescent="0.25">
      <c r="B28" s="166" t="s">
        <v>131</v>
      </c>
      <c r="C28" s="83">
        <f>30*C8</f>
        <v>3.33</v>
      </c>
      <c r="D28" s="76" t="str">
        <f>D4</f>
        <v>g</v>
      </c>
      <c r="E28" s="77"/>
      <c r="F28" s="82"/>
      <c r="G28" s="82"/>
      <c r="H28" s="82"/>
      <c r="K28" s="34"/>
    </row>
    <row r="29" spans="2:11" ht="12.75" customHeight="1" x14ac:dyDescent="0.25">
      <c r="B29" s="84"/>
      <c r="C29" s="83"/>
      <c r="D29" s="76" t="str">
        <f>D4</f>
        <v>g</v>
      </c>
      <c r="E29" s="77"/>
      <c r="F29" s="82"/>
      <c r="G29" s="82"/>
      <c r="H29" s="82"/>
    </row>
    <row r="30" spans="2:11" ht="13" x14ac:dyDescent="0.25">
      <c r="B30" s="74"/>
      <c r="C30" s="83"/>
      <c r="D30" s="76" t="str">
        <f>D4</f>
        <v>g</v>
      </c>
      <c r="E30" s="77"/>
      <c r="F30" s="82"/>
      <c r="G30" s="82"/>
      <c r="H30" s="82"/>
    </row>
    <row r="31" spans="2:11" ht="13" x14ac:dyDescent="0.25">
      <c r="B31" s="86" t="s">
        <v>7</v>
      </c>
      <c r="C31" s="87">
        <f>SUM(C14:C30)</f>
        <v>5.2678927938367499</v>
      </c>
      <c r="D31" s="88" t="str">
        <f>D4</f>
        <v>g</v>
      </c>
      <c r="E31" s="77"/>
      <c r="F31" s="82"/>
      <c r="G31" s="82"/>
      <c r="H31" s="82"/>
    </row>
    <row r="32" spans="2:11" ht="13" x14ac:dyDescent="0.25">
      <c r="B32" s="79" t="s">
        <v>71</v>
      </c>
      <c r="C32" s="89"/>
      <c r="D32" s="81"/>
      <c r="E32" s="77"/>
      <c r="F32" s="82"/>
      <c r="G32" s="82"/>
      <c r="H32" s="82"/>
    </row>
    <row r="33" spans="2:11" ht="13" x14ac:dyDescent="0.25">
      <c r="B33" s="74" t="s">
        <v>119</v>
      </c>
      <c r="C33" s="83">
        <f>1.5*0.815</f>
        <v>1.2224999999999999</v>
      </c>
      <c r="D33" s="76" t="str">
        <f>D4</f>
        <v>g</v>
      </c>
      <c r="E33" s="77"/>
      <c r="F33" s="82"/>
      <c r="G33" s="82"/>
      <c r="H33" s="82"/>
    </row>
    <row r="34" spans="2:11" ht="13" x14ac:dyDescent="0.25">
      <c r="B34" s="74"/>
      <c r="C34" s="83"/>
      <c r="D34" s="76" t="str">
        <f>D4</f>
        <v>g</v>
      </c>
      <c r="E34" s="77"/>
      <c r="F34" s="82"/>
      <c r="G34" s="82"/>
      <c r="H34" s="82"/>
    </row>
    <row r="35" spans="2:11" ht="13" x14ac:dyDescent="0.25">
      <c r="B35" s="166" t="s">
        <v>129</v>
      </c>
      <c r="C35" s="83">
        <f>1.5*(0.9+2.25)*0.902</f>
        <v>4.2619499999999997</v>
      </c>
      <c r="D35" s="76" t="str">
        <f>D4</f>
        <v>g</v>
      </c>
      <c r="E35" s="77"/>
      <c r="F35" s="82"/>
      <c r="G35" s="82"/>
      <c r="H35" s="82"/>
    </row>
    <row r="36" spans="2:11" ht="13" x14ac:dyDescent="0.25">
      <c r="B36" s="74"/>
      <c r="C36" s="83"/>
      <c r="D36" s="76" t="str">
        <f>D4</f>
        <v>g</v>
      </c>
      <c r="E36" s="77"/>
      <c r="F36" s="82"/>
      <c r="G36" s="82"/>
      <c r="H36" s="82"/>
    </row>
    <row r="37" spans="2:11" ht="13" x14ac:dyDescent="0.25">
      <c r="B37" s="166" t="s">
        <v>123</v>
      </c>
      <c r="C37" s="83">
        <f>3*C26</f>
        <v>0.63929250000000004</v>
      </c>
      <c r="D37" s="76" t="str">
        <f>D4</f>
        <v>g</v>
      </c>
      <c r="E37" s="77"/>
      <c r="F37" s="82"/>
      <c r="G37" s="82"/>
      <c r="H37" s="82"/>
    </row>
    <row r="38" spans="2:11" ht="13" x14ac:dyDescent="0.25">
      <c r="B38" s="74"/>
      <c r="C38" s="83"/>
      <c r="D38" s="76" t="str">
        <f>D4</f>
        <v>g</v>
      </c>
      <c r="E38" s="77"/>
      <c r="F38" s="82"/>
      <c r="G38" s="82"/>
      <c r="H38" s="82"/>
    </row>
    <row r="39" spans="2:11" ht="13" x14ac:dyDescent="0.25">
      <c r="B39" s="166" t="s">
        <v>125</v>
      </c>
      <c r="C39" s="83">
        <f>3*C28</f>
        <v>9.99</v>
      </c>
      <c r="D39" s="76" t="str">
        <f>D4</f>
        <v>g</v>
      </c>
      <c r="E39" s="77"/>
      <c r="F39" s="82"/>
      <c r="G39" s="82"/>
      <c r="H39" s="82"/>
    </row>
    <row r="40" spans="2:11" ht="13" x14ac:dyDescent="0.25">
      <c r="B40" s="166" t="s">
        <v>126</v>
      </c>
      <c r="C40" s="83">
        <f>3*C28</f>
        <v>9.99</v>
      </c>
      <c r="D40" s="76" t="str">
        <f>D4</f>
        <v>g</v>
      </c>
      <c r="E40" s="77"/>
      <c r="F40" s="82"/>
      <c r="G40" s="82"/>
      <c r="H40" s="82"/>
    </row>
    <row r="41" spans="2:11" ht="13" x14ac:dyDescent="0.25">
      <c r="B41" s="74"/>
      <c r="C41" s="83"/>
      <c r="D41" s="76" t="str">
        <f>D4</f>
        <v>g</v>
      </c>
      <c r="E41" s="90"/>
      <c r="F41" s="82"/>
      <c r="G41" s="82"/>
      <c r="H41" s="82"/>
    </row>
    <row r="42" spans="2:11" ht="13" x14ac:dyDescent="0.25">
      <c r="B42" s="74"/>
      <c r="C42" s="83"/>
      <c r="D42" s="76" t="str">
        <f>D4</f>
        <v>g</v>
      </c>
      <c r="E42" s="77"/>
      <c r="F42" s="82"/>
      <c r="G42" s="82"/>
      <c r="H42" s="82"/>
    </row>
    <row r="43" spans="2:11" ht="13" x14ac:dyDescent="0.25">
      <c r="B43" s="74"/>
      <c r="C43" s="83"/>
      <c r="D43" s="76" t="str">
        <f>D4</f>
        <v>g</v>
      </c>
      <c r="E43" s="77"/>
      <c r="F43" s="82"/>
      <c r="G43" s="82"/>
      <c r="H43" s="82"/>
    </row>
    <row r="44" spans="2:11" ht="13" x14ac:dyDescent="0.25">
      <c r="B44" s="79" t="s">
        <v>70</v>
      </c>
      <c r="C44" s="80"/>
      <c r="D44" s="81"/>
      <c r="E44" s="77"/>
      <c r="F44" s="82"/>
      <c r="G44" s="82"/>
      <c r="H44" s="82"/>
    </row>
    <row r="45" spans="2:11" ht="12.75" customHeight="1" x14ac:dyDescent="0.25">
      <c r="B45" s="74" t="s">
        <v>106</v>
      </c>
      <c r="C45" s="83">
        <f>2*1.0585-C22</f>
        <v>2.0440839999999998</v>
      </c>
      <c r="D45" s="76" t="str">
        <f>D4</f>
        <v>g</v>
      </c>
      <c r="E45" s="77"/>
      <c r="F45" s="82"/>
      <c r="G45" s="82"/>
      <c r="H45" s="82"/>
      <c r="K45" s="34"/>
    </row>
    <row r="46" spans="2:11" ht="12.75" customHeight="1" x14ac:dyDescent="0.25">
      <c r="B46" s="172"/>
      <c r="C46" s="173"/>
      <c r="D46" s="76" t="str">
        <f>D4</f>
        <v>g</v>
      </c>
      <c r="E46" s="77"/>
      <c r="F46" s="82"/>
      <c r="G46" s="82"/>
      <c r="H46" s="82"/>
      <c r="K46" s="34"/>
    </row>
    <row r="47" spans="2:11" ht="12.75" customHeight="1" x14ac:dyDescent="0.25">
      <c r="B47" s="74" t="s">
        <v>121</v>
      </c>
      <c r="C47" s="83">
        <f>C35/3-C24</f>
        <v>1.0654874999999999</v>
      </c>
      <c r="D47" s="76" t="str">
        <f>D4</f>
        <v>g</v>
      </c>
      <c r="E47" s="77"/>
      <c r="F47" s="82"/>
      <c r="G47" s="82"/>
      <c r="H47" s="82"/>
    </row>
    <row r="48" spans="2:11" ht="13" x14ac:dyDescent="0.25">
      <c r="B48" s="74"/>
      <c r="C48" s="83"/>
      <c r="D48" s="76" t="str">
        <f>D4</f>
        <v>g</v>
      </c>
      <c r="E48" s="77"/>
      <c r="F48" s="82"/>
      <c r="G48" s="82"/>
      <c r="H48" s="82"/>
    </row>
    <row r="49" spans="2:16" ht="13" x14ac:dyDescent="0.25">
      <c r="B49" s="172"/>
      <c r="C49" s="174"/>
      <c r="D49" s="76" t="str">
        <f>D4</f>
        <v>g</v>
      </c>
      <c r="E49" s="77"/>
      <c r="F49" s="82"/>
      <c r="G49" s="82"/>
      <c r="H49" s="82"/>
    </row>
    <row r="50" spans="2:16" ht="13" x14ac:dyDescent="0.25">
      <c r="B50" s="172"/>
      <c r="C50" s="174"/>
      <c r="D50" s="76" t="str">
        <f>D4</f>
        <v>g</v>
      </c>
      <c r="E50" s="77"/>
      <c r="F50" s="82"/>
      <c r="G50" s="82"/>
      <c r="H50" s="82"/>
    </row>
    <row r="51" spans="2:16" ht="13" x14ac:dyDescent="0.25">
      <c r="B51" s="172"/>
      <c r="C51" s="174"/>
      <c r="D51" s="76" t="str">
        <f>D4</f>
        <v>g</v>
      </c>
      <c r="E51" s="77"/>
      <c r="F51" s="82"/>
      <c r="G51" s="82"/>
      <c r="H51" s="82"/>
    </row>
    <row r="52" spans="2:16" ht="13" x14ac:dyDescent="0.25">
      <c r="B52" s="84"/>
      <c r="C52" s="175"/>
      <c r="D52" s="76" t="str">
        <f>D4</f>
        <v>g</v>
      </c>
      <c r="E52" s="77"/>
      <c r="F52" s="82"/>
      <c r="G52" s="82"/>
      <c r="H52" s="82"/>
    </row>
    <row r="53" spans="2:16" ht="13" x14ac:dyDescent="0.25">
      <c r="B53" s="86" t="s">
        <v>9</v>
      </c>
      <c r="C53" s="149">
        <f>SUM(C31:C52)</f>
        <v>34.481206793836755</v>
      </c>
      <c r="D53" s="91" t="str">
        <f>D4</f>
        <v>g</v>
      </c>
      <c r="E53" s="40"/>
      <c r="F53" s="176"/>
      <c r="G53" s="110"/>
      <c r="H53" s="110"/>
    </row>
    <row r="54" spans="2:16" ht="13.5" thickBot="1" x14ac:dyDescent="0.3">
      <c r="B54" s="92"/>
      <c r="C54" s="93"/>
      <c r="D54" s="94"/>
      <c r="E54" s="40"/>
      <c r="F54" s="417"/>
      <c r="G54" s="418"/>
      <c r="H54" s="418"/>
    </row>
    <row r="55" spans="2:16" ht="20.5" thickBot="1" x14ac:dyDescent="0.3">
      <c r="B55" s="426" t="s">
        <v>10</v>
      </c>
      <c r="C55" s="427"/>
      <c r="D55" s="428"/>
      <c r="E55" s="98"/>
      <c r="F55" s="109"/>
      <c r="G55" s="110"/>
      <c r="H55" s="110"/>
    </row>
    <row r="56" spans="2:16" ht="13" x14ac:dyDescent="0.25">
      <c r="B56" s="95" t="s">
        <v>23</v>
      </c>
      <c r="C56" s="96"/>
      <c r="D56" s="97">
        <f>SUM(C14:C18)</f>
        <v>0.43701679383674996</v>
      </c>
      <c r="E56" s="98"/>
      <c r="F56" s="110"/>
      <c r="G56" s="110"/>
      <c r="H56" s="155"/>
    </row>
    <row r="57" spans="2:16" ht="13" x14ac:dyDescent="0.25">
      <c r="B57" s="99" t="s">
        <v>24</v>
      </c>
      <c r="C57" s="100"/>
      <c r="D57" s="101">
        <f>SUM(C20:C30)</f>
        <v>4.8308759999999999</v>
      </c>
      <c r="E57" s="77"/>
      <c r="F57" s="108"/>
      <c r="G57" s="109"/>
      <c r="H57" s="110"/>
    </row>
    <row r="58" spans="2:16" ht="13" x14ac:dyDescent="0.25">
      <c r="B58" s="99" t="s">
        <v>25</v>
      </c>
      <c r="C58" s="100"/>
      <c r="D58" s="101">
        <f>SUM(C33:C44)</f>
        <v>26.103742500000003</v>
      </c>
      <c r="E58" s="77"/>
      <c r="F58" s="177"/>
      <c r="G58" s="419"/>
      <c r="H58" s="419"/>
    </row>
    <row r="59" spans="2:16" ht="13.5" thickBot="1" x14ac:dyDescent="0.3">
      <c r="B59" s="102" t="s">
        <v>26</v>
      </c>
      <c r="C59" s="103"/>
      <c r="D59" s="104">
        <f>SUM(C45:C52)</f>
        <v>3.1095714999999995</v>
      </c>
      <c r="E59" s="90"/>
      <c r="F59" s="64"/>
      <c r="G59" s="64"/>
      <c r="H59" s="155"/>
    </row>
    <row r="60" spans="2:16" ht="18.75" customHeight="1" thickTop="1" x14ac:dyDescent="0.25">
      <c r="B60" s="105" t="s">
        <v>11</v>
      </c>
      <c r="C60" s="106"/>
      <c r="D60" s="107">
        <f>C31/C10</f>
        <v>47.458493638168918</v>
      </c>
      <c r="E60" s="90"/>
      <c r="F60" s="108"/>
      <c r="G60" s="117"/>
      <c r="H60" s="110"/>
      <c r="N60" s="432" t="s">
        <v>124</v>
      </c>
      <c r="O60" s="433"/>
      <c r="P60" s="434"/>
    </row>
    <row r="61" spans="2:16" ht="18" customHeight="1" x14ac:dyDescent="0.25">
      <c r="B61" s="111" t="s">
        <v>12</v>
      </c>
      <c r="C61" s="112"/>
      <c r="D61" s="113">
        <f>(D56+D57+D58)/C10</f>
        <v>282.62734498952028</v>
      </c>
      <c r="E61" s="90"/>
      <c r="F61" s="444"/>
      <c r="G61" s="418"/>
      <c r="H61" s="418"/>
      <c r="N61" s="435"/>
      <c r="O61" s="436"/>
      <c r="P61" s="437"/>
    </row>
    <row r="62" spans="2:16" ht="18" x14ac:dyDescent="0.25">
      <c r="B62" s="111" t="s">
        <v>13</v>
      </c>
      <c r="C62" s="112"/>
      <c r="D62" s="113">
        <f>D58/C10</f>
        <v>235.16885135135138</v>
      </c>
      <c r="E62" s="77"/>
      <c r="F62" s="64"/>
      <c r="G62" s="64"/>
      <c r="H62" s="82"/>
      <c r="K62" s="34"/>
      <c r="N62" s="435"/>
      <c r="O62" s="436"/>
      <c r="P62" s="437"/>
    </row>
    <row r="63" spans="2:16" ht="18" x14ac:dyDescent="0.25">
      <c r="B63" s="114" t="s">
        <v>14</v>
      </c>
      <c r="C63" s="115"/>
      <c r="D63" s="116">
        <f>D59/C10</f>
        <v>28.014157657657652</v>
      </c>
      <c r="E63" s="77"/>
      <c r="F63" s="82"/>
      <c r="G63" s="82"/>
      <c r="H63" s="82"/>
      <c r="I63" s="132"/>
      <c r="N63" s="435"/>
      <c r="O63" s="436"/>
      <c r="P63" s="437"/>
    </row>
    <row r="64" spans="2:16" ht="18.5" thickBot="1" x14ac:dyDescent="0.3">
      <c r="B64" s="114" t="s">
        <v>15</v>
      </c>
      <c r="C64" s="119"/>
      <c r="D64" s="116">
        <f>SUM(D56:D59)/C10</f>
        <v>310.64150264717796</v>
      </c>
      <c r="E64" s="178"/>
      <c r="F64" s="179"/>
      <c r="G64" s="179"/>
      <c r="H64" s="179"/>
      <c r="N64" s="435"/>
      <c r="O64" s="436"/>
      <c r="P64" s="437"/>
    </row>
    <row r="65" spans="2:16" ht="18.5" thickTop="1" x14ac:dyDescent="0.25">
      <c r="B65" s="120" t="s">
        <v>16</v>
      </c>
      <c r="C65" s="121"/>
      <c r="D65" s="122">
        <f>(D57+C14*MAX(1,F14)+C18*MAX(1,F18)+C15*MAX(1,F15)+C16*MAX(1,F16)+C17*MAX(1,F17))/C10</f>
        <v>60.598053094679287</v>
      </c>
      <c r="E65" s="178"/>
      <c r="F65" s="179"/>
      <c r="G65" s="179"/>
      <c r="H65" s="179"/>
      <c r="N65" s="435"/>
      <c r="O65" s="436"/>
      <c r="P65" s="437"/>
    </row>
    <row r="66" spans="2:16" ht="18" customHeight="1" x14ac:dyDescent="0.25">
      <c r="B66" s="123" t="s">
        <v>17</v>
      </c>
      <c r="C66" s="124"/>
      <c r="D66" s="125">
        <f>(D57+D58+C14*MAX(1,F14)+C18*MAX(1,F18)+C15*MAX(1,F15)+C16*MAX(1,F16)+C17*MAX(1,F17)+SUMPRODUCT(C14:C18,G14:G18))/C10</f>
        <v>380.95940819467739</v>
      </c>
      <c r="E66" s="178"/>
      <c r="F66" s="179"/>
      <c r="G66" s="179"/>
      <c r="H66" s="179"/>
      <c r="N66" s="438"/>
      <c r="O66" s="439"/>
      <c r="P66" s="440"/>
    </row>
    <row r="67" spans="2:16" ht="18" x14ac:dyDescent="0.25">
      <c r="B67" s="123" t="s">
        <v>18</v>
      </c>
      <c r="C67" s="124"/>
      <c r="D67" s="125">
        <f>(D58+SUMPRODUCT(C14:C18,G14:G18))/C10</f>
        <v>320.36135509999809</v>
      </c>
      <c r="E67" s="46"/>
      <c r="F67" s="179"/>
      <c r="G67" s="179"/>
      <c r="H67" s="179"/>
      <c r="N67" s="438"/>
      <c r="O67" s="439"/>
      <c r="P67" s="440"/>
    </row>
    <row r="68" spans="2:16" ht="18" x14ac:dyDescent="0.25">
      <c r="B68" s="126" t="s">
        <v>19</v>
      </c>
      <c r="C68" s="127"/>
      <c r="D68" s="128">
        <f>(D59+SUMPRODUCT(C14:C18,H14:H18))/C10</f>
        <v>151.41300605876066</v>
      </c>
      <c r="E68" s="46"/>
      <c r="F68" s="179"/>
      <c r="G68" s="179"/>
      <c r="H68" s="179"/>
      <c r="N68" s="438"/>
      <c r="O68" s="439"/>
      <c r="P68" s="440"/>
    </row>
    <row r="69" spans="2:16" ht="18.5" thickBot="1" x14ac:dyDescent="0.3">
      <c r="B69" s="129" t="s">
        <v>20</v>
      </c>
      <c r="C69" s="127"/>
      <c r="D69" s="128">
        <f>(SUM(D57:D59)+C14*MAX(1,F14)+C18*MAX(1,F18)+C15*MAX(F15)+C16*MAX(F16)+C17*MAX(1,F17)+SUMPRODUCT(C14:C18,G14:G18)+SUMPRODUCT(C14:C18,H14:H18))/C10</f>
        <v>532.37241425343802</v>
      </c>
      <c r="E69" s="46"/>
      <c r="F69" s="179"/>
      <c r="G69" s="179"/>
      <c r="H69" s="179"/>
      <c r="I69" s="34"/>
      <c r="M69" s="25"/>
      <c r="N69" s="441"/>
      <c r="O69" s="442"/>
      <c r="P69" s="443"/>
    </row>
    <row r="70" spans="2:16" ht="13.5" thickTop="1" x14ac:dyDescent="0.25">
      <c r="B70" s="135"/>
      <c r="C70" s="134"/>
      <c r="D70" s="134"/>
      <c r="E70" s="59"/>
      <c r="F70" s="34"/>
      <c r="G70" s="34"/>
      <c r="H70" s="34"/>
      <c r="K70" s="34"/>
    </row>
    <row r="71" spans="2:16" ht="13" x14ac:dyDescent="0.25">
      <c r="B71" s="135"/>
      <c r="C71" s="136"/>
      <c r="D71" s="136"/>
      <c r="E71" s="159"/>
      <c r="F71" s="34"/>
      <c r="G71" s="34"/>
      <c r="H71" s="34"/>
    </row>
    <row r="72" spans="2:16" ht="13.5" customHeight="1" x14ac:dyDescent="0.25">
      <c r="B72" s="135"/>
      <c r="C72" s="138"/>
      <c r="D72" s="138"/>
      <c r="E72" s="180"/>
      <c r="F72" s="167"/>
      <c r="G72" s="181"/>
      <c r="H72" s="181"/>
    </row>
    <row r="73" spans="2:16" ht="13.5" customHeight="1" x14ac:dyDescent="0.25">
      <c r="E73" s="34"/>
      <c r="F73" s="182"/>
      <c r="G73" s="182"/>
      <c r="H73" s="182"/>
    </row>
    <row r="74" spans="2:16" ht="13.5" hidden="1" customHeight="1" outlineLevel="1" thickBot="1" x14ac:dyDescent="0.3">
      <c r="C74" s="25"/>
      <c r="D74" s="25"/>
      <c r="E74" s="183"/>
      <c r="F74" s="48"/>
      <c r="G74" s="48"/>
      <c r="H74" s="48"/>
    </row>
    <row r="75" spans="2:16" ht="20.5" hidden="1" outlineLevel="1" thickTop="1" x14ac:dyDescent="0.25">
      <c r="B75" s="140" t="s">
        <v>73</v>
      </c>
      <c r="C75" s="29"/>
      <c r="D75" s="141"/>
      <c r="E75" s="46"/>
      <c r="F75" s="47"/>
      <c r="G75" s="47"/>
      <c r="H75" s="47"/>
      <c r="K75" s="34"/>
    </row>
    <row r="76" spans="2:16" ht="14" hidden="1" outlineLevel="1" x14ac:dyDescent="0.25">
      <c r="B76" s="37"/>
      <c r="C76" s="38" t="s">
        <v>0</v>
      </c>
      <c r="D76" s="39" t="s">
        <v>1</v>
      </c>
      <c r="E76" s="46"/>
      <c r="F76" s="47"/>
      <c r="G76" s="47"/>
      <c r="H76" s="47"/>
    </row>
    <row r="77" spans="2:16" ht="14" hidden="1" outlineLevel="1" x14ac:dyDescent="0.25">
      <c r="B77" s="43" t="s">
        <v>65</v>
      </c>
      <c r="C77" s="142"/>
      <c r="D77" s="45" t="s">
        <v>2</v>
      </c>
      <c r="E77" s="57"/>
      <c r="F77" s="58"/>
      <c r="G77" s="58"/>
      <c r="H77" s="58"/>
    </row>
    <row r="78" spans="2:16" ht="13" hidden="1" outlineLevel="1" x14ac:dyDescent="0.25">
      <c r="B78" s="43" t="s">
        <v>64</v>
      </c>
      <c r="C78" s="143"/>
      <c r="D78" s="45" t="s">
        <v>3</v>
      </c>
      <c r="E78" s="46"/>
      <c r="F78" s="47"/>
      <c r="G78" s="47"/>
      <c r="H78" s="47"/>
    </row>
    <row r="79" spans="2:16" ht="13" hidden="1" outlineLevel="1" x14ac:dyDescent="0.25">
      <c r="B79" s="51" t="s">
        <v>63</v>
      </c>
      <c r="C79" s="144">
        <f>C77*C78</f>
        <v>0</v>
      </c>
      <c r="D79" s="45" t="str">
        <f>D77</f>
        <v>kg</v>
      </c>
      <c r="E79" s="59"/>
      <c r="F79" s="47"/>
      <c r="G79" s="47"/>
      <c r="H79" s="47"/>
    </row>
    <row r="80" spans="2:16" ht="14" hidden="1" outlineLevel="1" x14ac:dyDescent="0.25">
      <c r="B80" s="54" t="s">
        <v>37</v>
      </c>
      <c r="C80" s="145">
        <v>1</v>
      </c>
      <c r="D80" s="56"/>
      <c r="E80" s="46"/>
      <c r="F80" s="47"/>
      <c r="G80" s="47"/>
      <c r="H80" s="47"/>
    </row>
    <row r="81" spans="2:12" ht="13.5" hidden="1" outlineLevel="1" thickBot="1" x14ac:dyDescent="0.3">
      <c r="B81" s="43" t="s">
        <v>66</v>
      </c>
      <c r="C81" s="142"/>
      <c r="D81" s="45" t="str">
        <f>D77</f>
        <v>kg</v>
      </c>
      <c r="F81" s="64"/>
      <c r="G81" s="64"/>
      <c r="H81" s="64"/>
    </row>
    <row r="82" spans="2:12" ht="14.5" hidden="1" outlineLevel="1" thickBot="1" x14ac:dyDescent="0.3">
      <c r="B82" s="43" t="s">
        <v>67</v>
      </c>
      <c r="C82" s="143"/>
      <c r="D82" s="45" t="s">
        <v>3</v>
      </c>
      <c r="E82" s="68"/>
      <c r="F82" s="69"/>
      <c r="G82" s="69"/>
      <c r="H82" s="69"/>
    </row>
    <row r="83" spans="2:12" ht="13.5" hidden="1" outlineLevel="1" thickBot="1" x14ac:dyDescent="0.3">
      <c r="B83" s="51" t="s">
        <v>68</v>
      </c>
      <c r="C83" s="144">
        <f>C81*C82</f>
        <v>0</v>
      </c>
      <c r="D83" s="45" t="str">
        <f>D77</f>
        <v>kg</v>
      </c>
      <c r="E83" s="73"/>
      <c r="F83" s="69"/>
      <c r="G83" s="69"/>
      <c r="H83" s="69"/>
    </row>
    <row r="84" spans="2:12" ht="13.5" hidden="1" outlineLevel="1" thickBot="1" x14ac:dyDescent="0.3">
      <c r="B84" s="61"/>
      <c r="C84" s="62"/>
      <c r="D84" s="63"/>
      <c r="E84" s="98"/>
      <c r="F84" s="69"/>
      <c r="G84" s="69"/>
      <c r="H84" s="69"/>
    </row>
    <row r="85" spans="2:12" ht="14.5" hidden="1" outlineLevel="1" thickBot="1" x14ac:dyDescent="0.3">
      <c r="B85" s="65" t="s">
        <v>5</v>
      </c>
      <c r="C85" s="66" t="s">
        <v>6</v>
      </c>
      <c r="D85" s="67" t="s">
        <v>1</v>
      </c>
      <c r="E85" s="77"/>
      <c r="F85" s="78"/>
      <c r="G85" s="78"/>
      <c r="H85" s="78"/>
    </row>
    <row r="86" spans="2:12" ht="13" hidden="1" outlineLevel="1" x14ac:dyDescent="0.25">
      <c r="B86" s="70" t="s">
        <v>43</v>
      </c>
      <c r="C86" s="71"/>
      <c r="D86" s="72"/>
      <c r="E86" s="77"/>
      <c r="F86" s="82"/>
      <c r="G86" s="82"/>
      <c r="H86" s="82"/>
    </row>
    <row r="87" spans="2:12" ht="13" hidden="1" outlineLevel="1" x14ac:dyDescent="0.25">
      <c r="B87" s="74"/>
      <c r="C87" s="146">
        <f>C79</f>
        <v>0</v>
      </c>
      <c r="D87" s="76" t="str">
        <f>D77</f>
        <v>kg</v>
      </c>
      <c r="E87" s="77"/>
      <c r="F87" s="82"/>
      <c r="G87" s="82"/>
      <c r="H87" s="82"/>
    </row>
    <row r="88" spans="2:12" ht="13" hidden="1" outlineLevel="1" x14ac:dyDescent="0.25">
      <c r="B88" s="74"/>
      <c r="C88" s="146"/>
      <c r="D88" s="76" t="str">
        <f>D77</f>
        <v>kg</v>
      </c>
      <c r="E88" s="77"/>
      <c r="F88" s="82"/>
      <c r="G88" s="82"/>
      <c r="H88" s="82"/>
    </row>
    <row r="89" spans="2:12" ht="13" hidden="1" outlineLevel="1" x14ac:dyDescent="0.25">
      <c r="B89" s="79" t="s">
        <v>69</v>
      </c>
      <c r="C89" s="147"/>
      <c r="D89" s="81"/>
      <c r="E89" s="77"/>
      <c r="F89" s="82"/>
      <c r="G89" s="82"/>
      <c r="H89" s="82"/>
    </row>
    <row r="90" spans="2:12" ht="13" hidden="1" outlineLevel="1" x14ac:dyDescent="0.25">
      <c r="B90" s="74"/>
      <c r="C90" s="148"/>
      <c r="D90" s="76" t="str">
        <f>D77</f>
        <v>kg</v>
      </c>
      <c r="E90" s="77"/>
      <c r="F90" s="82"/>
      <c r="G90" s="82"/>
      <c r="H90" s="82"/>
    </row>
    <row r="91" spans="2:12" ht="13" hidden="1" outlineLevel="1" x14ac:dyDescent="0.25">
      <c r="B91" s="74"/>
      <c r="C91" s="148"/>
      <c r="D91" s="76" t="str">
        <f>D77</f>
        <v>kg</v>
      </c>
      <c r="E91" s="77"/>
      <c r="F91" s="82"/>
      <c r="G91" s="82"/>
      <c r="H91" s="82"/>
    </row>
    <row r="92" spans="2:12" ht="13" hidden="1" outlineLevel="1" x14ac:dyDescent="0.25">
      <c r="B92" s="74"/>
      <c r="C92" s="148"/>
      <c r="D92" s="76" t="str">
        <f>D77</f>
        <v>kg</v>
      </c>
      <c r="E92" s="77"/>
      <c r="F92" s="82"/>
      <c r="G92" s="82"/>
      <c r="H92" s="82"/>
    </row>
    <row r="93" spans="2:12" ht="13" hidden="1" outlineLevel="1" x14ac:dyDescent="0.25">
      <c r="B93" s="74"/>
      <c r="C93" s="148"/>
      <c r="D93" s="76" t="str">
        <f>D77</f>
        <v>kg</v>
      </c>
      <c r="E93" s="77"/>
      <c r="F93" s="82"/>
      <c r="G93" s="82"/>
      <c r="H93" s="82"/>
    </row>
    <row r="94" spans="2:12" ht="13.15" hidden="1" customHeight="1" outlineLevel="1" x14ac:dyDescent="0.25">
      <c r="B94" s="74"/>
      <c r="C94" s="148"/>
      <c r="D94" s="76" t="str">
        <f>D77</f>
        <v>kg</v>
      </c>
      <c r="E94" s="77"/>
      <c r="F94" s="82"/>
      <c r="G94" s="82"/>
      <c r="H94" s="82"/>
      <c r="K94" s="34"/>
    </row>
    <row r="95" spans="2:12" ht="13" hidden="1" outlineLevel="1" x14ac:dyDescent="0.25">
      <c r="B95" s="74"/>
      <c r="C95" s="148"/>
      <c r="D95" s="76" t="str">
        <f>D77</f>
        <v>kg</v>
      </c>
      <c r="E95" s="77"/>
      <c r="F95" s="82"/>
      <c r="G95" s="82"/>
      <c r="H95" s="82"/>
    </row>
    <row r="96" spans="2:12" ht="13" hidden="1" outlineLevel="1" x14ac:dyDescent="0.25">
      <c r="B96" s="74"/>
      <c r="C96" s="148"/>
      <c r="D96" s="76" t="str">
        <f>D77</f>
        <v>kg</v>
      </c>
      <c r="E96" s="77"/>
      <c r="F96" s="82"/>
      <c r="G96" s="82"/>
      <c r="H96" s="82"/>
      <c r="I96" s="34"/>
      <c r="J96" s="53"/>
      <c r="L96" s="53"/>
    </row>
    <row r="97" spans="2:8" ht="13" hidden="1" outlineLevel="1" x14ac:dyDescent="0.25">
      <c r="B97" s="74"/>
      <c r="C97" s="148"/>
      <c r="D97" s="76" t="str">
        <f>D77</f>
        <v>kg</v>
      </c>
      <c r="E97" s="77"/>
      <c r="F97" s="82"/>
      <c r="G97" s="82"/>
      <c r="H97" s="82"/>
    </row>
    <row r="98" spans="2:8" ht="13" hidden="1" outlineLevel="1" x14ac:dyDescent="0.25">
      <c r="B98" s="74"/>
      <c r="C98" s="148"/>
      <c r="D98" s="76" t="str">
        <f>D77</f>
        <v>kg</v>
      </c>
      <c r="E98" s="77"/>
      <c r="F98" s="82"/>
      <c r="G98" s="82"/>
      <c r="H98" s="82"/>
    </row>
    <row r="99" spans="2:8" ht="13" hidden="1" outlineLevel="1" x14ac:dyDescent="0.25">
      <c r="B99" s="74"/>
      <c r="C99" s="148"/>
      <c r="D99" s="76" t="str">
        <f>D77</f>
        <v>kg</v>
      </c>
      <c r="E99" s="77"/>
      <c r="F99" s="82"/>
      <c r="G99" s="82"/>
      <c r="H99" s="82"/>
    </row>
    <row r="100" spans="2:8" ht="13" hidden="1" outlineLevel="1" x14ac:dyDescent="0.25">
      <c r="B100" s="79"/>
      <c r="C100" s="147"/>
      <c r="D100" s="81"/>
      <c r="E100" s="77"/>
      <c r="F100" s="82"/>
      <c r="G100" s="82"/>
      <c r="H100" s="82"/>
    </row>
    <row r="101" spans="2:8" ht="13" hidden="1" outlineLevel="1" x14ac:dyDescent="0.25">
      <c r="B101" s="86" t="s">
        <v>7</v>
      </c>
      <c r="C101" s="149">
        <f>SUM(C86:C99)</f>
        <v>0</v>
      </c>
      <c r="D101" s="88" t="str">
        <f>D77</f>
        <v>kg</v>
      </c>
      <c r="E101" s="77"/>
      <c r="F101" s="82"/>
      <c r="G101" s="82"/>
      <c r="H101" s="82"/>
    </row>
    <row r="102" spans="2:8" ht="13" hidden="1" outlineLevel="1" x14ac:dyDescent="0.25">
      <c r="B102" s="79" t="s">
        <v>71</v>
      </c>
      <c r="C102" s="150"/>
      <c r="D102" s="81"/>
      <c r="E102" s="77"/>
      <c r="F102" s="82"/>
      <c r="G102" s="82"/>
      <c r="H102" s="82"/>
    </row>
    <row r="103" spans="2:8" ht="13" hidden="1" outlineLevel="1" x14ac:dyDescent="0.25">
      <c r="B103" s="74"/>
      <c r="C103" s="148"/>
      <c r="D103" s="76" t="str">
        <f>D77</f>
        <v>kg</v>
      </c>
      <c r="E103" s="77"/>
      <c r="F103" s="82"/>
      <c r="G103" s="82"/>
      <c r="H103" s="82"/>
    </row>
    <row r="104" spans="2:8" ht="13" hidden="1" outlineLevel="1" x14ac:dyDescent="0.25">
      <c r="B104" s="74"/>
      <c r="C104" s="148"/>
      <c r="D104" s="76" t="str">
        <f>D77</f>
        <v>kg</v>
      </c>
      <c r="E104" s="77"/>
      <c r="F104" s="82"/>
      <c r="G104" s="82"/>
      <c r="H104" s="82"/>
    </row>
    <row r="105" spans="2:8" ht="13" hidden="1" outlineLevel="1" x14ac:dyDescent="0.25">
      <c r="B105" s="74"/>
      <c r="C105" s="148"/>
      <c r="D105" s="76" t="str">
        <f>D77</f>
        <v>kg</v>
      </c>
      <c r="E105" s="77"/>
      <c r="F105" s="82"/>
      <c r="G105" s="82"/>
      <c r="H105" s="82"/>
    </row>
    <row r="106" spans="2:8" ht="13" hidden="1" outlineLevel="1" x14ac:dyDescent="0.25">
      <c r="B106" s="74"/>
      <c r="C106" s="148"/>
      <c r="D106" s="76" t="str">
        <f>D77</f>
        <v>kg</v>
      </c>
      <c r="E106" s="77"/>
      <c r="F106" s="82"/>
      <c r="G106" s="82"/>
      <c r="H106" s="82"/>
    </row>
    <row r="107" spans="2:8" ht="13" hidden="1" outlineLevel="1" x14ac:dyDescent="0.25">
      <c r="B107" s="74"/>
      <c r="C107" s="148"/>
      <c r="D107" s="76" t="str">
        <f>D77</f>
        <v>kg</v>
      </c>
      <c r="E107" s="77"/>
      <c r="F107" s="82"/>
      <c r="G107" s="82"/>
      <c r="H107" s="82"/>
    </row>
    <row r="108" spans="2:8" ht="13" hidden="1" outlineLevel="1" x14ac:dyDescent="0.25">
      <c r="B108" s="74"/>
      <c r="C108" s="148"/>
      <c r="D108" s="76" t="str">
        <f>D77</f>
        <v>kg</v>
      </c>
      <c r="E108" s="90"/>
      <c r="F108" s="82"/>
      <c r="G108" s="82"/>
      <c r="H108" s="82"/>
    </row>
    <row r="109" spans="2:8" ht="13" hidden="1" outlineLevel="1" x14ac:dyDescent="0.25">
      <c r="B109" s="74"/>
      <c r="C109" s="148"/>
      <c r="D109" s="76" t="str">
        <f>D77</f>
        <v>kg</v>
      </c>
      <c r="E109" s="77"/>
      <c r="F109" s="82"/>
      <c r="G109" s="82"/>
      <c r="H109" s="82"/>
    </row>
    <row r="110" spans="2:8" ht="13" hidden="1" outlineLevel="1" x14ac:dyDescent="0.25">
      <c r="B110" s="74"/>
      <c r="C110" s="148"/>
      <c r="D110" s="76" t="str">
        <f>D77</f>
        <v>kg</v>
      </c>
      <c r="E110" s="77"/>
      <c r="F110" s="82"/>
      <c r="G110" s="82"/>
      <c r="H110" s="82"/>
    </row>
    <row r="111" spans="2:8" ht="13" hidden="1" outlineLevel="1" x14ac:dyDescent="0.25">
      <c r="B111" s="79" t="s">
        <v>70</v>
      </c>
      <c r="C111" s="147"/>
      <c r="D111" s="81"/>
      <c r="E111" s="77"/>
      <c r="F111" s="82"/>
      <c r="G111" s="82"/>
      <c r="H111" s="82"/>
    </row>
    <row r="112" spans="2:8" ht="13" hidden="1" outlineLevel="1" x14ac:dyDescent="0.25">
      <c r="B112" s="74"/>
      <c r="C112" s="148"/>
      <c r="D112" s="76" t="str">
        <f>D77</f>
        <v>kg</v>
      </c>
      <c r="E112" s="77"/>
      <c r="F112" s="82"/>
      <c r="G112" s="82"/>
      <c r="H112" s="82"/>
    </row>
    <row r="113" spans="2:11" ht="13.15" hidden="1" customHeight="1" outlineLevel="1" x14ac:dyDescent="0.25">
      <c r="B113" s="74"/>
      <c r="C113" s="148"/>
      <c r="D113" s="76" t="str">
        <f>D77</f>
        <v>kg</v>
      </c>
      <c r="E113" s="77"/>
      <c r="F113" s="82"/>
      <c r="G113" s="82"/>
      <c r="H113" s="82"/>
      <c r="K113" s="34"/>
    </row>
    <row r="114" spans="2:11" ht="13" hidden="1" outlineLevel="1" x14ac:dyDescent="0.25">
      <c r="B114" s="74"/>
      <c r="C114" s="148"/>
      <c r="D114" s="76" t="str">
        <f>D77</f>
        <v>kg</v>
      </c>
      <c r="E114" s="77"/>
      <c r="F114" s="82"/>
      <c r="G114" s="82"/>
      <c r="H114" s="82"/>
    </row>
    <row r="115" spans="2:11" ht="13" hidden="1" outlineLevel="1" x14ac:dyDescent="0.25">
      <c r="B115" s="74"/>
      <c r="C115" s="148"/>
      <c r="D115" s="76" t="str">
        <f>D77</f>
        <v>kg</v>
      </c>
      <c r="E115" s="77"/>
      <c r="F115" s="82"/>
      <c r="G115" s="82"/>
      <c r="H115" s="82"/>
    </row>
    <row r="116" spans="2:11" ht="13" hidden="1" outlineLevel="1" x14ac:dyDescent="0.25">
      <c r="B116" s="74"/>
      <c r="C116" s="148"/>
      <c r="D116" s="76" t="str">
        <f>D77</f>
        <v>kg</v>
      </c>
      <c r="E116" s="77"/>
      <c r="F116" s="82"/>
      <c r="G116" s="82"/>
      <c r="H116" s="82"/>
    </row>
    <row r="117" spans="2:11" ht="13" hidden="1" outlineLevel="1" x14ac:dyDescent="0.25">
      <c r="B117" s="74"/>
      <c r="C117" s="148"/>
      <c r="D117" s="76" t="str">
        <f>D77</f>
        <v>kg</v>
      </c>
      <c r="E117" s="77"/>
      <c r="F117" s="82"/>
      <c r="G117" s="82"/>
      <c r="H117" s="82"/>
    </row>
    <row r="118" spans="2:11" ht="13" hidden="1" outlineLevel="1" x14ac:dyDescent="0.25">
      <c r="B118" s="74"/>
      <c r="C118" s="148"/>
      <c r="D118" s="76" t="str">
        <f>D77</f>
        <v>kg</v>
      </c>
      <c r="E118" s="77"/>
      <c r="F118" s="82"/>
      <c r="G118" s="82"/>
      <c r="H118" s="82"/>
    </row>
    <row r="119" spans="2:11" ht="13" hidden="1" outlineLevel="1" x14ac:dyDescent="0.25">
      <c r="B119" s="79"/>
      <c r="C119" s="147"/>
      <c r="D119" s="81"/>
      <c r="E119" s="77"/>
      <c r="F119" s="82"/>
      <c r="G119" s="82"/>
      <c r="H119" s="82"/>
    </row>
    <row r="120" spans="2:11" ht="13" hidden="1" outlineLevel="1" x14ac:dyDescent="0.25">
      <c r="B120" s="86" t="s">
        <v>9</v>
      </c>
      <c r="C120" s="149">
        <f>SUM(C101:C118)</f>
        <v>0</v>
      </c>
      <c r="D120" s="91" t="str">
        <f>D77</f>
        <v>kg</v>
      </c>
      <c r="E120" s="98"/>
      <c r="F120" s="82"/>
      <c r="G120" s="82"/>
      <c r="H120" s="82"/>
    </row>
    <row r="121" spans="2:11" ht="13.5" hidden="1" outlineLevel="1" thickBot="1" x14ac:dyDescent="0.3">
      <c r="B121" s="92"/>
      <c r="C121" s="93"/>
      <c r="D121" s="94"/>
      <c r="E121" s="98"/>
      <c r="F121" s="82"/>
      <c r="G121" s="82"/>
      <c r="H121" s="82"/>
    </row>
    <row r="122" spans="2:11" ht="20.5" hidden="1" outlineLevel="1" thickBot="1" x14ac:dyDescent="0.3">
      <c r="B122" s="426" t="s">
        <v>10</v>
      </c>
      <c r="C122" s="427"/>
      <c r="D122" s="428"/>
      <c r="E122" s="98"/>
      <c r="F122" s="82"/>
      <c r="G122" s="82"/>
      <c r="H122" s="82"/>
    </row>
    <row r="123" spans="2:11" ht="13" hidden="1" outlineLevel="1" x14ac:dyDescent="0.25">
      <c r="B123" s="95" t="s">
        <v>23</v>
      </c>
      <c r="C123" s="96"/>
      <c r="D123" s="151">
        <f>SUM(C87:C88)</f>
        <v>0</v>
      </c>
      <c r="E123" s="98"/>
      <c r="F123" s="82"/>
      <c r="G123" s="82"/>
      <c r="H123" s="82"/>
    </row>
    <row r="124" spans="2:11" ht="13.5" hidden="1" outlineLevel="1" thickBot="1" x14ac:dyDescent="0.3">
      <c r="B124" s="99" t="s">
        <v>24</v>
      </c>
      <c r="C124" s="100"/>
      <c r="D124" s="152">
        <f>SUM(C90:C100)</f>
        <v>0</v>
      </c>
      <c r="E124" s="77"/>
      <c r="F124" s="110" t="s">
        <v>86</v>
      </c>
      <c r="G124" s="109" t="s">
        <v>85</v>
      </c>
      <c r="H124" s="110"/>
    </row>
    <row r="125" spans="2:11" ht="13.5" hidden="1" outlineLevel="1" thickBot="1" x14ac:dyDescent="0.3">
      <c r="B125" s="99" t="s">
        <v>25</v>
      </c>
      <c r="C125" s="100"/>
      <c r="D125" s="152">
        <f>SUM(C103:C111)</f>
        <v>0</v>
      </c>
      <c r="E125" s="77"/>
      <c r="F125" s="154"/>
      <c r="G125" s="413"/>
      <c r="H125" s="414"/>
    </row>
    <row r="126" spans="2:11" ht="13.5" hidden="1" outlineLevel="1" thickBot="1" x14ac:dyDescent="0.3">
      <c r="B126" s="102" t="s">
        <v>26</v>
      </c>
      <c r="C126" s="103"/>
      <c r="D126" s="153">
        <f>SUM(C112:C119)</f>
        <v>0</v>
      </c>
      <c r="E126" s="90"/>
      <c r="F126" s="64" t="s">
        <v>45</v>
      </c>
      <c r="G126" s="64" t="s">
        <v>45</v>
      </c>
      <c r="H126" s="155"/>
    </row>
    <row r="127" spans="2:11" ht="19" hidden="1" outlineLevel="1" thickTop="1" thickBot="1" x14ac:dyDescent="0.3">
      <c r="B127" s="105" t="s">
        <v>11</v>
      </c>
      <c r="C127" s="106"/>
      <c r="D127" s="107" t="e">
        <f>C101/C83</f>
        <v>#DIV/0!</v>
      </c>
      <c r="E127" s="90"/>
      <c r="F127" s="110"/>
      <c r="G127" s="117" t="s">
        <v>46</v>
      </c>
      <c r="H127" s="110"/>
    </row>
    <row r="128" spans="2:11" ht="18" hidden="1" customHeight="1" outlineLevel="1" thickBot="1" x14ac:dyDescent="0.3">
      <c r="B128" s="111" t="s">
        <v>12</v>
      </c>
      <c r="C128" s="112"/>
      <c r="D128" s="113" t="e">
        <f>(D123+D124+D125)/C83</f>
        <v>#DIV/0!</v>
      </c>
      <c r="E128" s="90"/>
      <c r="F128" s="429"/>
      <c r="G128" s="430"/>
      <c r="H128" s="431"/>
    </row>
    <row r="129" spans="2:15" ht="18" hidden="1" outlineLevel="1" x14ac:dyDescent="0.25">
      <c r="B129" s="111" t="s">
        <v>13</v>
      </c>
      <c r="C129" s="112"/>
      <c r="D129" s="113" t="e">
        <f>D125/C83</f>
        <v>#DIV/0!</v>
      </c>
      <c r="E129" s="77"/>
      <c r="F129" s="64" t="s">
        <v>45</v>
      </c>
      <c r="G129" s="64"/>
      <c r="H129" s="82"/>
    </row>
    <row r="130" spans="2:15" ht="18" hidden="1" outlineLevel="1" x14ac:dyDescent="0.25">
      <c r="B130" s="114" t="s">
        <v>14</v>
      </c>
      <c r="C130" s="115"/>
      <c r="D130" s="116" t="e">
        <f>D126/C83</f>
        <v>#DIV/0!</v>
      </c>
      <c r="E130" s="77"/>
      <c r="F130" s="82"/>
      <c r="G130" s="82"/>
      <c r="H130" s="82"/>
    </row>
    <row r="131" spans="2:15" ht="18.5" hidden="1" outlineLevel="1" thickBot="1" x14ac:dyDescent="0.3">
      <c r="B131" s="114" t="s">
        <v>15</v>
      </c>
      <c r="C131" s="119"/>
      <c r="D131" s="116" t="e">
        <f>SUM(D123:D126)/C83</f>
        <v>#DIV/0!</v>
      </c>
      <c r="E131" s="77"/>
      <c r="F131" s="415" t="s">
        <v>61</v>
      </c>
      <c r="G131" s="416"/>
      <c r="H131" s="416"/>
    </row>
    <row r="132" spans="2:15" ht="18.5" hidden="1" outlineLevel="1" thickTop="1" x14ac:dyDescent="0.25">
      <c r="B132" s="120" t="s">
        <v>16</v>
      </c>
      <c r="C132" s="121"/>
      <c r="D132" s="122" t="e">
        <f>((C87*D65)+D124+C88*MAX(1,F85))/C83</f>
        <v>#DIV/0!</v>
      </c>
      <c r="E132" s="77"/>
      <c r="F132" s="416"/>
      <c r="G132" s="416"/>
      <c r="H132" s="416"/>
    </row>
    <row r="133" spans="2:15" ht="18" hidden="1" outlineLevel="1" x14ac:dyDescent="0.25">
      <c r="B133" s="123" t="s">
        <v>17</v>
      </c>
      <c r="C133" s="124"/>
      <c r="D133" s="125" t="e">
        <f>(C87*D66+D124+D125+C88*(MAX(1,F85)+G85))/C83</f>
        <v>#DIV/0!</v>
      </c>
      <c r="E133" s="77"/>
      <c r="F133" s="416"/>
      <c r="G133" s="416"/>
      <c r="H133" s="416"/>
    </row>
    <row r="134" spans="2:15" ht="18" hidden="1" outlineLevel="1" x14ac:dyDescent="0.25">
      <c r="B134" s="123" t="s">
        <v>18</v>
      </c>
      <c r="C134" s="124"/>
      <c r="D134" s="125" t="e">
        <f>((C87*D67)+D125+C88*G85)/C83</f>
        <v>#DIV/0!</v>
      </c>
      <c r="E134" s="46"/>
      <c r="F134" s="416"/>
      <c r="G134" s="416"/>
      <c r="H134" s="416"/>
    </row>
    <row r="135" spans="2:15" ht="18" hidden="1" outlineLevel="1" x14ac:dyDescent="0.25">
      <c r="B135" s="126" t="s">
        <v>19</v>
      </c>
      <c r="C135" s="127"/>
      <c r="D135" s="128" t="e">
        <f>(C87*D68+D126+C88*H85)/C83</f>
        <v>#DIV/0!</v>
      </c>
      <c r="E135" s="46"/>
      <c r="F135" s="416"/>
      <c r="G135" s="416"/>
      <c r="H135" s="416"/>
    </row>
    <row r="136" spans="2:15" ht="18.5" hidden="1" outlineLevel="1" thickBot="1" x14ac:dyDescent="0.3">
      <c r="B136" s="129" t="s">
        <v>20</v>
      </c>
      <c r="C136" s="130"/>
      <c r="D136" s="131" t="e">
        <f>((C87*D69)+SUM(D124:D126)+C88*(MAX(1,F85)+G85+H85))/C83</f>
        <v>#DIV/0!</v>
      </c>
      <c r="E136" s="46"/>
      <c r="F136" s="416"/>
      <c r="G136" s="416"/>
      <c r="H136" s="416"/>
      <c r="I136" s="34"/>
      <c r="N136" s="36"/>
      <c r="O136" s="36"/>
    </row>
    <row r="137" spans="2:15" ht="13.5" hidden="1" outlineLevel="1" thickTop="1" x14ac:dyDescent="0.25">
      <c r="B137" s="156" t="s">
        <v>76</v>
      </c>
      <c r="C137" s="424"/>
      <c r="D137" s="425"/>
      <c r="E137" s="46"/>
      <c r="F137" s="34"/>
      <c r="G137" s="34"/>
      <c r="H137" s="34"/>
      <c r="N137" s="36"/>
      <c r="O137" s="36"/>
    </row>
    <row r="138" spans="2:15" ht="13.5" hidden="1" outlineLevel="1" thickBot="1" x14ac:dyDescent="0.3">
      <c r="B138" s="157" t="s">
        <v>58</v>
      </c>
      <c r="C138" s="422"/>
      <c r="D138" s="423"/>
      <c r="E138" s="46"/>
      <c r="F138" s="34"/>
      <c r="G138" s="34"/>
      <c r="H138" s="34"/>
    </row>
    <row r="139" spans="2:15" ht="21" hidden="1" outlineLevel="1" thickTop="1" thickBot="1" x14ac:dyDescent="0.3">
      <c r="B139" s="158" t="s">
        <v>59</v>
      </c>
      <c r="C139" s="420"/>
      <c r="D139" s="421"/>
      <c r="E139" s="31"/>
      <c r="F139" s="32" t="s">
        <v>27</v>
      </c>
      <c r="G139" s="33"/>
      <c r="H139" s="33"/>
    </row>
    <row r="140" spans="2:15" ht="14.5" hidden="1" outlineLevel="1" thickBot="1" x14ac:dyDescent="0.3">
      <c r="E140" s="40"/>
      <c r="F140" s="41" t="s">
        <v>28</v>
      </c>
      <c r="G140" s="41" t="s">
        <v>21</v>
      </c>
      <c r="H140" s="41" t="s">
        <v>8</v>
      </c>
    </row>
    <row r="141" spans="2:15" ht="13" hidden="1" outlineLevel="1" thickBot="1" x14ac:dyDescent="0.3">
      <c r="C141" s="25" t="s">
        <v>44</v>
      </c>
      <c r="D141" s="25" t="s">
        <v>42</v>
      </c>
      <c r="E141" s="46"/>
      <c r="F141" s="47"/>
      <c r="G141" s="47"/>
      <c r="H141" s="47"/>
    </row>
    <row r="142" spans="2:15" ht="20.5" hidden="1" outlineLevel="1" thickTop="1" x14ac:dyDescent="0.25">
      <c r="B142" s="140" t="s">
        <v>73</v>
      </c>
      <c r="C142" s="29"/>
      <c r="D142" s="141"/>
      <c r="E142" s="46"/>
      <c r="F142" s="47"/>
      <c r="G142" s="47"/>
      <c r="H142" s="47"/>
    </row>
    <row r="143" spans="2:15" ht="14" hidden="1" outlineLevel="1" x14ac:dyDescent="0.25">
      <c r="B143" s="37"/>
      <c r="C143" s="38" t="s">
        <v>0</v>
      </c>
      <c r="D143" s="39" t="s">
        <v>1</v>
      </c>
      <c r="E143" s="46"/>
      <c r="F143" s="47"/>
      <c r="G143" s="47"/>
      <c r="H143" s="47"/>
    </row>
    <row r="144" spans="2:15" ht="14" hidden="1" outlineLevel="1" x14ac:dyDescent="0.25">
      <c r="B144" s="43" t="s">
        <v>65</v>
      </c>
      <c r="C144" s="142"/>
      <c r="D144" s="45" t="s">
        <v>2</v>
      </c>
      <c r="E144" s="57"/>
      <c r="F144" s="58"/>
      <c r="G144" s="58"/>
      <c r="H144" s="58"/>
    </row>
    <row r="145" spans="2:8" ht="13" hidden="1" outlineLevel="1" x14ac:dyDescent="0.25">
      <c r="B145" s="43" t="s">
        <v>64</v>
      </c>
      <c r="C145" s="143"/>
      <c r="D145" s="45" t="s">
        <v>3</v>
      </c>
      <c r="E145" s="46"/>
      <c r="F145" s="47"/>
      <c r="G145" s="47"/>
      <c r="H145" s="47"/>
    </row>
    <row r="146" spans="2:8" ht="13" hidden="1" outlineLevel="1" x14ac:dyDescent="0.25">
      <c r="B146" s="51" t="s">
        <v>63</v>
      </c>
      <c r="C146" s="144">
        <f>C144*C145</f>
        <v>0</v>
      </c>
      <c r="D146" s="45" t="str">
        <f>D144</f>
        <v>kg</v>
      </c>
      <c r="E146" s="59"/>
      <c r="F146" s="47"/>
      <c r="G146" s="47"/>
      <c r="H146" s="47"/>
    </row>
    <row r="147" spans="2:8" ht="14" hidden="1" outlineLevel="1" x14ac:dyDescent="0.25">
      <c r="B147" s="54" t="s">
        <v>37</v>
      </c>
      <c r="C147" s="145">
        <v>1</v>
      </c>
      <c r="D147" s="56"/>
      <c r="E147" s="46"/>
      <c r="F147" s="47"/>
      <c r="G147" s="47"/>
      <c r="H147" s="47"/>
    </row>
    <row r="148" spans="2:8" ht="13.5" hidden="1" outlineLevel="1" thickBot="1" x14ac:dyDescent="0.3">
      <c r="B148" s="43" t="s">
        <v>66</v>
      </c>
      <c r="C148" s="142"/>
      <c r="D148" s="45" t="str">
        <f>D144</f>
        <v>kg</v>
      </c>
      <c r="F148" s="64"/>
      <c r="G148" s="64"/>
      <c r="H148" s="64"/>
    </row>
    <row r="149" spans="2:8" ht="14.5" hidden="1" outlineLevel="1" thickBot="1" x14ac:dyDescent="0.3">
      <c r="B149" s="43" t="s">
        <v>67</v>
      </c>
      <c r="C149" s="143"/>
      <c r="D149" s="45" t="s">
        <v>3</v>
      </c>
      <c r="E149" s="68"/>
      <c r="F149" s="69"/>
      <c r="G149" s="69"/>
      <c r="H149" s="69"/>
    </row>
    <row r="150" spans="2:8" ht="13.5" hidden="1" outlineLevel="1" thickBot="1" x14ac:dyDescent="0.3">
      <c r="B150" s="51" t="s">
        <v>68</v>
      </c>
      <c r="C150" s="144">
        <f>C148*C149</f>
        <v>0</v>
      </c>
      <c r="D150" s="45" t="str">
        <f>D144</f>
        <v>kg</v>
      </c>
      <c r="E150" s="73"/>
      <c r="F150" s="69"/>
      <c r="G150" s="69"/>
      <c r="H150" s="69"/>
    </row>
    <row r="151" spans="2:8" ht="13.5" hidden="1" outlineLevel="1" thickBot="1" x14ac:dyDescent="0.3">
      <c r="B151" s="61"/>
      <c r="C151" s="62"/>
      <c r="D151" s="63"/>
      <c r="E151" s="98"/>
      <c r="F151" s="69"/>
      <c r="G151" s="69"/>
      <c r="H151" s="69"/>
    </row>
    <row r="152" spans="2:8" ht="14.5" hidden="1" outlineLevel="1" thickBot="1" x14ac:dyDescent="0.3">
      <c r="B152" s="65" t="s">
        <v>5</v>
      </c>
      <c r="C152" s="66" t="s">
        <v>6</v>
      </c>
      <c r="D152" s="67" t="s">
        <v>1</v>
      </c>
      <c r="E152" s="77"/>
      <c r="F152" s="78"/>
      <c r="G152" s="78"/>
      <c r="H152" s="78"/>
    </row>
    <row r="153" spans="2:8" ht="13" hidden="1" outlineLevel="1" x14ac:dyDescent="0.25">
      <c r="B153" s="70" t="s">
        <v>43</v>
      </c>
      <c r="C153" s="71"/>
      <c r="D153" s="72"/>
      <c r="E153" s="77"/>
      <c r="F153" s="82"/>
      <c r="G153" s="82"/>
      <c r="H153" s="82"/>
    </row>
    <row r="154" spans="2:8" ht="13" hidden="1" outlineLevel="1" x14ac:dyDescent="0.25">
      <c r="B154" s="74"/>
      <c r="C154" s="146">
        <f>C146</f>
        <v>0</v>
      </c>
      <c r="D154" s="76" t="str">
        <f>D144</f>
        <v>kg</v>
      </c>
      <c r="E154" s="77"/>
      <c r="F154" s="82"/>
      <c r="G154" s="82"/>
      <c r="H154" s="82"/>
    </row>
    <row r="155" spans="2:8" ht="13" hidden="1" outlineLevel="1" x14ac:dyDescent="0.25">
      <c r="B155" s="74"/>
      <c r="C155" s="146"/>
      <c r="D155" s="76" t="str">
        <f>D144</f>
        <v>kg</v>
      </c>
      <c r="E155" s="77"/>
      <c r="F155" s="82"/>
      <c r="G155" s="82"/>
      <c r="H155" s="82"/>
    </row>
    <row r="156" spans="2:8" ht="13" hidden="1" outlineLevel="1" x14ac:dyDescent="0.25">
      <c r="B156" s="79" t="s">
        <v>69</v>
      </c>
      <c r="C156" s="147"/>
      <c r="D156" s="81"/>
      <c r="E156" s="77"/>
      <c r="F156" s="82"/>
      <c r="G156" s="82"/>
      <c r="H156" s="82"/>
    </row>
    <row r="157" spans="2:8" ht="13" hidden="1" outlineLevel="1" x14ac:dyDescent="0.25">
      <c r="B157" s="74"/>
      <c r="C157" s="148"/>
      <c r="D157" s="76" t="str">
        <f>D144</f>
        <v>kg</v>
      </c>
      <c r="E157" s="77"/>
      <c r="F157" s="82"/>
      <c r="G157" s="82"/>
      <c r="H157" s="82"/>
    </row>
    <row r="158" spans="2:8" ht="13" hidden="1" outlineLevel="1" x14ac:dyDescent="0.25">
      <c r="B158" s="74"/>
      <c r="C158" s="148"/>
      <c r="D158" s="76" t="str">
        <f>D144</f>
        <v>kg</v>
      </c>
      <c r="E158" s="77"/>
      <c r="F158" s="82"/>
      <c r="G158" s="82"/>
      <c r="H158" s="82"/>
    </row>
    <row r="159" spans="2:8" ht="13" hidden="1" outlineLevel="1" x14ac:dyDescent="0.25">
      <c r="B159" s="74"/>
      <c r="C159" s="148"/>
      <c r="D159" s="76" t="str">
        <f>D144</f>
        <v>kg</v>
      </c>
      <c r="E159" s="77"/>
      <c r="F159" s="82"/>
      <c r="G159" s="82"/>
      <c r="H159" s="82"/>
    </row>
    <row r="160" spans="2:8" ht="13" hidden="1" outlineLevel="1" x14ac:dyDescent="0.25">
      <c r="B160" s="74"/>
      <c r="C160" s="148"/>
      <c r="D160" s="76" t="str">
        <f>D144</f>
        <v>kg</v>
      </c>
      <c r="E160" s="77"/>
      <c r="F160" s="82"/>
      <c r="G160" s="82"/>
      <c r="H160" s="82"/>
    </row>
    <row r="161" spans="2:11" ht="13.15" hidden="1" customHeight="1" outlineLevel="1" x14ac:dyDescent="0.25">
      <c r="B161" s="74"/>
      <c r="C161" s="148"/>
      <c r="D161" s="76" t="str">
        <f>D144</f>
        <v>kg</v>
      </c>
      <c r="E161" s="77"/>
      <c r="F161" s="82"/>
      <c r="G161" s="82"/>
      <c r="H161" s="82"/>
      <c r="K161" s="34"/>
    </row>
    <row r="162" spans="2:11" ht="13" hidden="1" outlineLevel="1" x14ac:dyDescent="0.25">
      <c r="B162" s="74"/>
      <c r="C162" s="148"/>
      <c r="D162" s="76" t="str">
        <f>D144</f>
        <v>kg</v>
      </c>
      <c r="E162" s="77"/>
      <c r="F162" s="82"/>
      <c r="G162" s="82"/>
      <c r="H162" s="82"/>
    </row>
    <row r="163" spans="2:11" ht="13" hidden="1" outlineLevel="1" x14ac:dyDescent="0.25">
      <c r="B163" s="74"/>
      <c r="C163" s="148"/>
      <c r="D163" s="76" t="str">
        <f>D144</f>
        <v>kg</v>
      </c>
      <c r="E163" s="77"/>
      <c r="F163" s="82"/>
      <c r="G163" s="82"/>
      <c r="H163" s="82"/>
    </row>
    <row r="164" spans="2:11" ht="13" hidden="1" outlineLevel="1" x14ac:dyDescent="0.25">
      <c r="B164" s="74"/>
      <c r="C164" s="148"/>
      <c r="D164" s="76" t="str">
        <f>D144</f>
        <v>kg</v>
      </c>
      <c r="E164" s="77"/>
      <c r="F164" s="82"/>
      <c r="G164" s="82"/>
      <c r="H164" s="82"/>
    </row>
    <row r="165" spans="2:11" ht="13" hidden="1" outlineLevel="1" x14ac:dyDescent="0.25">
      <c r="B165" s="74"/>
      <c r="C165" s="148"/>
      <c r="D165" s="76" t="str">
        <f>D144</f>
        <v>kg</v>
      </c>
      <c r="E165" s="77"/>
      <c r="F165" s="82"/>
      <c r="G165" s="82"/>
      <c r="H165" s="82"/>
    </row>
    <row r="166" spans="2:11" ht="13" hidden="1" outlineLevel="1" x14ac:dyDescent="0.25">
      <c r="B166" s="74"/>
      <c r="C166" s="148"/>
      <c r="D166" s="76" t="str">
        <f>D144</f>
        <v>kg</v>
      </c>
      <c r="E166" s="77"/>
      <c r="F166" s="82"/>
      <c r="G166" s="82"/>
      <c r="H166" s="82"/>
    </row>
    <row r="167" spans="2:11" ht="13" hidden="1" outlineLevel="1" x14ac:dyDescent="0.25">
      <c r="B167" s="79"/>
      <c r="C167" s="147"/>
      <c r="D167" s="81"/>
      <c r="E167" s="77"/>
      <c r="F167" s="82"/>
      <c r="G167" s="82"/>
      <c r="H167" s="82"/>
    </row>
    <row r="168" spans="2:11" ht="13" hidden="1" outlineLevel="1" x14ac:dyDescent="0.25">
      <c r="B168" s="86" t="s">
        <v>7</v>
      </c>
      <c r="C168" s="149">
        <f>SUM(C153:C166)</f>
        <v>0</v>
      </c>
      <c r="D168" s="88" t="str">
        <f>D144</f>
        <v>kg</v>
      </c>
      <c r="E168" s="77"/>
      <c r="F168" s="82"/>
      <c r="G168" s="82"/>
      <c r="H168" s="82"/>
    </row>
    <row r="169" spans="2:11" ht="13" hidden="1" outlineLevel="1" x14ac:dyDescent="0.25">
      <c r="B169" s="79" t="s">
        <v>71</v>
      </c>
      <c r="C169" s="150"/>
      <c r="D169" s="81"/>
      <c r="E169" s="77"/>
      <c r="F169" s="82"/>
      <c r="G169" s="82"/>
      <c r="H169" s="82"/>
    </row>
    <row r="170" spans="2:11" ht="13" hidden="1" outlineLevel="1" x14ac:dyDescent="0.25">
      <c r="B170" s="74"/>
      <c r="C170" s="148"/>
      <c r="D170" s="76" t="str">
        <f>D144</f>
        <v>kg</v>
      </c>
      <c r="E170" s="77"/>
      <c r="F170" s="82"/>
      <c r="G170" s="82"/>
      <c r="H170" s="82"/>
    </row>
    <row r="171" spans="2:11" ht="13" hidden="1" outlineLevel="1" x14ac:dyDescent="0.25">
      <c r="B171" s="74"/>
      <c r="C171" s="148"/>
      <c r="D171" s="76" t="str">
        <f>D144</f>
        <v>kg</v>
      </c>
      <c r="E171" s="77"/>
      <c r="F171" s="82"/>
      <c r="G171" s="82"/>
      <c r="H171" s="82"/>
    </row>
    <row r="172" spans="2:11" ht="13" hidden="1" outlineLevel="1" x14ac:dyDescent="0.25">
      <c r="B172" s="74"/>
      <c r="C172" s="148"/>
      <c r="D172" s="76" t="str">
        <f>D144</f>
        <v>kg</v>
      </c>
      <c r="E172" s="77"/>
      <c r="F172" s="82"/>
      <c r="G172" s="82"/>
      <c r="H172" s="82"/>
    </row>
    <row r="173" spans="2:11" ht="13" hidden="1" outlineLevel="1" x14ac:dyDescent="0.25">
      <c r="B173" s="74"/>
      <c r="C173" s="148"/>
      <c r="D173" s="76" t="str">
        <f>D144</f>
        <v>kg</v>
      </c>
      <c r="E173" s="77"/>
      <c r="F173" s="82"/>
      <c r="G173" s="82"/>
      <c r="H173" s="82"/>
    </row>
    <row r="174" spans="2:11" ht="13" hidden="1" outlineLevel="1" x14ac:dyDescent="0.25">
      <c r="B174" s="74"/>
      <c r="C174" s="148"/>
      <c r="D174" s="76" t="str">
        <f>D144</f>
        <v>kg</v>
      </c>
      <c r="E174" s="77"/>
      <c r="F174" s="82"/>
      <c r="G174" s="82"/>
      <c r="H174" s="82"/>
    </row>
    <row r="175" spans="2:11" ht="13" hidden="1" outlineLevel="1" x14ac:dyDescent="0.25">
      <c r="B175" s="74"/>
      <c r="C175" s="148"/>
      <c r="D175" s="76" t="str">
        <f>D144</f>
        <v>kg</v>
      </c>
      <c r="E175" s="90"/>
      <c r="F175" s="82"/>
      <c r="G175" s="82"/>
      <c r="H175" s="82"/>
    </row>
    <row r="176" spans="2:11" ht="13" hidden="1" outlineLevel="1" x14ac:dyDescent="0.25">
      <c r="B176" s="74"/>
      <c r="C176" s="148"/>
      <c r="D176" s="76" t="str">
        <f>D144</f>
        <v>kg</v>
      </c>
      <c r="E176" s="77"/>
      <c r="F176" s="82"/>
      <c r="G176" s="82"/>
      <c r="H176" s="82"/>
    </row>
    <row r="177" spans="2:11" ht="13" hidden="1" outlineLevel="1" x14ac:dyDescent="0.25">
      <c r="B177" s="74"/>
      <c r="C177" s="148"/>
      <c r="D177" s="76" t="str">
        <f>D144</f>
        <v>kg</v>
      </c>
      <c r="E177" s="77"/>
      <c r="F177" s="82"/>
      <c r="G177" s="82"/>
      <c r="H177" s="82"/>
    </row>
    <row r="178" spans="2:11" ht="13" hidden="1" outlineLevel="1" x14ac:dyDescent="0.25">
      <c r="B178" s="79" t="s">
        <v>70</v>
      </c>
      <c r="C178" s="147"/>
      <c r="D178" s="81"/>
      <c r="E178" s="77"/>
      <c r="F178" s="82"/>
      <c r="G178" s="82"/>
      <c r="H178" s="82"/>
    </row>
    <row r="179" spans="2:11" ht="13" hidden="1" outlineLevel="1" x14ac:dyDescent="0.25">
      <c r="B179" s="74"/>
      <c r="C179" s="148"/>
      <c r="D179" s="76" t="str">
        <f>D144</f>
        <v>kg</v>
      </c>
      <c r="E179" s="77"/>
      <c r="F179" s="82"/>
      <c r="G179" s="82"/>
      <c r="H179" s="82"/>
    </row>
    <row r="180" spans="2:11" ht="13.15" hidden="1" customHeight="1" outlineLevel="1" x14ac:dyDescent="0.25">
      <c r="B180" s="74"/>
      <c r="C180" s="148"/>
      <c r="D180" s="76" t="str">
        <f>D144</f>
        <v>kg</v>
      </c>
      <c r="E180" s="77"/>
      <c r="F180" s="82"/>
      <c r="G180" s="82"/>
      <c r="H180" s="82"/>
      <c r="K180" s="34"/>
    </row>
    <row r="181" spans="2:11" ht="13" hidden="1" outlineLevel="1" x14ac:dyDescent="0.25">
      <c r="B181" s="74"/>
      <c r="C181" s="148"/>
      <c r="D181" s="76" t="str">
        <f>D144</f>
        <v>kg</v>
      </c>
      <c r="E181" s="77"/>
      <c r="F181" s="82"/>
      <c r="G181" s="82"/>
      <c r="H181" s="82"/>
    </row>
    <row r="182" spans="2:11" ht="13" hidden="1" outlineLevel="1" x14ac:dyDescent="0.25">
      <c r="B182" s="74"/>
      <c r="C182" s="148"/>
      <c r="D182" s="76" t="str">
        <f>D144</f>
        <v>kg</v>
      </c>
      <c r="E182" s="77"/>
      <c r="F182" s="82"/>
      <c r="G182" s="82"/>
      <c r="H182" s="82"/>
    </row>
    <row r="183" spans="2:11" ht="13" hidden="1" outlineLevel="1" x14ac:dyDescent="0.25">
      <c r="B183" s="74"/>
      <c r="C183" s="148"/>
      <c r="D183" s="76" t="str">
        <f>D144</f>
        <v>kg</v>
      </c>
      <c r="E183" s="77"/>
      <c r="F183" s="82"/>
      <c r="G183" s="82"/>
      <c r="H183" s="82"/>
    </row>
    <row r="184" spans="2:11" ht="13" hidden="1" outlineLevel="1" x14ac:dyDescent="0.25">
      <c r="B184" s="74"/>
      <c r="C184" s="148"/>
      <c r="D184" s="76" t="str">
        <f>D144</f>
        <v>kg</v>
      </c>
      <c r="E184" s="77"/>
      <c r="F184" s="82"/>
      <c r="G184" s="82"/>
      <c r="H184" s="82"/>
    </row>
    <row r="185" spans="2:11" ht="13" hidden="1" outlineLevel="1" x14ac:dyDescent="0.25">
      <c r="B185" s="74"/>
      <c r="C185" s="148"/>
      <c r="D185" s="76" t="str">
        <f>D144</f>
        <v>kg</v>
      </c>
      <c r="E185" s="77"/>
      <c r="F185" s="82"/>
      <c r="G185" s="82"/>
      <c r="H185" s="82"/>
    </row>
    <row r="186" spans="2:11" ht="13" hidden="1" outlineLevel="1" x14ac:dyDescent="0.25">
      <c r="B186" s="79"/>
      <c r="C186" s="147"/>
      <c r="D186" s="81"/>
      <c r="E186" s="77"/>
      <c r="F186" s="82"/>
      <c r="G186" s="82"/>
      <c r="H186" s="82"/>
    </row>
    <row r="187" spans="2:11" ht="13" hidden="1" outlineLevel="1" x14ac:dyDescent="0.25">
      <c r="B187" s="86" t="s">
        <v>9</v>
      </c>
      <c r="C187" s="149">
        <f>SUM(C168:C185)</f>
        <v>0</v>
      </c>
      <c r="D187" s="91" t="str">
        <f>D144</f>
        <v>kg</v>
      </c>
      <c r="E187" s="98"/>
      <c r="F187" s="82"/>
      <c r="G187" s="82"/>
      <c r="H187" s="82"/>
    </row>
    <row r="188" spans="2:11" ht="13.5" hidden="1" outlineLevel="1" thickBot="1" x14ac:dyDescent="0.3">
      <c r="B188" s="92"/>
      <c r="C188" s="93"/>
      <c r="D188" s="94"/>
      <c r="E188" s="98"/>
      <c r="F188" s="82"/>
      <c r="G188" s="82"/>
      <c r="H188" s="82"/>
    </row>
    <row r="189" spans="2:11" ht="20.5" hidden="1" outlineLevel="1" thickBot="1" x14ac:dyDescent="0.3">
      <c r="B189" s="426" t="s">
        <v>10</v>
      </c>
      <c r="C189" s="427"/>
      <c r="D189" s="428"/>
      <c r="E189" s="98"/>
      <c r="F189" s="82"/>
      <c r="G189" s="82"/>
      <c r="H189" s="82"/>
    </row>
    <row r="190" spans="2:11" ht="18" hidden="1" customHeight="1" outlineLevel="1" x14ac:dyDescent="0.25">
      <c r="B190" s="95" t="s">
        <v>23</v>
      </c>
      <c r="C190" s="96"/>
      <c r="D190" s="151">
        <f>SUM(C154:C155)</f>
        <v>0</v>
      </c>
      <c r="E190" s="98"/>
      <c r="F190" s="82"/>
      <c r="G190" s="82"/>
      <c r="H190" s="82"/>
    </row>
    <row r="191" spans="2:11" ht="18" hidden="1" customHeight="1" outlineLevel="1" thickBot="1" x14ac:dyDescent="0.3">
      <c r="B191" s="99" t="s">
        <v>24</v>
      </c>
      <c r="C191" s="100"/>
      <c r="D191" s="152">
        <f>SUM(C157:C167)</f>
        <v>0</v>
      </c>
      <c r="E191" s="77"/>
      <c r="F191" s="110" t="s">
        <v>86</v>
      </c>
      <c r="G191" s="109" t="s">
        <v>85</v>
      </c>
      <c r="H191" s="110"/>
    </row>
    <row r="192" spans="2:11" ht="13.5" hidden="1" outlineLevel="1" thickBot="1" x14ac:dyDescent="0.3">
      <c r="B192" s="99" t="s">
        <v>25</v>
      </c>
      <c r="C192" s="100"/>
      <c r="D192" s="152">
        <f>SUM(C170:C178)</f>
        <v>0</v>
      </c>
      <c r="E192" s="77"/>
      <c r="F192" s="154"/>
      <c r="G192" s="413"/>
      <c r="H192" s="414"/>
    </row>
    <row r="193" spans="2:15" ht="13.5" hidden="1" outlineLevel="1" thickBot="1" x14ac:dyDescent="0.3">
      <c r="B193" s="102" t="s">
        <v>26</v>
      </c>
      <c r="C193" s="103"/>
      <c r="D193" s="153">
        <f>SUM(C179:C186)</f>
        <v>0</v>
      </c>
      <c r="E193" s="90"/>
      <c r="F193" s="64" t="s">
        <v>45</v>
      </c>
      <c r="G193" s="64" t="s">
        <v>45</v>
      </c>
      <c r="H193" s="155"/>
    </row>
    <row r="194" spans="2:15" ht="19" hidden="1" outlineLevel="1" thickTop="1" thickBot="1" x14ac:dyDescent="0.3">
      <c r="B194" s="105" t="s">
        <v>11</v>
      </c>
      <c r="C194" s="106"/>
      <c r="D194" s="107" t="e">
        <f>C168/C150</f>
        <v>#DIV/0!</v>
      </c>
      <c r="E194" s="90"/>
      <c r="F194" s="110"/>
      <c r="G194" s="117" t="s">
        <v>46</v>
      </c>
      <c r="H194" s="110"/>
    </row>
    <row r="195" spans="2:15" ht="18" hidden="1" customHeight="1" outlineLevel="1" thickBot="1" x14ac:dyDescent="0.3">
      <c r="B195" s="111" t="s">
        <v>12</v>
      </c>
      <c r="C195" s="112"/>
      <c r="D195" s="113" t="e">
        <f>(D190+D191+D192)/C150</f>
        <v>#DIV/0!</v>
      </c>
      <c r="E195" s="90"/>
      <c r="F195" s="429"/>
      <c r="G195" s="430"/>
      <c r="H195" s="431"/>
    </row>
    <row r="196" spans="2:15" ht="18" hidden="1" outlineLevel="1" x14ac:dyDescent="0.25">
      <c r="B196" s="111" t="s">
        <v>13</v>
      </c>
      <c r="C196" s="112"/>
      <c r="D196" s="113" t="e">
        <f>D192/C150</f>
        <v>#DIV/0!</v>
      </c>
      <c r="E196" s="77"/>
      <c r="F196" s="64" t="s">
        <v>45</v>
      </c>
      <c r="G196" s="64"/>
      <c r="H196" s="82"/>
    </row>
    <row r="197" spans="2:15" ht="18" hidden="1" outlineLevel="1" x14ac:dyDescent="0.25">
      <c r="B197" s="114" t="s">
        <v>14</v>
      </c>
      <c r="C197" s="115"/>
      <c r="D197" s="116" t="e">
        <f>D193/C150</f>
        <v>#DIV/0!</v>
      </c>
      <c r="E197" s="77"/>
      <c r="F197" s="82"/>
      <c r="G197" s="82"/>
      <c r="H197" s="82"/>
    </row>
    <row r="198" spans="2:15" ht="18.5" hidden="1" outlineLevel="1" thickBot="1" x14ac:dyDescent="0.3">
      <c r="B198" s="114" t="s">
        <v>15</v>
      </c>
      <c r="C198" s="119"/>
      <c r="D198" s="116" t="e">
        <f>SUM(D190:D193)/C150</f>
        <v>#DIV/0!</v>
      </c>
      <c r="E198" s="77"/>
      <c r="F198" s="415" t="s">
        <v>61</v>
      </c>
      <c r="G198" s="416"/>
      <c r="H198" s="416"/>
    </row>
    <row r="199" spans="2:15" ht="18.5" hidden="1" outlineLevel="1" thickTop="1" x14ac:dyDescent="0.25">
      <c r="B199" s="120" t="s">
        <v>16</v>
      </c>
      <c r="C199" s="121"/>
      <c r="D199" s="122" t="e">
        <f>((C154*D132)+D191+C155*MAX(1,F152))/C150</f>
        <v>#DIV/0!</v>
      </c>
      <c r="E199" s="77"/>
      <c r="F199" s="416"/>
      <c r="G199" s="416"/>
      <c r="H199" s="416"/>
    </row>
    <row r="200" spans="2:15" ht="18" hidden="1" outlineLevel="1" x14ac:dyDescent="0.25">
      <c r="B200" s="123" t="s">
        <v>17</v>
      </c>
      <c r="C200" s="124"/>
      <c r="D200" s="125" t="e">
        <f>(C154*D133+D191+D192+C155*(MAX(1,F152)+G152))/C150</f>
        <v>#DIV/0!</v>
      </c>
      <c r="E200" s="77"/>
      <c r="F200" s="416"/>
      <c r="G200" s="416"/>
      <c r="H200" s="416"/>
    </row>
    <row r="201" spans="2:15" ht="18" hidden="1" outlineLevel="1" x14ac:dyDescent="0.25">
      <c r="B201" s="123" t="s">
        <v>18</v>
      </c>
      <c r="C201" s="124"/>
      <c r="D201" s="125" t="e">
        <f>((C154*D134)+D192+C155*G152)/C150</f>
        <v>#DIV/0!</v>
      </c>
      <c r="E201" s="46"/>
      <c r="F201" s="416"/>
      <c r="G201" s="416"/>
      <c r="H201" s="416"/>
    </row>
    <row r="202" spans="2:15" ht="18" hidden="1" outlineLevel="1" x14ac:dyDescent="0.25">
      <c r="B202" s="126" t="s">
        <v>19</v>
      </c>
      <c r="C202" s="127"/>
      <c r="D202" s="128" t="e">
        <f>(C154*D135+D193+C155*H152)/C150</f>
        <v>#DIV/0!</v>
      </c>
      <c r="E202" s="46"/>
      <c r="F202" s="416"/>
      <c r="G202" s="416"/>
      <c r="H202" s="416"/>
    </row>
    <row r="203" spans="2:15" ht="23.25" hidden="1" customHeight="1" outlineLevel="1" thickBot="1" x14ac:dyDescent="0.3">
      <c r="B203" s="129" t="s">
        <v>20</v>
      </c>
      <c r="C203" s="130"/>
      <c r="D203" s="131" t="e">
        <f>((C154*D136)+SUM(D191:D193)+C155*(MAX(1,F152)+G152+H152))/C150</f>
        <v>#DIV/0!</v>
      </c>
      <c r="E203" s="46"/>
      <c r="F203" s="416"/>
      <c r="G203" s="416"/>
      <c r="H203" s="416"/>
      <c r="I203" s="34"/>
      <c r="N203" s="36"/>
      <c r="O203" s="36"/>
    </row>
    <row r="204" spans="2:15" ht="13.5" hidden="1" outlineLevel="1" thickTop="1" x14ac:dyDescent="0.25">
      <c r="B204" s="156" t="s">
        <v>76</v>
      </c>
      <c r="C204" s="424"/>
      <c r="D204" s="425"/>
      <c r="E204" s="46"/>
      <c r="F204" s="34"/>
      <c r="G204" s="34"/>
      <c r="H204" s="34"/>
      <c r="N204" s="36"/>
      <c r="O204" s="36"/>
    </row>
    <row r="205" spans="2:15" ht="13.5" hidden="1" outlineLevel="1" thickBot="1" x14ac:dyDescent="0.3">
      <c r="B205" s="157" t="s">
        <v>58</v>
      </c>
      <c r="C205" s="422"/>
      <c r="D205" s="423"/>
      <c r="E205" s="46"/>
      <c r="F205" s="34"/>
      <c r="G205" s="34"/>
      <c r="H205" s="34"/>
    </row>
    <row r="206" spans="2:15" ht="21" hidden="1" outlineLevel="1" thickTop="1" thickBot="1" x14ac:dyDescent="0.3">
      <c r="B206" s="158" t="s">
        <v>59</v>
      </c>
      <c r="C206" s="420"/>
      <c r="D206" s="421"/>
      <c r="E206" s="31"/>
      <c r="F206" s="32" t="s">
        <v>27</v>
      </c>
      <c r="G206" s="33"/>
      <c r="H206" s="33"/>
    </row>
    <row r="207" spans="2:15" ht="14.5" hidden="1" outlineLevel="1" thickBot="1" x14ac:dyDescent="0.3">
      <c r="E207" s="40"/>
      <c r="F207" s="41" t="s">
        <v>28</v>
      </c>
      <c r="G207" s="41" t="s">
        <v>21</v>
      </c>
      <c r="H207" s="41" t="s">
        <v>8</v>
      </c>
    </row>
    <row r="208" spans="2:15" ht="13" hidden="1" outlineLevel="1" thickBot="1" x14ac:dyDescent="0.3">
      <c r="C208" s="25" t="s">
        <v>44</v>
      </c>
      <c r="D208" s="25" t="s">
        <v>42</v>
      </c>
      <c r="E208" s="46"/>
      <c r="F208" s="47"/>
      <c r="G208" s="47"/>
      <c r="H208" s="47"/>
    </row>
    <row r="209" spans="2:8" ht="20.5" hidden="1" outlineLevel="1" thickTop="1" x14ac:dyDescent="0.25">
      <c r="B209" s="140" t="s">
        <v>73</v>
      </c>
      <c r="C209" s="29"/>
      <c r="D209" s="141"/>
      <c r="E209" s="46"/>
      <c r="F209" s="47"/>
      <c r="G209" s="47"/>
      <c r="H209" s="47"/>
    </row>
    <row r="210" spans="2:8" ht="14" hidden="1" outlineLevel="1" x14ac:dyDescent="0.25">
      <c r="B210" s="37"/>
      <c r="C210" s="38" t="s">
        <v>0</v>
      </c>
      <c r="D210" s="39" t="s">
        <v>1</v>
      </c>
      <c r="E210" s="46"/>
      <c r="F210" s="47"/>
      <c r="G210" s="47"/>
      <c r="H210" s="47"/>
    </row>
    <row r="211" spans="2:8" ht="14" hidden="1" outlineLevel="1" x14ac:dyDescent="0.25">
      <c r="B211" s="43" t="s">
        <v>65</v>
      </c>
      <c r="C211" s="142"/>
      <c r="D211" s="45" t="s">
        <v>2</v>
      </c>
      <c r="E211" s="57"/>
      <c r="F211" s="58"/>
      <c r="G211" s="58"/>
      <c r="H211" s="58"/>
    </row>
    <row r="212" spans="2:8" ht="13" hidden="1" outlineLevel="1" x14ac:dyDescent="0.25">
      <c r="B212" s="43" t="s">
        <v>64</v>
      </c>
      <c r="C212" s="143"/>
      <c r="D212" s="45" t="s">
        <v>3</v>
      </c>
      <c r="E212" s="46"/>
      <c r="F212" s="47"/>
      <c r="G212" s="47"/>
      <c r="H212" s="47"/>
    </row>
    <row r="213" spans="2:8" ht="13" hidden="1" outlineLevel="1" x14ac:dyDescent="0.25">
      <c r="B213" s="51" t="s">
        <v>63</v>
      </c>
      <c r="C213" s="144">
        <f>C211*C212</f>
        <v>0</v>
      </c>
      <c r="D213" s="45" t="str">
        <f>D211</f>
        <v>kg</v>
      </c>
      <c r="E213" s="59"/>
      <c r="F213" s="47"/>
      <c r="G213" s="47"/>
      <c r="H213" s="47"/>
    </row>
    <row r="214" spans="2:8" ht="14" hidden="1" outlineLevel="1" x14ac:dyDescent="0.25">
      <c r="B214" s="54" t="s">
        <v>37</v>
      </c>
      <c r="C214" s="145">
        <v>1</v>
      </c>
      <c r="D214" s="56"/>
      <c r="E214" s="46"/>
      <c r="F214" s="47"/>
      <c r="G214" s="47"/>
      <c r="H214" s="47"/>
    </row>
    <row r="215" spans="2:8" ht="13.5" hidden="1" outlineLevel="1" thickBot="1" x14ac:dyDescent="0.3">
      <c r="B215" s="43" t="s">
        <v>66</v>
      </c>
      <c r="C215" s="142"/>
      <c r="D215" s="45" t="str">
        <f>D211</f>
        <v>kg</v>
      </c>
      <c r="F215" s="64"/>
      <c r="G215" s="64"/>
      <c r="H215" s="64"/>
    </row>
    <row r="216" spans="2:8" ht="14.5" hidden="1" outlineLevel="1" thickBot="1" x14ac:dyDescent="0.3">
      <c r="B216" s="43" t="s">
        <v>67</v>
      </c>
      <c r="C216" s="143"/>
      <c r="D216" s="45" t="s">
        <v>3</v>
      </c>
      <c r="E216" s="68"/>
      <c r="F216" s="69"/>
      <c r="G216" s="69"/>
      <c r="H216" s="69"/>
    </row>
    <row r="217" spans="2:8" ht="13.5" hidden="1" outlineLevel="1" thickBot="1" x14ac:dyDescent="0.3">
      <c r="B217" s="51" t="s">
        <v>68</v>
      </c>
      <c r="C217" s="144">
        <f>C215*C216</f>
        <v>0</v>
      </c>
      <c r="D217" s="45" t="str">
        <f>D211</f>
        <v>kg</v>
      </c>
      <c r="E217" s="73"/>
      <c r="F217" s="69"/>
      <c r="G217" s="69"/>
      <c r="H217" s="69"/>
    </row>
    <row r="218" spans="2:8" ht="13.5" hidden="1" outlineLevel="1" thickBot="1" x14ac:dyDescent="0.3">
      <c r="B218" s="61"/>
      <c r="C218" s="62"/>
      <c r="D218" s="63"/>
      <c r="E218" s="98"/>
      <c r="F218" s="69"/>
      <c r="G218" s="69"/>
      <c r="H218" s="69"/>
    </row>
    <row r="219" spans="2:8" ht="14.5" hidden="1" outlineLevel="1" thickBot="1" x14ac:dyDescent="0.3">
      <c r="B219" s="65" t="s">
        <v>5</v>
      </c>
      <c r="C219" s="66" t="s">
        <v>6</v>
      </c>
      <c r="D219" s="67" t="s">
        <v>1</v>
      </c>
      <c r="E219" s="77"/>
      <c r="F219" s="78"/>
      <c r="G219" s="78"/>
      <c r="H219" s="78"/>
    </row>
    <row r="220" spans="2:8" ht="13" hidden="1" outlineLevel="1" x14ac:dyDescent="0.25">
      <c r="B220" s="70" t="s">
        <v>43</v>
      </c>
      <c r="C220" s="71"/>
      <c r="D220" s="72"/>
      <c r="E220" s="77"/>
      <c r="F220" s="82"/>
      <c r="G220" s="82"/>
      <c r="H220" s="82"/>
    </row>
    <row r="221" spans="2:8" ht="13" hidden="1" outlineLevel="1" x14ac:dyDescent="0.25">
      <c r="B221" s="74"/>
      <c r="C221" s="146">
        <f>C213</f>
        <v>0</v>
      </c>
      <c r="D221" s="76" t="str">
        <f>D211</f>
        <v>kg</v>
      </c>
      <c r="E221" s="77"/>
      <c r="F221" s="82"/>
      <c r="G221" s="82"/>
      <c r="H221" s="82"/>
    </row>
    <row r="222" spans="2:8" ht="13" hidden="1" outlineLevel="1" x14ac:dyDescent="0.25">
      <c r="B222" s="74"/>
      <c r="C222" s="146"/>
      <c r="D222" s="76" t="str">
        <f>D211</f>
        <v>kg</v>
      </c>
      <c r="E222" s="77"/>
      <c r="F222" s="82"/>
      <c r="G222" s="82"/>
      <c r="H222" s="82"/>
    </row>
    <row r="223" spans="2:8" ht="13" hidden="1" outlineLevel="1" x14ac:dyDescent="0.25">
      <c r="B223" s="79" t="s">
        <v>69</v>
      </c>
      <c r="C223" s="147"/>
      <c r="D223" s="81"/>
      <c r="E223" s="77"/>
      <c r="F223" s="82"/>
      <c r="G223" s="82"/>
      <c r="H223" s="82"/>
    </row>
    <row r="224" spans="2:8" ht="13" hidden="1" outlineLevel="1" x14ac:dyDescent="0.25">
      <c r="B224" s="74"/>
      <c r="C224" s="148"/>
      <c r="D224" s="76" t="str">
        <f>D211</f>
        <v>kg</v>
      </c>
      <c r="E224" s="77"/>
      <c r="F224" s="82"/>
      <c r="G224" s="82"/>
      <c r="H224" s="82"/>
    </row>
    <row r="225" spans="2:11" ht="13" hidden="1" outlineLevel="1" x14ac:dyDescent="0.25">
      <c r="B225" s="74"/>
      <c r="C225" s="148"/>
      <c r="D225" s="76" t="str">
        <f>D211</f>
        <v>kg</v>
      </c>
      <c r="E225" s="77"/>
      <c r="F225" s="82"/>
      <c r="G225" s="82"/>
      <c r="H225" s="82"/>
      <c r="J225" s="159"/>
    </row>
    <row r="226" spans="2:11" ht="13" hidden="1" outlineLevel="1" x14ac:dyDescent="0.25">
      <c r="B226" s="74"/>
      <c r="C226" s="148"/>
      <c r="D226" s="76" t="str">
        <f>D211</f>
        <v>kg</v>
      </c>
      <c r="E226" s="77"/>
      <c r="F226" s="82"/>
      <c r="G226" s="82"/>
      <c r="H226" s="82"/>
    </row>
    <row r="227" spans="2:11" ht="13" hidden="1" outlineLevel="1" x14ac:dyDescent="0.25">
      <c r="B227" s="74"/>
      <c r="C227" s="148"/>
      <c r="D227" s="76" t="str">
        <f>D211</f>
        <v>kg</v>
      </c>
      <c r="E227" s="77"/>
      <c r="F227" s="82"/>
      <c r="G227" s="82"/>
      <c r="H227" s="82"/>
    </row>
    <row r="228" spans="2:11" ht="13.15" hidden="1" customHeight="1" outlineLevel="1" x14ac:dyDescent="0.25">
      <c r="B228" s="74"/>
      <c r="C228" s="148"/>
      <c r="D228" s="76" t="str">
        <f>D211</f>
        <v>kg</v>
      </c>
      <c r="E228" s="77"/>
      <c r="F228" s="82"/>
      <c r="G228" s="82"/>
      <c r="H228" s="82"/>
      <c r="K228" s="34"/>
    </row>
    <row r="229" spans="2:11" ht="13" hidden="1" outlineLevel="1" x14ac:dyDescent="0.25">
      <c r="B229" s="74"/>
      <c r="C229" s="148"/>
      <c r="D229" s="76" t="str">
        <f>D211</f>
        <v>kg</v>
      </c>
      <c r="E229" s="77"/>
      <c r="F229" s="82"/>
      <c r="G229" s="82"/>
      <c r="H229" s="82"/>
    </row>
    <row r="230" spans="2:11" ht="13" hidden="1" outlineLevel="1" x14ac:dyDescent="0.25">
      <c r="B230" s="74"/>
      <c r="C230" s="148"/>
      <c r="D230" s="76" t="str">
        <f>D211</f>
        <v>kg</v>
      </c>
      <c r="E230" s="77"/>
      <c r="F230" s="82"/>
      <c r="G230" s="82"/>
      <c r="H230" s="82"/>
    </row>
    <row r="231" spans="2:11" ht="13" hidden="1" outlineLevel="1" x14ac:dyDescent="0.25">
      <c r="B231" s="74"/>
      <c r="C231" s="148"/>
      <c r="D231" s="76" t="str">
        <f>D211</f>
        <v>kg</v>
      </c>
      <c r="E231" s="77"/>
      <c r="F231" s="82"/>
      <c r="G231" s="82"/>
      <c r="H231" s="82"/>
      <c r="J231" s="159"/>
    </row>
    <row r="232" spans="2:11" ht="13" hidden="1" outlineLevel="1" x14ac:dyDescent="0.25">
      <c r="B232" s="74"/>
      <c r="C232" s="148"/>
      <c r="D232" s="76" t="str">
        <f>D211</f>
        <v>kg</v>
      </c>
      <c r="E232" s="77"/>
      <c r="F232" s="82"/>
      <c r="G232" s="82"/>
      <c r="H232" s="82"/>
      <c r="J232" s="159"/>
    </row>
    <row r="233" spans="2:11" ht="13" hidden="1" outlineLevel="1" x14ac:dyDescent="0.25">
      <c r="B233" s="74"/>
      <c r="C233" s="148"/>
      <c r="D233" s="76" t="str">
        <f>D211</f>
        <v>kg</v>
      </c>
      <c r="E233" s="77"/>
      <c r="F233" s="82"/>
      <c r="G233" s="82"/>
      <c r="H233" s="82"/>
      <c r="J233" s="159"/>
    </row>
    <row r="234" spans="2:11" ht="13" hidden="1" outlineLevel="1" x14ac:dyDescent="0.25">
      <c r="B234" s="79"/>
      <c r="C234" s="147"/>
      <c r="D234" s="81"/>
      <c r="E234" s="77"/>
      <c r="F234" s="82"/>
      <c r="G234" s="82"/>
      <c r="H234" s="82"/>
    </row>
    <row r="235" spans="2:11" ht="13" hidden="1" outlineLevel="1" x14ac:dyDescent="0.25">
      <c r="B235" s="86" t="s">
        <v>7</v>
      </c>
      <c r="C235" s="149">
        <f>SUM(C220:C233)</f>
        <v>0</v>
      </c>
      <c r="D235" s="88" t="str">
        <f>D211</f>
        <v>kg</v>
      </c>
      <c r="E235" s="77"/>
      <c r="F235" s="82"/>
      <c r="G235" s="82"/>
      <c r="H235" s="82"/>
    </row>
    <row r="236" spans="2:11" ht="13" hidden="1" outlineLevel="1" x14ac:dyDescent="0.25">
      <c r="B236" s="79" t="s">
        <v>71</v>
      </c>
      <c r="C236" s="150"/>
      <c r="D236" s="81"/>
      <c r="E236" s="77"/>
      <c r="F236" s="82"/>
      <c r="G236" s="82"/>
      <c r="H236" s="82"/>
    </row>
    <row r="237" spans="2:11" ht="13" hidden="1" outlineLevel="1" x14ac:dyDescent="0.25">
      <c r="B237" s="74"/>
      <c r="C237" s="148"/>
      <c r="D237" s="76" t="str">
        <f>D211</f>
        <v>kg</v>
      </c>
      <c r="E237" s="77"/>
      <c r="F237" s="82"/>
      <c r="G237" s="82"/>
      <c r="H237" s="82"/>
    </row>
    <row r="238" spans="2:11" ht="13" hidden="1" outlineLevel="1" x14ac:dyDescent="0.25">
      <c r="B238" s="74"/>
      <c r="C238" s="148"/>
      <c r="D238" s="76" t="str">
        <f>D211</f>
        <v>kg</v>
      </c>
      <c r="E238" s="77"/>
      <c r="F238" s="82"/>
      <c r="G238" s="82"/>
      <c r="H238" s="82"/>
    </row>
    <row r="239" spans="2:11" ht="13" hidden="1" outlineLevel="1" x14ac:dyDescent="0.25">
      <c r="B239" s="74"/>
      <c r="C239" s="148"/>
      <c r="D239" s="76" t="str">
        <f>D211</f>
        <v>kg</v>
      </c>
      <c r="E239" s="77"/>
      <c r="F239" s="82"/>
      <c r="G239" s="82"/>
      <c r="H239" s="82"/>
    </row>
    <row r="240" spans="2:11" ht="13" hidden="1" outlineLevel="1" x14ac:dyDescent="0.25">
      <c r="B240" s="74"/>
      <c r="C240" s="148"/>
      <c r="D240" s="76" t="str">
        <f>D211</f>
        <v>kg</v>
      </c>
      <c r="E240" s="77"/>
      <c r="F240" s="82"/>
      <c r="G240" s="82"/>
      <c r="H240" s="82"/>
    </row>
    <row r="241" spans="2:11" ht="13" hidden="1" outlineLevel="1" x14ac:dyDescent="0.25">
      <c r="B241" s="74"/>
      <c r="C241" s="148"/>
      <c r="D241" s="76" t="str">
        <f>D211</f>
        <v>kg</v>
      </c>
      <c r="E241" s="77"/>
      <c r="F241" s="82"/>
      <c r="G241" s="82"/>
      <c r="H241" s="82"/>
    </row>
    <row r="242" spans="2:11" ht="13" hidden="1" outlineLevel="1" x14ac:dyDescent="0.25">
      <c r="B242" s="74"/>
      <c r="C242" s="148"/>
      <c r="D242" s="76" t="str">
        <f>D211</f>
        <v>kg</v>
      </c>
      <c r="E242" s="90"/>
      <c r="F242" s="82"/>
      <c r="G242" s="82"/>
      <c r="H242" s="82"/>
    </row>
    <row r="243" spans="2:11" ht="13" hidden="1" outlineLevel="1" x14ac:dyDescent="0.25">
      <c r="B243" s="74"/>
      <c r="C243" s="148"/>
      <c r="D243" s="76" t="str">
        <f>D211</f>
        <v>kg</v>
      </c>
      <c r="E243" s="77"/>
      <c r="F243" s="82"/>
      <c r="G243" s="82"/>
      <c r="H243" s="82"/>
    </row>
    <row r="244" spans="2:11" ht="13" hidden="1" outlineLevel="1" x14ac:dyDescent="0.25">
      <c r="B244" s="74"/>
      <c r="C244" s="148"/>
      <c r="D244" s="76" t="str">
        <f>D211</f>
        <v>kg</v>
      </c>
      <c r="E244" s="77"/>
      <c r="F244" s="82"/>
      <c r="G244" s="82"/>
      <c r="H244" s="82"/>
    </row>
    <row r="245" spans="2:11" ht="13" hidden="1" outlineLevel="1" x14ac:dyDescent="0.25">
      <c r="B245" s="79" t="s">
        <v>70</v>
      </c>
      <c r="C245" s="147"/>
      <c r="D245" s="81"/>
      <c r="E245" s="77"/>
      <c r="F245" s="82"/>
      <c r="G245" s="82"/>
      <c r="H245" s="82"/>
    </row>
    <row r="246" spans="2:11" ht="13" hidden="1" outlineLevel="1" x14ac:dyDescent="0.25">
      <c r="B246" s="74"/>
      <c r="C246" s="148"/>
      <c r="D246" s="76" t="str">
        <f>D211</f>
        <v>kg</v>
      </c>
      <c r="E246" s="77"/>
      <c r="F246" s="82"/>
      <c r="G246" s="82"/>
      <c r="H246" s="82"/>
    </row>
    <row r="247" spans="2:11" ht="13.15" hidden="1" customHeight="1" outlineLevel="1" x14ac:dyDescent="0.25">
      <c r="B247" s="74"/>
      <c r="C247" s="148"/>
      <c r="D247" s="76" t="str">
        <f>D211</f>
        <v>kg</v>
      </c>
      <c r="E247" s="77"/>
      <c r="F247" s="82"/>
      <c r="G247" s="82"/>
      <c r="H247" s="82"/>
      <c r="K247" s="34"/>
    </row>
    <row r="248" spans="2:11" ht="13" hidden="1" outlineLevel="1" x14ac:dyDescent="0.25">
      <c r="B248" s="74"/>
      <c r="C248" s="148"/>
      <c r="D248" s="76" t="str">
        <f>D211</f>
        <v>kg</v>
      </c>
      <c r="E248" s="77"/>
      <c r="F248" s="82"/>
      <c r="G248" s="82"/>
      <c r="H248" s="82"/>
    </row>
    <row r="249" spans="2:11" ht="13" hidden="1" outlineLevel="1" x14ac:dyDescent="0.25">
      <c r="B249" s="74"/>
      <c r="C249" s="148"/>
      <c r="D249" s="76" t="str">
        <f>D211</f>
        <v>kg</v>
      </c>
      <c r="E249" s="77"/>
      <c r="F249" s="82"/>
      <c r="G249" s="82"/>
      <c r="H249" s="82"/>
    </row>
    <row r="250" spans="2:11" ht="13" hidden="1" outlineLevel="1" x14ac:dyDescent="0.25">
      <c r="B250" s="74"/>
      <c r="C250" s="148"/>
      <c r="D250" s="76" t="str">
        <f>D211</f>
        <v>kg</v>
      </c>
      <c r="E250" s="77"/>
      <c r="F250" s="82"/>
      <c r="G250" s="82"/>
      <c r="H250" s="82"/>
    </row>
    <row r="251" spans="2:11" ht="13" hidden="1" outlineLevel="1" x14ac:dyDescent="0.25">
      <c r="B251" s="74"/>
      <c r="C251" s="148"/>
      <c r="D251" s="76" t="str">
        <f>D211</f>
        <v>kg</v>
      </c>
      <c r="E251" s="77"/>
      <c r="F251" s="82"/>
      <c r="G251" s="82"/>
      <c r="H251" s="82"/>
    </row>
    <row r="252" spans="2:11" ht="13" hidden="1" outlineLevel="1" x14ac:dyDescent="0.25">
      <c r="B252" s="74"/>
      <c r="C252" s="148"/>
      <c r="D252" s="76" t="str">
        <f>D211</f>
        <v>kg</v>
      </c>
      <c r="E252" s="77"/>
      <c r="F252" s="82"/>
      <c r="G252" s="82"/>
      <c r="H252" s="82"/>
    </row>
    <row r="253" spans="2:11" ht="13" hidden="1" outlineLevel="1" x14ac:dyDescent="0.25">
      <c r="B253" s="79"/>
      <c r="C253" s="147"/>
      <c r="D253" s="81"/>
      <c r="E253" s="77"/>
      <c r="F253" s="82"/>
      <c r="G253" s="82"/>
      <c r="H253" s="82"/>
    </row>
    <row r="254" spans="2:11" ht="13" hidden="1" outlineLevel="1" x14ac:dyDescent="0.25">
      <c r="B254" s="86" t="s">
        <v>9</v>
      </c>
      <c r="C254" s="149">
        <f>SUM(C235:C252)</f>
        <v>0</v>
      </c>
      <c r="D254" s="91" t="str">
        <f>D211</f>
        <v>kg</v>
      </c>
      <c r="E254" s="98"/>
      <c r="F254" s="82"/>
      <c r="G254" s="82"/>
      <c r="H254" s="82"/>
    </row>
    <row r="255" spans="2:11" ht="13.5" hidden="1" outlineLevel="1" thickBot="1" x14ac:dyDescent="0.3">
      <c r="B255" s="92"/>
      <c r="C255" s="93"/>
      <c r="D255" s="94"/>
      <c r="E255" s="98"/>
      <c r="F255" s="82"/>
      <c r="G255" s="82"/>
      <c r="H255" s="82"/>
    </row>
    <row r="256" spans="2:11" ht="20.5" hidden="1" outlineLevel="1" thickBot="1" x14ac:dyDescent="0.3">
      <c r="B256" s="426" t="s">
        <v>10</v>
      </c>
      <c r="C256" s="427"/>
      <c r="D256" s="428"/>
      <c r="E256" s="98"/>
      <c r="F256" s="82"/>
      <c r="G256" s="82"/>
      <c r="H256" s="82"/>
    </row>
    <row r="257" spans="2:15" ht="13" hidden="1" outlineLevel="1" x14ac:dyDescent="0.25">
      <c r="B257" s="95" t="s">
        <v>23</v>
      </c>
      <c r="C257" s="96"/>
      <c r="D257" s="151">
        <f>SUM(C221:C222)</f>
        <v>0</v>
      </c>
      <c r="E257" s="98"/>
      <c r="F257" s="82"/>
      <c r="G257" s="82"/>
      <c r="H257" s="82"/>
    </row>
    <row r="258" spans="2:15" ht="13.5" hidden="1" outlineLevel="1" thickBot="1" x14ac:dyDescent="0.3">
      <c r="B258" s="99" t="s">
        <v>24</v>
      </c>
      <c r="C258" s="100"/>
      <c r="D258" s="152">
        <f>SUM(C224:C234)</f>
        <v>0</v>
      </c>
      <c r="E258" s="77"/>
      <c r="F258" s="110" t="s">
        <v>86</v>
      </c>
      <c r="G258" s="109" t="s">
        <v>85</v>
      </c>
      <c r="H258" s="110"/>
    </row>
    <row r="259" spans="2:15" ht="13.5" hidden="1" outlineLevel="1" thickBot="1" x14ac:dyDescent="0.3">
      <c r="B259" s="99" t="s">
        <v>25</v>
      </c>
      <c r="C259" s="100"/>
      <c r="D259" s="152">
        <f>SUM(C237:C245)</f>
        <v>0</v>
      </c>
      <c r="E259" s="77"/>
      <c r="F259" s="154"/>
      <c r="G259" s="413"/>
      <c r="H259" s="414"/>
    </row>
    <row r="260" spans="2:15" ht="13.5" hidden="1" outlineLevel="1" thickBot="1" x14ac:dyDescent="0.3">
      <c r="B260" s="102" t="s">
        <v>26</v>
      </c>
      <c r="C260" s="103"/>
      <c r="D260" s="153">
        <f>SUM(C246:C253)</f>
        <v>0</v>
      </c>
      <c r="E260" s="90"/>
      <c r="F260" s="64" t="s">
        <v>45</v>
      </c>
      <c r="G260" s="64" t="s">
        <v>45</v>
      </c>
      <c r="H260" s="155"/>
    </row>
    <row r="261" spans="2:15" ht="19" hidden="1" outlineLevel="1" thickTop="1" thickBot="1" x14ac:dyDescent="0.3">
      <c r="B261" s="105" t="s">
        <v>11</v>
      </c>
      <c r="C261" s="106"/>
      <c r="D261" s="107" t="e">
        <f>C235/C217</f>
        <v>#DIV/0!</v>
      </c>
      <c r="E261" s="90"/>
      <c r="F261" s="110"/>
      <c r="G261" s="117" t="s">
        <v>46</v>
      </c>
      <c r="H261" s="110"/>
    </row>
    <row r="262" spans="2:15" ht="18" hidden="1" customHeight="1" outlineLevel="1" thickBot="1" x14ac:dyDescent="0.3">
      <c r="B262" s="111" t="s">
        <v>12</v>
      </c>
      <c r="C262" s="112"/>
      <c r="D262" s="113" t="e">
        <f>(D257+D258+D259)/C217</f>
        <v>#DIV/0!</v>
      </c>
      <c r="E262" s="90"/>
      <c r="F262" s="429"/>
      <c r="G262" s="430"/>
      <c r="H262" s="431"/>
    </row>
    <row r="263" spans="2:15" ht="18" hidden="1" outlineLevel="1" x14ac:dyDescent="0.25">
      <c r="B263" s="111" t="s">
        <v>13</v>
      </c>
      <c r="C263" s="112"/>
      <c r="D263" s="113" t="e">
        <f>D259/C217</f>
        <v>#DIV/0!</v>
      </c>
      <c r="E263" s="77"/>
      <c r="F263" s="64" t="s">
        <v>45</v>
      </c>
      <c r="G263" s="64"/>
      <c r="H263" s="82"/>
    </row>
    <row r="264" spans="2:15" ht="18" hidden="1" outlineLevel="1" x14ac:dyDescent="0.25">
      <c r="B264" s="114" t="s">
        <v>14</v>
      </c>
      <c r="C264" s="115"/>
      <c r="D264" s="116" t="e">
        <f>D260/C217</f>
        <v>#DIV/0!</v>
      </c>
      <c r="E264" s="77"/>
      <c r="F264" s="82"/>
      <c r="G264" s="82"/>
      <c r="H264" s="82"/>
    </row>
    <row r="265" spans="2:15" ht="18.5" hidden="1" outlineLevel="1" thickBot="1" x14ac:dyDescent="0.3">
      <c r="B265" s="114" t="s">
        <v>15</v>
      </c>
      <c r="C265" s="119"/>
      <c r="D265" s="116" t="e">
        <f>SUM(D257:D260)/C217</f>
        <v>#DIV/0!</v>
      </c>
      <c r="E265" s="77"/>
      <c r="F265" s="415" t="s">
        <v>61</v>
      </c>
      <c r="G265" s="416"/>
      <c r="H265" s="416"/>
    </row>
    <row r="266" spans="2:15" ht="18.5" hidden="1" outlineLevel="1" thickTop="1" x14ac:dyDescent="0.25">
      <c r="B266" s="120" t="s">
        <v>16</v>
      </c>
      <c r="C266" s="121"/>
      <c r="D266" s="122" t="e">
        <f>((C221*D199)+D258+C222*MAX(1,F219))/C217</f>
        <v>#DIV/0!</v>
      </c>
      <c r="E266" s="77"/>
      <c r="F266" s="416"/>
      <c r="G266" s="416"/>
      <c r="H266" s="416"/>
    </row>
    <row r="267" spans="2:15" ht="18" hidden="1" outlineLevel="1" x14ac:dyDescent="0.25">
      <c r="B267" s="123" t="s">
        <v>17</v>
      </c>
      <c r="C267" s="124"/>
      <c r="D267" s="125" t="e">
        <f>(C221*D200+D258+D259+C222*(MAX(1,F219)+G219))/C217</f>
        <v>#DIV/0!</v>
      </c>
      <c r="E267" s="77"/>
      <c r="F267" s="416"/>
      <c r="G267" s="416"/>
      <c r="H267" s="416"/>
    </row>
    <row r="268" spans="2:15" ht="18" hidden="1" outlineLevel="1" x14ac:dyDescent="0.25">
      <c r="B268" s="123" t="s">
        <v>18</v>
      </c>
      <c r="C268" s="124"/>
      <c r="D268" s="125" t="e">
        <f>((C221*D201)+D259+C222*G219)/C217</f>
        <v>#DIV/0!</v>
      </c>
      <c r="E268" s="46"/>
      <c r="F268" s="416"/>
      <c r="G268" s="416"/>
      <c r="H268" s="416"/>
    </row>
    <row r="269" spans="2:15" ht="18" hidden="1" outlineLevel="1" x14ac:dyDescent="0.25">
      <c r="B269" s="126" t="s">
        <v>19</v>
      </c>
      <c r="C269" s="127"/>
      <c r="D269" s="128" t="e">
        <f>(C221*D202+D260+C222*H219)/C217</f>
        <v>#DIV/0!</v>
      </c>
      <c r="E269" s="46"/>
      <c r="F269" s="416"/>
      <c r="G269" s="416"/>
      <c r="H269" s="416"/>
    </row>
    <row r="270" spans="2:15" ht="18.5" hidden="1" outlineLevel="1" thickBot="1" x14ac:dyDescent="0.3">
      <c r="B270" s="129" t="s">
        <v>20</v>
      </c>
      <c r="C270" s="130"/>
      <c r="D270" s="131" t="e">
        <f>((C221*D203)+SUM(D258:D260)+C222*(MAX(1,F219)+G219+H219))/C217</f>
        <v>#DIV/0!</v>
      </c>
      <c r="E270" s="46"/>
      <c r="F270" s="416"/>
      <c r="G270" s="416"/>
      <c r="H270" s="416"/>
      <c r="I270" s="34"/>
      <c r="N270" s="36"/>
      <c r="O270" s="36"/>
    </row>
    <row r="271" spans="2:15" ht="13.5" hidden="1" outlineLevel="1" thickTop="1" x14ac:dyDescent="0.25">
      <c r="B271" s="156" t="s">
        <v>76</v>
      </c>
      <c r="C271" s="424"/>
      <c r="D271" s="425"/>
      <c r="E271" s="46"/>
      <c r="F271" s="34"/>
      <c r="G271" s="34"/>
      <c r="H271" s="34"/>
      <c r="N271" s="36"/>
      <c r="O271" s="36"/>
    </row>
    <row r="272" spans="2:15" ht="13.5" hidden="1" outlineLevel="1" thickBot="1" x14ac:dyDescent="0.3">
      <c r="B272" s="157" t="s">
        <v>58</v>
      </c>
      <c r="C272" s="422"/>
      <c r="D272" s="423"/>
      <c r="E272" s="46"/>
      <c r="F272" s="34"/>
      <c r="G272" s="34"/>
      <c r="H272" s="34"/>
    </row>
    <row r="273" spans="2:10" ht="21" hidden="1" outlineLevel="1" thickTop="1" thickBot="1" x14ac:dyDescent="0.3">
      <c r="B273" s="158" t="s">
        <v>59</v>
      </c>
      <c r="C273" s="420"/>
      <c r="D273" s="421"/>
      <c r="E273" s="31"/>
      <c r="F273" s="32" t="s">
        <v>27</v>
      </c>
      <c r="G273" s="33"/>
      <c r="H273" s="33"/>
    </row>
    <row r="274" spans="2:10" ht="14.5" hidden="1" outlineLevel="1" thickBot="1" x14ac:dyDescent="0.3">
      <c r="E274" s="40"/>
      <c r="F274" s="41" t="s">
        <v>28</v>
      </c>
      <c r="G274" s="41" t="s">
        <v>21</v>
      </c>
      <c r="H274" s="41" t="s">
        <v>8</v>
      </c>
    </row>
    <row r="275" spans="2:10" ht="13" hidden="1" outlineLevel="1" thickBot="1" x14ac:dyDescent="0.3">
      <c r="C275" s="25" t="s">
        <v>44</v>
      </c>
      <c r="D275" s="25" t="s">
        <v>42</v>
      </c>
      <c r="E275" s="46"/>
      <c r="F275" s="47"/>
      <c r="G275" s="47"/>
      <c r="H275" s="47"/>
    </row>
    <row r="276" spans="2:10" ht="20.5" hidden="1" outlineLevel="1" thickTop="1" x14ac:dyDescent="0.25">
      <c r="B276" s="140" t="s">
        <v>73</v>
      </c>
      <c r="C276" s="29"/>
      <c r="D276" s="141"/>
      <c r="E276" s="46"/>
      <c r="F276" s="47"/>
      <c r="G276" s="47"/>
      <c r="H276" s="47"/>
      <c r="J276" s="159"/>
    </row>
    <row r="277" spans="2:10" ht="14" hidden="1" outlineLevel="1" x14ac:dyDescent="0.25">
      <c r="B277" s="37"/>
      <c r="C277" s="38" t="s">
        <v>0</v>
      </c>
      <c r="D277" s="39" t="s">
        <v>1</v>
      </c>
      <c r="E277" s="46"/>
      <c r="F277" s="47"/>
      <c r="G277" s="47"/>
      <c r="H277" s="47"/>
    </row>
    <row r="278" spans="2:10" ht="14" hidden="1" outlineLevel="1" x14ac:dyDescent="0.25">
      <c r="B278" s="43" t="s">
        <v>65</v>
      </c>
      <c r="C278" s="142"/>
      <c r="D278" s="45" t="s">
        <v>2</v>
      </c>
      <c r="E278" s="57"/>
      <c r="F278" s="58"/>
      <c r="G278" s="58"/>
      <c r="H278" s="58"/>
    </row>
    <row r="279" spans="2:10" ht="13" hidden="1" outlineLevel="1" x14ac:dyDescent="0.25">
      <c r="B279" s="43" t="s">
        <v>64</v>
      </c>
      <c r="C279" s="143"/>
      <c r="D279" s="45" t="s">
        <v>3</v>
      </c>
      <c r="E279" s="46"/>
      <c r="F279" s="47"/>
      <c r="G279" s="47"/>
      <c r="H279" s="47"/>
    </row>
    <row r="280" spans="2:10" ht="13" hidden="1" outlineLevel="1" x14ac:dyDescent="0.25">
      <c r="B280" s="51" t="s">
        <v>63</v>
      </c>
      <c r="C280" s="144">
        <f>C278*C279</f>
        <v>0</v>
      </c>
      <c r="D280" s="45" t="str">
        <f>D278</f>
        <v>kg</v>
      </c>
      <c r="E280" s="59"/>
      <c r="F280" s="47"/>
      <c r="G280" s="47"/>
      <c r="H280" s="47"/>
    </row>
    <row r="281" spans="2:10" ht="14" hidden="1" outlineLevel="1" x14ac:dyDescent="0.25">
      <c r="B281" s="54" t="s">
        <v>37</v>
      </c>
      <c r="C281" s="145">
        <v>1</v>
      </c>
      <c r="D281" s="56"/>
      <c r="E281" s="46"/>
      <c r="F281" s="47"/>
      <c r="G281" s="47"/>
      <c r="H281" s="47"/>
    </row>
    <row r="282" spans="2:10" ht="13.5" hidden="1" outlineLevel="1" thickBot="1" x14ac:dyDescent="0.3">
      <c r="B282" s="43" t="s">
        <v>66</v>
      </c>
      <c r="C282" s="142"/>
      <c r="D282" s="45" t="str">
        <f>D278</f>
        <v>kg</v>
      </c>
      <c r="F282" s="64"/>
      <c r="G282" s="64"/>
      <c r="H282" s="64"/>
    </row>
    <row r="283" spans="2:10" ht="14.5" hidden="1" outlineLevel="1" thickBot="1" x14ac:dyDescent="0.3">
      <c r="B283" s="43" t="s">
        <v>67</v>
      </c>
      <c r="C283" s="143"/>
      <c r="D283" s="45" t="s">
        <v>3</v>
      </c>
      <c r="E283" s="68"/>
      <c r="F283" s="69"/>
      <c r="G283" s="69"/>
      <c r="H283" s="69"/>
    </row>
    <row r="284" spans="2:10" ht="13.5" hidden="1" outlineLevel="1" thickBot="1" x14ac:dyDescent="0.3">
      <c r="B284" s="51" t="s">
        <v>68</v>
      </c>
      <c r="C284" s="144">
        <f>C282*C283</f>
        <v>0</v>
      </c>
      <c r="D284" s="45" t="str">
        <f>D278</f>
        <v>kg</v>
      </c>
      <c r="E284" s="73"/>
      <c r="F284" s="69"/>
      <c r="G284" s="69"/>
      <c r="H284" s="69"/>
    </row>
    <row r="285" spans="2:10" ht="13.5" hidden="1" outlineLevel="1" thickBot="1" x14ac:dyDescent="0.3">
      <c r="B285" s="61"/>
      <c r="C285" s="62"/>
      <c r="D285" s="63"/>
      <c r="E285" s="98"/>
      <c r="F285" s="69"/>
      <c r="G285" s="69"/>
      <c r="H285" s="69"/>
    </row>
    <row r="286" spans="2:10" ht="14.5" hidden="1" outlineLevel="1" thickBot="1" x14ac:dyDescent="0.3">
      <c r="B286" s="65" t="s">
        <v>5</v>
      </c>
      <c r="C286" s="66" t="s">
        <v>6</v>
      </c>
      <c r="D286" s="67" t="s">
        <v>1</v>
      </c>
      <c r="E286" s="77"/>
      <c r="F286" s="78"/>
      <c r="G286" s="78"/>
      <c r="H286" s="78"/>
    </row>
    <row r="287" spans="2:10" ht="13" hidden="1" outlineLevel="1" x14ac:dyDescent="0.25">
      <c r="B287" s="70" t="s">
        <v>43</v>
      </c>
      <c r="C287" s="71"/>
      <c r="D287" s="72"/>
      <c r="E287" s="77"/>
      <c r="F287" s="82"/>
      <c r="G287" s="82"/>
      <c r="H287" s="82"/>
    </row>
    <row r="288" spans="2:10" ht="13" hidden="1" outlineLevel="1" x14ac:dyDescent="0.25">
      <c r="B288" s="74"/>
      <c r="C288" s="146">
        <f>C280</f>
        <v>0</v>
      </c>
      <c r="D288" s="76" t="str">
        <f>D278</f>
        <v>kg</v>
      </c>
      <c r="E288" s="77"/>
      <c r="F288" s="82"/>
      <c r="G288" s="82"/>
      <c r="H288" s="82"/>
    </row>
    <row r="289" spans="2:11" ht="13" hidden="1" outlineLevel="1" x14ac:dyDescent="0.25">
      <c r="B289" s="74"/>
      <c r="C289" s="146"/>
      <c r="D289" s="76" t="str">
        <f>D278</f>
        <v>kg</v>
      </c>
      <c r="E289" s="77"/>
      <c r="F289" s="82"/>
      <c r="G289" s="82"/>
      <c r="H289" s="82"/>
    </row>
    <row r="290" spans="2:11" ht="13" hidden="1" outlineLevel="1" x14ac:dyDescent="0.25">
      <c r="B290" s="79" t="s">
        <v>69</v>
      </c>
      <c r="C290" s="147"/>
      <c r="D290" s="81"/>
      <c r="E290" s="77"/>
      <c r="F290" s="82"/>
      <c r="G290" s="82"/>
      <c r="H290" s="82"/>
    </row>
    <row r="291" spans="2:11" ht="13" hidden="1" outlineLevel="1" x14ac:dyDescent="0.25">
      <c r="B291" s="74"/>
      <c r="C291" s="148"/>
      <c r="D291" s="76" t="str">
        <f>D278</f>
        <v>kg</v>
      </c>
      <c r="E291" s="77"/>
      <c r="F291" s="82"/>
      <c r="G291" s="82"/>
      <c r="H291" s="82"/>
    </row>
    <row r="292" spans="2:11" ht="13" hidden="1" outlineLevel="1" x14ac:dyDescent="0.25">
      <c r="B292" s="74"/>
      <c r="C292" s="148"/>
      <c r="D292" s="76" t="str">
        <f>D278</f>
        <v>kg</v>
      </c>
      <c r="E292" s="77"/>
      <c r="F292" s="82"/>
      <c r="G292" s="82"/>
      <c r="H292" s="82"/>
    </row>
    <row r="293" spans="2:11" ht="13" hidden="1" outlineLevel="1" x14ac:dyDescent="0.25">
      <c r="B293" s="74"/>
      <c r="C293" s="148"/>
      <c r="D293" s="76" t="str">
        <f>D278</f>
        <v>kg</v>
      </c>
      <c r="E293" s="77"/>
      <c r="F293" s="82"/>
      <c r="G293" s="82"/>
      <c r="H293" s="82"/>
    </row>
    <row r="294" spans="2:11" ht="13" hidden="1" outlineLevel="1" x14ac:dyDescent="0.25">
      <c r="B294" s="74"/>
      <c r="C294" s="148"/>
      <c r="D294" s="76" t="str">
        <f>D278</f>
        <v>kg</v>
      </c>
      <c r="E294" s="77"/>
      <c r="F294" s="82"/>
      <c r="G294" s="82"/>
      <c r="H294" s="82"/>
    </row>
    <row r="295" spans="2:11" ht="13.15" hidden="1" customHeight="1" outlineLevel="1" x14ac:dyDescent="0.25">
      <c r="B295" s="74"/>
      <c r="C295" s="148"/>
      <c r="D295" s="76" t="str">
        <f>D278</f>
        <v>kg</v>
      </c>
      <c r="E295" s="77"/>
      <c r="F295" s="82"/>
      <c r="G295" s="82"/>
      <c r="H295" s="82"/>
      <c r="K295" s="34"/>
    </row>
    <row r="296" spans="2:11" ht="13" hidden="1" outlineLevel="1" x14ac:dyDescent="0.25">
      <c r="B296" s="74"/>
      <c r="C296" s="148"/>
      <c r="D296" s="76" t="str">
        <f>D278</f>
        <v>kg</v>
      </c>
      <c r="E296" s="77"/>
      <c r="F296" s="82"/>
      <c r="G296" s="82"/>
      <c r="H296" s="82"/>
    </row>
    <row r="297" spans="2:11" ht="13" hidden="1" outlineLevel="1" x14ac:dyDescent="0.25">
      <c r="B297" s="74"/>
      <c r="C297" s="148"/>
      <c r="D297" s="76" t="str">
        <f>D278</f>
        <v>kg</v>
      </c>
      <c r="E297" s="77"/>
      <c r="F297" s="82"/>
      <c r="G297" s="82"/>
      <c r="H297" s="82"/>
    </row>
    <row r="298" spans="2:11" ht="13" hidden="1" outlineLevel="1" x14ac:dyDescent="0.25">
      <c r="B298" s="74"/>
      <c r="C298" s="148"/>
      <c r="D298" s="76" t="str">
        <f>D278</f>
        <v>kg</v>
      </c>
      <c r="E298" s="77"/>
      <c r="F298" s="82"/>
      <c r="G298" s="82"/>
      <c r="H298" s="82"/>
    </row>
    <row r="299" spans="2:11" ht="13" hidden="1" outlineLevel="1" x14ac:dyDescent="0.25">
      <c r="B299" s="74"/>
      <c r="C299" s="148"/>
      <c r="D299" s="76" t="str">
        <f>D278</f>
        <v>kg</v>
      </c>
      <c r="E299" s="77"/>
      <c r="F299" s="82"/>
      <c r="G299" s="82"/>
      <c r="H299" s="82"/>
    </row>
    <row r="300" spans="2:11" ht="13" hidden="1" outlineLevel="1" x14ac:dyDescent="0.25">
      <c r="B300" s="74"/>
      <c r="C300" s="148"/>
      <c r="D300" s="76" t="str">
        <f>D278</f>
        <v>kg</v>
      </c>
      <c r="E300" s="77"/>
      <c r="F300" s="82"/>
      <c r="G300" s="82"/>
      <c r="H300" s="82"/>
    </row>
    <row r="301" spans="2:11" ht="13" hidden="1" outlineLevel="1" x14ac:dyDescent="0.25">
      <c r="B301" s="79"/>
      <c r="C301" s="147"/>
      <c r="D301" s="81"/>
      <c r="E301" s="77"/>
      <c r="F301" s="82"/>
      <c r="G301" s="82"/>
      <c r="H301" s="82"/>
    </row>
    <row r="302" spans="2:11" ht="13" hidden="1" outlineLevel="1" x14ac:dyDescent="0.25">
      <c r="B302" s="86" t="s">
        <v>7</v>
      </c>
      <c r="C302" s="149">
        <f>SUM(C287:C300)</f>
        <v>0</v>
      </c>
      <c r="D302" s="88" t="str">
        <f>D278</f>
        <v>kg</v>
      </c>
      <c r="E302" s="77"/>
      <c r="F302" s="82"/>
      <c r="G302" s="82"/>
      <c r="H302" s="82"/>
    </row>
    <row r="303" spans="2:11" ht="13" hidden="1" outlineLevel="1" x14ac:dyDescent="0.25">
      <c r="B303" s="79" t="s">
        <v>71</v>
      </c>
      <c r="C303" s="150"/>
      <c r="D303" s="81"/>
      <c r="E303" s="77"/>
      <c r="F303" s="82"/>
      <c r="G303" s="82"/>
      <c r="H303" s="82"/>
    </row>
    <row r="304" spans="2:11" ht="13" hidden="1" outlineLevel="1" x14ac:dyDescent="0.25">
      <c r="B304" s="74"/>
      <c r="C304" s="148"/>
      <c r="D304" s="76" t="str">
        <f>D278</f>
        <v>kg</v>
      </c>
      <c r="E304" s="77"/>
      <c r="F304" s="82"/>
      <c r="G304" s="82"/>
      <c r="H304" s="82"/>
    </row>
    <row r="305" spans="2:11" ht="13" hidden="1" outlineLevel="1" x14ac:dyDescent="0.25">
      <c r="B305" s="74"/>
      <c r="C305" s="148"/>
      <c r="D305" s="76" t="str">
        <f>D278</f>
        <v>kg</v>
      </c>
      <c r="E305" s="77"/>
      <c r="F305" s="82"/>
      <c r="G305" s="82"/>
      <c r="H305" s="82"/>
    </row>
    <row r="306" spans="2:11" ht="13" hidden="1" outlineLevel="1" x14ac:dyDescent="0.25">
      <c r="B306" s="74"/>
      <c r="C306" s="148"/>
      <c r="D306" s="76" t="str">
        <f>D278</f>
        <v>kg</v>
      </c>
      <c r="E306" s="77"/>
      <c r="F306" s="82"/>
      <c r="G306" s="82"/>
      <c r="H306" s="82"/>
    </row>
    <row r="307" spans="2:11" ht="13" hidden="1" outlineLevel="1" x14ac:dyDescent="0.25">
      <c r="B307" s="74"/>
      <c r="C307" s="148"/>
      <c r="D307" s="76" t="str">
        <f>D278</f>
        <v>kg</v>
      </c>
      <c r="E307" s="77"/>
      <c r="F307" s="82"/>
      <c r="G307" s="82"/>
      <c r="H307" s="82"/>
    </row>
    <row r="308" spans="2:11" ht="13" hidden="1" outlineLevel="1" x14ac:dyDescent="0.25">
      <c r="B308" s="74"/>
      <c r="C308" s="148"/>
      <c r="D308" s="76" t="str">
        <f>D278</f>
        <v>kg</v>
      </c>
      <c r="E308" s="77"/>
      <c r="F308" s="82"/>
      <c r="G308" s="82"/>
      <c r="H308" s="82"/>
    </row>
    <row r="309" spans="2:11" ht="13" hidden="1" outlineLevel="1" x14ac:dyDescent="0.25">
      <c r="B309" s="74"/>
      <c r="C309" s="148"/>
      <c r="D309" s="76" t="str">
        <f>D278</f>
        <v>kg</v>
      </c>
      <c r="E309" s="90"/>
      <c r="F309" s="82"/>
      <c r="G309" s="82"/>
      <c r="H309" s="82"/>
    </row>
    <row r="310" spans="2:11" ht="13" hidden="1" outlineLevel="1" x14ac:dyDescent="0.25">
      <c r="B310" s="74"/>
      <c r="C310" s="148"/>
      <c r="D310" s="76" t="str">
        <f>D278</f>
        <v>kg</v>
      </c>
      <c r="E310" s="77"/>
      <c r="F310" s="82"/>
      <c r="G310" s="82"/>
      <c r="H310" s="82"/>
    </row>
    <row r="311" spans="2:11" ht="13" hidden="1" outlineLevel="1" x14ac:dyDescent="0.25">
      <c r="B311" s="74"/>
      <c r="C311" s="148"/>
      <c r="D311" s="76" t="str">
        <f>D278</f>
        <v>kg</v>
      </c>
      <c r="E311" s="77"/>
      <c r="F311" s="82"/>
      <c r="G311" s="82"/>
      <c r="H311" s="82"/>
    </row>
    <row r="312" spans="2:11" ht="13" hidden="1" outlineLevel="1" x14ac:dyDescent="0.25">
      <c r="B312" s="79" t="s">
        <v>70</v>
      </c>
      <c r="C312" s="147"/>
      <c r="D312" s="81"/>
      <c r="E312" s="77"/>
      <c r="F312" s="82"/>
      <c r="G312" s="82"/>
      <c r="H312" s="82"/>
    </row>
    <row r="313" spans="2:11" ht="13" hidden="1" outlineLevel="1" x14ac:dyDescent="0.25">
      <c r="B313" s="74"/>
      <c r="C313" s="148"/>
      <c r="D313" s="76" t="str">
        <f>D278</f>
        <v>kg</v>
      </c>
      <c r="E313" s="77"/>
      <c r="F313" s="82"/>
      <c r="G313" s="82"/>
      <c r="H313" s="82"/>
    </row>
    <row r="314" spans="2:11" ht="13.15" hidden="1" customHeight="1" outlineLevel="1" x14ac:dyDescent="0.25">
      <c r="B314" s="74"/>
      <c r="C314" s="148"/>
      <c r="D314" s="76" t="str">
        <f>D278</f>
        <v>kg</v>
      </c>
      <c r="E314" s="77"/>
      <c r="F314" s="82"/>
      <c r="G314" s="82"/>
      <c r="H314" s="82"/>
      <c r="K314" s="34"/>
    </row>
    <row r="315" spans="2:11" ht="13" hidden="1" outlineLevel="1" x14ac:dyDescent="0.25">
      <c r="B315" s="74"/>
      <c r="C315" s="148"/>
      <c r="D315" s="76" t="str">
        <f>D278</f>
        <v>kg</v>
      </c>
      <c r="E315" s="77"/>
      <c r="F315" s="82"/>
      <c r="G315" s="82"/>
      <c r="H315" s="82"/>
    </row>
    <row r="316" spans="2:11" ht="13" hidden="1" outlineLevel="1" x14ac:dyDescent="0.25">
      <c r="B316" s="74"/>
      <c r="C316" s="148"/>
      <c r="D316" s="76" t="str">
        <f>D278</f>
        <v>kg</v>
      </c>
      <c r="E316" s="77"/>
      <c r="F316" s="82"/>
      <c r="G316" s="82"/>
      <c r="H316" s="82"/>
    </row>
    <row r="317" spans="2:11" ht="13" hidden="1" outlineLevel="1" x14ac:dyDescent="0.25">
      <c r="B317" s="74"/>
      <c r="C317" s="148"/>
      <c r="D317" s="76" t="str">
        <f>D278</f>
        <v>kg</v>
      </c>
      <c r="E317" s="77"/>
      <c r="F317" s="82"/>
      <c r="G317" s="82"/>
      <c r="H317" s="82"/>
    </row>
    <row r="318" spans="2:11" ht="13" hidden="1" outlineLevel="1" x14ac:dyDescent="0.25">
      <c r="B318" s="74"/>
      <c r="C318" s="148"/>
      <c r="D318" s="76" t="str">
        <f>D278</f>
        <v>kg</v>
      </c>
      <c r="E318" s="77"/>
      <c r="F318" s="82"/>
      <c r="G318" s="82"/>
      <c r="H318" s="82"/>
    </row>
    <row r="319" spans="2:11" ht="13" hidden="1" outlineLevel="1" x14ac:dyDescent="0.25">
      <c r="B319" s="74"/>
      <c r="C319" s="148"/>
      <c r="D319" s="76" t="str">
        <f>D278</f>
        <v>kg</v>
      </c>
      <c r="E319" s="77"/>
      <c r="F319" s="82"/>
      <c r="G319" s="82"/>
      <c r="H319" s="82"/>
    </row>
    <row r="320" spans="2:11" ht="13" hidden="1" outlineLevel="1" x14ac:dyDescent="0.25">
      <c r="B320" s="79"/>
      <c r="C320" s="147"/>
      <c r="D320" s="81"/>
      <c r="E320" s="77"/>
      <c r="F320" s="82"/>
      <c r="G320" s="82"/>
      <c r="H320" s="82"/>
    </row>
    <row r="321" spans="2:8" ht="13" hidden="1" outlineLevel="1" x14ac:dyDescent="0.25">
      <c r="B321" s="86" t="s">
        <v>9</v>
      </c>
      <c r="C321" s="149">
        <f>SUM(C302:C319)</f>
        <v>0</v>
      </c>
      <c r="D321" s="91" t="str">
        <f>D278</f>
        <v>kg</v>
      </c>
      <c r="E321" s="98"/>
      <c r="F321" s="82"/>
      <c r="G321" s="82"/>
      <c r="H321" s="82"/>
    </row>
    <row r="322" spans="2:8" ht="13.5" hidden="1" outlineLevel="1" thickBot="1" x14ac:dyDescent="0.3">
      <c r="B322" s="92"/>
      <c r="C322" s="93"/>
      <c r="D322" s="94"/>
      <c r="E322" s="98"/>
      <c r="F322" s="82"/>
      <c r="G322" s="82"/>
      <c r="H322" s="82"/>
    </row>
    <row r="323" spans="2:8" ht="20.5" hidden="1" outlineLevel="1" thickBot="1" x14ac:dyDescent="0.3">
      <c r="B323" s="426" t="s">
        <v>10</v>
      </c>
      <c r="C323" s="427"/>
      <c r="D323" s="428"/>
      <c r="E323" s="98"/>
      <c r="F323" s="82"/>
      <c r="G323" s="82"/>
      <c r="H323" s="82"/>
    </row>
    <row r="324" spans="2:8" ht="13" hidden="1" outlineLevel="1" x14ac:dyDescent="0.25">
      <c r="B324" s="95" t="s">
        <v>23</v>
      </c>
      <c r="C324" s="96"/>
      <c r="D324" s="151">
        <f>SUM(C288:C289)</f>
        <v>0</v>
      </c>
      <c r="E324" s="98"/>
      <c r="F324" s="82"/>
      <c r="G324" s="82"/>
      <c r="H324" s="82"/>
    </row>
    <row r="325" spans="2:8" ht="13.5" hidden="1" outlineLevel="1" thickBot="1" x14ac:dyDescent="0.3">
      <c r="B325" s="99" t="s">
        <v>24</v>
      </c>
      <c r="C325" s="100"/>
      <c r="D325" s="152">
        <f>SUM(C291:C301)</f>
        <v>0</v>
      </c>
      <c r="E325" s="77"/>
      <c r="F325" s="110" t="s">
        <v>86</v>
      </c>
      <c r="G325" s="109" t="s">
        <v>85</v>
      </c>
      <c r="H325" s="110"/>
    </row>
    <row r="326" spans="2:8" ht="13.5" hidden="1" outlineLevel="1" thickBot="1" x14ac:dyDescent="0.3">
      <c r="B326" s="99" t="s">
        <v>25</v>
      </c>
      <c r="C326" s="100"/>
      <c r="D326" s="152">
        <f>SUM(C304:C312)</f>
        <v>0</v>
      </c>
      <c r="E326" s="77"/>
      <c r="F326" s="154"/>
      <c r="G326" s="413"/>
      <c r="H326" s="414"/>
    </row>
    <row r="327" spans="2:8" ht="13.5" hidden="1" outlineLevel="1" thickBot="1" x14ac:dyDescent="0.3">
      <c r="B327" s="102" t="s">
        <v>26</v>
      </c>
      <c r="C327" s="103"/>
      <c r="D327" s="153">
        <f>SUM(C313:C320)</f>
        <v>0</v>
      </c>
      <c r="E327" s="90"/>
      <c r="F327" s="64" t="s">
        <v>45</v>
      </c>
      <c r="G327" s="64" t="s">
        <v>45</v>
      </c>
      <c r="H327" s="155"/>
    </row>
    <row r="328" spans="2:8" ht="19" hidden="1" outlineLevel="1" thickTop="1" thickBot="1" x14ac:dyDescent="0.3">
      <c r="B328" s="105" t="s">
        <v>11</v>
      </c>
      <c r="C328" s="106"/>
      <c r="D328" s="107" t="e">
        <f>C302/C284</f>
        <v>#DIV/0!</v>
      </c>
      <c r="E328" s="90"/>
      <c r="F328" s="110"/>
      <c r="G328" s="117" t="s">
        <v>46</v>
      </c>
      <c r="H328" s="110"/>
    </row>
    <row r="329" spans="2:8" ht="18" hidden="1" customHeight="1" outlineLevel="1" thickBot="1" x14ac:dyDescent="0.3">
      <c r="B329" s="111" t="s">
        <v>12</v>
      </c>
      <c r="C329" s="112"/>
      <c r="D329" s="113" t="e">
        <f>(D324+D325+D326)/C284</f>
        <v>#DIV/0!</v>
      </c>
      <c r="E329" s="90"/>
      <c r="F329" s="429"/>
      <c r="G329" s="430"/>
      <c r="H329" s="431"/>
    </row>
    <row r="330" spans="2:8" ht="18" hidden="1" outlineLevel="1" x14ac:dyDescent="0.25">
      <c r="B330" s="111" t="s">
        <v>13</v>
      </c>
      <c r="C330" s="112"/>
      <c r="D330" s="113" t="e">
        <f>D326/C284</f>
        <v>#DIV/0!</v>
      </c>
      <c r="E330" s="77"/>
      <c r="F330" s="64" t="s">
        <v>45</v>
      </c>
      <c r="G330" s="64"/>
      <c r="H330" s="82"/>
    </row>
    <row r="331" spans="2:8" ht="18" hidden="1" outlineLevel="1" x14ac:dyDescent="0.25">
      <c r="B331" s="114" t="s">
        <v>14</v>
      </c>
      <c r="C331" s="115"/>
      <c r="D331" s="116" t="e">
        <f>D327/C284</f>
        <v>#DIV/0!</v>
      </c>
      <c r="E331" s="77"/>
      <c r="F331" s="82"/>
      <c r="G331" s="82"/>
      <c r="H331" s="82"/>
    </row>
    <row r="332" spans="2:8" ht="18.5" hidden="1" outlineLevel="1" thickBot="1" x14ac:dyDescent="0.3">
      <c r="B332" s="114" t="s">
        <v>15</v>
      </c>
      <c r="C332" s="119"/>
      <c r="D332" s="116" t="e">
        <f>SUM(D324:D327)/C284</f>
        <v>#DIV/0!</v>
      </c>
      <c r="E332" s="77"/>
      <c r="F332" s="415" t="s">
        <v>61</v>
      </c>
      <c r="G332" s="416"/>
      <c r="H332" s="416"/>
    </row>
    <row r="333" spans="2:8" ht="18.5" hidden="1" outlineLevel="1" thickTop="1" x14ac:dyDescent="0.25">
      <c r="B333" s="120" t="s">
        <v>16</v>
      </c>
      <c r="C333" s="121"/>
      <c r="D333" s="122" t="e">
        <f>((C288*D266)+D325+C289*MAX(1,F286))/C284</f>
        <v>#DIV/0!</v>
      </c>
      <c r="E333" s="77"/>
      <c r="F333" s="416"/>
      <c r="G333" s="416"/>
      <c r="H333" s="416"/>
    </row>
    <row r="334" spans="2:8" ht="18" hidden="1" outlineLevel="1" x14ac:dyDescent="0.25">
      <c r="B334" s="123" t="s">
        <v>17</v>
      </c>
      <c r="C334" s="124"/>
      <c r="D334" s="125" t="e">
        <f>(C288*D267+D325+D326+C289*(MAX(1,F286)+G286))/C284</f>
        <v>#DIV/0!</v>
      </c>
      <c r="E334" s="77"/>
      <c r="F334" s="416"/>
      <c r="G334" s="416"/>
      <c r="H334" s="416"/>
    </row>
    <row r="335" spans="2:8" ht="18" hidden="1" outlineLevel="1" x14ac:dyDescent="0.25">
      <c r="B335" s="123" t="s">
        <v>18</v>
      </c>
      <c r="C335" s="124"/>
      <c r="D335" s="125" t="e">
        <f>((C288*D268)+D326+C289*G286)/C284</f>
        <v>#DIV/0!</v>
      </c>
      <c r="E335" s="46"/>
      <c r="F335" s="416"/>
      <c r="G335" s="416"/>
      <c r="H335" s="416"/>
    </row>
    <row r="336" spans="2:8" ht="18" hidden="1" outlineLevel="1" x14ac:dyDescent="0.25">
      <c r="B336" s="126" t="s">
        <v>19</v>
      </c>
      <c r="C336" s="127"/>
      <c r="D336" s="128" t="e">
        <f>(C288*D269+D327+C289*H286)/C284</f>
        <v>#DIV/0!</v>
      </c>
      <c r="E336" s="46"/>
      <c r="F336" s="416"/>
      <c r="G336" s="416"/>
      <c r="H336" s="416"/>
    </row>
    <row r="337" spans="2:15" ht="18.5" hidden="1" outlineLevel="1" thickBot="1" x14ac:dyDescent="0.3">
      <c r="B337" s="129" t="s">
        <v>20</v>
      </c>
      <c r="C337" s="130"/>
      <c r="D337" s="131" t="e">
        <f>((C288*D270)+SUM(D325:D327)+C289*(MAX(1,F286)+G286+H286))/C284</f>
        <v>#DIV/0!</v>
      </c>
      <c r="E337" s="46"/>
      <c r="F337" s="416"/>
      <c r="G337" s="416"/>
      <c r="H337" s="416"/>
      <c r="I337" s="34"/>
      <c r="N337" s="36"/>
      <c r="O337" s="36"/>
    </row>
    <row r="338" spans="2:15" ht="13.5" hidden="1" outlineLevel="1" thickTop="1" x14ac:dyDescent="0.25">
      <c r="B338" s="156" t="s">
        <v>76</v>
      </c>
      <c r="C338" s="424"/>
      <c r="D338" s="425"/>
      <c r="E338" s="46"/>
      <c r="F338" s="34"/>
      <c r="G338" s="34"/>
      <c r="H338" s="34"/>
      <c r="N338" s="36"/>
      <c r="O338" s="36"/>
    </row>
    <row r="339" spans="2:15" ht="13.5" hidden="1" outlineLevel="1" thickBot="1" x14ac:dyDescent="0.3">
      <c r="B339" s="157" t="s">
        <v>58</v>
      </c>
      <c r="C339" s="422"/>
      <c r="D339" s="423"/>
      <c r="E339" s="46"/>
      <c r="F339" s="34"/>
      <c r="G339" s="34"/>
      <c r="H339" s="34"/>
    </row>
    <row r="340" spans="2:15" ht="21" hidden="1" outlineLevel="1" thickTop="1" thickBot="1" x14ac:dyDescent="0.3">
      <c r="B340" s="158" t="s">
        <v>59</v>
      </c>
      <c r="C340" s="420"/>
      <c r="D340" s="421"/>
      <c r="E340" s="31"/>
      <c r="F340" s="32" t="s">
        <v>27</v>
      </c>
      <c r="G340" s="33"/>
      <c r="H340" s="33"/>
      <c r="J340" s="159"/>
    </row>
    <row r="341" spans="2:15" ht="14.5" hidden="1" outlineLevel="1" thickBot="1" x14ac:dyDescent="0.3">
      <c r="E341" s="40"/>
      <c r="F341" s="41" t="s">
        <v>28</v>
      </c>
      <c r="G341" s="41" t="s">
        <v>21</v>
      </c>
      <c r="H341" s="41" t="s">
        <v>8</v>
      </c>
    </row>
    <row r="342" spans="2:15" ht="13" hidden="1" outlineLevel="1" thickBot="1" x14ac:dyDescent="0.3">
      <c r="C342" s="25" t="s">
        <v>44</v>
      </c>
      <c r="D342" s="25" t="s">
        <v>42</v>
      </c>
      <c r="E342" s="46"/>
      <c r="F342" s="47"/>
      <c r="G342" s="47"/>
      <c r="H342" s="47"/>
    </row>
    <row r="343" spans="2:15" ht="20.5" hidden="1" outlineLevel="1" thickTop="1" x14ac:dyDescent="0.25">
      <c r="B343" s="140" t="s">
        <v>73</v>
      </c>
      <c r="C343" s="29"/>
      <c r="D343" s="141"/>
      <c r="E343" s="46"/>
      <c r="F343" s="47"/>
      <c r="G343" s="47"/>
      <c r="H343" s="47"/>
    </row>
    <row r="344" spans="2:15" ht="14" hidden="1" outlineLevel="1" x14ac:dyDescent="0.25">
      <c r="B344" s="37"/>
      <c r="C344" s="38" t="s">
        <v>0</v>
      </c>
      <c r="D344" s="39" t="s">
        <v>1</v>
      </c>
      <c r="E344" s="46"/>
      <c r="F344" s="47"/>
      <c r="G344" s="47"/>
      <c r="H344" s="47"/>
    </row>
    <row r="345" spans="2:15" ht="14" hidden="1" outlineLevel="1" x14ac:dyDescent="0.25">
      <c r="B345" s="43" t="s">
        <v>65</v>
      </c>
      <c r="C345" s="142"/>
      <c r="D345" s="45" t="s">
        <v>2</v>
      </c>
      <c r="E345" s="57"/>
      <c r="F345" s="58"/>
      <c r="G345" s="58"/>
      <c r="H345" s="58"/>
    </row>
    <row r="346" spans="2:15" ht="13" hidden="1" outlineLevel="1" x14ac:dyDescent="0.25">
      <c r="B346" s="43" t="s">
        <v>64</v>
      </c>
      <c r="C346" s="143"/>
      <c r="D346" s="45" t="s">
        <v>3</v>
      </c>
      <c r="E346" s="46"/>
      <c r="F346" s="47"/>
      <c r="G346" s="47"/>
      <c r="H346" s="47"/>
    </row>
    <row r="347" spans="2:15" ht="13" hidden="1" outlineLevel="1" x14ac:dyDescent="0.25">
      <c r="B347" s="51" t="s">
        <v>63</v>
      </c>
      <c r="C347" s="144">
        <f>C345*C346</f>
        <v>0</v>
      </c>
      <c r="D347" s="45" t="str">
        <f>D345</f>
        <v>kg</v>
      </c>
      <c r="E347" s="59"/>
      <c r="F347" s="47"/>
      <c r="G347" s="47"/>
      <c r="H347" s="47"/>
    </row>
    <row r="348" spans="2:15" ht="14" hidden="1" outlineLevel="1" x14ac:dyDescent="0.25">
      <c r="B348" s="54" t="s">
        <v>37</v>
      </c>
      <c r="C348" s="145">
        <v>1</v>
      </c>
      <c r="D348" s="56"/>
      <c r="E348" s="46"/>
      <c r="F348" s="47"/>
      <c r="G348" s="47"/>
      <c r="H348" s="47"/>
    </row>
    <row r="349" spans="2:15" ht="13.5" hidden="1" outlineLevel="1" thickBot="1" x14ac:dyDescent="0.3">
      <c r="B349" s="43" t="s">
        <v>66</v>
      </c>
      <c r="C349" s="142"/>
      <c r="D349" s="45" t="str">
        <f>D345</f>
        <v>kg</v>
      </c>
      <c r="F349" s="64"/>
      <c r="G349" s="64"/>
      <c r="H349" s="64"/>
    </row>
    <row r="350" spans="2:15" ht="14.5" hidden="1" outlineLevel="1" thickBot="1" x14ac:dyDescent="0.3">
      <c r="B350" s="43" t="s">
        <v>67</v>
      </c>
      <c r="C350" s="143"/>
      <c r="D350" s="45" t="s">
        <v>3</v>
      </c>
      <c r="E350" s="68"/>
      <c r="F350" s="69"/>
      <c r="G350" s="69"/>
      <c r="H350" s="69"/>
    </row>
    <row r="351" spans="2:15" ht="13.5" hidden="1" outlineLevel="1" thickBot="1" x14ac:dyDescent="0.3">
      <c r="B351" s="51" t="s">
        <v>68</v>
      </c>
      <c r="C351" s="144">
        <f>C349*C350</f>
        <v>0</v>
      </c>
      <c r="D351" s="45" t="str">
        <f>D345</f>
        <v>kg</v>
      </c>
      <c r="E351" s="73"/>
      <c r="F351" s="69"/>
      <c r="G351" s="69"/>
      <c r="H351" s="69"/>
    </row>
    <row r="352" spans="2:15" ht="13.5" hidden="1" outlineLevel="1" thickBot="1" x14ac:dyDescent="0.3">
      <c r="B352" s="61"/>
      <c r="C352" s="62"/>
      <c r="D352" s="63"/>
      <c r="E352" s="98"/>
      <c r="F352" s="69"/>
      <c r="G352" s="69"/>
      <c r="H352" s="69"/>
    </row>
    <row r="353" spans="2:11" ht="14.5" hidden="1" outlineLevel="1" thickBot="1" x14ac:dyDescent="0.3">
      <c r="B353" s="65" t="s">
        <v>5</v>
      </c>
      <c r="C353" s="66" t="s">
        <v>6</v>
      </c>
      <c r="D353" s="67" t="s">
        <v>1</v>
      </c>
      <c r="E353" s="77"/>
      <c r="F353" s="78"/>
      <c r="G353" s="78"/>
      <c r="H353" s="78"/>
    </row>
    <row r="354" spans="2:11" ht="13" hidden="1" outlineLevel="1" x14ac:dyDescent="0.25">
      <c r="B354" s="70" t="s">
        <v>43</v>
      </c>
      <c r="C354" s="71"/>
      <c r="D354" s="72"/>
      <c r="E354" s="77"/>
      <c r="F354" s="82"/>
      <c r="G354" s="82"/>
      <c r="H354" s="82"/>
    </row>
    <row r="355" spans="2:11" ht="13" hidden="1" outlineLevel="1" x14ac:dyDescent="0.25">
      <c r="B355" s="74"/>
      <c r="C355" s="146">
        <f>C347</f>
        <v>0</v>
      </c>
      <c r="D355" s="76" t="str">
        <f>D345</f>
        <v>kg</v>
      </c>
      <c r="E355" s="77"/>
      <c r="F355" s="82"/>
      <c r="G355" s="82"/>
      <c r="H355" s="82"/>
    </row>
    <row r="356" spans="2:11" ht="13" hidden="1" outlineLevel="1" x14ac:dyDescent="0.25">
      <c r="B356" s="74"/>
      <c r="C356" s="146"/>
      <c r="D356" s="76" t="str">
        <f>D345</f>
        <v>kg</v>
      </c>
      <c r="E356" s="77"/>
      <c r="F356" s="82"/>
      <c r="G356" s="82"/>
      <c r="H356" s="82"/>
    </row>
    <row r="357" spans="2:11" ht="13" hidden="1" outlineLevel="1" x14ac:dyDescent="0.25">
      <c r="B357" s="79" t="s">
        <v>69</v>
      </c>
      <c r="C357" s="147"/>
      <c r="D357" s="81"/>
      <c r="E357" s="77"/>
      <c r="F357" s="82"/>
      <c r="G357" s="82"/>
      <c r="H357" s="82"/>
    </row>
    <row r="358" spans="2:11" ht="13" hidden="1" outlineLevel="1" x14ac:dyDescent="0.25">
      <c r="B358" s="74"/>
      <c r="C358" s="148"/>
      <c r="D358" s="76" t="str">
        <f>D345</f>
        <v>kg</v>
      </c>
      <c r="E358" s="77"/>
      <c r="F358" s="82"/>
      <c r="G358" s="82"/>
      <c r="H358" s="82"/>
    </row>
    <row r="359" spans="2:11" ht="13" hidden="1" outlineLevel="1" x14ac:dyDescent="0.25">
      <c r="B359" s="74"/>
      <c r="C359" s="148"/>
      <c r="D359" s="76" t="str">
        <f>D345</f>
        <v>kg</v>
      </c>
      <c r="E359" s="77"/>
      <c r="F359" s="82"/>
      <c r="G359" s="82"/>
      <c r="H359" s="82"/>
    </row>
    <row r="360" spans="2:11" ht="13" hidden="1" outlineLevel="1" x14ac:dyDescent="0.25">
      <c r="B360" s="74"/>
      <c r="C360" s="148"/>
      <c r="D360" s="76" t="str">
        <f>D345</f>
        <v>kg</v>
      </c>
      <c r="E360" s="77"/>
      <c r="F360" s="82"/>
      <c r="G360" s="82"/>
      <c r="H360" s="82"/>
    </row>
    <row r="361" spans="2:11" ht="13" hidden="1" outlineLevel="1" x14ac:dyDescent="0.25">
      <c r="B361" s="74"/>
      <c r="C361" s="148"/>
      <c r="D361" s="76" t="str">
        <f>D345</f>
        <v>kg</v>
      </c>
      <c r="E361" s="77"/>
      <c r="F361" s="82"/>
      <c r="G361" s="82"/>
      <c r="H361" s="82"/>
    </row>
    <row r="362" spans="2:11" ht="13.15" hidden="1" customHeight="1" outlineLevel="1" x14ac:dyDescent="0.25">
      <c r="B362" s="74"/>
      <c r="C362" s="148"/>
      <c r="D362" s="76" t="str">
        <f>D345</f>
        <v>kg</v>
      </c>
      <c r="E362" s="77"/>
      <c r="F362" s="82"/>
      <c r="G362" s="82"/>
      <c r="H362" s="82"/>
      <c r="K362" s="34"/>
    </row>
    <row r="363" spans="2:11" ht="13" hidden="1" outlineLevel="1" x14ac:dyDescent="0.25">
      <c r="B363" s="74"/>
      <c r="C363" s="148"/>
      <c r="D363" s="76" t="str">
        <f>D345</f>
        <v>kg</v>
      </c>
      <c r="E363" s="77"/>
      <c r="F363" s="82"/>
      <c r="G363" s="82"/>
      <c r="H363" s="82"/>
    </row>
    <row r="364" spans="2:11" ht="13" hidden="1" outlineLevel="1" x14ac:dyDescent="0.25">
      <c r="B364" s="74"/>
      <c r="C364" s="148"/>
      <c r="D364" s="76" t="str">
        <f>D345</f>
        <v>kg</v>
      </c>
      <c r="E364" s="77"/>
      <c r="F364" s="82"/>
      <c r="G364" s="82"/>
      <c r="H364" s="82"/>
    </row>
    <row r="365" spans="2:11" ht="13" hidden="1" outlineLevel="1" x14ac:dyDescent="0.25">
      <c r="B365" s="74"/>
      <c r="C365" s="148"/>
      <c r="D365" s="76" t="str">
        <f>D345</f>
        <v>kg</v>
      </c>
      <c r="E365" s="77"/>
      <c r="F365" s="82"/>
      <c r="G365" s="82"/>
      <c r="H365" s="82"/>
    </row>
    <row r="366" spans="2:11" ht="13" hidden="1" outlineLevel="1" x14ac:dyDescent="0.25">
      <c r="B366" s="74"/>
      <c r="C366" s="148"/>
      <c r="D366" s="76" t="str">
        <f>D345</f>
        <v>kg</v>
      </c>
      <c r="E366" s="77"/>
      <c r="F366" s="82"/>
      <c r="G366" s="82"/>
      <c r="H366" s="82"/>
    </row>
    <row r="367" spans="2:11" ht="13" hidden="1" outlineLevel="1" x14ac:dyDescent="0.25">
      <c r="B367" s="74"/>
      <c r="C367" s="148"/>
      <c r="D367" s="76" t="str">
        <f>D345</f>
        <v>kg</v>
      </c>
      <c r="E367" s="77"/>
      <c r="F367" s="82"/>
      <c r="G367" s="82"/>
      <c r="H367" s="82"/>
    </row>
    <row r="368" spans="2:11" ht="13" hidden="1" outlineLevel="1" x14ac:dyDescent="0.25">
      <c r="B368" s="79"/>
      <c r="C368" s="147"/>
      <c r="D368" s="81"/>
      <c r="E368" s="77"/>
      <c r="F368" s="82"/>
      <c r="G368" s="82"/>
      <c r="H368" s="82"/>
    </row>
    <row r="369" spans="2:11" ht="13" hidden="1" outlineLevel="1" x14ac:dyDescent="0.25">
      <c r="B369" s="86" t="s">
        <v>7</v>
      </c>
      <c r="C369" s="149">
        <f>SUM(C354:C367)</f>
        <v>0</v>
      </c>
      <c r="D369" s="88" t="str">
        <f>D345</f>
        <v>kg</v>
      </c>
      <c r="E369" s="77"/>
      <c r="F369" s="82"/>
      <c r="G369" s="82"/>
      <c r="H369" s="82"/>
    </row>
    <row r="370" spans="2:11" ht="13" hidden="1" outlineLevel="1" x14ac:dyDescent="0.25">
      <c r="B370" s="79" t="s">
        <v>71</v>
      </c>
      <c r="C370" s="150"/>
      <c r="D370" s="81"/>
      <c r="E370" s="77"/>
      <c r="F370" s="82"/>
      <c r="G370" s="82"/>
      <c r="H370" s="82"/>
    </row>
    <row r="371" spans="2:11" ht="13" hidden="1" outlineLevel="1" x14ac:dyDescent="0.25">
      <c r="B371" s="74"/>
      <c r="C371" s="148"/>
      <c r="D371" s="76" t="str">
        <f>D345</f>
        <v>kg</v>
      </c>
      <c r="E371" s="77"/>
      <c r="F371" s="82"/>
      <c r="G371" s="82"/>
      <c r="H371" s="82"/>
    </row>
    <row r="372" spans="2:11" ht="13" hidden="1" outlineLevel="1" x14ac:dyDescent="0.25">
      <c r="B372" s="74"/>
      <c r="C372" s="148"/>
      <c r="D372" s="76" t="str">
        <f>D345</f>
        <v>kg</v>
      </c>
      <c r="E372" s="77"/>
      <c r="F372" s="82"/>
      <c r="G372" s="82"/>
      <c r="H372" s="82"/>
    </row>
    <row r="373" spans="2:11" ht="13" hidden="1" outlineLevel="1" x14ac:dyDescent="0.25">
      <c r="B373" s="74"/>
      <c r="C373" s="148"/>
      <c r="D373" s="76" t="str">
        <f>D345</f>
        <v>kg</v>
      </c>
      <c r="E373" s="77"/>
      <c r="F373" s="82"/>
      <c r="G373" s="82"/>
      <c r="H373" s="82"/>
    </row>
    <row r="374" spans="2:11" ht="13" hidden="1" outlineLevel="1" x14ac:dyDescent="0.25">
      <c r="B374" s="74"/>
      <c r="C374" s="148"/>
      <c r="D374" s="76" t="str">
        <f>D345</f>
        <v>kg</v>
      </c>
      <c r="E374" s="77"/>
      <c r="F374" s="82"/>
      <c r="G374" s="82"/>
      <c r="H374" s="82"/>
    </row>
    <row r="375" spans="2:11" ht="13" hidden="1" outlineLevel="1" x14ac:dyDescent="0.25">
      <c r="B375" s="74"/>
      <c r="C375" s="148"/>
      <c r="D375" s="76" t="str">
        <f>D345</f>
        <v>kg</v>
      </c>
      <c r="E375" s="77"/>
      <c r="F375" s="82"/>
      <c r="G375" s="82"/>
      <c r="H375" s="82"/>
    </row>
    <row r="376" spans="2:11" ht="13" hidden="1" outlineLevel="1" x14ac:dyDescent="0.25">
      <c r="B376" s="74"/>
      <c r="C376" s="148"/>
      <c r="D376" s="76" t="str">
        <f>D345</f>
        <v>kg</v>
      </c>
      <c r="E376" s="90"/>
      <c r="F376" s="82"/>
      <c r="G376" s="82"/>
      <c r="H376" s="82"/>
    </row>
    <row r="377" spans="2:11" ht="13" hidden="1" outlineLevel="1" x14ac:dyDescent="0.25">
      <c r="B377" s="74"/>
      <c r="C377" s="148"/>
      <c r="D377" s="76" t="str">
        <f>D345</f>
        <v>kg</v>
      </c>
      <c r="E377" s="77"/>
      <c r="F377" s="82"/>
      <c r="G377" s="82"/>
      <c r="H377" s="82"/>
    </row>
    <row r="378" spans="2:11" ht="13" hidden="1" outlineLevel="1" x14ac:dyDescent="0.25">
      <c r="B378" s="74"/>
      <c r="C378" s="148"/>
      <c r="D378" s="76" t="str">
        <f>D345</f>
        <v>kg</v>
      </c>
      <c r="E378" s="77"/>
      <c r="F378" s="82"/>
      <c r="G378" s="82"/>
      <c r="H378" s="82"/>
    </row>
    <row r="379" spans="2:11" ht="14.25" hidden="1" customHeight="1" outlineLevel="1" x14ac:dyDescent="0.25">
      <c r="B379" s="79" t="s">
        <v>70</v>
      </c>
      <c r="C379" s="147"/>
      <c r="D379" s="81"/>
      <c r="E379" s="77"/>
      <c r="F379" s="82"/>
      <c r="G379" s="82"/>
      <c r="H379" s="82"/>
    </row>
    <row r="380" spans="2:11" ht="13" hidden="1" outlineLevel="1" x14ac:dyDescent="0.25">
      <c r="B380" s="74"/>
      <c r="C380" s="148"/>
      <c r="D380" s="76" t="str">
        <f>D345</f>
        <v>kg</v>
      </c>
      <c r="E380" s="77"/>
      <c r="F380" s="82"/>
      <c r="G380" s="82"/>
      <c r="H380" s="82"/>
    </row>
    <row r="381" spans="2:11" ht="13.15" hidden="1" customHeight="1" outlineLevel="1" x14ac:dyDescent="0.25">
      <c r="B381" s="74"/>
      <c r="C381" s="148"/>
      <c r="D381" s="76" t="str">
        <f>D345</f>
        <v>kg</v>
      </c>
      <c r="E381" s="77"/>
      <c r="F381" s="82"/>
      <c r="G381" s="82"/>
      <c r="H381" s="82"/>
      <c r="K381" s="34"/>
    </row>
    <row r="382" spans="2:11" ht="13" hidden="1" outlineLevel="1" x14ac:dyDescent="0.25">
      <c r="B382" s="74"/>
      <c r="C382" s="148"/>
      <c r="D382" s="76" t="str">
        <f>D345</f>
        <v>kg</v>
      </c>
      <c r="E382" s="77"/>
      <c r="F382" s="82"/>
      <c r="G382" s="82"/>
      <c r="H382" s="82"/>
    </row>
    <row r="383" spans="2:11" ht="13" hidden="1" outlineLevel="1" x14ac:dyDescent="0.25">
      <c r="B383" s="74"/>
      <c r="C383" s="148"/>
      <c r="D383" s="76" t="str">
        <f>D345</f>
        <v>kg</v>
      </c>
      <c r="E383" s="77"/>
      <c r="F383" s="82"/>
      <c r="G383" s="82"/>
      <c r="H383" s="82"/>
    </row>
    <row r="384" spans="2:11" ht="13" hidden="1" outlineLevel="1" x14ac:dyDescent="0.25">
      <c r="B384" s="74"/>
      <c r="C384" s="148"/>
      <c r="D384" s="76" t="str">
        <f>D345</f>
        <v>kg</v>
      </c>
      <c r="E384" s="77"/>
      <c r="F384" s="82"/>
      <c r="G384" s="82"/>
      <c r="H384" s="82"/>
    </row>
    <row r="385" spans="2:8" ht="13" hidden="1" outlineLevel="1" x14ac:dyDescent="0.25">
      <c r="B385" s="74"/>
      <c r="C385" s="148"/>
      <c r="D385" s="76" t="str">
        <f>D345</f>
        <v>kg</v>
      </c>
      <c r="E385" s="77"/>
      <c r="F385" s="82"/>
      <c r="G385" s="82"/>
      <c r="H385" s="82"/>
    </row>
    <row r="386" spans="2:8" ht="13" hidden="1" outlineLevel="1" x14ac:dyDescent="0.25">
      <c r="B386" s="74"/>
      <c r="C386" s="148"/>
      <c r="D386" s="76" t="str">
        <f>D345</f>
        <v>kg</v>
      </c>
      <c r="E386" s="77"/>
      <c r="F386" s="82"/>
      <c r="G386" s="82"/>
      <c r="H386" s="82"/>
    </row>
    <row r="387" spans="2:8" ht="13" hidden="1" outlineLevel="1" x14ac:dyDescent="0.25">
      <c r="B387" s="79"/>
      <c r="C387" s="147"/>
      <c r="D387" s="81"/>
      <c r="E387" s="77"/>
      <c r="F387" s="82"/>
      <c r="G387" s="82"/>
      <c r="H387" s="82"/>
    </row>
    <row r="388" spans="2:8" ht="13" hidden="1" outlineLevel="1" x14ac:dyDescent="0.25">
      <c r="B388" s="86" t="s">
        <v>9</v>
      </c>
      <c r="C388" s="149">
        <f>SUM(C369:C386)</f>
        <v>0</v>
      </c>
      <c r="D388" s="91" t="str">
        <f>D345</f>
        <v>kg</v>
      </c>
      <c r="E388" s="98"/>
      <c r="F388" s="82"/>
      <c r="G388" s="82"/>
      <c r="H388" s="82"/>
    </row>
    <row r="389" spans="2:8" ht="13.5" hidden="1" outlineLevel="1" thickBot="1" x14ac:dyDescent="0.3">
      <c r="B389" s="92"/>
      <c r="C389" s="93"/>
      <c r="D389" s="94"/>
      <c r="E389" s="98"/>
      <c r="F389" s="82"/>
      <c r="G389" s="82"/>
      <c r="H389" s="82"/>
    </row>
    <row r="390" spans="2:8" ht="20.5" hidden="1" outlineLevel="1" thickBot="1" x14ac:dyDescent="0.3">
      <c r="B390" s="426" t="s">
        <v>10</v>
      </c>
      <c r="C390" s="427"/>
      <c r="D390" s="428"/>
      <c r="E390" s="98"/>
      <c r="F390" s="82"/>
      <c r="G390" s="82"/>
      <c r="H390" s="82"/>
    </row>
    <row r="391" spans="2:8" ht="13" hidden="1" outlineLevel="1" x14ac:dyDescent="0.25">
      <c r="B391" s="95" t="s">
        <v>23</v>
      </c>
      <c r="C391" s="96"/>
      <c r="D391" s="151">
        <f>SUM(C355:C356)</f>
        <v>0</v>
      </c>
      <c r="E391" s="98"/>
      <c r="F391" s="82"/>
      <c r="G391" s="82"/>
      <c r="H391" s="82"/>
    </row>
    <row r="392" spans="2:8" ht="13.5" hidden="1" outlineLevel="1" thickBot="1" x14ac:dyDescent="0.3">
      <c r="B392" s="99" t="s">
        <v>24</v>
      </c>
      <c r="C392" s="100"/>
      <c r="D392" s="152">
        <f>SUM(C358:C368)</f>
        <v>0</v>
      </c>
      <c r="E392" s="77"/>
      <c r="F392" s="110" t="s">
        <v>86</v>
      </c>
      <c r="G392" s="109" t="s">
        <v>85</v>
      </c>
      <c r="H392" s="110"/>
    </row>
    <row r="393" spans="2:8" ht="13.5" hidden="1" outlineLevel="1" thickBot="1" x14ac:dyDescent="0.3">
      <c r="B393" s="99" t="s">
        <v>25</v>
      </c>
      <c r="C393" s="100"/>
      <c r="D393" s="152">
        <f>SUM(C371:C379)</f>
        <v>0</v>
      </c>
      <c r="E393" s="77"/>
      <c r="F393" s="154"/>
      <c r="G393" s="413"/>
      <c r="H393" s="414"/>
    </row>
    <row r="394" spans="2:8" ht="13.5" hidden="1" outlineLevel="1" thickBot="1" x14ac:dyDescent="0.3">
      <c r="B394" s="102" t="s">
        <v>26</v>
      </c>
      <c r="C394" s="103"/>
      <c r="D394" s="153">
        <f>SUM(C380:C387)</f>
        <v>0</v>
      </c>
      <c r="E394" s="90"/>
      <c r="F394" s="64" t="s">
        <v>45</v>
      </c>
      <c r="G394" s="64" t="s">
        <v>45</v>
      </c>
      <c r="H394" s="155"/>
    </row>
    <row r="395" spans="2:8" ht="19" hidden="1" outlineLevel="1" thickTop="1" thickBot="1" x14ac:dyDescent="0.3">
      <c r="B395" s="105" t="s">
        <v>11</v>
      </c>
      <c r="C395" s="106"/>
      <c r="D395" s="107" t="e">
        <f>C369/C351</f>
        <v>#DIV/0!</v>
      </c>
      <c r="E395" s="90"/>
      <c r="F395" s="110"/>
      <c r="G395" s="117" t="s">
        <v>46</v>
      </c>
      <c r="H395" s="110"/>
    </row>
    <row r="396" spans="2:8" ht="18" hidden="1" customHeight="1" outlineLevel="1" thickBot="1" x14ac:dyDescent="0.3">
      <c r="B396" s="111" t="s">
        <v>12</v>
      </c>
      <c r="C396" s="112"/>
      <c r="D396" s="113" t="e">
        <f>(D391+D392+D393)/C351</f>
        <v>#DIV/0!</v>
      </c>
      <c r="E396" s="90"/>
      <c r="F396" s="429"/>
      <c r="G396" s="430"/>
      <c r="H396" s="431"/>
    </row>
    <row r="397" spans="2:8" ht="18" hidden="1" outlineLevel="1" x14ac:dyDescent="0.25">
      <c r="B397" s="111" t="s">
        <v>13</v>
      </c>
      <c r="C397" s="112"/>
      <c r="D397" s="113" t="e">
        <f>D393/C351</f>
        <v>#DIV/0!</v>
      </c>
      <c r="E397" s="77"/>
      <c r="F397" s="64" t="s">
        <v>45</v>
      </c>
      <c r="G397" s="64"/>
      <c r="H397" s="82"/>
    </row>
    <row r="398" spans="2:8" ht="18" hidden="1" outlineLevel="1" x14ac:dyDescent="0.25">
      <c r="B398" s="114" t="s">
        <v>14</v>
      </c>
      <c r="C398" s="115"/>
      <c r="D398" s="116" t="e">
        <f>D394/C351</f>
        <v>#DIV/0!</v>
      </c>
      <c r="E398" s="77"/>
      <c r="F398" s="82"/>
      <c r="G398" s="82"/>
      <c r="H398" s="82"/>
    </row>
    <row r="399" spans="2:8" ht="18.5" hidden="1" outlineLevel="1" thickBot="1" x14ac:dyDescent="0.3">
      <c r="B399" s="114" t="s">
        <v>15</v>
      </c>
      <c r="C399" s="119"/>
      <c r="D399" s="116" t="e">
        <f>SUM(D391:D394)/C351</f>
        <v>#DIV/0!</v>
      </c>
      <c r="E399" s="77"/>
      <c r="F399" s="415" t="s">
        <v>61</v>
      </c>
      <c r="G399" s="416"/>
      <c r="H399" s="416"/>
    </row>
    <row r="400" spans="2:8" ht="18.5" hidden="1" outlineLevel="1" thickTop="1" x14ac:dyDescent="0.25">
      <c r="B400" s="120" t="s">
        <v>16</v>
      </c>
      <c r="C400" s="121"/>
      <c r="D400" s="122" t="e">
        <f>((C355*D333)+D392+C356*MAX(1,F353))/C351</f>
        <v>#DIV/0!</v>
      </c>
      <c r="E400" s="77"/>
      <c r="F400" s="416"/>
      <c r="G400" s="416"/>
      <c r="H400" s="416"/>
    </row>
    <row r="401" spans="2:15" ht="18" hidden="1" outlineLevel="1" x14ac:dyDescent="0.25">
      <c r="B401" s="123" t="s">
        <v>17</v>
      </c>
      <c r="C401" s="124"/>
      <c r="D401" s="125" t="e">
        <f>(C355*D334+D392+D393+C356*(MAX(1,F353)+G353))/C351</f>
        <v>#DIV/0!</v>
      </c>
      <c r="E401" s="77"/>
      <c r="F401" s="416"/>
      <c r="G401" s="416"/>
      <c r="H401" s="416"/>
    </row>
    <row r="402" spans="2:15" ht="18" hidden="1" outlineLevel="1" x14ac:dyDescent="0.25">
      <c r="B402" s="123" t="s">
        <v>18</v>
      </c>
      <c r="C402" s="124"/>
      <c r="D402" s="125" t="e">
        <f>((C355*D335)+D393+C356*G353)/C351</f>
        <v>#DIV/0!</v>
      </c>
      <c r="E402" s="46"/>
      <c r="F402" s="416"/>
      <c r="G402" s="416"/>
      <c r="H402" s="416"/>
    </row>
    <row r="403" spans="2:15" ht="18" hidden="1" outlineLevel="1" x14ac:dyDescent="0.25">
      <c r="B403" s="126" t="s">
        <v>19</v>
      </c>
      <c r="C403" s="127"/>
      <c r="D403" s="128" t="e">
        <f>(C355*D336+D394+C356*H353)/C351</f>
        <v>#DIV/0!</v>
      </c>
      <c r="E403" s="46"/>
      <c r="F403" s="416"/>
      <c r="G403" s="416"/>
      <c r="H403" s="416"/>
    </row>
    <row r="404" spans="2:15" ht="18.5" hidden="1" outlineLevel="1" thickBot="1" x14ac:dyDescent="0.3">
      <c r="B404" s="129" t="s">
        <v>20</v>
      </c>
      <c r="C404" s="130"/>
      <c r="D404" s="131" t="e">
        <f>((C355*D337)+SUM(D392:D394)+C356*(MAX(1,F353)+G353+H353))/C351</f>
        <v>#DIV/0!</v>
      </c>
      <c r="E404" s="46"/>
      <c r="F404" s="416"/>
      <c r="G404" s="416"/>
      <c r="H404" s="416"/>
      <c r="I404" s="34"/>
      <c r="N404" s="36"/>
      <c r="O404" s="36"/>
    </row>
    <row r="405" spans="2:15" ht="13.5" hidden="1" outlineLevel="1" thickTop="1" x14ac:dyDescent="0.25">
      <c r="B405" s="156" t="s">
        <v>76</v>
      </c>
      <c r="C405" s="424"/>
      <c r="D405" s="425"/>
      <c r="E405" s="46"/>
      <c r="F405" s="34"/>
      <c r="G405" s="34"/>
      <c r="H405" s="34"/>
      <c r="N405" s="36"/>
      <c r="O405" s="36"/>
    </row>
    <row r="406" spans="2:15" ht="13.5" hidden="1" outlineLevel="1" thickBot="1" x14ac:dyDescent="0.3">
      <c r="B406" s="157" t="s">
        <v>58</v>
      </c>
      <c r="C406" s="422"/>
      <c r="D406" s="423"/>
      <c r="E406" s="46"/>
      <c r="F406" s="34"/>
      <c r="G406" s="34"/>
      <c r="H406" s="34"/>
    </row>
    <row r="407" spans="2:15" ht="21" hidden="1" outlineLevel="1" thickTop="1" thickBot="1" x14ac:dyDescent="0.3">
      <c r="B407" s="158" t="s">
        <v>59</v>
      </c>
      <c r="C407" s="420"/>
      <c r="D407" s="421"/>
      <c r="E407" s="31"/>
      <c r="F407" s="32" t="s">
        <v>27</v>
      </c>
      <c r="G407" s="33"/>
      <c r="H407" s="33"/>
    </row>
    <row r="408" spans="2:15" ht="14.5" hidden="1" outlineLevel="1" thickBot="1" x14ac:dyDescent="0.3">
      <c r="E408" s="40"/>
      <c r="F408" s="41" t="s">
        <v>28</v>
      </c>
      <c r="G408" s="41" t="s">
        <v>21</v>
      </c>
      <c r="H408" s="41" t="s">
        <v>8</v>
      </c>
    </row>
    <row r="409" spans="2:15" ht="13" hidden="1" outlineLevel="1" thickBot="1" x14ac:dyDescent="0.3">
      <c r="C409" s="25" t="s">
        <v>44</v>
      </c>
      <c r="D409" s="25" t="s">
        <v>42</v>
      </c>
      <c r="E409" s="46"/>
      <c r="F409" s="47"/>
      <c r="G409" s="47"/>
      <c r="H409" s="47"/>
    </row>
    <row r="410" spans="2:15" ht="20.5" hidden="1" outlineLevel="1" thickTop="1" x14ac:dyDescent="0.25">
      <c r="B410" s="140" t="s">
        <v>73</v>
      </c>
      <c r="C410" s="29"/>
      <c r="D410" s="141"/>
      <c r="E410" s="46"/>
      <c r="F410" s="47"/>
      <c r="G410" s="47"/>
      <c r="H410" s="47"/>
    </row>
    <row r="411" spans="2:15" ht="14" hidden="1" outlineLevel="1" x14ac:dyDescent="0.25">
      <c r="B411" s="37"/>
      <c r="C411" s="38" t="s">
        <v>0</v>
      </c>
      <c r="D411" s="39" t="s">
        <v>1</v>
      </c>
      <c r="E411" s="46"/>
      <c r="F411" s="47"/>
      <c r="G411" s="47"/>
      <c r="H411" s="47"/>
    </row>
    <row r="412" spans="2:15" ht="14" hidden="1" outlineLevel="1" x14ac:dyDescent="0.25">
      <c r="B412" s="43" t="s">
        <v>65</v>
      </c>
      <c r="C412" s="142"/>
      <c r="D412" s="45" t="s">
        <v>2</v>
      </c>
      <c r="E412" s="57"/>
      <c r="F412" s="58"/>
      <c r="G412" s="58"/>
      <c r="H412" s="58"/>
    </row>
    <row r="413" spans="2:15" ht="13" hidden="1" outlineLevel="1" x14ac:dyDescent="0.25">
      <c r="B413" s="43" t="s">
        <v>64</v>
      </c>
      <c r="C413" s="143"/>
      <c r="D413" s="45" t="s">
        <v>3</v>
      </c>
      <c r="E413" s="46"/>
      <c r="F413" s="47"/>
      <c r="G413" s="47"/>
      <c r="H413" s="47"/>
    </row>
    <row r="414" spans="2:15" ht="13" hidden="1" outlineLevel="1" x14ac:dyDescent="0.25">
      <c r="B414" s="51" t="s">
        <v>63</v>
      </c>
      <c r="C414" s="144">
        <f>C412*C413</f>
        <v>0</v>
      </c>
      <c r="D414" s="45" t="str">
        <f>D412</f>
        <v>kg</v>
      </c>
      <c r="E414" s="59"/>
      <c r="F414" s="47"/>
      <c r="G414" s="47"/>
      <c r="H414" s="47"/>
    </row>
    <row r="415" spans="2:15" ht="14" hidden="1" outlineLevel="1" x14ac:dyDescent="0.25">
      <c r="B415" s="54" t="s">
        <v>37</v>
      </c>
      <c r="C415" s="145">
        <v>1</v>
      </c>
      <c r="D415" s="56"/>
      <c r="E415" s="46"/>
      <c r="F415" s="47"/>
      <c r="G415" s="47"/>
      <c r="H415" s="47"/>
    </row>
    <row r="416" spans="2:15" ht="13.5" hidden="1" outlineLevel="1" thickBot="1" x14ac:dyDescent="0.3">
      <c r="B416" s="43" t="s">
        <v>66</v>
      </c>
      <c r="C416" s="142"/>
      <c r="D416" s="45" t="str">
        <f>D412</f>
        <v>kg</v>
      </c>
      <c r="F416" s="64"/>
      <c r="G416" s="64"/>
      <c r="H416" s="64"/>
    </row>
    <row r="417" spans="2:11" ht="14.5" hidden="1" outlineLevel="1" thickBot="1" x14ac:dyDescent="0.3">
      <c r="B417" s="43" t="s">
        <v>67</v>
      </c>
      <c r="C417" s="143"/>
      <c r="D417" s="45" t="s">
        <v>3</v>
      </c>
      <c r="E417" s="68"/>
      <c r="F417" s="69"/>
      <c r="G417" s="69"/>
      <c r="H417" s="69"/>
    </row>
    <row r="418" spans="2:11" ht="13.5" hidden="1" outlineLevel="1" thickBot="1" x14ac:dyDescent="0.3">
      <c r="B418" s="51" t="s">
        <v>68</v>
      </c>
      <c r="C418" s="144">
        <f>C416*C417</f>
        <v>0</v>
      </c>
      <c r="D418" s="45" t="str">
        <f>D412</f>
        <v>kg</v>
      </c>
      <c r="E418" s="73"/>
      <c r="F418" s="69"/>
      <c r="G418" s="69"/>
      <c r="H418" s="69"/>
    </row>
    <row r="419" spans="2:11" ht="13.5" hidden="1" outlineLevel="1" thickBot="1" x14ac:dyDescent="0.3">
      <c r="B419" s="61"/>
      <c r="C419" s="62"/>
      <c r="D419" s="63"/>
      <c r="E419" s="98"/>
      <c r="F419" s="69"/>
      <c r="G419" s="69"/>
      <c r="H419" s="69"/>
    </row>
    <row r="420" spans="2:11" ht="14.5" hidden="1" outlineLevel="1" thickBot="1" x14ac:dyDescent="0.3">
      <c r="B420" s="65" t="s">
        <v>5</v>
      </c>
      <c r="C420" s="66" t="s">
        <v>6</v>
      </c>
      <c r="D420" s="67" t="s">
        <v>1</v>
      </c>
      <c r="E420" s="77"/>
      <c r="F420" s="78"/>
      <c r="G420" s="78"/>
      <c r="H420" s="78"/>
    </row>
    <row r="421" spans="2:11" ht="13" hidden="1" outlineLevel="1" x14ac:dyDescent="0.25">
      <c r="B421" s="70" t="s">
        <v>43</v>
      </c>
      <c r="C421" s="71"/>
      <c r="D421" s="72"/>
      <c r="E421" s="77"/>
      <c r="F421" s="82"/>
      <c r="G421" s="82"/>
      <c r="H421" s="82"/>
    </row>
    <row r="422" spans="2:11" ht="13" hidden="1" outlineLevel="1" x14ac:dyDescent="0.25">
      <c r="B422" s="74"/>
      <c r="C422" s="146">
        <f>C414</f>
        <v>0</v>
      </c>
      <c r="D422" s="76" t="str">
        <f>D412</f>
        <v>kg</v>
      </c>
      <c r="E422" s="77"/>
      <c r="F422" s="82"/>
      <c r="G422" s="82"/>
      <c r="H422" s="82"/>
    </row>
    <row r="423" spans="2:11" ht="13" hidden="1" outlineLevel="1" x14ac:dyDescent="0.25">
      <c r="B423" s="74"/>
      <c r="C423" s="146"/>
      <c r="D423" s="76" t="str">
        <f>D412</f>
        <v>kg</v>
      </c>
      <c r="E423" s="77"/>
      <c r="F423" s="82"/>
      <c r="G423" s="82"/>
      <c r="H423" s="82"/>
    </row>
    <row r="424" spans="2:11" ht="13" hidden="1" outlineLevel="1" x14ac:dyDescent="0.25">
      <c r="B424" s="79" t="s">
        <v>69</v>
      </c>
      <c r="C424" s="147"/>
      <c r="D424" s="81"/>
      <c r="E424" s="77"/>
      <c r="F424" s="82"/>
      <c r="G424" s="82"/>
      <c r="H424" s="82"/>
    </row>
    <row r="425" spans="2:11" ht="13" hidden="1" outlineLevel="1" x14ac:dyDescent="0.25">
      <c r="B425" s="74"/>
      <c r="C425" s="148"/>
      <c r="D425" s="76" t="str">
        <f>D412</f>
        <v>kg</v>
      </c>
      <c r="E425" s="77"/>
      <c r="F425" s="82"/>
      <c r="G425" s="82"/>
      <c r="H425" s="82"/>
    </row>
    <row r="426" spans="2:11" ht="13" hidden="1" outlineLevel="1" x14ac:dyDescent="0.25">
      <c r="B426" s="74"/>
      <c r="C426" s="148"/>
      <c r="D426" s="76" t="str">
        <f>D412</f>
        <v>kg</v>
      </c>
      <c r="E426" s="77"/>
      <c r="F426" s="82"/>
      <c r="G426" s="82"/>
      <c r="H426" s="82"/>
    </row>
    <row r="427" spans="2:11" ht="13" hidden="1" outlineLevel="1" x14ac:dyDescent="0.25">
      <c r="B427" s="74"/>
      <c r="C427" s="148"/>
      <c r="D427" s="76" t="str">
        <f>D412</f>
        <v>kg</v>
      </c>
      <c r="E427" s="77"/>
      <c r="F427" s="82"/>
      <c r="G427" s="82"/>
      <c r="H427" s="82"/>
    </row>
    <row r="428" spans="2:11" ht="13" hidden="1" outlineLevel="1" x14ac:dyDescent="0.25">
      <c r="B428" s="74"/>
      <c r="C428" s="148"/>
      <c r="D428" s="76" t="str">
        <f>D412</f>
        <v>kg</v>
      </c>
      <c r="E428" s="77"/>
      <c r="F428" s="82"/>
      <c r="G428" s="82"/>
      <c r="H428" s="82"/>
    </row>
    <row r="429" spans="2:11" ht="13.15" hidden="1" customHeight="1" outlineLevel="1" x14ac:dyDescent="0.25">
      <c r="B429" s="74"/>
      <c r="C429" s="148"/>
      <c r="D429" s="76" t="str">
        <f>D412</f>
        <v>kg</v>
      </c>
      <c r="E429" s="77"/>
      <c r="F429" s="82"/>
      <c r="G429" s="82"/>
      <c r="H429" s="82"/>
      <c r="K429" s="34"/>
    </row>
    <row r="430" spans="2:11" ht="13" hidden="1" outlineLevel="1" x14ac:dyDescent="0.25">
      <c r="B430" s="74"/>
      <c r="C430" s="148"/>
      <c r="D430" s="76" t="str">
        <f>D412</f>
        <v>kg</v>
      </c>
      <c r="E430" s="77"/>
      <c r="F430" s="82"/>
      <c r="G430" s="82"/>
      <c r="H430" s="82"/>
    </row>
    <row r="431" spans="2:11" ht="13" hidden="1" outlineLevel="1" x14ac:dyDescent="0.25">
      <c r="B431" s="74"/>
      <c r="C431" s="148"/>
      <c r="D431" s="76" t="str">
        <f>D412</f>
        <v>kg</v>
      </c>
      <c r="E431" s="77"/>
      <c r="F431" s="82"/>
      <c r="G431" s="82"/>
      <c r="H431" s="82"/>
    </row>
    <row r="432" spans="2:11" ht="13" hidden="1" outlineLevel="1" x14ac:dyDescent="0.25">
      <c r="B432" s="74"/>
      <c r="C432" s="148"/>
      <c r="D432" s="76" t="str">
        <f>D412</f>
        <v>kg</v>
      </c>
      <c r="E432" s="77"/>
      <c r="F432" s="82"/>
      <c r="G432" s="82"/>
      <c r="H432" s="82"/>
    </row>
    <row r="433" spans="2:11" ht="13" hidden="1" outlineLevel="1" x14ac:dyDescent="0.25">
      <c r="B433" s="74"/>
      <c r="C433" s="148"/>
      <c r="D433" s="76" t="str">
        <f>D412</f>
        <v>kg</v>
      </c>
      <c r="E433" s="77"/>
      <c r="F433" s="82"/>
      <c r="G433" s="82"/>
      <c r="H433" s="82"/>
    </row>
    <row r="434" spans="2:11" ht="13" hidden="1" outlineLevel="1" x14ac:dyDescent="0.25">
      <c r="B434" s="74"/>
      <c r="C434" s="148"/>
      <c r="D434" s="76" t="str">
        <f>D412</f>
        <v>kg</v>
      </c>
      <c r="E434" s="77"/>
      <c r="F434" s="82"/>
      <c r="G434" s="82"/>
      <c r="H434" s="82"/>
    </row>
    <row r="435" spans="2:11" ht="13" hidden="1" outlineLevel="1" x14ac:dyDescent="0.25">
      <c r="B435" s="79"/>
      <c r="C435" s="147"/>
      <c r="D435" s="81"/>
      <c r="E435" s="77"/>
      <c r="F435" s="82"/>
      <c r="G435" s="82"/>
      <c r="H435" s="82"/>
    </row>
    <row r="436" spans="2:11" ht="13" hidden="1" outlineLevel="1" x14ac:dyDescent="0.25">
      <c r="B436" s="86" t="s">
        <v>7</v>
      </c>
      <c r="C436" s="149">
        <f>SUM(C421:C434)</f>
        <v>0</v>
      </c>
      <c r="D436" s="88" t="str">
        <f>D412</f>
        <v>kg</v>
      </c>
      <c r="E436" s="77"/>
      <c r="F436" s="82"/>
      <c r="G436" s="82"/>
      <c r="H436" s="82"/>
    </row>
    <row r="437" spans="2:11" ht="13" hidden="1" outlineLevel="1" x14ac:dyDescent="0.25">
      <c r="B437" s="79" t="s">
        <v>71</v>
      </c>
      <c r="C437" s="150"/>
      <c r="D437" s="81"/>
      <c r="E437" s="77"/>
      <c r="F437" s="82"/>
      <c r="G437" s="82"/>
      <c r="H437" s="82"/>
    </row>
    <row r="438" spans="2:11" ht="13" hidden="1" outlineLevel="1" x14ac:dyDescent="0.25">
      <c r="B438" s="74"/>
      <c r="C438" s="148"/>
      <c r="D438" s="76" t="str">
        <f>D412</f>
        <v>kg</v>
      </c>
      <c r="E438" s="77"/>
      <c r="F438" s="82"/>
      <c r="G438" s="82"/>
      <c r="H438" s="82"/>
    </row>
    <row r="439" spans="2:11" ht="13" hidden="1" outlineLevel="1" x14ac:dyDescent="0.25">
      <c r="B439" s="74"/>
      <c r="C439" s="148"/>
      <c r="D439" s="76" t="str">
        <f>D412</f>
        <v>kg</v>
      </c>
      <c r="E439" s="77"/>
      <c r="F439" s="82"/>
      <c r="G439" s="82"/>
      <c r="H439" s="82"/>
    </row>
    <row r="440" spans="2:11" ht="13" hidden="1" outlineLevel="1" x14ac:dyDescent="0.25">
      <c r="B440" s="74"/>
      <c r="C440" s="148"/>
      <c r="D440" s="76" t="str">
        <f>D412</f>
        <v>kg</v>
      </c>
      <c r="E440" s="77"/>
      <c r="F440" s="82"/>
      <c r="G440" s="82"/>
      <c r="H440" s="82"/>
    </row>
    <row r="441" spans="2:11" ht="13" hidden="1" outlineLevel="1" x14ac:dyDescent="0.25">
      <c r="B441" s="74"/>
      <c r="C441" s="148"/>
      <c r="D441" s="76" t="str">
        <f>D412</f>
        <v>kg</v>
      </c>
      <c r="E441" s="77"/>
      <c r="F441" s="82"/>
      <c r="G441" s="82"/>
      <c r="H441" s="82"/>
    </row>
    <row r="442" spans="2:11" ht="13" hidden="1" outlineLevel="1" x14ac:dyDescent="0.25">
      <c r="B442" s="74"/>
      <c r="C442" s="148"/>
      <c r="D442" s="76" t="str">
        <f>D412</f>
        <v>kg</v>
      </c>
      <c r="E442" s="77"/>
      <c r="F442" s="82"/>
      <c r="G442" s="82"/>
      <c r="H442" s="82"/>
    </row>
    <row r="443" spans="2:11" ht="13" hidden="1" outlineLevel="1" x14ac:dyDescent="0.25">
      <c r="B443" s="74"/>
      <c r="C443" s="148"/>
      <c r="D443" s="76" t="str">
        <f>D412</f>
        <v>kg</v>
      </c>
      <c r="E443" s="90"/>
      <c r="F443" s="82"/>
      <c r="G443" s="82"/>
      <c r="H443" s="82"/>
    </row>
    <row r="444" spans="2:11" ht="13" hidden="1" outlineLevel="1" x14ac:dyDescent="0.25">
      <c r="B444" s="74"/>
      <c r="C444" s="148"/>
      <c r="D444" s="76" t="str">
        <f>D412</f>
        <v>kg</v>
      </c>
      <c r="E444" s="77"/>
      <c r="F444" s="82"/>
      <c r="G444" s="82"/>
      <c r="H444" s="82"/>
    </row>
    <row r="445" spans="2:11" ht="13" hidden="1" outlineLevel="1" x14ac:dyDescent="0.25">
      <c r="B445" s="74"/>
      <c r="C445" s="148"/>
      <c r="D445" s="76" t="str">
        <f>D412</f>
        <v>kg</v>
      </c>
      <c r="E445" s="77"/>
      <c r="F445" s="82"/>
      <c r="G445" s="82"/>
      <c r="H445" s="82"/>
    </row>
    <row r="446" spans="2:11" ht="14.25" hidden="1" customHeight="1" outlineLevel="1" x14ac:dyDescent="0.25">
      <c r="B446" s="79" t="s">
        <v>70</v>
      </c>
      <c r="C446" s="147"/>
      <c r="D446" s="81"/>
      <c r="E446" s="77"/>
      <c r="F446" s="82"/>
      <c r="G446" s="82"/>
      <c r="H446" s="82"/>
    </row>
    <row r="447" spans="2:11" ht="13" hidden="1" outlineLevel="1" x14ac:dyDescent="0.25">
      <c r="B447" s="74"/>
      <c r="C447" s="148"/>
      <c r="D447" s="76" t="str">
        <f>D412</f>
        <v>kg</v>
      </c>
      <c r="E447" s="77"/>
      <c r="F447" s="82"/>
      <c r="G447" s="82"/>
      <c r="H447" s="82"/>
    </row>
    <row r="448" spans="2:11" ht="13.15" hidden="1" customHeight="1" outlineLevel="1" x14ac:dyDescent="0.25">
      <c r="B448" s="74"/>
      <c r="C448" s="148"/>
      <c r="D448" s="76" t="str">
        <f>D412</f>
        <v>kg</v>
      </c>
      <c r="E448" s="77"/>
      <c r="F448" s="82"/>
      <c r="G448" s="82"/>
      <c r="H448" s="82"/>
      <c r="K448" s="34"/>
    </row>
    <row r="449" spans="2:8" ht="13" hidden="1" outlineLevel="1" x14ac:dyDescent="0.25">
      <c r="B449" s="74"/>
      <c r="C449" s="148"/>
      <c r="D449" s="76" t="str">
        <f>D412</f>
        <v>kg</v>
      </c>
      <c r="E449" s="77"/>
      <c r="F449" s="82"/>
      <c r="G449" s="82"/>
      <c r="H449" s="82"/>
    </row>
    <row r="450" spans="2:8" ht="13" hidden="1" outlineLevel="1" x14ac:dyDescent="0.25">
      <c r="B450" s="74"/>
      <c r="C450" s="148"/>
      <c r="D450" s="76" t="str">
        <f>D412</f>
        <v>kg</v>
      </c>
      <c r="E450" s="77"/>
      <c r="F450" s="82"/>
      <c r="G450" s="82"/>
      <c r="H450" s="82"/>
    </row>
    <row r="451" spans="2:8" ht="13" hidden="1" outlineLevel="1" x14ac:dyDescent="0.25">
      <c r="B451" s="74"/>
      <c r="C451" s="148"/>
      <c r="D451" s="76" t="str">
        <f>D412</f>
        <v>kg</v>
      </c>
      <c r="E451" s="77"/>
      <c r="F451" s="82"/>
      <c r="G451" s="82"/>
      <c r="H451" s="82"/>
    </row>
    <row r="452" spans="2:8" ht="13" hidden="1" outlineLevel="1" x14ac:dyDescent="0.25">
      <c r="B452" s="74"/>
      <c r="C452" s="148"/>
      <c r="D452" s="76" t="str">
        <f>D412</f>
        <v>kg</v>
      </c>
      <c r="E452" s="77"/>
      <c r="F452" s="82"/>
      <c r="G452" s="82"/>
      <c r="H452" s="82"/>
    </row>
    <row r="453" spans="2:8" ht="13" hidden="1" outlineLevel="1" x14ac:dyDescent="0.25">
      <c r="B453" s="74"/>
      <c r="C453" s="148"/>
      <c r="D453" s="76" t="str">
        <f>D412</f>
        <v>kg</v>
      </c>
      <c r="E453" s="77"/>
      <c r="F453" s="82"/>
      <c r="G453" s="82"/>
      <c r="H453" s="82"/>
    </row>
    <row r="454" spans="2:8" ht="13" hidden="1" outlineLevel="1" x14ac:dyDescent="0.25">
      <c r="B454" s="79"/>
      <c r="C454" s="147"/>
      <c r="D454" s="81"/>
      <c r="E454" s="77"/>
      <c r="F454" s="82"/>
      <c r="G454" s="82"/>
      <c r="H454" s="82"/>
    </row>
    <row r="455" spans="2:8" ht="13" hidden="1" outlineLevel="1" x14ac:dyDescent="0.25">
      <c r="B455" s="86" t="s">
        <v>9</v>
      </c>
      <c r="C455" s="149">
        <f>SUM(C436:C453)</f>
        <v>0</v>
      </c>
      <c r="D455" s="91" t="str">
        <f>D412</f>
        <v>kg</v>
      </c>
      <c r="E455" s="98"/>
      <c r="F455" s="82"/>
      <c r="G455" s="82"/>
      <c r="H455" s="82"/>
    </row>
    <row r="456" spans="2:8" ht="13.5" hidden="1" outlineLevel="1" thickBot="1" x14ac:dyDescent="0.3">
      <c r="B456" s="92"/>
      <c r="C456" s="93"/>
      <c r="D456" s="94"/>
      <c r="E456" s="98"/>
      <c r="F456" s="82"/>
      <c r="G456" s="82"/>
      <c r="H456" s="82"/>
    </row>
    <row r="457" spans="2:8" ht="20.5" hidden="1" outlineLevel="1" thickBot="1" x14ac:dyDescent="0.3">
      <c r="B457" s="426" t="s">
        <v>10</v>
      </c>
      <c r="C457" s="427"/>
      <c r="D457" s="428"/>
      <c r="E457" s="98"/>
      <c r="F457" s="82"/>
      <c r="G457" s="82"/>
      <c r="H457" s="82"/>
    </row>
    <row r="458" spans="2:8" ht="13" hidden="1" outlineLevel="1" x14ac:dyDescent="0.25">
      <c r="B458" s="95" t="s">
        <v>23</v>
      </c>
      <c r="C458" s="96"/>
      <c r="D458" s="151">
        <f>SUM(C422:C423)</f>
        <v>0</v>
      </c>
      <c r="E458" s="98"/>
      <c r="F458" s="82"/>
      <c r="G458" s="82"/>
      <c r="H458" s="82"/>
    </row>
    <row r="459" spans="2:8" ht="13.5" hidden="1" outlineLevel="1" thickBot="1" x14ac:dyDescent="0.3">
      <c r="B459" s="99" t="s">
        <v>24</v>
      </c>
      <c r="C459" s="100"/>
      <c r="D459" s="152">
        <f>SUM(C425:C435)</f>
        <v>0</v>
      </c>
      <c r="E459" s="77"/>
      <c r="F459" s="110" t="s">
        <v>86</v>
      </c>
      <c r="G459" s="109" t="s">
        <v>85</v>
      </c>
      <c r="H459" s="110"/>
    </row>
    <row r="460" spans="2:8" ht="13.5" hidden="1" outlineLevel="1" thickBot="1" x14ac:dyDescent="0.3">
      <c r="B460" s="99" t="s">
        <v>25</v>
      </c>
      <c r="C460" s="100"/>
      <c r="D460" s="152">
        <f>SUM(C438:C446)</f>
        <v>0</v>
      </c>
      <c r="E460" s="77"/>
      <c r="F460" s="154"/>
      <c r="G460" s="413"/>
      <c r="H460" s="414"/>
    </row>
    <row r="461" spans="2:8" ht="13.5" hidden="1" outlineLevel="1" thickBot="1" x14ac:dyDescent="0.3">
      <c r="B461" s="102" t="s">
        <v>26</v>
      </c>
      <c r="C461" s="103"/>
      <c r="D461" s="153">
        <f>SUM(C447:C454)</f>
        <v>0</v>
      </c>
      <c r="E461" s="90"/>
      <c r="F461" s="64" t="s">
        <v>45</v>
      </c>
      <c r="G461" s="64" t="s">
        <v>45</v>
      </c>
      <c r="H461" s="155"/>
    </row>
    <row r="462" spans="2:8" ht="19" hidden="1" outlineLevel="1" thickTop="1" thickBot="1" x14ac:dyDescent="0.3">
      <c r="B462" s="105" t="s">
        <v>11</v>
      </c>
      <c r="C462" s="106"/>
      <c r="D462" s="107" t="e">
        <f>C436/C418</f>
        <v>#DIV/0!</v>
      </c>
      <c r="E462" s="90"/>
      <c r="F462" s="110"/>
      <c r="G462" s="117" t="s">
        <v>46</v>
      </c>
      <c r="H462" s="110"/>
    </row>
    <row r="463" spans="2:8" ht="18" hidden="1" customHeight="1" outlineLevel="1" thickBot="1" x14ac:dyDescent="0.3">
      <c r="B463" s="111" t="s">
        <v>12</v>
      </c>
      <c r="C463" s="112"/>
      <c r="D463" s="113" t="e">
        <f>(D458+D459+D460)/C418</f>
        <v>#DIV/0!</v>
      </c>
      <c r="E463" s="90"/>
      <c r="F463" s="429"/>
      <c r="G463" s="430"/>
      <c r="H463" s="431"/>
    </row>
    <row r="464" spans="2:8" ht="18" hidden="1" outlineLevel="1" x14ac:dyDescent="0.25">
      <c r="B464" s="111" t="s">
        <v>13</v>
      </c>
      <c r="C464" s="112"/>
      <c r="D464" s="113" t="e">
        <f>D460/C418</f>
        <v>#DIV/0!</v>
      </c>
      <c r="E464" s="77"/>
      <c r="F464" s="64" t="s">
        <v>45</v>
      </c>
      <c r="G464" s="64"/>
      <c r="H464" s="82"/>
    </row>
    <row r="465" spans="2:15" ht="18" hidden="1" outlineLevel="1" x14ac:dyDescent="0.25">
      <c r="B465" s="114" t="s">
        <v>14</v>
      </c>
      <c r="C465" s="115"/>
      <c r="D465" s="116" t="e">
        <f>D461/C418</f>
        <v>#DIV/0!</v>
      </c>
      <c r="E465" s="77"/>
      <c r="F465" s="82"/>
      <c r="G465" s="82"/>
      <c r="H465" s="82"/>
    </row>
    <row r="466" spans="2:15" ht="18.5" hidden="1" outlineLevel="1" thickBot="1" x14ac:dyDescent="0.3">
      <c r="B466" s="114" t="s">
        <v>15</v>
      </c>
      <c r="C466" s="119"/>
      <c r="D466" s="116" t="e">
        <f>SUM(D458:D461)/C418</f>
        <v>#DIV/0!</v>
      </c>
      <c r="E466" s="77"/>
      <c r="F466" s="415" t="s">
        <v>61</v>
      </c>
      <c r="G466" s="416"/>
      <c r="H466" s="416"/>
    </row>
    <row r="467" spans="2:15" ht="18.5" hidden="1" outlineLevel="1" thickTop="1" x14ac:dyDescent="0.25">
      <c r="B467" s="120" t="s">
        <v>16</v>
      </c>
      <c r="C467" s="121"/>
      <c r="D467" s="122" t="e">
        <f>((C422*D400)+D459+C423*MAX(1,F420))/C418</f>
        <v>#DIV/0!</v>
      </c>
      <c r="E467" s="77"/>
      <c r="F467" s="416"/>
      <c r="G467" s="416"/>
      <c r="H467" s="416"/>
    </row>
    <row r="468" spans="2:15" ht="18" hidden="1" outlineLevel="1" x14ac:dyDescent="0.25">
      <c r="B468" s="123" t="s">
        <v>17</v>
      </c>
      <c r="C468" s="124"/>
      <c r="D468" s="125" t="e">
        <f>(C422*D401+D459+D460+C423*(MAX(1,F420)+G420))/C418</f>
        <v>#DIV/0!</v>
      </c>
      <c r="E468" s="77"/>
      <c r="F468" s="416"/>
      <c r="G468" s="416"/>
      <c r="H468" s="416"/>
    </row>
    <row r="469" spans="2:15" ht="18" hidden="1" outlineLevel="1" x14ac:dyDescent="0.25">
      <c r="B469" s="123" t="s">
        <v>18</v>
      </c>
      <c r="C469" s="124"/>
      <c r="D469" s="125" t="e">
        <f>((C422*D402)+D460+C423*G420)/C418</f>
        <v>#DIV/0!</v>
      </c>
      <c r="F469" s="416"/>
      <c r="G469" s="416"/>
      <c r="H469" s="416"/>
    </row>
    <row r="470" spans="2:15" ht="18" hidden="1" outlineLevel="1" x14ac:dyDescent="0.25">
      <c r="B470" s="126" t="s">
        <v>19</v>
      </c>
      <c r="C470" s="127"/>
      <c r="D470" s="128" t="e">
        <f>(C422*D403+D461+C423*H420)/C418</f>
        <v>#DIV/0!</v>
      </c>
      <c r="F470" s="416"/>
      <c r="G470" s="416"/>
      <c r="H470" s="416"/>
    </row>
    <row r="471" spans="2:15" ht="18.5" hidden="1" outlineLevel="1" thickBot="1" x14ac:dyDescent="0.3">
      <c r="B471" s="129" t="s">
        <v>20</v>
      </c>
      <c r="C471" s="130"/>
      <c r="D471" s="131" t="e">
        <f>((C422*D404)+SUM(D459:D461)+C423*(MAX(1,F420)+G420+H420))/C418</f>
        <v>#DIV/0!</v>
      </c>
      <c r="F471" s="416"/>
      <c r="G471" s="416"/>
      <c r="H471" s="416"/>
      <c r="N471" s="36"/>
      <c r="O471" s="36"/>
    </row>
    <row r="472" spans="2:15" ht="13.5" hidden="1" outlineLevel="1" thickTop="1" x14ac:dyDescent="0.25">
      <c r="B472" s="156" t="s">
        <v>76</v>
      </c>
      <c r="C472" s="424"/>
      <c r="D472" s="425"/>
      <c r="F472" s="34"/>
      <c r="G472" s="34"/>
      <c r="H472" s="34"/>
      <c r="N472" s="36"/>
      <c r="O472" s="36"/>
    </row>
    <row r="473" spans="2:15" ht="13.5" hidden="1" outlineLevel="1" thickBot="1" x14ac:dyDescent="0.3">
      <c r="B473" s="157" t="s">
        <v>58</v>
      </c>
      <c r="C473" s="422"/>
      <c r="D473" s="423"/>
      <c r="F473" s="34"/>
      <c r="G473" s="34"/>
      <c r="H473" s="34"/>
    </row>
    <row r="474" spans="2:15" ht="21" hidden="1" outlineLevel="1" thickTop="1" thickBot="1" x14ac:dyDescent="0.3">
      <c r="B474" s="158" t="s">
        <v>59</v>
      </c>
      <c r="C474" s="420"/>
      <c r="D474" s="421"/>
      <c r="E474" s="31"/>
      <c r="F474" s="32" t="s">
        <v>27</v>
      </c>
      <c r="G474" s="33"/>
      <c r="H474" s="33"/>
    </row>
    <row r="475" spans="2:15" ht="14.5" hidden="1" outlineLevel="1" thickBot="1" x14ac:dyDescent="0.3">
      <c r="E475" s="40"/>
      <c r="F475" s="41" t="s">
        <v>28</v>
      </c>
      <c r="G475" s="41" t="s">
        <v>21</v>
      </c>
      <c r="H475" s="41" t="s">
        <v>8</v>
      </c>
    </row>
    <row r="476" spans="2:15" ht="13" hidden="1" outlineLevel="1" thickBot="1" x14ac:dyDescent="0.3">
      <c r="C476" s="25" t="s">
        <v>44</v>
      </c>
      <c r="D476" s="25" t="s">
        <v>42</v>
      </c>
      <c r="E476" s="46"/>
      <c r="F476" s="47"/>
      <c r="G476" s="47"/>
      <c r="H476" s="47"/>
    </row>
    <row r="477" spans="2:15" ht="20.5" hidden="1" outlineLevel="1" thickTop="1" x14ac:dyDescent="0.25">
      <c r="B477" s="140" t="s">
        <v>73</v>
      </c>
      <c r="C477" s="29"/>
      <c r="D477" s="141"/>
      <c r="E477" s="46"/>
      <c r="F477" s="47"/>
      <c r="G477" s="47"/>
      <c r="H477" s="47"/>
    </row>
    <row r="478" spans="2:15" ht="14" hidden="1" outlineLevel="1" x14ac:dyDescent="0.25">
      <c r="B478" s="37"/>
      <c r="C478" s="38" t="s">
        <v>0</v>
      </c>
      <c r="D478" s="39" t="s">
        <v>1</v>
      </c>
      <c r="E478" s="46"/>
      <c r="F478" s="47"/>
      <c r="G478" s="47"/>
      <c r="H478" s="47"/>
    </row>
    <row r="479" spans="2:15" ht="14" hidden="1" outlineLevel="1" x14ac:dyDescent="0.25">
      <c r="B479" s="43" t="s">
        <v>65</v>
      </c>
      <c r="C479" s="142"/>
      <c r="D479" s="45" t="s">
        <v>2</v>
      </c>
      <c r="E479" s="57"/>
      <c r="F479" s="58"/>
      <c r="G479" s="58"/>
      <c r="H479" s="58"/>
    </row>
    <row r="480" spans="2:15" ht="13" hidden="1" outlineLevel="1" x14ac:dyDescent="0.25">
      <c r="B480" s="43" t="s">
        <v>64</v>
      </c>
      <c r="C480" s="143"/>
      <c r="D480" s="45" t="s">
        <v>3</v>
      </c>
      <c r="E480" s="46"/>
      <c r="F480" s="47"/>
      <c r="G480" s="47"/>
      <c r="H480" s="47"/>
    </row>
    <row r="481" spans="2:11" ht="13" hidden="1" outlineLevel="1" x14ac:dyDescent="0.25">
      <c r="B481" s="51" t="s">
        <v>63</v>
      </c>
      <c r="C481" s="144">
        <f>C479*C480</f>
        <v>0</v>
      </c>
      <c r="D481" s="45" t="str">
        <f>D479</f>
        <v>kg</v>
      </c>
      <c r="E481" s="59"/>
      <c r="F481" s="47"/>
      <c r="G481" s="47"/>
      <c r="H481" s="47"/>
    </row>
    <row r="482" spans="2:11" ht="14" hidden="1" outlineLevel="1" x14ac:dyDescent="0.25">
      <c r="B482" s="54" t="s">
        <v>37</v>
      </c>
      <c r="C482" s="145">
        <v>1</v>
      </c>
      <c r="D482" s="56"/>
      <c r="E482" s="46"/>
      <c r="F482" s="47"/>
      <c r="G482" s="47"/>
      <c r="H482" s="47"/>
    </row>
    <row r="483" spans="2:11" ht="13.5" hidden="1" outlineLevel="1" thickBot="1" x14ac:dyDescent="0.3">
      <c r="B483" s="43" t="s">
        <v>66</v>
      </c>
      <c r="C483" s="142"/>
      <c r="D483" s="45" t="str">
        <f>D479</f>
        <v>kg</v>
      </c>
      <c r="F483" s="64"/>
      <c r="G483" s="64"/>
      <c r="H483" s="64"/>
    </row>
    <row r="484" spans="2:11" ht="14.5" hidden="1" outlineLevel="1" thickBot="1" x14ac:dyDescent="0.3">
      <c r="B484" s="43" t="s">
        <v>67</v>
      </c>
      <c r="C484" s="143"/>
      <c r="D484" s="45" t="s">
        <v>3</v>
      </c>
      <c r="E484" s="68"/>
      <c r="F484" s="69"/>
      <c r="G484" s="69"/>
      <c r="H484" s="69"/>
    </row>
    <row r="485" spans="2:11" ht="13.5" hidden="1" outlineLevel="1" thickBot="1" x14ac:dyDescent="0.3">
      <c r="B485" s="51" t="s">
        <v>68</v>
      </c>
      <c r="C485" s="144">
        <f>C483*C484</f>
        <v>0</v>
      </c>
      <c r="D485" s="45" t="str">
        <f>D479</f>
        <v>kg</v>
      </c>
      <c r="E485" s="73"/>
      <c r="F485" s="69"/>
      <c r="G485" s="69"/>
      <c r="H485" s="69"/>
    </row>
    <row r="486" spans="2:11" ht="13.5" hidden="1" outlineLevel="1" thickBot="1" x14ac:dyDescent="0.3">
      <c r="B486" s="61"/>
      <c r="C486" s="62"/>
      <c r="D486" s="63"/>
      <c r="E486" s="98"/>
      <c r="F486" s="69"/>
      <c r="G486" s="69"/>
      <c r="H486" s="69"/>
    </row>
    <row r="487" spans="2:11" ht="14.5" hidden="1" outlineLevel="1" thickBot="1" x14ac:dyDescent="0.3">
      <c r="B487" s="65" t="s">
        <v>5</v>
      </c>
      <c r="C487" s="66" t="s">
        <v>6</v>
      </c>
      <c r="D487" s="67" t="s">
        <v>1</v>
      </c>
      <c r="E487" s="77"/>
      <c r="F487" s="78"/>
      <c r="G487" s="78"/>
      <c r="H487" s="78"/>
    </row>
    <row r="488" spans="2:11" ht="13" hidden="1" outlineLevel="1" x14ac:dyDescent="0.25">
      <c r="B488" s="70" t="s">
        <v>43</v>
      </c>
      <c r="C488" s="71"/>
      <c r="D488" s="72"/>
      <c r="E488" s="77"/>
      <c r="F488" s="82"/>
      <c r="G488" s="82"/>
      <c r="H488" s="82"/>
    </row>
    <row r="489" spans="2:11" ht="13" hidden="1" outlineLevel="1" x14ac:dyDescent="0.25">
      <c r="B489" s="74"/>
      <c r="C489" s="146">
        <f>C481</f>
        <v>0</v>
      </c>
      <c r="D489" s="76" t="str">
        <f>D$479</f>
        <v>kg</v>
      </c>
      <c r="E489" s="77"/>
      <c r="F489" s="82"/>
      <c r="G489" s="82"/>
      <c r="H489" s="82"/>
    </row>
    <row r="490" spans="2:11" ht="13" hidden="1" outlineLevel="1" x14ac:dyDescent="0.25">
      <c r="B490" s="74"/>
      <c r="C490" s="146"/>
      <c r="D490" s="76" t="str">
        <f>D$479</f>
        <v>kg</v>
      </c>
      <c r="E490" s="77"/>
      <c r="F490" s="82"/>
      <c r="G490" s="82"/>
      <c r="H490" s="82"/>
    </row>
    <row r="491" spans="2:11" ht="13" hidden="1" outlineLevel="1" x14ac:dyDescent="0.25">
      <c r="B491" s="79" t="s">
        <v>69</v>
      </c>
      <c r="C491" s="147"/>
      <c r="D491" s="81"/>
      <c r="E491" s="77"/>
      <c r="F491" s="82"/>
      <c r="G491" s="82"/>
      <c r="H491" s="82"/>
    </row>
    <row r="492" spans="2:11" ht="13" hidden="1" outlineLevel="1" x14ac:dyDescent="0.25">
      <c r="B492" s="74"/>
      <c r="C492" s="148"/>
      <c r="D492" s="76" t="str">
        <f t="shared" ref="D492:D498" si="0">D$479</f>
        <v>kg</v>
      </c>
      <c r="E492" s="77"/>
      <c r="F492" s="82"/>
      <c r="G492" s="82"/>
      <c r="H492" s="82"/>
    </row>
    <row r="493" spans="2:11" ht="13" hidden="1" outlineLevel="1" x14ac:dyDescent="0.25">
      <c r="B493" s="74"/>
      <c r="C493" s="148"/>
      <c r="D493" s="76" t="str">
        <f t="shared" si="0"/>
        <v>kg</v>
      </c>
      <c r="E493" s="77"/>
      <c r="F493" s="82"/>
      <c r="G493" s="82"/>
      <c r="H493" s="82"/>
    </row>
    <row r="494" spans="2:11" ht="13" hidden="1" outlineLevel="1" x14ac:dyDescent="0.25">
      <c r="B494" s="74"/>
      <c r="C494" s="148"/>
      <c r="D494" s="76" t="str">
        <f t="shared" si="0"/>
        <v>kg</v>
      </c>
      <c r="E494" s="77"/>
      <c r="F494" s="82"/>
      <c r="G494" s="82"/>
      <c r="H494" s="82"/>
    </row>
    <row r="495" spans="2:11" ht="13" hidden="1" outlineLevel="1" x14ac:dyDescent="0.25">
      <c r="B495" s="74"/>
      <c r="C495" s="148"/>
      <c r="D495" s="76" t="str">
        <f t="shared" si="0"/>
        <v>kg</v>
      </c>
      <c r="E495" s="77"/>
      <c r="F495" s="82"/>
      <c r="G495" s="82"/>
      <c r="H495" s="82"/>
    </row>
    <row r="496" spans="2:11" ht="13.15" hidden="1" customHeight="1" outlineLevel="1" x14ac:dyDescent="0.25">
      <c r="B496" s="74"/>
      <c r="C496" s="148"/>
      <c r="D496" s="76" t="str">
        <f t="shared" si="0"/>
        <v>kg</v>
      </c>
      <c r="E496" s="77"/>
      <c r="F496" s="82"/>
      <c r="G496" s="82"/>
      <c r="H496" s="82"/>
      <c r="K496" s="34"/>
    </row>
    <row r="497" spans="2:8" ht="13" hidden="1" outlineLevel="1" x14ac:dyDescent="0.25">
      <c r="B497" s="74"/>
      <c r="C497" s="148"/>
      <c r="D497" s="76" t="str">
        <f t="shared" si="0"/>
        <v>kg</v>
      </c>
      <c r="E497" s="77"/>
      <c r="F497" s="82"/>
      <c r="G497" s="82"/>
      <c r="H497" s="82"/>
    </row>
    <row r="498" spans="2:8" ht="13" hidden="1" outlineLevel="1" x14ac:dyDescent="0.25">
      <c r="B498" s="74"/>
      <c r="C498" s="148"/>
      <c r="D498" s="76" t="str">
        <f t="shared" si="0"/>
        <v>kg</v>
      </c>
      <c r="E498" s="77"/>
      <c r="F498" s="82"/>
      <c r="G498" s="82"/>
      <c r="H498" s="82"/>
    </row>
    <row r="499" spans="2:8" ht="13" hidden="1" outlineLevel="1" x14ac:dyDescent="0.25">
      <c r="B499" s="74"/>
      <c r="C499" s="148"/>
      <c r="D499" s="76" t="str">
        <f t="shared" ref="D499:D501" si="1">D$479</f>
        <v>kg</v>
      </c>
      <c r="E499" s="77"/>
      <c r="F499" s="82"/>
      <c r="G499" s="82"/>
      <c r="H499" s="82"/>
    </row>
    <row r="500" spans="2:8" ht="13" hidden="1" outlineLevel="1" x14ac:dyDescent="0.25">
      <c r="B500" s="74"/>
      <c r="C500" s="148"/>
      <c r="D500" s="76" t="str">
        <f t="shared" si="1"/>
        <v>kg</v>
      </c>
      <c r="E500" s="77"/>
      <c r="F500" s="82"/>
      <c r="G500" s="82"/>
      <c r="H500" s="82"/>
    </row>
    <row r="501" spans="2:8" ht="13" hidden="1" outlineLevel="1" x14ac:dyDescent="0.25">
      <c r="B501" s="74"/>
      <c r="C501" s="148"/>
      <c r="D501" s="76" t="str">
        <f t="shared" si="1"/>
        <v>kg</v>
      </c>
      <c r="E501" s="77"/>
      <c r="F501" s="82"/>
      <c r="G501" s="82"/>
      <c r="H501" s="82"/>
    </row>
    <row r="502" spans="2:8" ht="13" hidden="1" outlineLevel="1" x14ac:dyDescent="0.25">
      <c r="B502" s="79"/>
      <c r="C502" s="147"/>
      <c r="D502" s="81"/>
      <c r="E502" s="77"/>
      <c r="F502" s="82"/>
      <c r="G502" s="82"/>
      <c r="H502" s="82"/>
    </row>
    <row r="503" spans="2:8" ht="13" hidden="1" outlineLevel="1" x14ac:dyDescent="0.25">
      <c r="B503" s="86" t="s">
        <v>7</v>
      </c>
      <c r="C503" s="149">
        <f>SUM(C488:C501)</f>
        <v>0</v>
      </c>
      <c r="D503" s="88" t="str">
        <f>D$479</f>
        <v>kg</v>
      </c>
      <c r="E503" s="77"/>
      <c r="F503" s="82"/>
      <c r="G503" s="82"/>
      <c r="H503" s="82"/>
    </row>
    <row r="504" spans="2:8" ht="13" hidden="1" outlineLevel="1" x14ac:dyDescent="0.25">
      <c r="B504" s="79" t="s">
        <v>71</v>
      </c>
      <c r="C504" s="150"/>
      <c r="D504" s="81"/>
      <c r="E504" s="77"/>
      <c r="F504" s="82"/>
      <c r="G504" s="82"/>
      <c r="H504" s="82"/>
    </row>
    <row r="505" spans="2:8" ht="13" hidden="1" outlineLevel="1" x14ac:dyDescent="0.25">
      <c r="B505" s="74"/>
      <c r="C505" s="148"/>
      <c r="D505" s="76" t="str">
        <f t="shared" ref="D505:D512" si="2">D$479</f>
        <v>kg</v>
      </c>
      <c r="E505" s="77"/>
      <c r="F505" s="82"/>
      <c r="G505" s="82"/>
      <c r="H505" s="82"/>
    </row>
    <row r="506" spans="2:8" ht="13" hidden="1" outlineLevel="1" x14ac:dyDescent="0.25">
      <c r="B506" s="74"/>
      <c r="C506" s="148"/>
      <c r="D506" s="76" t="str">
        <f>D$479</f>
        <v>kg</v>
      </c>
      <c r="E506" s="77"/>
      <c r="F506" s="82"/>
      <c r="G506" s="82"/>
      <c r="H506" s="82"/>
    </row>
    <row r="507" spans="2:8" ht="13" hidden="1" outlineLevel="1" x14ac:dyDescent="0.25">
      <c r="B507" s="74"/>
      <c r="C507" s="148"/>
      <c r="D507" s="76" t="str">
        <f>D$479</f>
        <v>kg</v>
      </c>
      <c r="E507" s="77"/>
      <c r="F507" s="82"/>
      <c r="G507" s="82"/>
      <c r="H507" s="82"/>
    </row>
    <row r="508" spans="2:8" ht="13" hidden="1" outlineLevel="1" x14ac:dyDescent="0.25">
      <c r="B508" s="74"/>
      <c r="C508" s="148"/>
      <c r="D508" s="76" t="str">
        <f t="shared" si="2"/>
        <v>kg</v>
      </c>
      <c r="E508" s="77"/>
      <c r="F508" s="82"/>
      <c r="G508" s="82"/>
      <c r="H508" s="82"/>
    </row>
    <row r="509" spans="2:8" ht="13" hidden="1" outlineLevel="1" x14ac:dyDescent="0.25">
      <c r="B509" s="74"/>
      <c r="C509" s="148"/>
      <c r="D509" s="76" t="str">
        <f t="shared" si="2"/>
        <v>kg</v>
      </c>
      <c r="E509" s="77"/>
      <c r="F509" s="82"/>
      <c r="G509" s="82"/>
      <c r="H509" s="82"/>
    </row>
    <row r="510" spans="2:8" ht="13" hidden="1" outlineLevel="1" x14ac:dyDescent="0.25">
      <c r="B510" s="74"/>
      <c r="C510" s="148"/>
      <c r="D510" s="76" t="str">
        <f t="shared" si="2"/>
        <v>kg</v>
      </c>
      <c r="E510" s="90"/>
      <c r="F510" s="82"/>
      <c r="G510" s="82"/>
      <c r="H510" s="82"/>
    </row>
    <row r="511" spans="2:8" ht="13" hidden="1" outlineLevel="1" x14ac:dyDescent="0.25">
      <c r="B511" s="74"/>
      <c r="C511" s="148"/>
      <c r="D511" s="76" t="str">
        <f t="shared" si="2"/>
        <v>kg</v>
      </c>
      <c r="E511" s="77"/>
      <c r="F511" s="82"/>
      <c r="G511" s="82"/>
      <c r="H511" s="82"/>
    </row>
    <row r="512" spans="2:8" ht="13" hidden="1" outlineLevel="1" x14ac:dyDescent="0.25">
      <c r="B512" s="74"/>
      <c r="C512" s="148"/>
      <c r="D512" s="76" t="str">
        <f t="shared" si="2"/>
        <v>kg</v>
      </c>
      <c r="E512" s="77"/>
      <c r="F512" s="82"/>
      <c r="G512" s="82"/>
      <c r="H512" s="82"/>
    </row>
    <row r="513" spans="2:11" ht="13" hidden="1" outlineLevel="1" x14ac:dyDescent="0.25">
      <c r="B513" s="79" t="s">
        <v>70</v>
      </c>
      <c r="C513" s="147"/>
      <c r="D513" s="81"/>
      <c r="E513" s="77"/>
      <c r="F513" s="82"/>
      <c r="G513" s="82"/>
      <c r="H513" s="82"/>
    </row>
    <row r="514" spans="2:11" ht="13" hidden="1" outlineLevel="1" x14ac:dyDescent="0.25">
      <c r="B514" s="74"/>
      <c r="C514" s="148"/>
      <c r="D514" s="76" t="str">
        <f t="shared" ref="D514:D520" si="3">D$479</f>
        <v>kg</v>
      </c>
      <c r="E514" s="77"/>
      <c r="F514" s="82"/>
      <c r="G514" s="82"/>
      <c r="H514" s="82"/>
    </row>
    <row r="515" spans="2:11" ht="13.15" hidden="1" customHeight="1" outlineLevel="1" x14ac:dyDescent="0.25">
      <c r="B515" s="74"/>
      <c r="C515" s="148"/>
      <c r="D515" s="76" t="str">
        <f>D$479</f>
        <v>kg</v>
      </c>
      <c r="E515" s="77"/>
      <c r="F515" s="82"/>
      <c r="G515" s="82"/>
      <c r="H515" s="82"/>
      <c r="K515" s="34"/>
    </row>
    <row r="516" spans="2:11" ht="13" hidden="1" outlineLevel="1" x14ac:dyDescent="0.25">
      <c r="B516" s="74"/>
      <c r="C516" s="148"/>
      <c r="D516" s="76" t="str">
        <f>D$479</f>
        <v>kg</v>
      </c>
      <c r="E516" s="77"/>
      <c r="F516" s="82"/>
      <c r="G516" s="82"/>
      <c r="H516" s="82"/>
    </row>
    <row r="517" spans="2:11" ht="13" hidden="1" outlineLevel="1" x14ac:dyDescent="0.25">
      <c r="B517" s="74"/>
      <c r="C517" s="148"/>
      <c r="D517" s="76" t="str">
        <f>D$479</f>
        <v>kg</v>
      </c>
      <c r="E517" s="77"/>
      <c r="F517" s="82"/>
      <c r="G517" s="82"/>
      <c r="H517" s="82"/>
    </row>
    <row r="518" spans="2:11" ht="21.65" hidden="1" customHeight="1" outlineLevel="1" x14ac:dyDescent="0.25">
      <c r="B518" s="74"/>
      <c r="C518" s="148"/>
      <c r="D518" s="76" t="str">
        <f t="shared" si="3"/>
        <v>kg</v>
      </c>
      <c r="E518" s="77"/>
      <c r="F518" s="82"/>
      <c r="G518" s="82"/>
      <c r="H518" s="82"/>
    </row>
    <row r="519" spans="2:11" ht="13" hidden="1" outlineLevel="1" x14ac:dyDescent="0.25">
      <c r="B519" s="74"/>
      <c r="C519" s="148"/>
      <c r="D519" s="76" t="str">
        <f t="shared" si="3"/>
        <v>kg</v>
      </c>
      <c r="E519" s="77"/>
      <c r="F519" s="82"/>
      <c r="G519" s="82"/>
      <c r="H519" s="82"/>
    </row>
    <row r="520" spans="2:11" ht="13" hidden="1" outlineLevel="1" x14ac:dyDescent="0.25">
      <c r="B520" s="74"/>
      <c r="C520" s="148"/>
      <c r="D520" s="76" t="str">
        <f t="shared" si="3"/>
        <v>kg</v>
      </c>
      <c r="E520" s="77"/>
      <c r="F520" s="82"/>
      <c r="G520" s="82"/>
      <c r="H520" s="82"/>
    </row>
    <row r="521" spans="2:11" ht="13" hidden="1" outlineLevel="1" x14ac:dyDescent="0.25">
      <c r="B521" s="79"/>
      <c r="C521" s="147"/>
      <c r="D521" s="81"/>
      <c r="E521" s="77"/>
      <c r="F521" s="82"/>
      <c r="G521" s="82"/>
      <c r="H521" s="82"/>
    </row>
    <row r="522" spans="2:11" ht="15" hidden="1" customHeight="1" outlineLevel="1" x14ac:dyDescent="0.25">
      <c r="B522" s="86" t="s">
        <v>9</v>
      </c>
      <c r="C522" s="149">
        <f>SUM(C503:C520)</f>
        <v>0</v>
      </c>
      <c r="D522" s="91" t="str">
        <f>D$479</f>
        <v>kg</v>
      </c>
      <c r="E522" s="98"/>
      <c r="F522" s="82"/>
      <c r="G522" s="82"/>
      <c r="H522" s="82"/>
    </row>
    <row r="523" spans="2:11" ht="13.5" hidden="1" outlineLevel="1" thickBot="1" x14ac:dyDescent="0.3">
      <c r="B523" s="92"/>
      <c r="C523" s="93"/>
      <c r="D523" s="94"/>
      <c r="E523" s="98"/>
      <c r="F523" s="82"/>
      <c r="G523" s="82"/>
      <c r="H523" s="82"/>
    </row>
    <row r="524" spans="2:11" ht="20.5" hidden="1" outlineLevel="1" thickBot="1" x14ac:dyDescent="0.3">
      <c r="B524" s="426" t="s">
        <v>10</v>
      </c>
      <c r="C524" s="427"/>
      <c r="D524" s="428"/>
      <c r="E524" s="98"/>
      <c r="F524" s="82"/>
      <c r="G524" s="82"/>
      <c r="H524" s="82"/>
    </row>
    <row r="525" spans="2:11" ht="13" hidden="1" outlineLevel="1" x14ac:dyDescent="0.25">
      <c r="B525" s="95" t="s">
        <v>23</v>
      </c>
      <c r="C525" s="96"/>
      <c r="D525" s="151">
        <f>SUM(C489:C490)</f>
        <v>0</v>
      </c>
      <c r="E525" s="98"/>
      <c r="F525" s="82"/>
      <c r="G525" s="82"/>
      <c r="H525" s="82"/>
    </row>
    <row r="526" spans="2:11" ht="13.5" hidden="1" outlineLevel="1" thickBot="1" x14ac:dyDescent="0.3">
      <c r="B526" s="99" t="s">
        <v>24</v>
      </c>
      <c r="C526" s="100"/>
      <c r="D526" s="152">
        <f>SUM(C492:C502)</f>
        <v>0</v>
      </c>
      <c r="E526" s="77"/>
      <c r="F526" s="110" t="s">
        <v>86</v>
      </c>
      <c r="G526" s="109" t="s">
        <v>85</v>
      </c>
      <c r="H526" s="110"/>
    </row>
    <row r="527" spans="2:11" ht="13.5" hidden="1" outlineLevel="1" thickBot="1" x14ac:dyDescent="0.3">
      <c r="B527" s="99" t="s">
        <v>25</v>
      </c>
      <c r="C527" s="100"/>
      <c r="D527" s="152">
        <f>SUM(C505:C513)</f>
        <v>0</v>
      </c>
      <c r="E527" s="77"/>
      <c r="F527" s="154"/>
      <c r="G527" s="413"/>
      <c r="H527" s="414"/>
    </row>
    <row r="528" spans="2:11" ht="13.5" hidden="1" outlineLevel="1" thickBot="1" x14ac:dyDescent="0.3">
      <c r="B528" s="102" t="s">
        <v>26</v>
      </c>
      <c r="C528" s="103"/>
      <c r="D528" s="153">
        <f>SUM(C514:C521)</f>
        <v>0</v>
      </c>
      <c r="E528" s="90"/>
      <c r="F528" s="64" t="s">
        <v>45</v>
      </c>
      <c r="G528" s="64" t="s">
        <v>45</v>
      </c>
      <c r="H528" s="155"/>
    </row>
    <row r="529" spans="2:15" ht="19" hidden="1" outlineLevel="1" thickTop="1" thickBot="1" x14ac:dyDescent="0.3">
      <c r="B529" s="105" t="s">
        <v>11</v>
      </c>
      <c r="C529" s="106"/>
      <c r="D529" s="107" t="e">
        <f>C503/C485</f>
        <v>#DIV/0!</v>
      </c>
      <c r="E529" s="90"/>
      <c r="F529" s="110"/>
      <c r="G529" s="117" t="s">
        <v>46</v>
      </c>
      <c r="H529" s="110"/>
    </row>
    <row r="530" spans="2:15" ht="18" hidden="1" customHeight="1" outlineLevel="1" thickBot="1" x14ac:dyDescent="0.3">
      <c r="B530" s="111" t="s">
        <v>12</v>
      </c>
      <c r="C530" s="112"/>
      <c r="D530" s="113" t="e">
        <f>(D525+D526+D527)/C485</f>
        <v>#DIV/0!</v>
      </c>
      <c r="E530" s="90"/>
      <c r="F530" s="429"/>
      <c r="G530" s="430"/>
      <c r="H530" s="431"/>
    </row>
    <row r="531" spans="2:15" ht="18" hidden="1" outlineLevel="1" x14ac:dyDescent="0.25">
      <c r="B531" s="111" t="s">
        <v>13</v>
      </c>
      <c r="C531" s="112"/>
      <c r="D531" s="113" t="e">
        <f>D527/C485</f>
        <v>#DIV/0!</v>
      </c>
      <c r="E531" s="77"/>
      <c r="F531" s="64" t="s">
        <v>45</v>
      </c>
      <c r="G531" s="64"/>
      <c r="H531" s="82"/>
    </row>
    <row r="532" spans="2:15" ht="18" hidden="1" outlineLevel="1" x14ac:dyDescent="0.25">
      <c r="B532" s="114" t="s">
        <v>14</v>
      </c>
      <c r="C532" s="115"/>
      <c r="D532" s="116" t="e">
        <f>D528/C485</f>
        <v>#DIV/0!</v>
      </c>
      <c r="E532" s="77"/>
      <c r="F532" s="82"/>
      <c r="G532" s="82"/>
      <c r="H532" s="82"/>
    </row>
    <row r="533" spans="2:15" ht="18.5" hidden="1" outlineLevel="1" thickBot="1" x14ac:dyDescent="0.3">
      <c r="B533" s="114" t="s">
        <v>15</v>
      </c>
      <c r="C533" s="119"/>
      <c r="D533" s="116" t="e">
        <f>SUM(D525:D528)/C485</f>
        <v>#DIV/0!</v>
      </c>
      <c r="E533" s="77"/>
      <c r="F533" s="415" t="s">
        <v>61</v>
      </c>
      <c r="G533" s="416"/>
      <c r="H533" s="416"/>
    </row>
    <row r="534" spans="2:15" ht="18.5" hidden="1" outlineLevel="1" thickTop="1" x14ac:dyDescent="0.25">
      <c r="B534" s="120" t="s">
        <v>16</v>
      </c>
      <c r="C534" s="121"/>
      <c r="D534" s="122" t="e">
        <f>((C489*D467)+D526+C490*MAX(1,F487))/C485</f>
        <v>#DIV/0!</v>
      </c>
      <c r="E534" s="77"/>
      <c r="F534" s="416"/>
      <c r="G534" s="416"/>
      <c r="H534" s="416"/>
    </row>
    <row r="535" spans="2:15" ht="18" hidden="1" outlineLevel="1" x14ac:dyDescent="0.25">
      <c r="B535" s="123" t="s">
        <v>17</v>
      </c>
      <c r="C535" s="124"/>
      <c r="D535" s="125" t="e">
        <f>(C489*D468+D526+D527+C490*(MAX(1,F487)+G487))/C485</f>
        <v>#DIV/0!</v>
      </c>
      <c r="E535" s="77"/>
      <c r="F535" s="416"/>
      <c r="G535" s="416"/>
      <c r="H535" s="416"/>
    </row>
    <row r="536" spans="2:15" ht="18" hidden="1" outlineLevel="1" x14ac:dyDescent="0.25">
      <c r="B536" s="123" t="s">
        <v>18</v>
      </c>
      <c r="C536" s="124"/>
      <c r="D536" s="125" t="e">
        <f>((C489*D469)+D527+C490*G487)/C485</f>
        <v>#DIV/0!</v>
      </c>
      <c r="F536" s="416"/>
      <c r="G536" s="416"/>
      <c r="H536" s="416"/>
    </row>
    <row r="537" spans="2:15" ht="18" hidden="1" outlineLevel="1" x14ac:dyDescent="0.25">
      <c r="B537" s="126" t="s">
        <v>19</v>
      </c>
      <c r="C537" s="127"/>
      <c r="D537" s="128" t="e">
        <f>(C489*D470+D528+C490*H487)/C485</f>
        <v>#DIV/0!</v>
      </c>
      <c r="F537" s="416"/>
      <c r="G537" s="416"/>
      <c r="H537" s="416"/>
    </row>
    <row r="538" spans="2:15" ht="18.5" hidden="1" outlineLevel="1" thickBot="1" x14ac:dyDescent="0.3">
      <c r="B538" s="129" t="s">
        <v>20</v>
      </c>
      <c r="C538" s="130"/>
      <c r="D538" s="131" t="e">
        <f>((C489*D471)+SUM(D526:D528)+C490*(MAX(1,F487)+G487+H487))/C485</f>
        <v>#DIV/0!</v>
      </c>
      <c r="F538" s="416"/>
      <c r="G538" s="416"/>
      <c r="H538" s="416"/>
      <c r="N538" s="36"/>
      <c r="O538" s="36"/>
    </row>
    <row r="539" spans="2:15" ht="13.5" hidden="1" outlineLevel="1" thickTop="1" x14ac:dyDescent="0.25">
      <c r="B539" s="156" t="s">
        <v>76</v>
      </c>
      <c r="C539" s="424"/>
      <c r="D539" s="425"/>
      <c r="F539" s="34"/>
      <c r="G539" s="34"/>
      <c r="H539" s="34"/>
      <c r="N539" s="36"/>
      <c r="O539" s="36"/>
    </row>
    <row r="540" spans="2:15" ht="13.5" hidden="1" outlineLevel="1" thickBot="1" x14ac:dyDescent="0.3">
      <c r="B540" s="157" t="s">
        <v>58</v>
      </c>
      <c r="C540" s="422"/>
      <c r="D540" s="423"/>
      <c r="F540" s="34"/>
      <c r="G540" s="34"/>
      <c r="H540" s="34"/>
    </row>
    <row r="541" spans="2:15" ht="21" hidden="1" outlineLevel="1" thickTop="1" thickBot="1" x14ac:dyDescent="0.3">
      <c r="B541" s="158" t="s">
        <v>59</v>
      </c>
      <c r="C541" s="420"/>
      <c r="D541" s="421"/>
      <c r="E541" s="31"/>
      <c r="F541" s="32" t="s">
        <v>27</v>
      </c>
      <c r="G541" s="33"/>
      <c r="H541" s="33"/>
    </row>
    <row r="542" spans="2:15" ht="14.5" hidden="1" outlineLevel="1" thickBot="1" x14ac:dyDescent="0.3">
      <c r="E542" s="40"/>
      <c r="F542" s="41" t="s">
        <v>28</v>
      </c>
      <c r="G542" s="41" t="s">
        <v>21</v>
      </c>
      <c r="H542" s="41" t="s">
        <v>8</v>
      </c>
    </row>
    <row r="543" spans="2:15" ht="13" hidden="1" outlineLevel="1" thickBot="1" x14ac:dyDescent="0.3">
      <c r="C543" s="25" t="s">
        <v>44</v>
      </c>
      <c r="D543" s="25" t="s">
        <v>42</v>
      </c>
      <c r="E543" s="46"/>
      <c r="F543" s="47"/>
      <c r="G543" s="47"/>
      <c r="H543" s="47"/>
    </row>
    <row r="544" spans="2:15" ht="20.5" hidden="1" outlineLevel="1" thickTop="1" x14ac:dyDescent="0.25">
      <c r="B544" s="140" t="s">
        <v>73</v>
      </c>
      <c r="C544" s="29"/>
      <c r="D544" s="141"/>
      <c r="E544" s="46"/>
      <c r="F544" s="47"/>
      <c r="G544" s="47"/>
      <c r="H544" s="47"/>
    </row>
    <row r="545" spans="2:8" ht="14" hidden="1" outlineLevel="1" x14ac:dyDescent="0.25">
      <c r="B545" s="37"/>
      <c r="C545" s="38" t="s">
        <v>0</v>
      </c>
      <c r="D545" s="39" t="s">
        <v>1</v>
      </c>
      <c r="E545" s="46"/>
      <c r="F545" s="47"/>
      <c r="G545" s="47"/>
      <c r="H545" s="47"/>
    </row>
    <row r="546" spans="2:8" ht="14" hidden="1" outlineLevel="1" x14ac:dyDescent="0.25">
      <c r="B546" s="43" t="s">
        <v>65</v>
      </c>
      <c r="C546" s="142"/>
      <c r="D546" s="45" t="s">
        <v>2</v>
      </c>
      <c r="E546" s="57"/>
      <c r="F546" s="58"/>
      <c r="G546" s="58"/>
      <c r="H546" s="58"/>
    </row>
    <row r="547" spans="2:8" ht="13" hidden="1" outlineLevel="1" x14ac:dyDescent="0.25">
      <c r="B547" s="43" t="s">
        <v>64</v>
      </c>
      <c r="C547" s="143"/>
      <c r="D547" s="45" t="s">
        <v>3</v>
      </c>
      <c r="E547" s="46"/>
      <c r="F547" s="47"/>
      <c r="G547" s="47"/>
      <c r="H547" s="47"/>
    </row>
    <row r="548" spans="2:8" ht="13" hidden="1" outlineLevel="1" x14ac:dyDescent="0.25">
      <c r="B548" s="51" t="s">
        <v>63</v>
      </c>
      <c r="C548" s="144">
        <f>C546*C547</f>
        <v>0</v>
      </c>
      <c r="D548" s="45" t="str">
        <f>D546</f>
        <v>kg</v>
      </c>
      <c r="E548" s="59"/>
      <c r="F548" s="47"/>
      <c r="G548" s="47"/>
      <c r="H548" s="47"/>
    </row>
    <row r="549" spans="2:8" ht="14" hidden="1" outlineLevel="1" x14ac:dyDescent="0.25">
      <c r="B549" s="54" t="s">
        <v>37</v>
      </c>
      <c r="C549" s="145">
        <v>1</v>
      </c>
      <c r="D549" s="56"/>
      <c r="E549" s="46"/>
      <c r="F549" s="47"/>
      <c r="G549" s="47"/>
      <c r="H549" s="47"/>
    </row>
    <row r="550" spans="2:8" ht="13.5" hidden="1" outlineLevel="1" thickBot="1" x14ac:dyDescent="0.3">
      <c r="B550" s="43" t="s">
        <v>66</v>
      </c>
      <c r="C550" s="142"/>
      <c r="D550" s="45" t="str">
        <f>D546</f>
        <v>kg</v>
      </c>
      <c r="F550" s="64"/>
      <c r="G550" s="64"/>
      <c r="H550" s="64"/>
    </row>
    <row r="551" spans="2:8" ht="14.5" hidden="1" outlineLevel="1" thickBot="1" x14ac:dyDescent="0.3">
      <c r="B551" s="43" t="s">
        <v>67</v>
      </c>
      <c r="C551" s="143"/>
      <c r="D551" s="45" t="s">
        <v>3</v>
      </c>
      <c r="E551" s="68"/>
      <c r="F551" s="69"/>
      <c r="G551" s="69"/>
      <c r="H551" s="69"/>
    </row>
    <row r="552" spans="2:8" ht="13.5" hidden="1" outlineLevel="1" thickBot="1" x14ac:dyDescent="0.3">
      <c r="B552" s="51" t="s">
        <v>68</v>
      </c>
      <c r="C552" s="144">
        <f>C550*C551</f>
        <v>0</v>
      </c>
      <c r="D552" s="45" t="str">
        <f>D546</f>
        <v>kg</v>
      </c>
      <c r="E552" s="73"/>
      <c r="F552" s="69"/>
      <c r="G552" s="69"/>
      <c r="H552" s="69"/>
    </row>
    <row r="553" spans="2:8" ht="13.5" hidden="1" outlineLevel="1" thickBot="1" x14ac:dyDescent="0.3">
      <c r="B553" s="61"/>
      <c r="C553" s="62"/>
      <c r="D553" s="63"/>
      <c r="E553" s="98"/>
      <c r="F553" s="69"/>
      <c r="G553" s="69"/>
      <c r="H553" s="69"/>
    </row>
    <row r="554" spans="2:8" ht="14.5" hidden="1" outlineLevel="1" thickBot="1" x14ac:dyDescent="0.3">
      <c r="B554" s="65" t="s">
        <v>5</v>
      </c>
      <c r="C554" s="66" t="s">
        <v>6</v>
      </c>
      <c r="D554" s="67" t="s">
        <v>1</v>
      </c>
      <c r="E554" s="77"/>
      <c r="F554" s="78"/>
      <c r="G554" s="78"/>
      <c r="H554" s="78"/>
    </row>
    <row r="555" spans="2:8" ht="13" hidden="1" outlineLevel="1" x14ac:dyDescent="0.25">
      <c r="B555" s="70" t="s">
        <v>43</v>
      </c>
      <c r="C555" s="71"/>
      <c r="D555" s="72"/>
      <c r="E555" s="77"/>
      <c r="F555" s="82"/>
      <c r="G555" s="82"/>
      <c r="H555" s="82"/>
    </row>
    <row r="556" spans="2:8" ht="13" hidden="1" outlineLevel="1" x14ac:dyDescent="0.25">
      <c r="B556" s="74"/>
      <c r="C556" s="146">
        <f>C548</f>
        <v>0</v>
      </c>
      <c r="D556" s="76" t="str">
        <f>D546</f>
        <v>kg</v>
      </c>
      <c r="E556" s="77"/>
      <c r="F556" s="82"/>
      <c r="G556" s="82"/>
      <c r="H556" s="82"/>
    </row>
    <row r="557" spans="2:8" ht="13" hidden="1" outlineLevel="1" x14ac:dyDescent="0.25">
      <c r="B557" s="74"/>
      <c r="C557" s="146"/>
      <c r="D557" s="76" t="str">
        <f>D546</f>
        <v>kg</v>
      </c>
      <c r="E557" s="77"/>
      <c r="F557" s="82"/>
      <c r="G557" s="82"/>
      <c r="H557" s="82"/>
    </row>
    <row r="558" spans="2:8" ht="13" hidden="1" outlineLevel="1" x14ac:dyDescent="0.25">
      <c r="B558" s="79" t="s">
        <v>69</v>
      </c>
      <c r="C558" s="147"/>
      <c r="D558" s="81"/>
      <c r="E558" s="77"/>
      <c r="F558" s="82"/>
      <c r="G558" s="82"/>
      <c r="H558" s="82"/>
    </row>
    <row r="559" spans="2:8" ht="13" hidden="1" outlineLevel="1" x14ac:dyDescent="0.25">
      <c r="B559" s="74"/>
      <c r="C559" s="148"/>
      <c r="D559" s="76" t="str">
        <f>D546</f>
        <v>kg</v>
      </c>
      <c r="E559" s="77"/>
      <c r="F559" s="82"/>
      <c r="G559" s="82"/>
      <c r="H559" s="82"/>
    </row>
    <row r="560" spans="2:8" ht="13" hidden="1" outlineLevel="1" x14ac:dyDescent="0.25">
      <c r="B560" s="74"/>
      <c r="C560" s="148"/>
      <c r="D560" s="76" t="str">
        <f>D546</f>
        <v>kg</v>
      </c>
      <c r="E560" s="77"/>
      <c r="F560" s="82"/>
      <c r="G560" s="82"/>
      <c r="H560" s="82"/>
    </row>
    <row r="561" spans="2:11" ht="13" hidden="1" outlineLevel="1" x14ac:dyDescent="0.25">
      <c r="B561" s="74"/>
      <c r="C561" s="148"/>
      <c r="D561" s="76" t="str">
        <f>D546</f>
        <v>kg</v>
      </c>
      <c r="E561" s="77"/>
      <c r="F561" s="82"/>
      <c r="G561" s="82"/>
      <c r="H561" s="82"/>
    </row>
    <row r="562" spans="2:11" ht="13" hidden="1" outlineLevel="1" x14ac:dyDescent="0.25">
      <c r="B562" s="74"/>
      <c r="C562" s="148"/>
      <c r="D562" s="76" t="str">
        <f>D546</f>
        <v>kg</v>
      </c>
      <c r="E562" s="77"/>
      <c r="F562" s="82"/>
      <c r="G562" s="82"/>
      <c r="H562" s="82"/>
    </row>
    <row r="563" spans="2:11" ht="13.15" hidden="1" customHeight="1" outlineLevel="1" x14ac:dyDescent="0.25">
      <c r="B563" s="74"/>
      <c r="C563" s="148"/>
      <c r="D563" s="76" t="str">
        <f>D546</f>
        <v>kg</v>
      </c>
      <c r="E563" s="77"/>
      <c r="F563" s="82"/>
      <c r="G563" s="82"/>
      <c r="H563" s="82"/>
      <c r="K563" s="34"/>
    </row>
    <row r="564" spans="2:11" ht="13" hidden="1" outlineLevel="1" x14ac:dyDescent="0.25">
      <c r="B564" s="74"/>
      <c r="C564" s="148"/>
      <c r="D564" s="76" t="str">
        <f>D546</f>
        <v>kg</v>
      </c>
      <c r="E564" s="77"/>
      <c r="F564" s="82"/>
      <c r="G564" s="82"/>
      <c r="H564" s="82"/>
    </row>
    <row r="565" spans="2:11" ht="13" hidden="1" outlineLevel="1" x14ac:dyDescent="0.25">
      <c r="B565" s="74"/>
      <c r="C565" s="148"/>
      <c r="D565" s="76" t="str">
        <f>D546</f>
        <v>kg</v>
      </c>
      <c r="E565" s="77"/>
      <c r="F565" s="82"/>
      <c r="G565" s="82"/>
      <c r="H565" s="82"/>
    </row>
    <row r="566" spans="2:11" ht="13" hidden="1" outlineLevel="1" x14ac:dyDescent="0.25">
      <c r="B566" s="74"/>
      <c r="C566" s="148"/>
      <c r="D566" s="76" t="str">
        <f>D546</f>
        <v>kg</v>
      </c>
      <c r="E566" s="77"/>
      <c r="F566" s="82"/>
      <c r="G566" s="82"/>
      <c r="H566" s="82"/>
    </row>
    <row r="567" spans="2:11" ht="13" hidden="1" outlineLevel="1" x14ac:dyDescent="0.25">
      <c r="B567" s="74"/>
      <c r="C567" s="148"/>
      <c r="D567" s="76" t="str">
        <f>D546</f>
        <v>kg</v>
      </c>
      <c r="E567" s="77"/>
      <c r="F567" s="82"/>
      <c r="G567" s="82"/>
      <c r="H567" s="82"/>
    </row>
    <row r="568" spans="2:11" ht="13" hidden="1" outlineLevel="1" x14ac:dyDescent="0.25">
      <c r="B568" s="74"/>
      <c r="C568" s="148"/>
      <c r="D568" s="76" t="str">
        <f>D546</f>
        <v>kg</v>
      </c>
      <c r="E568" s="77"/>
      <c r="F568" s="82"/>
      <c r="G568" s="82"/>
      <c r="H568" s="82"/>
    </row>
    <row r="569" spans="2:11" ht="13" hidden="1" outlineLevel="1" x14ac:dyDescent="0.25">
      <c r="B569" s="79"/>
      <c r="C569" s="147"/>
      <c r="D569" s="81"/>
      <c r="E569" s="77"/>
      <c r="F569" s="82"/>
      <c r="G569" s="82"/>
      <c r="H569" s="82"/>
    </row>
    <row r="570" spans="2:11" ht="13" hidden="1" outlineLevel="1" x14ac:dyDescent="0.25">
      <c r="B570" s="86" t="s">
        <v>7</v>
      </c>
      <c r="C570" s="149">
        <f>SUM(C555:C568)</f>
        <v>0</v>
      </c>
      <c r="D570" s="88" t="str">
        <f>D546</f>
        <v>kg</v>
      </c>
      <c r="E570" s="77"/>
      <c r="F570" s="82"/>
      <c r="G570" s="82"/>
      <c r="H570" s="82"/>
    </row>
    <row r="571" spans="2:11" ht="13" hidden="1" outlineLevel="1" x14ac:dyDescent="0.25">
      <c r="B571" s="79" t="s">
        <v>71</v>
      </c>
      <c r="C571" s="150"/>
      <c r="D571" s="81"/>
      <c r="E571" s="77"/>
      <c r="F571" s="82"/>
      <c r="G571" s="82"/>
      <c r="H571" s="82"/>
    </row>
    <row r="572" spans="2:11" ht="13" hidden="1" outlineLevel="1" x14ac:dyDescent="0.25">
      <c r="B572" s="74"/>
      <c r="C572" s="148"/>
      <c r="D572" s="76" t="str">
        <f>D546</f>
        <v>kg</v>
      </c>
      <c r="E572" s="77"/>
      <c r="F572" s="82"/>
      <c r="G572" s="82"/>
      <c r="H572" s="82"/>
    </row>
    <row r="573" spans="2:11" ht="13" hidden="1" outlineLevel="1" x14ac:dyDescent="0.25">
      <c r="B573" s="74"/>
      <c r="C573" s="148"/>
      <c r="D573" s="76" t="str">
        <f>D546</f>
        <v>kg</v>
      </c>
      <c r="E573" s="77"/>
      <c r="F573" s="82"/>
      <c r="G573" s="82"/>
      <c r="H573" s="82"/>
    </row>
    <row r="574" spans="2:11" ht="13" hidden="1" outlineLevel="1" x14ac:dyDescent="0.25">
      <c r="B574" s="74"/>
      <c r="C574" s="148"/>
      <c r="D574" s="76" t="str">
        <f>D546</f>
        <v>kg</v>
      </c>
      <c r="E574" s="77"/>
      <c r="F574" s="82"/>
      <c r="G574" s="82"/>
      <c r="H574" s="82"/>
    </row>
    <row r="575" spans="2:11" ht="13" hidden="1" outlineLevel="1" x14ac:dyDescent="0.25">
      <c r="B575" s="74"/>
      <c r="C575" s="148"/>
      <c r="D575" s="76" t="str">
        <f>D546</f>
        <v>kg</v>
      </c>
      <c r="E575" s="77"/>
      <c r="F575" s="82"/>
      <c r="G575" s="82"/>
      <c r="H575" s="82"/>
    </row>
    <row r="576" spans="2:11" ht="13" hidden="1" outlineLevel="1" x14ac:dyDescent="0.25">
      <c r="B576" s="74"/>
      <c r="C576" s="148"/>
      <c r="D576" s="76" t="str">
        <f>D546</f>
        <v>kg</v>
      </c>
      <c r="E576" s="77"/>
      <c r="F576" s="82"/>
      <c r="G576" s="82"/>
      <c r="H576" s="82"/>
    </row>
    <row r="577" spans="2:11" ht="13" hidden="1" outlineLevel="1" x14ac:dyDescent="0.25">
      <c r="B577" s="74"/>
      <c r="C577" s="148"/>
      <c r="D577" s="76" t="str">
        <f>D546</f>
        <v>kg</v>
      </c>
      <c r="E577" s="90"/>
      <c r="F577" s="82"/>
      <c r="G577" s="82"/>
      <c r="H577" s="82"/>
    </row>
    <row r="578" spans="2:11" ht="13" hidden="1" outlineLevel="1" x14ac:dyDescent="0.25">
      <c r="B578" s="74"/>
      <c r="C578" s="148"/>
      <c r="D578" s="76" t="str">
        <f>D546</f>
        <v>kg</v>
      </c>
      <c r="E578" s="77"/>
      <c r="F578" s="82"/>
      <c r="G578" s="82"/>
      <c r="H578" s="82"/>
    </row>
    <row r="579" spans="2:11" ht="13" hidden="1" outlineLevel="1" x14ac:dyDescent="0.25">
      <c r="B579" s="74"/>
      <c r="C579" s="148"/>
      <c r="D579" s="76" t="str">
        <f>D546</f>
        <v>kg</v>
      </c>
      <c r="E579" s="77"/>
      <c r="F579" s="82"/>
      <c r="G579" s="82"/>
      <c r="H579" s="82"/>
    </row>
    <row r="580" spans="2:11" ht="13" hidden="1" outlineLevel="1" x14ac:dyDescent="0.25">
      <c r="B580" s="79" t="s">
        <v>70</v>
      </c>
      <c r="C580" s="147"/>
      <c r="D580" s="81"/>
      <c r="E580" s="77"/>
      <c r="F580" s="82"/>
      <c r="G580" s="82"/>
      <c r="H580" s="82"/>
    </row>
    <row r="581" spans="2:11" ht="13" hidden="1" outlineLevel="1" x14ac:dyDescent="0.25">
      <c r="B581" s="74"/>
      <c r="C581" s="148"/>
      <c r="D581" s="76" t="str">
        <f>D546</f>
        <v>kg</v>
      </c>
      <c r="E581" s="77"/>
      <c r="F581" s="82"/>
      <c r="G581" s="82"/>
      <c r="H581" s="82"/>
    </row>
    <row r="582" spans="2:11" ht="13.15" hidden="1" customHeight="1" outlineLevel="1" x14ac:dyDescent="0.25">
      <c r="B582" s="74"/>
      <c r="C582" s="148"/>
      <c r="D582" s="76" t="str">
        <f>D546</f>
        <v>kg</v>
      </c>
      <c r="E582" s="77"/>
      <c r="F582" s="82"/>
      <c r="G582" s="82"/>
      <c r="H582" s="82"/>
      <c r="K582" s="34"/>
    </row>
    <row r="583" spans="2:11" ht="13" hidden="1" outlineLevel="1" x14ac:dyDescent="0.25">
      <c r="B583" s="74"/>
      <c r="C583" s="148"/>
      <c r="D583" s="76" t="str">
        <f>D546</f>
        <v>kg</v>
      </c>
      <c r="E583" s="77"/>
      <c r="F583" s="82"/>
      <c r="G583" s="82"/>
      <c r="H583" s="82"/>
    </row>
    <row r="584" spans="2:11" ht="13" hidden="1" outlineLevel="1" x14ac:dyDescent="0.25">
      <c r="B584" s="74"/>
      <c r="C584" s="148"/>
      <c r="D584" s="76" t="str">
        <f>D546</f>
        <v>kg</v>
      </c>
      <c r="E584" s="77"/>
      <c r="F584" s="82"/>
      <c r="G584" s="82"/>
      <c r="H584" s="82"/>
    </row>
    <row r="585" spans="2:11" ht="13" hidden="1" outlineLevel="1" x14ac:dyDescent="0.25">
      <c r="B585" s="74"/>
      <c r="C585" s="148"/>
      <c r="D585" s="76" t="str">
        <f>D546</f>
        <v>kg</v>
      </c>
      <c r="E585" s="77"/>
      <c r="F585" s="82"/>
      <c r="G585" s="82"/>
      <c r="H585" s="82"/>
    </row>
    <row r="586" spans="2:11" ht="13" hidden="1" outlineLevel="1" x14ac:dyDescent="0.25">
      <c r="B586" s="74"/>
      <c r="C586" s="148"/>
      <c r="D586" s="76" t="str">
        <f>D546</f>
        <v>kg</v>
      </c>
      <c r="E586" s="77"/>
      <c r="F586" s="82"/>
      <c r="G586" s="82"/>
      <c r="H586" s="82"/>
    </row>
    <row r="587" spans="2:11" ht="13" hidden="1" outlineLevel="1" x14ac:dyDescent="0.25">
      <c r="B587" s="74"/>
      <c r="C587" s="148"/>
      <c r="D587" s="76" t="str">
        <f>D546</f>
        <v>kg</v>
      </c>
      <c r="E587" s="77"/>
      <c r="F587" s="82"/>
      <c r="G587" s="82"/>
      <c r="H587" s="82"/>
    </row>
    <row r="588" spans="2:11" ht="13" hidden="1" outlineLevel="1" x14ac:dyDescent="0.25">
      <c r="B588" s="79"/>
      <c r="C588" s="147"/>
      <c r="D588" s="81"/>
      <c r="E588" s="77"/>
      <c r="F588" s="82"/>
      <c r="G588" s="82"/>
      <c r="H588" s="82"/>
    </row>
    <row r="589" spans="2:11" ht="13" hidden="1" outlineLevel="1" x14ac:dyDescent="0.25">
      <c r="B589" s="86" t="s">
        <v>9</v>
      </c>
      <c r="C589" s="149">
        <f>SUM(C570:C587)</f>
        <v>0</v>
      </c>
      <c r="D589" s="91" t="str">
        <f>D546</f>
        <v>kg</v>
      </c>
      <c r="E589" s="98"/>
      <c r="F589" s="82"/>
      <c r="G589" s="82"/>
      <c r="H589" s="82"/>
    </row>
    <row r="590" spans="2:11" ht="13.5" hidden="1" outlineLevel="1" thickBot="1" x14ac:dyDescent="0.3">
      <c r="B590" s="92"/>
      <c r="C590" s="93"/>
      <c r="D590" s="94"/>
      <c r="E590" s="98"/>
      <c r="F590" s="82"/>
      <c r="G590" s="82"/>
      <c r="H590" s="82"/>
    </row>
    <row r="591" spans="2:11" ht="20.5" hidden="1" outlineLevel="1" thickBot="1" x14ac:dyDescent="0.3">
      <c r="B591" s="426" t="s">
        <v>10</v>
      </c>
      <c r="C591" s="427"/>
      <c r="D591" s="428"/>
      <c r="E591" s="98"/>
      <c r="F591" s="82"/>
      <c r="G591" s="82"/>
      <c r="H591" s="82"/>
    </row>
    <row r="592" spans="2:11" ht="13" hidden="1" outlineLevel="1" x14ac:dyDescent="0.25">
      <c r="B592" s="95" t="s">
        <v>23</v>
      </c>
      <c r="C592" s="96"/>
      <c r="D592" s="151">
        <f>SUM(C556:C557)</f>
        <v>0</v>
      </c>
      <c r="E592" s="98"/>
      <c r="F592" s="82"/>
      <c r="G592" s="82"/>
      <c r="H592" s="82"/>
    </row>
    <row r="593" spans="2:15" ht="13.5" hidden="1" outlineLevel="1" thickBot="1" x14ac:dyDescent="0.3">
      <c r="B593" s="99" t="s">
        <v>24</v>
      </c>
      <c r="C593" s="100"/>
      <c r="D593" s="152">
        <f>SUM(C559:C569)</f>
        <v>0</v>
      </c>
      <c r="E593" s="77"/>
      <c r="F593" s="110" t="s">
        <v>86</v>
      </c>
      <c r="G593" s="109" t="s">
        <v>85</v>
      </c>
      <c r="H593" s="110"/>
    </row>
    <row r="594" spans="2:15" ht="13.5" hidden="1" outlineLevel="1" thickBot="1" x14ac:dyDescent="0.3">
      <c r="B594" s="99" t="s">
        <v>25</v>
      </c>
      <c r="C594" s="100"/>
      <c r="D594" s="152">
        <f>SUM(C572:C580)</f>
        <v>0</v>
      </c>
      <c r="E594" s="77"/>
      <c r="F594" s="154"/>
      <c r="G594" s="413"/>
      <c r="H594" s="414"/>
    </row>
    <row r="595" spans="2:15" ht="13.5" hidden="1" outlineLevel="1" thickBot="1" x14ac:dyDescent="0.3">
      <c r="B595" s="102" t="s">
        <v>26</v>
      </c>
      <c r="C595" s="103"/>
      <c r="D595" s="153">
        <f>SUM(C581:C588)</f>
        <v>0</v>
      </c>
      <c r="E595" s="90"/>
      <c r="F595" s="64" t="s">
        <v>45</v>
      </c>
      <c r="G595" s="64" t="s">
        <v>45</v>
      </c>
      <c r="H595" s="155"/>
    </row>
    <row r="596" spans="2:15" ht="19" hidden="1" outlineLevel="1" thickTop="1" thickBot="1" x14ac:dyDescent="0.3">
      <c r="B596" s="105" t="s">
        <v>11</v>
      </c>
      <c r="C596" s="106"/>
      <c r="D596" s="107" t="e">
        <f>C570/C552</f>
        <v>#DIV/0!</v>
      </c>
      <c r="E596" s="90"/>
      <c r="F596" s="110"/>
      <c r="G596" s="117" t="s">
        <v>46</v>
      </c>
      <c r="H596" s="110"/>
    </row>
    <row r="597" spans="2:15" ht="18" hidden="1" customHeight="1" outlineLevel="1" thickBot="1" x14ac:dyDescent="0.3">
      <c r="B597" s="111" t="s">
        <v>12</v>
      </c>
      <c r="C597" s="112"/>
      <c r="D597" s="113" t="e">
        <f>(D592+D593+D594)/C552</f>
        <v>#DIV/0!</v>
      </c>
      <c r="E597" s="90"/>
      <c r="F597" s="429"/>
      <c r="G597" s="430"/>
      <c r="H597" s="431"/>
    </row>
    <row r="598" spans="2:15" ht="18" hidden="1" outlineLevel="1" x14ac:dyDescent="0.25">
      <c r="B598" s="111" t="s">
        <v>13</v>
      </c>
      <c r="C598" s="112"/>
      <c r="D598" s="113" t="e">
        <f>D594/C552</f>
        <v>#DIV/0!</v>
      </c>
      <c r="E598" s="77"/>
      <c r="F598" s="64" t="s">
        <v>45</v>
      </c>
      <c r="G598" s="64"/>
      <c r="H598" s="82"/>
    </row>
    <row r="599" spans="2:15" ht="18" hidden="1" outlineLevel="1" x14ac:dyDescent="0.25">
      <c r="B599" s="114" t="s">
        <v>14</v>
      </c>
      <c r="C599" s="115"/>
      <c r="D599" s="116" t="e">
        <f>D595/C552</f>
        <v>#DIV/0!</v>
      </c>
      <c r="E599" s="77"/>
      <c r="F599" s="82"/>
      <c r="G599" s="82"/>
      <c r="H599" s="82"/>
    </row>
    <row r="600" spans="2:15" ht="18.5" hidden="1" outlineLevel="1" thickBot="1" x14ac:dyDescent="0.3">
      <c r="B600" s="114" t="s">
        <v>15</v>
      </c>
      <c r="C600" s="119"/>
      <c r="D600" s="116" t="e">
        <f>SUM(D592:D595)/C552</f>
        <v>#DIV/0!</v>
      </c>
      <c r="E600" s="77"/>
      <c r="F600" s="415" t="s">
        <v>61</v>
      </c>
      <c r="G600" s="416"/>
      <c r="H600" s="416"/>
    </row>
    <row r="601" spans="2:15" ht="18.5" hidden="1" outlineLevel="1" thickTop="1" x14ac:dyDescent="0.25">
      <c r="B601" s="120" t="s">
        <v>16</v>
      </c>
      <c r="C601" s="121"/>
      <c r="D601" s="122" t="e">
        <f>((C556*D534)+D593+C557*MAX(1,F554))/C552</f>
        <v>#DIV/0!</v>
      </c>
      <c r="E601" s="77"/>
      <c r="F601" s="416"/>
      <c r="G601" s="416"/>
      <c r="H601" s="416"/>
    </row>
    <row r="602" spans="2:15" ht="18" hidden="1" outlineLevel="1" x14ac:dyDescent="0.25">
      <c r="B602" s="123" t="s">
        <v>17</v>
      </c>
      <c r="C602" s="124"/>
      <c r="D602" s="125" t="e">
        <f>(C556*D535+D593+D594+C557*(MAX(1,F554)+G554))/C552</f>
        <v>#DIV/0!</v>
      </c>
      <c r="E602" s="77"/>
      <c r="F602" s="416"/>
      <c r="G602" s="416"/>
      <c r="H602" s="416"/>
    </row>
    <row r="603" spans="2:15" ht="18" hidden="1" outlineLevel="1" x14ac:dyDescent="0.25">
      <c r="B603" s="123" t="s">
        <v>18</v>
      </c>
      <c r="C603" s="124"/>
      <c r="D603" s="125" t="e">
        <f>((C556*D536)+D594+C557*G554)/C552</f>
        <v>#DIV/0!</v>
      </c>
      <c r="F603" s="416"/>
      <c r="G603" s="416"/>
      <c r="H603" s="416"/>
    </row>
    <row r="604" spans="2:15" ht="18" hidden="1" outlineLevel="1" x14ac:dyDescent="0.25">
      <c r="B604" s="126" t="s">
        <v>19</v>
      </c>
      <c r="C604" s="127"/>
      <c r="D604" s="128" t="e">
        <f>(C556*D537+D595+C557*H554)/C552</f>
        <v>#DIV/0!</v>
      </c>
      <c r="F604" s="416"/>
      <c r="G604" s="416"/>
      <c r="H604" s="416"/>
    </row>
    <row r="605" spans="2:15" ht="18.5" hidden="1" outlineLevel="1" thickBot="1" x14ac:dyDescent="0.3">
      <c r="B605" s="129" t="s">
        <v>20</v>
      </c>
      <c r="C605" s="130"/>
      <c r="D605" s="131" t="e">
        <f>((C556*D538)+SUM(D593:D595)+C557*(MAX(1,F554)+G554+H554))/C552</f>
        <v>#DIV/0!</v>
      </c>
      <c r="F605" s="416"/>
      <c r="G605" s="416"/>
      <c r="H605" s="416"/>
      <c r="N605" s="36"/>
      <c r="O605" s="36"/>
    </row>
    <row r="606" spans="2:15" ht="13" hidden="1" outlineLevel="1" thickTop="1" x14ac:dyDescent="0.25">
      <c r="B606" s="156" t="s">
        <v>76</v>
      </c>
      <c r="C606" s="424"/>
      <c r="D606" s="425"/>
      <c r="N606" s="36"/>
      <c r="O606" s="36"/>
    </row>
    <row r="607" spans="2:15" ht="13" hidden="1" outlineLevel="1" thickBot="1" x14ac:dyDescent="0.3">
      <c r="B607" s="157" t="s">
        <v>58</v>
      </c>
      <c r="C607" s="422"/>
      <c r="D607" s="423"/>
    </row>
    <row r="608" spans="2:15" ht="21" hidden="1" outlineLevel="1" thickTop="1" thickBot="1" x14ac:dyDescent="0.3">
      <c r="B608" s="158" t="s">
        <v>59</v>
      </c>
      <c r="C608" s="420"/>
      <c r="D608" s="421"/>
      <c r="E608" s="31"/>
      <c r="F608" s="32" t="s">
        <v>27</v>
      </c>
      <c r="G608" s="33"/>
      <c r="H608" s="33"/>
    </row>
    <row r="609" spans="2:8" ht="14.5" hidden="1" outlineLevel="1" thickBot="1" x14ac:dyDescent="0.3">
      <c r="E609" s="40"/>
      <c r="F609" s="41" t="s">
        <v>28</v>
      </c>
      <c r="G609" s="41" t="s">
        <v>21</v>
      </c>
      <c r="H609" s="41" t="s">
        <v>8</v>
      </c>
    </row>
    <row r="610" spans="2:8" ht="13" hidden="1" outlineLevel="1" thickBot="1" x14ac:dyDescent="0.3">
      <c r="C610" s="25" t="s">
        <v>44</v>
      </c>
      <c r="D610" s="25" t="s">
        <v>42</v>
      </c>
      <c r="E610" s="46"/>
      <c r="F610" s="47"/>
      <c r="G610" s="47"/>
      <c r="H610" s="47"/>
    </row>
    <row r="611" spans="2:8" ht="20.5" hidden="1" outlineLevel="1" thickTop="1" x14ac:dyDescent="0.25">
      <c r="B611" s="140" t="s">
        <v>73</v>
      </c>
      <c r="C611" s="29"/>
      <c r="D611" s="141"/>
      <c r="E611" s="46"/>
      <c r="F611" s="47"/>
      <c r="G611" s="47"/>
      <c r="H611" s="47"/>
    </row>
    <row r="612" spans="2:8" ht="14" hidden="1" outlineLevel="1" x14ac:dyDescent="0.25">
      <c r="B612" s="37"/>
      <c r="C612" s="38" t="s">
        <v>0</v>
      </c>
      <c r="D612" s="39" t="s">
        <v>1</v>
      </c>
      <c r="E612" s="46"/>
      <c r="F612" s="47"/>
      <c r="G612" s="47"/>
      <c r="H612" s="47"/>
    </row>
    <row r="613" spans="2:8" ht="14" hidden="1" outlineLevel="1" x14ac:dyDescent="0.25">
      <c r="B613" s="43" t="s">
        <v>65</v>
      </c>
      <c r="C613" s="142"/>
      <c r="D613" s="45" t="s">
        <v>2</v>
      </c>
      <c r="E613" s="57"/>
      <c r="F613" s="58"/>
      <c r="G613" s="58"/>
      <c r="H613" s="58"/>
    </row>
    <row r="614" spans="2:8" ht="13" hidden="1" outlineLevel="1" x14ac:dyDescent="0.25">
      <c r="B614" s="43" t="s">
        <v>64</v>
      </c>
      <c r="C614" s="143"/>
      <c r="D614" s="45" t="s">
        <v>3</v>
      </c>
      <c r="E614" s="46"/>
      <c r="F614" s="47"/>
      <c r="G614" s="47"/>
      <c r="H614" s="47"/>
    </row>
    <row r="615" spans="2:8" ht="13" hidden="1" outlineLevel="1" x14ac:dyDescent="0.25">
      <c r="B615" s="51" t="s">
        <v>63</v>
      </c>
      <c r="C615" s="144">
        <f>C613*C614</f>
        <v>0</v>
      </c>
      <c r="D615" s="45" t="str">
        <f>D613</f>
        <v>kg</v>
      </c>
      <c r="E615" s="59"/>
      <c r="F615" s="47"/>
      <c r="G615" s="47"/>
      <c r="H615" s="47"/>
    </row>
    <row r="616" spans="2:8" ht="14" hidden="1" outlineLevel="1" x14ac:dyDescent="0.25">
      <c r="B616" s="54" t="s">
        <v>37</v>
      </c>
      <c r="C616" s="145">
        <v>1</v>
      </c>
      <c r="D616" s="56"/>
      <c r="E616" s="46"/>
      <c r="F616" s="47"/>
      <c r="G616" s="47"/>
      <c r="H616" s="47"/>
    </row>
    <row r="617" spans="2:8" ht="13.5" hidden="1" outlineLevel="1" thickBot="1" x14ac:dyDescent="0.3">
      <c r="B617" s="43" t="s">
        <v>66</v>
      </c>
      <c r="C617" s="142"/>
      <c r="D617" s="45" t="str">
        <f>D613</f>
        <v>kg</v>
      </c>
      <c r="F617" s="64"/>
      <c r="G617" s="64"/>
      <c r="H617" s="64"/>
    </row>
    <row r="618" spans="2:8" ht="14.5" hidden="1" outlineLevel="1" thickBot="1" x14ac:dyDescent="0.3">
      <c r="B618" s="43" t="s">
        <v>67</v>
      </c>
      <c r="C618" s="143"/>
      <c r="D618" s="45" t="s">
        <v>3</v>
      </c>
      <c r="E618" s="68"/>
      <c r="F618" s="69"/>
      <c r="G618" s="69"/>
      <c r="H618" s="69"/>
    </row>
    <row r="619" spans="2:8" ht="13.5" hidden="1" outlineLevel="1" thickBot="1" x14ac:dyDescent="0.3">
      <c r="B619" s="51" t="s">
        <v>68</v>
      </c>
      <c r="C619" s="144">
        <f>C617*C618</f>
        <v>0</v>
      </c>
      <c r="D619" s="45" t="str">
        <f>D613</f>
        <v>kg</v>
      </c>
      <c r="E619" s="73"/>
      <c r="F619" s="69"/>
      <c r="G619" s="69"/>
      <c r="H619" s="69"/>
    </row>
    <row r="620" spans="2:8" ht="13.5" hidden="1" outlineLevel="1" thickBot="1" x14ac:dyDescent="0.3">
      <c r="B620" s="61"/>
      <c r="C620" s="62"/>
      <c r="D620" s="63"/>
      <c r="E620" s="98"/>
      <c r="F620" s="69"/>
      <c r="G620" s="69"/>
      <c r="H620" s="69"/>
    </row>
    <row r="621" spans="2:8" ht="14.5" hidden="1" outlineLevel="1" thickBot="1" x14ac:dyDescent="0.3">
      <c r="B621" s="65" t="s">
        <v>5</v>
      </c>
      <c r="C621" s="66" t="s">
        <v>6</v>
      </c>
      <c r="D621" s="67" t="s">
        <v>1</v>
      </c>
      <c r="E621" s="77"/>
      <c r="F621" s="78"/>
      <c r="G621" s="78"/>
      <c r="H621" s="78"/>
    </row>
    <row r="622" spans="2:8" ht="13" hidden="1" outlineLevel="1" x14ac:dyDescent="0.25">
      <c r="B622" s="70" t="s">
        <v>43</v>
      </c>
      <c r="C622" s="71"/>
      <c r="D622" s="72"/>
      <c r="E622" s="77"/>
      <c r="F622" s="82"/>
      <c r="G622" s="82"/>
      <c r="H622" s="82"/>
    </row>
    <row r="623" spans="2:8" ht="13" hidden="1" outlineLevel="1" x14ac:dyDescent="0.25">
      <c r="B623" s="74"/>
      <c r="C623" s="146">
        <f>C615</f>
        <v>0</v>
      </c>
      <c r="D623" s="76" t="str">
        <f>D613</f>
        <v>kg</v>
      </c>
      <c r="E623" s="77"/>
      <c r="F623" s="82"/>
      <c r="G623" s="82"/>
      <c r="H623" s="82"/>
    </row>
    <row r="624" spans="2:8" ht="13" hidden="1" outlineLevel="1" x14ac:dyDescent="0.25">
      <c r="B624" s="74"/>
      <c r="C624" s="146"/>
      <c r="D624" s="76" t="str">
        <f>D613</f>
        <v>kg</v>
      </c>
      <c r="E624" s="77"/>
      <c r="F624" s="82"/>
      <c r="G624" s="82"/>
      <c r="H624" s="82"/>
    </row>
    <row r="625" spans="2:11" ht="13" hidden="1" outlineLevel="1" x14ac:dyDescent="0.25">
      <c r="B625" s="79" t="s">
        <v>69</v>
      </c>
      <c r="C625" s="147"/>
      <c r="D625" s="81"/>
      <c r="E625" s="77"/>
      <c r="F625" s="82"/>
      <c r="G625" s="82"/>
      <c r="H625" s="82"/>
    </row>
    <row r="626" spans="2:11" ht="13" hidden="1" outlineLevel="1" x14ac:dyDescent="0.25">
      <c r="B626" s="74"/>
      <c r="C626" s="148"/>
      <c r="D626" s="76" t="str">
        <f>D613</f>
        <v>kg</v>
      </c>
      <c r="E626" s="77"/>
      <c r="F626" s="82"/>
      <c r="G626" s="82"/>
      <c r="H626" s="82"/>
    </row>
    <row r="627" spans="2:11" ht="13" hidden="1" outlineLevel="1" x14ac:dyDescent="0.25">
      <c r="B627" s="74"/>
      <c r="C627" s="148"/>
      <c r="D627" s="76" t="str">
        <f>D613</f>
        <v>kg</v>
      </c>
      <c r="E627" s="77"/>
      <c r="F627" s="82"/>
      <c r="G627" s="82"/>
      <c r="H627" s="82"/>
    </row>
    <row r="628" spans="2:11" ht="13" hidden="1" outlineLevel="1" x14ac:dyDescent="0.25">
      <c r="B628" s="74"/>
      <c r="C628" s="148"/>
      <c r="D628" s="76" t="str">
        <f>D613</f>
        <v>kg</v>
      </c>
      <c r="E628" s="77"/>
      <c r="F628" s="82"/>
      <c r="G628" s="82"/>
      <c r="H628" s="82"/>
    </row>
    <row r="629" spans="2:11" ht="13" hidden="1" outlineLevel="1" x14ac:dyDescent="0.25">
      <c r="B629" s="74"/>
      <c r="C629" s="148"/>
      <c r="D629" s="76" t="str">
        <f>D613</f>
        <v>kg</v>
      </c>
      <c r="E629" s="77"/>
      <c r="F629" s="82"/>
      <c r="G629" s="82"/>
      <c r="H629" s="82"/>
    </row>
    <row r="630" spans="2:11" ht="13.15" hidden="1" customHeight="1" outlineLevel="1" x14ac:dyDescent="0.25">
      <c r="B630" s="74"/>
      <c r="C630" s="148"/>
      <c r="D630" s="76" t="str">
        <f>D613</f>
        <v>kg</v>
      </c>
      <c r="E630" s="77"/>
      <c r="F630" s="82"/>
      <c r="G630" s="82"/>
      <c r="H630" s="82"/>
      <c r="K630" s="34"/>
    </row>
    <row r="631" spans="2:11" ht="13" hidden="1" outlineLevel="1" x14ac:dyDescent="0.25">
      <c r="B631" s="74"/>
      <c r="C631" s="148"/>
      <c r="D631" s="76" t="str">
        <f>D613</f>
        <v>kg</v>
      </c>
      <c r="E631" s="77"/>
      <c r="F631" s="82"/>
      <c r="G631" s="82"/>
      <c r="H631" s="82"/>
    </row>
    <row r="632" spans="2:11" ht="13" hidden="1" outlineLevel="1" x14ac:dyDescent="0.25">
      <c r="B632" s="74"/>
      <c r="C632" s="148"/>
      <c r="D632" s="76" t="str">
        <f>D613</f>
        <v>kg</v>
      </c>
      <c r="E632" s="77"/>
      <c r="F632" s="82"/>
      <c r="G632" s="82"/>
      <c r="H632" s="82"/>
    </row>
    <row r="633" spans="2:11" ht="13" hidden="1" outlineLevel="1" x14ac:dyDescent="0.25">
      <c r="B633" s="74"/>
      <c r="C633" s="148"/>
      <c r="D633" s="76" t="str">
        <f>D613</f>
        <v>kg</v>
      </c>
      <c r="E633" s="77"/>
      <c r="F633" s="82"/>
      <c r="G633" s="82"/>
      <c r="H633" s="82"/>
    </row>
    <row r="634" spans="2:11" ht="13" hidden="1" outlineLevel="1" x14ac:dyDescent="0.25">
      <c r="B634" s="74"/>
      <c r="C634" s="148"/>
      <c r="D634" s="76" t="str">
        <f>D613</f>
        <v>kg</v>
      </c>
      <c r="E634" s="77"/>
      <c r="F634" s="82"/>
      <c r="G634" s="82"/>
      <c r="H634" s="82"/>
    </row>
    <row r="635" spans="2:11" ht="13" hidden="1" outlineLevel="1" x14ac:dyDescent="0.25">
      <c r="B635" s="74"/>
      <c r="C635" s="148"/>
      <c r="D635" s="76" t="str">
        <f>D613</f>
        <v>kg</v>
      </c>
      <c r="E635" s="77"/>
      <c r="F635" s="82"/>
      <c r="G635" s="82"/>
      <c r="H635" s="82"/>
    </row>
    <row r="636" spans="2:11" ht="13" hidden="1" outlineLevel="1" x14ac:dyDescent="0.25">
      <c r="B636" s="79"/>
      <c r="C636" s="147"/>
      <c r="D636" s="81"/>
      <c r="E636" s="77"/>
      <c r="F636" s="82"/>
      <c r="G636" s="82"/>
      <c r="H636" s="82"/>
    </row>
    <row r="637" spans="2:11" ht="13" hidden="1" outlineLevel="1" x14ac:dyDescent="0.25">
      <c r="B637" s="86" t="s">
        <v>7</v>
      </c>
      <c r="C637" s="149">
        <f>SUM(C622:C635)</f>
        <v>0</v>
      </c>
      <c r="D637" s="88" t="str">
        <f>D613</f>
        <v>kg</v>
      </c>
      <c r="E637" s="77"/>
      <c r="F637" s="82"/>
      <c r="G637" s="82"/>
      <c r="H637" s="82"/>
    </row>
    <row r="638" spans="2:11" ht="13" hidden="1" outlineLevel="1" x14ac:dyDescent="0.25">
      <c r="B638" s="79" t="s">
        <v>71</v>
      </c>
      <c r="C638" s="150"/>
      <c r="D638" s="81"/>
      <c r="E638" s="77"/>
      <c r="F638" s="82"/>
      <c r="G638" s="82"/>
      <c r="H638" s="82"/>
    </row>
    <row r="639" spans="2:11" ht="13" hidden="1" outlineLevel="1" x14ac:dyDescent="0.25">
      <c r="B639" s="74"/>
      <c r="C639" s="148"/>
      <c r="D639" s="76" t="str">
        <f>D613</f>
        <v>kg</v>
      </c>
      <c r="E639" s="77"/>
      <c r="F639" s="82"/>
      <c r="G639" s="82"/>
      <c r="H639" s="82"/>
    </row>
    <row r="640" spans="2:11" ht="13" hidden="1" outlineLevel="1" x14ac:dyDescent="0.25">
      <c r="B640" s="74"/>
      <c r="C640" s="148"/>
      <c r="D640" s="76" t="str">
        <f>D613</f>
        <v>kg</v>
      </c>
      <c r="E640" s="77"/>
      <c r="F640" s="82"/>
      <c r="G640" s="82"/>
      <c r="H640" s="82"/>
    </row>
    <row r="641" spans="2:11" ht="13" hidden="1" outlineLevel="1" x14ac:dyDescent="0.25">
      <c r="B641" s="74"/>
      <c r="C641" s="148"/>
      <c r="D641" s="76" t="str">
        <f>D613</f>
        <v>kg</v>
      </c>
      <c r="E641" s="77"/>
      <c r="F641" s="82"/>
      <c r="G641" s="82"/>
      <c r="H641" s="82"/>
    </row>
    <row r="642" spans="2:11" ht="13" hidden="1" outlineLevel="1" x14ac:dyDescent="0.25">
      <c r="B642" s="74"/>
      <c r="C642" s="148"/>
      <c r="D642" s="76" t="str">
        <f>D613</f>
        <v>kg</v>
      </c>
      <c r="E642" s="77"/>
      <c r="F642" s="82"/>
      <c r="G642" s="82"/>
      <c r="H642" s="82"/>
    </row>
    <row r="643" spans="2:11" ht="13" hidden="1" outlineLevel="1" x14ac:dyDescent="0.25">
      <c r="B643" s="74"/>
      <c r="C643" s="148"/>
      <c r="D643" s="76" t="str">
        <f>D613</f>
        <v>kg</v>
      </c>
      <c r="E643" s="77"/>
      <c r="F643" s="82"/>
      <c r="G643" s="82"/>
      <c r="H643" s="82"/>
    </row>
    <row r="644" spans="2:11" ht="13" hidden="1" outlineLevel="1" x14ac:dyDescent="0.25">
      <c r="B644" s="74"/>
      <c r="C644" s="148"/>
      <c r="D644" s="76" t="str">
        <f>D613</f>
        <v>kg</v>
      </c>
      <c r="E644" s="90"/>
      <c r="F644" s="82"/>
      <c r="G644" s="82"/>
      <c r="H644" s="82"/>
    </row>
    <row r="645" spans="2:11" ht="13" hidden="1" outlineLevel="1" x14ac:dyDescent="0.25">
      <c r="B645" s="74"/>
      <c r="C645" s="148"/>
      <c r="D645" s="76" t="str">
        <f>D613</f>
        <v>kg</v>
      </c>
      <c r="E645" s="77"/>
      <c r="F645" s="82"/>
      <c r="G645" s="82"/>
      <c r="H645" s="82"/>
    </row>
    <row r="646" spans="2:11" ht="13" hidden="1" outlineLevel="1" x14ac:dyDescent="0.25">
      <c r="B646" s="74"/>
      <c r="C646" s="148"/>
      <c r="D646" s="76" t="str">
        <f>D613</f>
        <v>kg</v>
      </c>
      <c r="E646" s="77"/>
      <c r="F646" s="82"/>
      <c r="G646" s="82"/>
      <c r="H646" s="82"/>
    </row>
    <row r="647" spans="2:11" ht="13" hidden="1" outlineLevel="1" x14ac:dyDescent="0.25">
      <c r="B647" s="79" t="s">
        <v>70</v>
      </c>
      <c r="C647" s="147"/>
      <c r="D647" s="81"/>
      <c r="E647" s="77"/>
      <c r="F647" s="82"/>
      <c r="G647" s="82"/>
      <c r="H647" s="82"/>
    </row>
    <row r="648" spans="2:11" ht="13" hidden="1" outlineLevel="1" x14ac:dyDescent="0.25">
      <c r="B648" s="74"/>
      <c r="C648" s="148"/>
      <c r="D648" s="76" t="str">
        <f>D613</f>
        <v>kg</v>
      </c>
      <c r="E648" s="77"/>
      <c r="F648" s="82"/>
      <c r="G648" s="82"/>
      <c r="H648" s="82"/>
    </row>
    <row r="649" spans="2:11" ht="13.15" hidden="1" customHeight="1" outlineLevel="1" x14ac:dyDescent="0.25">
      <c r="B649" s="74"/>
      <c r="C649" s="148"/>
      <c r="D649" s="76" t="str">
        <f>D613</f>
        <v>kg</v>
      </c>
      <c r="E649" s="77"/>
      <c r="F649" s="82"/>
      <c r="G649" s="82"/>
      <c r="H649" s="82"/>
      <c r="K649" s="34"/>
    </row>
    <row r="650" spans="2:11" ht="13" hidden="1" outlineLevel="1" x14ac:dyDescent="0.25">
      <c r="B650" s="74"/>
      <c r="C650" s="148"/>
      <c r="D650" s="76" t="str">
        <f>D613</f>
        <v>kg</v>
      </c>
      <c r="E650" s="77"/>
      <c r="F650" s="82"/>
      <c r="G650" s="82"/>
      <c r="H650" s="82"/>
    </row>
    <row r="651" spans="2:11" ht="13" hidden="1" outlineLevel="1" x14ac:dyDescent="0.25">
      <c r="B651" s="74"/>
      <c r="C651" s="148"/>
      <c r="D651" s="76" t="str">
        <f>D613</f>
        <v>kg</v>
      </c>
      <c r="E651" s="77"/>
      <c r="F651" s="82"/>
      <c r="G651" s="82"/>
      <c r="H651" s="82"/>
    </row>
    <row r="652" spans="2:11" ht="13" hidden="1" outlineLevel="1" x14ac:dyDescent="0.25">
      <c r="B652" s="74"/>
      <c r="C652" s="148"/>
      <c r="D652" s="76" t="str">
        <f>D613</f>
        <v>kg</v>
      </c>
      <c r="E652" s="77"/>
      <c r="F652" s="82"/>
      <c r="G652" s="82"/>
      <c r="H652" s="82"/>
    </row>
    <row r="653" spans="2:11" ht="13" hidden="1" outlineLevel="1" x14ac:dyDescent="0.25">
      <c r="B653" s="74"/>
      <c r="C653" s="148"/>
      <c r="D653" s="76" t="str">
        <f>D613</f>
        <v>kg</v>
      </c>
      <c r="E653" s="77"/>
      <c r="F653" s="82"/>
      <c r="G653" s="82"/>
      <c r="H653" s="82"/>
    </row>
    <row r="654" spans="2:11" ht="13" hidden="1" outlineLevel="1" x14ac:dyDescent="0.25">
      <c r="B654" s="74"/>
      <c r="C654" s="148"/>
      <c r="D654" s="76" t="str">
        <f>D613</f>
        <v>kg</v>
      </c>
      <c r="E654" s="77"/>
      <c r="F654" s="82"/>
      <c r="G654" s="82"/>
      <c r="H654" s="82"/>
    </row>
    <row r="655" spans="2:11" ht="13" hidden="1" outlineLevel="1" x14ac:dyDescent="0.25">
      <c r="B655" s="79"/>
      <c r="C655" s="147"/>
      <c r="D655" s="81"/>
      <c r="E655" s="77"/>
      <c r="F655" s="82"/>
      <c r="G655" s="82"/>
      <c r="H655" s="82"/>
    </row>
    <row r="656" spans="2:11" ht="13" hidden="1" outlineLevel="1" x14ac:dyDescent="0.25">
      <c r="B656" s="86" t="s">
        <v>9</v>
      </c>
      <c r="C656" s="149">
        <f>SUM(C637:C654)</f>
        <v>0</v>
      </c>
      <c r="D656" s="91" t="str">
        <f>D613</f>
        <v>kg</v>
      </c>
      <c r="E656" s="98"/>
      <c r="F656" s="82"/>
      <c r="G656" s="82"/>
      <c r="H656" s="82"/>
    </row>
    <row r="657" spans="2:8" ht="13.5" hidden="1" outlineLevel="1" thickBot="1" x14ac:dyDescent="0.3">
      <c r="B657" s="92"/>
      <c r="C657" s="93"/>
      <c r="D657" s="94"/>
      <c r="E657" s="98"/>
      <c r="F657" s="82"/>
      <c r="G657" s="82"/>
      <c r="H657" s="82"/>
    </row>
    <row r="658" spans="2:8" ht="20.5" hidden="1" outlineLevel="1" thickBot="1" x14ac:dyDescent="0.3">
      <c r="B658" s="426" t="s">
        <v>10</v>
      </c>
      <c r="C658" s="427"/>
      <c r="D658" s="428"/>
      <c r="E658" s="98"/>
      <c r="F658" s="82"/>
      <c r="G658" s="82"/>
      <c r="H658" s="82"/>
    </row>
    <row r="659" spans="2:8" ht="13" hidden="1" outlineLevel="1" x14ac:dyDescent="0.25">
      <c r="B659" s="95" t="s">
        <v>23</v>
      </c>
      <c r="C659" s="96"/>
      <c r="D659" s="151">
        <f>SUM(C623:C624)</f>
        <v>0</v>
      </c>
      <c r="E659" s="98"/>
      <c r="F659" s="82"/>
      <c r="G659" s="82"/>
      <c r="H659" s="82"/>
    </row>
    <row r="660" spans="2:8" ht="13.5" hidden="1" outlineLevel="1" thickBot="1" x14ac:dyDescent="0.3">
      <c r="B660" s="99" t="s">
        <v>24</v>
      </c>
      <c r="C660" s="100"/>
      <c r="D660" s="152">
        <f>SUM(C626:C636)</f>
        <v>0</v>
      </c>
      <c r="E660" s="77"/>
      <c r="F660" s="110" t="s">
        <v>86</v>
      </c>
      <c r="G660" s="109" t="s">
        <v>85</v>
      </c>
      <c r="H660" s="110"/>
    </row>
    <row r="661" spans="2:8" ht="13.5" hidden="1" outlineLevel="1" thickBot="1" x14ac:dyDescent="0.3">
      <c r="B661" s="99" t="s">
        <v>25</v>
      </c>
      <c r="C661" s="100"/>
      <c r="D661" s="152">
        <f>SUM(C639:C647)</f>
        <v>0</v>
      </c>
      <c r="E661" s="77"/>
      <c r="F661" s="154"/>
      <c r="G661" s="413"/>
      <c r="H661" s="414"/>
    </row>
    <row r="662" spans="2:8" ht="13.5" hidden="1" outlineLevel="1" thickBot="1" x14ac:dyDescent="0.3">
      <c r="B662" s="102" t="s">
        <v>26</v>
      </c>
      <c r="C662" s="103"/>
      <c r="D662" s="153">
        <f>SUM(C648:C655)</f>
        <v>0</v>
      </c>
      <c r="E662" s="90"/>
      <c r="F662" s="64" t="s">
        <v>45</v>
      </c>
      <c r="G662" s="64" t="s">
        <v>45</v>
      </c>
      <c r="H662" s="155"/>
    </row>
    <row r="663" spans="2:8" ht="19" hidden="1" outlineLevel="1" thickTop="1" thickBot="1" x14ac:dyDescent="0.3">
      <c r="B663" s="105" t="s">
        <v>11</v>
      </c>
      <c r="C663" s="106"/>
      <c r="D663" s="107" t="e">
        <f>C637/C619</f>
        <v>#DIV/0!</v>
      </c>
      <c r="E663" s="90"/>
      <c r="F663" s="110"/>
      <c r="G663" s="117" t="s">
        <v>46</v>
      </c>
      <c r="H663" s="110"/>
    </row>
    <row r="664" spans="2:8" ht="18" hidden="1" customHeight="1" outlineLevel="1" thickBot="1" x14ac:dyDescent="0.3">
      <c r="B664" s="111" t="s">
        <v>12</v>
      </c>
      <c r="C664" s="112"/>
      <c r="D664" s="113" t="e">
        <f>(D659+D660+D661)/C619</f>
        <v>#DIV/0!</v>
      </c>
      <c r="E664" s="90"/>
      <c r="F664" s="429"/>
      <c r="G664" s="430"/>
      <c r="H664" s="431"/>
    </row>
    <row r="665" spans="2:8" ht="18" hidden="1" outlineLevel="1" x14ac:dyDescent="0.25">
      <c r="B665" s="111" t="s">
        <v>13</v>
      </c>
      <c r="C665" s="112"/>
      <c r="D665" s="113" t="e">
        <f>D661/C619</f>
        <v>#DIV/0!</v>
      </c>
      <c r="E665" s="77"/>
      <c r="F665" s="64" t="s">
        <v>45</v>
      </c>
      <c r="G665" s="64"/>
      <c r="H665" s="82"/>
    </row>
    <row r="666" spans="2:8" ht="18" hidden="1" outlineLevel="1" x14ac:dyDescent="0.25">
      <c r="B666" s="114" t="s">
        <v>14</v>
      </c>
      <c r="C666" s="115"/>
      <c r="D666" s="116" t="e">
        <f>D662/C619</f>
        <v>#DIV/0!</v>
      </c>
      <c r="E666" s="77"/>
      <c r="F666" s="82"/>
      <c r="G666" s="82"/>
      <c r="H666" s="82"/>
    </row>
    <row r="667" spans="2:8" ht="18.5" hidden="1" outlineLevel="1" thickBot="1" x14ac:dyDescent="0.3">
      <c r="B667" s="114" t="s">
        <v>15</v>
      </c>
      <c r="C667" s="119"/>
      <c r="D667" s="116" t="e">
        <f>SUM(D659:D662)/C619</f>
        <v>#DIV/0!</v>
      </c>
      <c r="E667" s="77"/>
      <c r="F667" s="415" t="s">
        <v>61</v>
      </c>
      <c r="G667" s="416"/>
      <c r="H667" s="416"/>
    </row>
    <row r="668" spans="2:8" ht="18.5" hidden="1" outlineLevel="1" thickTop="1" x14ac:dyDescent="0.25">
      <c r="B668" s="120" t="s">
        <v>16</v>
      </c>
      <c r="C668" s="121"/>
      <c r="D668" s="122" t="e">
        <f>((C623*D601)+D660+C624*MAX(1,F621))/C619</f>
        <v>#DIV/0!</v>
      </c>
      <c r="E668" s="77"/>
      <c r="F668" s="416"/>
      <c r="G668" s="416"/>
      <c r="H668" s="416"/>
    </row>
    <row r="669" spans="2:8" ht="18" hidden="1" outlineLevel="1" x14ac:dyDescent="0.25">
      <c r="B669" s="123" t="s">
        <v>17</v>
      </c>
      <c r="C669" s="124"/>
      <c r="D669" s="125" t="e">
        <f>(C623*D602+D660+D661+C624*(MAX(1,F621)+G621))/C619</f>
        <v>#DIV/0!</v>
      </c>
      <c r="E669" s="77"/>
      <c r="F669" s="416"/>
      <c r="G669" s="416"/>
      <c r="H669" s="416"/>
    </row>
    <row r="670" spans="2:8" ht="18" hidden="1" outlineLevel="1" x14ac:dyDescent="0.25">
      <c r="B670" s="123" t="s">
        <v>18</v>
      </c>
      <c r="C670" s="124"/>
      <c r="D670" s="125" t="e">
        <f>((C623*D603)+D661+C624*G621)/C619</f>
        <v>#DIV/0!</v>
      </c>
      <c r="F670" s="416"/>
      <c r="G670" s="416"/>
      <c r="H670" s="416"/>
    </row>
    <row r="671" spans="2:8" ht="18" hidden="1" outlineLevel="1" x14ac:dyDescent="0.25">
      <c r="B671" s="126" t="s">
        <v>19</v>
      </c>
      <c r="C671" s="127"/>
      <c r="D671" s="128" t="e">
        <f>(C623*D604+D662+C624*H621)/C619</f>
        <v>#DIV/0!</v>
      </c>
      <c r="F671" s="416"/>
      <c r="G671" s="416"/>
      <c r="H671" s="416"/>
    </row>
    <row r="672" spans="2:8" ht="18.5" hidden="1" outlineLevel="1" thickBot="1" x14ac:dyDescent="0.3">
      <c r="B672" s="129" t="s">
        <v>20</v>
      </c>
      <c r="C672" s="130"/>
      <c r="D672" s="131" t="e">
        <f>((C623*D605)+SUM(D660:D662)+C624*(MAX(1,F621)+G621+H621))/C619</f>
        <v>#DIV/0!</v>
      </c>
      <c r="F672" s="416"/>
      <c r="G672" s="416"/>
      <c r="H672" s="416"/>
    </row>
    <row r="673" spans="2:8" ht="13" hidden="1" outlineLevel="1" thickTop="1" x14ac:dyDescent="0.25">
      <c r="B673" s="156" t="s">
        <v>76</v>
      </c>
      <c r="C673" s="424"/>
      <c r="D673" s="425"/>
    </row>
    <row r="674" spans="2:8" ht="13" hidden="1" outlineLevel="1" thickBot="1" x14ac:dyDescent="0.3">
      <c r="B674" s="157" t="s">
        <v>58</v>
      </c>
      <c r="C674" s="422"/>
      <c r="D674" s="423"/>
    </row>
    <row r="675" spans="2:8" ht="21" hidden="1" outlineLevel="1" thickTop="1" thickBot="1" x14ac:dyDescent="0.3">
      <c r="B675" s="158" t="s">
        <v>59</v>
      </c>
      <c r="C675" s="420"/>
      <c r="D675" s="421"/>
      <c r="E675" s="31"/>
      <c r="F675" s="32" t="s">
        <v>27</v>
      </c>
      <c r="G675" s="33"/>
      <c r="H675" s="33"/>
    </row>
    <row r="676" spans="2:8" ht="14.5" hidden="1" outlineLevel="1" thickBot="1" x14ac:dyDescent="0.3">
      <c r="E676" s="40"/>
      <c r="F676" s="41" t="s">
        <v>28</v>
      </c>
      <c r="G676" s="41" t="s">
        <v>21</v>
      </c>
      <c r="H676" s="41" t="s">
        <v>8</v>
      </c>
    </row>
    <row r="677" spans="2:8" ht="13" hidden="1" outlineLevel="1" thickBot="1" x14ac:dyDescent="0.3">
      <c r="C677" s="25" t="s">
        <v>44</v>
      </c>
      <c r="D677" s="25" t="s">
        <v>42</v>
      </c>
      <c r="E677" s="46"/>
      <c r="F677" s="47"/>
      <c r="G677" s="47"/>
      <c r="H677" s="47"/>
    </row>
    <row r="678" spans="2:8" ht="20.5" hidden="1" outlineLevel="1" thickTop="1" x14ac:dyDescent="0.25">
      <c r="B678" s="140" t="s">
        <v>73</v>
      </c>
      <c r="C678" s="29"/>
      <c r="D678" s="141"/>
      <c r="E678" s="46"/>
      <c r="F678" s="47"/>
      <c r="G678" s="47"/>
      <c r="H678" s="47"/>
    </row>
    <row r="679" spans="2:8" ht="14" hidden="1" outlineLevel="1" x14ac:dyDescent="0.25">
      <c r="B679" s="37"/>
      <c r="C679" s="38" t="s">
        <v>0</v>
      </c>
      <c r="D679" s="39" t="s">
        <v>1</v>
      </c>
      <c r="E679" s="46"/>
      <c r="F679" s="47"/>
      <c r="G679" s="47"/>
      <c r="H679" s="47"/>
    </row>
    <row r="680" spans="2:8" ht="14" hidden="1" outlineLevel="1" x14ac:dyDescent="0.25">
      <c r="B680" s="43" t="s">
        <v>65</v>
      </c>
      <c r="C680" s="142"/>
      <c r="D680" s="45" t="s">
        <v>2</v>
      </c>
      <c r="E680" s="57"/>
      <c r="F680" s="58"/>
      <c r="G680" s="58"/>
      <c r="H680" s="58"/>
    </row>
    <row r="681" spans="2:8" ht="13" hidden="1" outlineLevel="1" x14ac:dyDescent="0.25">
      <c r="B681" s="43" t="s">
        <v>64</v>
      </c>
      <c r="C681" s="143"/>
      <c r="D681" s="45" t="s">
        <v>3</v>
      </c>
      <c r="E681" s="46"/>
      <c r="F681" s="47"/>
      <c r="G681" s="47"/>
      <c r="H681" s="47"/>
    </row>
    <row r="682" spans="2:8" ht="13" hidden="1" outlineLevel="1" x14ac:dyDescent="0.25">
      <c r="B682" s="51" t="s">
        <v>63</v>
      </c>
      <c r="C682" s="144">
        <f>C680*C681</f>
        <v>0</v>
      </c>
      <c r="D682" s="45" t="str">
        <f>D680</f>
        <v>kg</v>
      </c>
      <c r="E682" s="59"/>
      <c r="F682" s="47"/>
      <c r="G682" s="47"/>
      <c r="H682" s="47"/>
    </row>
    <row r="683" spans="2:8" ht="14" hidden="1" outlineLevel="1" x14ac:dyDescent="0.25">
      <c r="B683" s="54" t="s">
        <v>37</v>
      </c>
      <c r="C683" s="145">
        <v>1</v>
      </c>
      <c r="D683" s="56"/>
      <c r="E683" s="46"/>
      <c r="F683" s="47"/>
      <c r="G683" s="47"/>
      <c r="H683" s="47"/>
    </row>
    <row r="684" spans="2:8" ht="13.5" hidden="1" outlineLevel="1" thickBot="1" x14ac:dyDescent="0.3">
      <c r="B684" s="43" t="s">
        <v>66</v>
      </c>
      <c r="C684" s="142"/>
      <c r="D684" s="45" t="str">
        <f>D680</f>
        <v>kg</v>
      </c>
      <c r="F684" s="64"/>
      <c r="G684" s="64"/>
      <c r="H684" s="64"/>
    </row>
    <row r="685" spans="2:8" ht="14.5" hidden="1" outlineLevel="1" thickBot="1" x14ac:dyDescent="0.3">
      <c r="B685" s="43" t="s">
        <v>67</v>
      </c>
      <c r="C685" s="143"/>
      <c r="D685" s="45" t="s">
        <v>3</v>
      </c>
      <c r="E685" s="68"/>
      <c r="F685" s="69"/>
      <c r="G685" s="69"/>
      <c r="H685" s="69"/>
    </row>
    <row r="686" spans="2:8" ht="13.5" hidden="1" outlineLevel="1" thickBot="1" x14ac:dyDescent="0.3">
      <c r="B686" s="51" t="s">
        <v>68</v>
      </c>
      <c r="C686" s="144">
        <f>C684*C685</f>
        <v>0</v>
      </c>
      <c r="D686" s="45" t="str">
        <f>D680</f>
        <v>kg</v>
      </c>
      <c r="E686" s="73"/>
      <c r="F686" s="69"/>
      <c r="G686" s="69"/>
      <c r="H686" s="69"/>
    </row>
    <row r="687" spans="2:8" ht="13.5" hidden="1" outlineLevel="1" thickBot="1" x14ac:dyDescent="0.3">
      <c r="B687" s="61"/>
      <c r="C687" s="62"/>
      <c r="D687" s="63"/>
      <c r="E687" s="98"/>
      <c r="F687" s="69"/>
      <c r="G687" s="69"/>
      <c r="H687" s="69"/>
    </row>
    <row r="688" spans="2:8" ht="14.5" hidden="1" outlineLevel="1" thickBot="1" x14ac:dyDescent="0.3">
      <c r="B688" s="65" t="s">
        <v>5</v>
      </c>
      <c r="C688" s="66" t="s">
        <v>6</v>
      </c>
      <c r="D688" s="67" t="s">
        <v>1</v>
      </c>
      <c r="E688" s="77"/>
      <c r="F688" s="78"/>
      <c r="G688" s="78"/>
      <c r="H688" s="78"/>
    </row>
    <row r="689" spans="2:8" ht="13" hidden="1" outlineLevel="1" x14ac:dyDescent="0.25">
      <c r="B689" s="70" t="s">
        <v>43</v>
      </c>
      <c r="C689" s="71"/>
      <c r="D689" s="72"/>
      <c r="E689" s="77"/>
      <c r="F689" s="82"/>
      <c r="G689" s="82"/>
      <c r="H689" s="82"/>
    </row>
    <row r="690" spans="2:8" ht="13" hidden="1" outlineLevel="1" x14ac:dyDescent="0.25">
      <c r="B690" s="74"/>
      <c r="C690" s="146">
        <f>C682</f>
        <v>0</v>
      </c>
      <c r="D690" s="76" t="str">
        <f>D680</f>
        <v>kg</v>
      </c>
      <c r="E690" s="77"/>
      <c r="F690" s="82"/>
      <c r="G690" s="82"/>
      <c r="H690" s="82"/>
    </row>
    <row r="691" spans="2:8" ht="13" hidden="1" outlineLevel="1" x14ac:dyDescent="0.25">
      <c r="B691" s="74"/>
      <c r="C691" s="146"/>
      <c r="D691" s="76" t="str">
        <f>D680</f>
        <v>kg</v>
      </c>
      <c r="E691" s="77"/>
      <c r="F691" s="82"/>
      <c r="G691" s="82"/>
      <c r="H691" s="82"/>
    </row>
    <row r="692" spans="2:8" ht="13" hidden="1" outlineLevel="1" x14ac:dyDescent="0.25">
      <c r="B692" s="79" t="s">
        <v>69</v>
      </c>
      <c r="C692" s="147"/>
      <c r="D692" s="81"/>
      <c r="E692" s="77"/>
      <c r="F692" s="82"/>
      <c r="G692" s="82"/>
      <c r="H692" s="82"/>
    </row>
    <row r="693" spans="2:8" ht="13" hidden="1" outlineLevel="1" x14ac:dyDescent="0.25">
      <c r="B693" s="74"/>
      <c r="C693" s="148"/>
      <c r="D693" s="76" t="str">
        <f>D680</f>
        <v>kg</v>
      </c>
      <c r="E693" s="77"/>
      <c r="F693" s="82"/>
      <c r="G693" s="82"/>
      <c r="H693" s="82"/>
    </row>
    <row r="694" spans="2:8" ht="13" hidden="1" outlineLevel="1" x14ac:dyDescent="0.25">
      <c r="B694" s="74"/>
      <c r="C694" s="148"/>
      <c r="D694" s="76" t="str">
        <f>D680</f>
        <v>kg</v>
      </c>
      <c r="E694" s="77"/>
      <c r="F694" s="82"/>
      <c r="G694" s="82"/>
      <c r="H694" s="82"/>
    </row>
    <row r="695" spans="2:8" ht="13" hidden="1" outlineLevel="1" x14ac:dyDescent="0.25">
      <c r="B695" s="74"/>
      <c r="C695" s="148"/>
      <c r="D695" s="76" t="str">
        <f>D680</f>
        <v>kg</v>
      </c>
      <c r="E695" s="77"/>
      <c r="F695" s="82"/>
      <c r="G695" s="82"/>
      <c r="H695" s="82"/>
    </row>
    <row r="696" spans="2:8" ht="13" hidden="1" outlineLevel="1" x14ac:dyDescent="0.25">
      <c r="B696" s="74"/>
      <c r="C696" s="148"/>
      <c r="D696" s="76" t="str">
        <f>D680</f>
        <v>kg</v>
      </c>
      <c r="E696" s="77"/>
      <c r="F696" s="82"/>
      <c r="G696" s="82"/>
      <c r="H696" s="82"/>
    </row>
    <row r="697" spans="2:8" ht="13" hidden="1" outlineLevel="1" x14ac:dyDescent="0.25">
      <c r="B697" s="74"/>
      <c r="C697" s="148"/>
      <c r="D697" s="76" t="str">
        <f>D680</f>
        <v>kg</v>
      </c>
      <c r="E697" s="77"/>
      <c r="F697" s="82"/>
      <c r="G697" s="82"/>
      <c r="H697" s="82"/>
    </row>
    <row r="698" spans="2:8" ht="13" hidden="1" outlineLevel="1" x14ac:dyDescent="0.25">
      <c r="B698" s="74"/>
      <c r="C698" s="148"/>
      <c r="D698" s="76" t="str">
        <f>D680</f>
        <v>kg</v>
      </c>
      <c r="E698" s="77"/>
      <c r="F698" s="82"/>
      <c r="G698" s="82"/>
      <c r="H698" s="82"/>
    </row>
    <row r="699" spans="2:8" ht="13" hidden="1" outlineLevel="1" x14ac:dyDescent="0.25">
      <c r="B699" s="74"/>
      <c r="C699" s="148"/>
      <c r="D699" s="76" t="str">
        <f>D680</f>
        <v>kg</v>
      </c>
      <c r="E699" s="77"/>
      <c r="F699" s="82"/>
      <c r="G699" s="82"/>
      <c r="H699" s="82"/>
    </row>
    <row r="700" spans="2:8" ht="13" hidden="1" outlineLevel="1" x14ac:dyDescent="0.25">
      <c r="B700" s="74"/>
      <c r="C700" s="148"/>
      <c r="D700" s="76" t="str">
        <f>D680</f>
        <v>kg</v>
      </c>
      <c r="E700" s="77"/>
      <c r="F700" s="82"/>
      <c r="G700" s="82"/>
      <c r="H700" s="82"/>
    </row>
    <row r="701" spans="2:8" ht="13" hidden="1" outlineLevel="1" x14ac:dyDescent="0.25">
      <c r="B701" s="74"/>
      <c r="C701" s="148"/>
      <c r="D701" s="76" t="str">
        <f>D680</f>
        <v>kg</v>
      </c>
      <c r="E701" s="77"/>
      <c r="F701" s="82"/>
      <c r="G701" s="82"/>
      <c r="H701" s="82"/>
    </row>
    <row r="702" spans="2:8" ht="13" hidden="1" outlineLevel="1" x14ac:dyDescent="0.25">
      <c r="B702" s="74"/>
      <c r="C702" s="148"/>
      <c r="D702" s="76" t="str">
        <f>D680</f>
        <v>kg</v>
      </c>
      <c r="E702" s="77"/>
      <c r="F702" s="82"/>
      <c r="G702" s="82"/>
      <c r="H702" s="82"/>
    </row>
    <row r="703" spans="2:8" ht="13" hidden="1" outlineLevel="1" x14ac:dyDescent="0.25">
      <c r="B703" s="79"/>
      <c r="C703" s="147"/>
      <c r="D703" s="81"/>
      <c r="E703" s="77"/>
      <c r="F703" s="82"/>
      <c r="G703" s="82"/>
      <c r="H703" s="82"/>
    </row>
    <row r="704" spans="2:8" ht="13" hidden="1" outlineLevel="1" x14ac:dyDescent="0.25">
      <c r="B704" s="86" t="s">
        <v>7</v>
      </c>
      <c r="C704" s="149">
        <f>SUM(C689:C702)</f>
        <v>0</v>
      </c>
      <c r="D704" s="88" t="str">
        <f>D680</f>
        <v>kg</v>
      </c>
      <c r="E704" s="77"/>
      <c r="F704" s="82"/>
      <c r="G704" s="82"/>
      <c r="H704" s="82"/>
    </row>
    <row r="705" spans="2:8" ht="13" hidden="1" outlineLevel="1" x14ac:dyDescent="0.25">
      <c r="B705" s="79" t="s">
        <v>71</v>
      </c>
      <c r="C705" s="150"/>
      <c r="D705" s="81"/>
      <c r="E705" s="77"/>
      <c r="F705" s="82"/>
      <c r="G705" s="82"/>
      <c r="H705" s="82"/>
    </row>
    <row r="706" spans="2:8" ht="13" hidden="1" outlineLevel="1" x14ac:dyDescent="0.25">
      <c r="B706" s="74"/>
      <c r="C706" s="148"/>
      <c r="D706" s="76" t="str">
        <f>D680</f>
        <v>kg</v>
      </c>
      <c r="E706" s="77"/>
      <c r="F706" s="82"/>
      <c r="G706" s="82"/>
      <c r="H706" s="82"/>
    </row>
    <row r="707" spans="2:8" ht="13" hidden="1" outlineLevel="1" x14ac:dyDescent="0.25">
      <c r="B707" s="74"/>
      <c r="C707" s="148"/>
      <c r="D707" s="76" t="str">
        <f>D680</f>
        <v>kg</v>
      </c>
      <c r="E707" s="77"/>
      <c r="F707" s="82"/>
      <c r="G707" s="82"/>
      <c r="H707" s="82"/>
    </row>
    <row r="708" spans="2:8" ht="13" hidden="1" outlineLevel="1" x14ac:dyDescent="0.25">
      <c r="B708" s="74"/>
      <c r="C708" s="148"/>
      <c r="D708" s="76" t="str">
        <f>D680</f>
        <v>kg</v>
      </c>
      <c r="E708" s="77"/>
      <c r="F708" s="82"/>
      <c r="G708" s="82"/>
      <c r="H708" s="82"/>
    </row>
    <row r="709" spans="2:8" ht="13" hidden="1" outlineLevel="1" x14ac:dyDescent="0.25">
      <c r="B709" s="74"/>
      <c r="C709" s="148"/>
      <c r="D709" s="76" t="str">
        <f>D680</f>
        <v>kg</v>
      </c>
      <c r="E709" s="77"/>
      <c r="F709" s="82"/>
      <c r="G709" s="82"/>
      <c r="H709" s="82"/>
    </row>
    <row r="710" spans="2:8" ht="13" hidden="1" outlineLevel="1" x14ac:dyDescent="0.25">
      <c r="B710" s="74"/>
      <c r="C710" s="148"/>
      <c r="D710" s="76" t="str">
        <f>D680</f>
        <v>kg</v>
      </c>
      <c r="E710" s="77"/>
      <c r="F710" s="82"/>
      <c r="G710" s="82"/>
      <c r="H710" s="82"/>
    </row>
    <row r="711" spans="2:8" ht="13" hidden="1" outlineLevel="1" x14ac:dyDescent="0.25">
      <c r="B711" s="74"/>
      <c r="C711" s="148"/>
      <c r="D711" s="76" t="str">
        <f>D680</f>
        <v>kg</v>
      </c>
      <c r="E711" s="90"/>
      <c r="F711" s="82"/>
      <c r="G711" s="82"/>
      <c r="H711" s="82"/>
    </row>
    <row r="712" spans="2:8" ht="13" hidden="1" outlineLevel="1" x14ac:dyDescent="0.25">
      <c r="B712" s="74"/>
      <c r="C712" s="148"/>
      <c r="D712" s="76" t="str">
        <f>D680</f>
        <v>kg</v>
      </c>
      <c r="E712" s="77"/>
      <c r="F712" s="82"/>
      <c r="G712" s="82"/>
      <c r="H712" s="82"/>
    </row>
    <row r="713" spans="2:8" ht="13" hidden="1" outlineLevel="1" x14ac:dyDescent="0.25">
      <c r="B713" s="74"/>
      <c r="C713" s="148"/>
      <c r="D713" s="76" t="str">
        <f>D680</f>
        <v>kg</v>
      </c>
      <c r="E713" s="77"/>
      <c r="F713" s="82"/>
      <c r="G713" s="82"/>
      <c r="H713" s="82"/>
    </row>
    <row r="714" spans="2:8" ht="13" hidden="1" outlineLevel="1" x14ac:dyDescent="0.25">
      <c r="B714" s="79" t="s">
        <v>70</v>
      </c>
      <c r="C714" s="147"/>
      <c r="D714" s="81"/>
      <c r="E714" s="77"/>
      <c r="F714" s="82"/>
      <c r="G714" s="82"/>
      <c r="H714" s="82"/>
    </row>
    <row r="715" spans="2:8" ht="13" hidden="1" outlineLevel="1" x14ac:dyDescent="0.25">
      <c r="B715" s="74"/>
      <c r="C715" s="148"/>
      <c r="D715" s="76" t="str">
        <f>D680</f>
        <v>kg</v>
      </c>
      <c r="E715" s="77"/>
      <c r="F715" s="82"/>
      <c r="G715" s="82"/>
      <c r="H715" s="82"/>
    </row>
    <row r="716" spans="2:8" ht="13" hidden="1" outlineLevel="1" x14ac:dyDescent="0.25">
      <c r="B716" s="74"/>
      <c r="C716" s="148"/>
      <c r="D716" s="76" t="str">
        <f>D680</f>
        <v>kg</v>
      </c>
      <c r="E716" s="77"/>
      <c r="F716" s="82"/>
      <c r="G716" s="82"/>
      <c r="H716" s="82"/>
    </row>
    <row r="717" spans="2:8" ht="13" hidden="1" outlineLevel="1" x14ac:dyDescent="0.25">
      <c r="B717" s="74"/>
      <c r="C717" s="148"/>
      <c r="D717" s="76" t="str">
        <f>D680</f>
        <v>kg</v>
      </c>
      <c r="E717" s="77"/>
      <c r="F717" s="82"/>
      <c r="G717" s="82"/>
      <c r="H717" s="82"/>
    </row>
    <row r="718" spans="2:8" ht="13" hidden="1" outlineLevel="1" x14ac:dyDescent="0.25">
      <c r="B718" s="74"/>
      <c r="C718" s="148"/>
      <c r="D718" s="76" t="str">
        <f>D680</f>
        <v>kg</v>
      </c>
      <c r="E718" s="77"/>
      <c r="F718" s="82"/>
      <c r="G718" s="82"/>
      <c r="H718" s="82"/>
    </row>
    <row r="719" spans="2:8" ht="13" hidden="1" outlineLevel="1" x14ac:dyDescent="0.25">
      <c r="B719" s="74"/>
      <c r="C719" s="148"/>
      <c r="D719" s="76" t="str">
        <f>D680</f>
        <v>kg</v>
      </c>
      <c r="E719" s="77"/>
      <c r="F719" s="82"/>
      <c r="G719" s="82"/>
      <c r="H719" s="82"/>
    </row>
    <row r="720" spans="2:8" ht="13" hidden="1" outlineLevel="1" x14ac:dyDescent="0.25">
      <c r="B720" s="74"/>
      <c r="C720" s="148"/>
      <c r="D720" s="76" t="str">
        <f>D680</f>
        <v>kg</v>
      </c>
      <c r="E720" s="77"/>
      <c r="F720" s="82"/>
      <c r="G720" s="82"/>
      <c r="H720" s="82"/>
    </row>
    <row r="721" spans="2:8" ht="13" hidden="1" outlineLevel="1" x14ac:dyDescent="0.25">
      <c r="B721" s="74"/>
      <c r="C721" s="148"/>
      <c r="D721" s="76" t="str">
        <f>D680</f>
        <v>kg</v>
      </c>
      <c r="E721" s="77"/>
      <c r="F721" s="82"/>
      <c r="G721" s="82"/>
      <c r="H721" s="82"/>
    </row>
    <row r="722" spans="2:8" ht="13" hidden="1" outlineLevel="1" x14ac:dyDescent="0.25">
      <c r="B722" s="79"/>
      <c r="C722" s="147"/>
      <c r="D722" s="81"/>
      <c r="E722" s="77"/>
      <c r="F722" s="82"/>
      <c r="G722" s="82"/>
      <c r="H722" s="82"/>
    </row>
    <row r="723" spans="2:8" ht="13" hidden="1" outlineLevel="1" x14ac:dyDescent="0.25">
      <c r="B723" s="86" t="s">
        <v>9</v>
      </c>
      <c r="C723" s="149">
        <f>SUM(C704:C721)</f>
        <v>0</v>
      </c>
      <c r="D723" s="91" t="str">
        <f>D680</f>
        <v>kg</v>
      </c>
      <c r="E723" s="98"/>
      <c r="F723" s="82"/>
      <c r="G723" s="82"/>
      <c r="H723" s="82"/>
    </row>
    <row r="724" spans="2:8" ht="13.5" hidden="1" outlineLevel="1" thickBot="1" x14ac:dyDescent="0.3">
      <c r="B724" s="92"/>
      <c r="C724" s="93"/>
      <c r="D724" s="94"/>
      <c r="E724" s="98"/>
      <c r="F724" s="82"/>
      <c r="G724" s="82"/>
      <c r="H724" s="82"/>
    </row>
    <row r="725" spans="2:8" ht="20.5" hidden="1" outlineLevel="1" thickBot="1" x14ac:dyDescent="0.3">
      <c r="B725" s="426" t="s">
        <v>10</v>
      </c>
      <c r="C725" s="427"/>
      <c r="D725" s="428"/>
      <c r="E725" s="98"/>
      <c r="F725" s="82"/>
      <c r="G725" s="82"/>
      <c r="H725" s="82"/>
    </row>
    <row r="726" spans="2:8" ht="13" hidden="1" outlineLevel="1" x14ac:dyDescent="0.25">
      <c r="B726" s="95" t="s">
        <v>23</v>
      </c>
      <c r="C726" s="96"/>
      <c r="D726" s="151">
        <f>SUM(C690:C691)</f>
        <v>0</v>
      </c>
      <c r="E726" s="98"/>
      <c r="F726" s="82"/>
      <c r="G726" s="82"/>
      <c r="H726" s="82"/>
    </row>
    <row r="727" spans="2:8" ht="13.5" hidden="1" outlineLevel="1" thickBot="1" x14ac:dyDescent="0.3">
      <c r="B727" s="99" t="s">
        <v>24</v>
      </c>
      <c r="C727" s="100"/>
      <c r="D727" s="152">
        <f>SUM(C693:C703)</f>
        <v>0</v>
      </c>
      <c r="E727" s="77"/>
      <c r="F727" s="110" t="s">
        <v>86</v>
      </c>
      <c r="G727" s="109" t="s">
        <v>85</v>
      </c>
      <c r="H727" s="110"/>
    </row>
    <row r="728" spans="2:8" ht="13.5" hidden="1" outlineLevel="1" thickBot="1" x14ac:dyDescent="0.3">
      <c r="B728" s="99" t="s">
        <v>25</v>
      </c>
      <c r="C728" s="100"/>
      <c r="D728" s="152">
        <f>SUM(C706:C714)</f>
        <v>0</v>
      </c>
      <c r="E728" s="77"/>
      <c r="F728" s="154"/>
      <c r="G728" s="413"/>
      <c r="H728" s="414"/>
    </row>
    <row r="729" spans="2:8" ht="13.5" hidden="1" outlineLevel="1" thickBot="1" x14ac:dyDescent="0.3">
      <c r="B729" s="102" t="s">
        <v>26</v>
      </c>
      <c r="C729" s="103"/>
      <c r="D729" s="153">
        <f>SUM(C715:C722)</f>
        <v>0</v>
      </c>
      <c r="E729" s="90"/>
      <c r="F729" s="64" t="s">
        <v>45</v>
      </c>
      <c r="G729" s="64" t="s">
        <v>45</v>
      </c>
      <c r="H729" s="155"/>
    </row>
    <row r="730" spans="2:8" ht="19" hidden="1" outlineLevel="1" thickTop="1" thickBot="1" x14ac:dyDescent="0.3">
      <c r="B730" s="105" t="s">
        <v>11</v>
      </c>
      <c r="C730" s="106"/>
      <c r="D730" s="107" t="e">
        <f>C704/C686</f>
        <v>#DIV/0!</v>
      </c>
      <c r="E730" s="90"/>
      <c r="F730" s="110"/>
      <c r="G730" s="117" t="s">
        <v>46</v>
      </c>
      <c r="H730" s="110"/>
    </row>
    <row r="731" spans="2:8" ht="18" hidden="1" customHeight="1" outlineLevel="1" thickBot="1" x14ac:dyDescent="0.3">
      <c r="B731" s="111" t="s">
        <v>12</v>
      </c>
      <c r="C731" s="112"/>
      <c r="D731" s="113" t="e">
        <f>(D726+D727+D728)/C686</f>
        <v>#DIV/0!</v>
      </c>
      <c r="E731" s="90"/>
      <c r="F731" s="429"/>
      <c r="G731" s="430"/>
      <c r="H731" s="431"/>
    </row>
    <row r="732" spans="2:8" ht="18" hidden="1" outlineLevel="1" x14ac:dyDescent="0.25">
      <c r="B732" s="111" t="s">
        <v>13</v>
      </c>
      <c r="C732" s="112"/>
      <c r="D732" s="113" t="e">
        <f>D728/C686</f>
        <v>#DIV/0!</v>
      </c>
      <c r="E732" s="77"/>
      <c r="F732" s="64" t="s">
        <v>45</v>
      </c>
      <c r="G732" s="64"/>
      <c r="H732" s="82"/>
    </row>
    <row r="733" spans="2:8" ht="18" hidden="1" outlineLevel="1" x14ac:dyDescent="0.25">
      <c r="B733" s="114" t="s">
        <v>14</v>
      </c>
      <c r="C733" s="115"/>
      <c r="D733" s="116" t="e">
        <f>D729/C686</f>
        <v>#DIV/0!</v>
      </c>
      <c r="E733" s="77"/>
      <c r="F733" s="82"/>
      <c r="G733" s="82"/>
      <c r="H733" s="82"/>
    </row>
    <row r="734" spans="2:8" ht="18.5" hidden="1" outlineLevel="1" thickBot="1" x14ac:dyDescent="0.3">
      <c r="B734" s="114" t="s">
        <v>15</v>
      </c>
      <c r="C734" s="119"/>
      <c r="D734" s="116" t="e">
        <f>SUM(D726:D729)/C686</f>
        <v>#DIV/0!</v>
      </c>
      <c r="E734" s="77"/>
      <c r="F734" s="415" t="s">
        <v>61</v>
      </c>
      <c r="G734" s="416"/>
      <c r="H734" s="416"/>
    </row>
    <row r="735" spans="2:8" ht="18.5" hidden="1" outlineLevel="1" thickTop="1" x14ac:dyDescent="0.25">
      <c r="B735" s="120" t="s">
        <v>16</v>
      </c>
      <c r="C735" s="121"/>
      <c r="D735" s="122" t="e">
        <f>((C690*D668)+D727+C691*MAX(1,F688))/C686</f>
        <v>#DIV/0!</v>
      </c>
      <c r="E735" s="77"/>
      <c r="F735" s="416"/>
      <c r="G735" s="416"/>
      <c r="H735" s="416"/>
    </row>
    <row r="736" spans="2:8" ht="18" hidden="1" outlineLevel="1" x14ac:dyDescent="0.25">
      <c r="B736" s="123" t="s">
        <v>17</v>
      </c>
      <c r="C736" s="124"/>
      <c r="D736" s="125" t="e">
        <f>(C690*D669+D727+D728+C691*(MAX(1,F688)+G688))/C686</f>
        <v>#DIV/0!</v>
      </c>
      <c r="E736" s="77"/>
      <c r="F736" s="416"/>
      <c r="G736" s="416"/>
      <c r="H736" s="416"/>
    </row>
    <row r="737" spans="2:8" ht="18" hidden="1" outlineLevel="1" x14ac:dyDescent="0.25">
      <c r="B737" s="123" t="s">
        <v>18</v>
      </c>
      <c r="C737" s="124"/>
      <c r="D737" s="125" t="e">
        <f>((C690*D670)+D728+C691*G688)/C686</f>
        <v>#DIV/0!</v>
      </c>
      <c r="F737" s="416"/>
      <c r="G737" s="416"/>
      <c r="H737" s="416"/>
    </row>
    <row r="738" spans="2:8" ht="18" hidden="1" outlineLevel="1" x14ac:dyDescent="0.25">
      <c r="B738" s="126" t="s">
        <v>19</v>
      </c>
      <c r="C738" s="127"/>
      <c r="D738" s="128" t="e">
        <f>(C690*D671+D729+C691*H688)/C686</f>
        <v>#DIV/0!</v>
      </c>
      <c r="F738" s="416"/>
      <c r="G738" s="416"/>
      <c r="H738" s="416"/>
    </row>
    <row r="739" spans="2:8" ht="18.5" hidden="1" outlineLevel="1" thickBot="1" x14ac:dyDescent="0.3">
      <c r="B739" s="129" t="s">
        <v>20</v>
      </c>
      <c r="C739" s="130"/>
      <c r="D739" s="131" t="e">
        <f>((C690*D672)+SUM(D727:D729)+C691*(MAX(1,F688)+G688+H688))/C686</f>
        <v>#DIV/0!</v>
      </c>
      <c r="F739" s="416"/>
      <c r="G739" s="416"/>
      <c r="H739" s="416"/>
    </row>
    <row r="740" spans="2:8" ht="13" hidden="1" outlineLevel="1" thickTop="1" x14ac:dyDescent="0.25">
      <c r="B740" s="156" t="s">
        <v>76</v>
      </c>
      <c r="C740" s="424"/>
      <c r="D740" s="425"/>
    </row>
    <row r="741" spans="2:8" ht="13" hidden="1" outlineLevel="1" thickBot="1" x14ac:dyDescent="0.3">
      <c r="B741" s="157" t="s">
        <v>58</v>
      </c>
      <c r="C741" s="422"/>
      <c r="D741" s="423"/>
    </row>
    <row r="742" spans="2:8" ht="21" hidden="1" outlineLevel="1" thickTop="1" thickBot="1" x14ac:dyDescent="0.3">
      <c r="B742" s="158" t="s">
        <v>59</v>
      </c>
      <c r="C742" s="420"/>
      <c r="D742" s="421"/>
      <c r="E742" s="31"/>
      <c r="F742" s="32" t="s">
        <v>27</v>
      </c>
      <c r="G742" s="33"/>
      <c r="H742" s="33"/>
    </row>
    <row r="743" spans="2:8" ht="14.5" hidden="1" outlineLevel="1" thickBot="1" x14ac:dyDescent="0.3">
      <c r="E743" s="40"/>
      <c r="F743" s="41" t="s">
        <v>28</v>
      </c>
      <c r="G743" s="41" t="s">
        <v>21</v>
      </c>
      <c r="H743" s="41" t="s">
        <v>8</v>
      </c>
    </row>
    <row r="744" spans="2:8" ht="13" hidden="1" outlineLevel="1" thickBot="1" x14ac:dyDescent="0.3">
      <c r="C744" s="25" t="s">
        <v>44</v>
      </c>
      <c r="D744" s="25" t="s">
        <v>42</v>
      </c>
      <c r="E744" s="46"/>
      <c r="F744" s="47"/>
      <c r="G744" s="47"/>
      <c r="H744" s="47"/>
    </row>
    <row r="745" spans="2:8" ht="20.5" hidden="1" outlineLevel="1" thickTop="1" x14ac:dyDescent="0.25">
      <c r="B745" s="140" t="s">
        <v>73</v>
      </c>
      <c r="C745" s="29"/>
      <c r="D745" s="141"/>
      <c r="E745" s="46"/>
      <c r="F745" s="47"/>
      <c r="G745" s="47"/>
      <c r="H745" s="47"/>
    </row>
    <row r="746" spans="2:8" ht="14" hidden="1" outlineLevel="1" x14ac:dyDescent="0.25">
      <c r="B746" s="37"/>
      <c r="C746" s="38" t="s">
        <v>0</v>
      </c>
      <c r="D746" s="39" t="s">
        <v>1</v>
      </c>
      <c r="E746" s="46"/>
      <c r="F746" s="47"/>
      <c r="G746" s="47"/>
      <c r="H746" s="47"/>
    </row>
    <row r="747" spans="2:8" ht="14" hidden="1" outlineLevel="1" x14ac:dyDescent="0.25">
      <c r="B747" s="43" t="s">
        <v>65</v>
      </c>
      <c r="C747" s="142"/>
      <c r="D747" s="45" t="s">
        <v>2</v>
      </c>
      <c r="E747" s="57"/>
      <c r="F747" s="58"/>
      <c r="G747" s="58"/>
      <c r="H747" s="58"/>
    </row>
    <row r="748" spans="2:8" ht="13" hidden="1" outlineLevel="1" x14ac:dyDescent="0.25">
      <c r="B748" s="43" t="s">
        <v>64</v>
      </c>
      <c r="C748" s="143"/>
      <c r="D748" s="45" t="s">
        <v>3</v>
      </c>
      <c r="E748" s="46"/>
      <c r="F748" s="47"/>
      <c r="G748" s="47"/>
      <c r="H748" s="47"/>
    </row>
    <row r="749" spans="2:8" ht="13" hidden="1" outlineLevel="1" x14ac:dyDescent="0.25">
      <c r="B749" s="51" t="s">
        <v>63</v>
      </c>
      <c r="C749" s="144">
        <f>C747*C748</f>
        <v>0</v>
      </c>
      <c r="D749" s="45" t="str">
        <f>D747</f>
        <v>kg</v>
      </c>
      <c r="E749" s="59"/>
      <c r="F749" s="47"/>
      <c r="G749" s="47"/>
      <c r="H749" s="47"/>
    </row>
    <row r="750" spans="2:8" ht="14" hidden="1" outlineLevel="1" x14ac:dyDescent="0.25">
      <c r="B750" s="54" t="s">
        <v>37</v>
      </c>
      <c r="C750" s="145">
        <v>1</v>
      </c>
      <c r="D750" s="56"/>
      <c r="E750" s="46"/>
      <c r="F750" s="47"/>
      <c r="G750" s="47"/>
      <c r="H750" s="47"/>
    </row>
    <row r="751" spans="2:8" ht="13.5" hidden="1" outlineLevel="1" thickBot="1" x14ac:dyDescent="0.3">
      <c r="B751" s="43" t="s">
        <v>66</v>
      </c>
      <c r="C751" s="142"/>
      <c r="D751" s="45" t="str">
        <f>D747</f>
        <v>kg</v>
      </c>
      <c r="F751" s="64"/>
      <c r="G751" s="64"/>
      <c r="H751" s="64"/>
    </row>
    <row r="752" spans="2:8" ht="14.5" hidden="1" outlineLevel="1" thickBot="1" x14ac:dyDescent="0.3">
      <c r="B752" s="43" t="s">
        <v>67</v>
      </c>
      <c r="C752" s="143"/>
      <c r="D752" s="45" t="s">
        <v>3</v>
      </c>
      <c r="E752" s="68"/>
      <c r="F752" s="69"/>
      <c r="G752" s="69"/>
      <c r="H752" s="69"/>
    </row>
    <row r="753" spans="2:8" ht="13.5" hidden="1" outlineLevel="1" thickBot="1" x14ac:dyDescent="0.3">
      <c r="B753" s="51" t="s">
        <v>68</v>
      </c>
      <c r="C753" s="144">
        <f>C751*C752</f>
        <v>0</v>
      </c>
      <c r="D753" s="45" t="str">
        <f>D747</f>
        <v>kg</v>
      </c>
      <c r="E753" s="73"/>
      <c r="F753" s="69"/>
      <c r="G753" s="69"/>
      <c r="H753" s="69"/>
    </row>
    <row r="754" spans="2:8" ht="13.5" hidden="1" outlineLevel="1" thickBot="1" x14ac:dyDescent="0.3">
      <c r="B754" s="61"/>
      <c r="C754" s="62"/>
      <c r="D754" s="63"/>
      <c r="E754" s="98"/>
      <c r="F754" s="69"/>
      <c r="G754" s="69"/>
      <c r="H754" s="69"/>
    </row>
    <row r="755" spans="2:8" ht="14.5" hidden="1" outlineLevel="1" thickBot="1" x14ac:dyDescent="0.3">
      <c r="B755" s="65" t="s">
        <v>5</v>
      </c>
      <c r="C755" s="66" t="s">
        <v>6</v>
      </c>
      <c r="D755" s="67" t="s">
        <v>1</v>
      </c>
      <c r="E755" s="77"/>
      <c r="F755" s="78"/>
      <c r="G755" s="78"/>
      <c r="H755" s="78"/>
    </row>
    <row r="756" spans="2:8" ht="13" hidden="1" outlineLevel="1" x14ac:dyDescent="0.25">
      <c r="B756" s="70" t="s">
        <v>43</v>
      </c>
      <c r="C756" s="71"/>
      <c r="D756" s="72"/>
      <c r="E756" s="77"/>
      <c r="F756" s="82"/>
      <c r="G756" s="82"/>
      <c r="H756" s="82"/>
    </row>
    <row r="757" spans="2:8" ht="13" hidden="1" outlineLevel="1" x14ac:dyDescent="0.25">
      <c r="B757" s="74"/>
      <c r="C757" s="146">
        <f>C749</f>
        <v>0</v>
      </c>
      <c r="D757" s="76" t="str">
        <f>D747</f>
        <v>kg</v>
      </c>
      <c r="E757" s="77"/>
      <c r="F757" s="82"/>
      <c r="G757" s="82"/>
      <c r="H757" s="82"/>
    </row>
    <row r="758" spans="2:8" ht="13" hidden="1" outlineLevel="1" x14ac:dyDescent="0.25">
      <c r="B758" s="74"/>
      <c r="C758" s="146"/>
      <c r="D758" s="76" t="str">
        <f>D747</f>
        <v>kg</v>
      </c>
      <c r="E758" s="77"/>
      <c r="F758" s="82"/>
      <c r="G758" s="82"/>
      <c r="H758" s="82"/>
    </row>
    <row r="759" spans="2:8" ht="13" hidden="1" outlineLevel="1" x14ac:dyDescent="0.25">
      <c r="B759" s="79" t="s">
        <v>69</v>
      </c>
      <c r="C759" s="147"/>
      <c r="D759" s="81"/>
      <c r="E759" s="77"/>
      <c r="F759" s="82"/>
      <c r="G759" s="82"/>
      <c r="H759" s="82"/>
    </row>
    <row r="760" spans="2:8" ht="13" hidden="1" outlineLevel="1" x14ac:dyDescent="0.25">
      <c r="B760" s="74"/>
      <c r="C760" s="148"/>
      <c r="D760" s="76" t="str">
        <f>D747</f>
        <v>kg</v>
      </c>
      <c r="E760" s="77"/>
      <c r="F760" s="82"/>
      <c r="G760" s="82"/>
      <c r="H760" s="82"/>
    </row>
    <row r="761" spans="2:8" ht="13" hidden="1" outlineLevel="1" x14ac:dyDescent="0.25">
      <c r="B761" s="74"/>
      <c r="C761" s="148"/>
      <c r="D761" s="76" t="str">
        <f>D747</f>
        <v>kg</v>
      </c>
      <c r="E761" s="77"/>
      <c r="F761" s="82"/>
      <c r="G761" s="82"/>
      <c r="H761" s="82"/>
    </row>
    <row r="762" spans="2:8" ht="13" hidden="1" outlineLevel="1" x14ac:dyDescent="0.25">
      <c r="B762" s="74"/>
      <c r="C762" s="148"/>
      <c r="D762" s="76" t="str">
        <f>D747</f>
        <v>kg</v>
      </c>
      <c r="E762" s="77"/>
      <c r="F762" s="82"/>
      <c r="G762" s="82"/>
      <c r="H762" s="82"/>
    </row>
    <row r="763" spans="2:8" ht="13" hidden="1" outlineLevel="1" x14ac:dyDescent="0.25">
      <c r="B763" s="74"/>
      <c r="C763" s="148"/>
      <c r="D763" s="76" t="str">
        <f>D747</f>
        <v>kg</v>
      </c>
      <c r="E763" s="77"/>
      <c r="F763" s="82"/>
      <c r="G763" s="82"/>
      <c r="H763" s="82"/>
    </row>
    <row r="764" spans="2:8" ht="13" hidden="1" outlineLevel="1" x14ac:dyDescent="0.25">
      <c r="B764" s="74"/>
      <c r="C764" s="148"/>
      <c r="D764" s="76" t="str">
        <f>D747</f>
        <v>kg</v>
      </c>
      <c r="E764" s="77"/>
      <c r="F764" s="82"/>
      <c r="G764" s="82"/>
      <c r="H764" s="82"/>
    </row>
    <row r="765" spans="2:8" ht="13" hidden="1" outlineLevel="1" x14ac:dyDescent="0.25">
      <c r="B765" s="74"/>
      <c r="C765" s="148"/>
      <c r="D765" s="76" t="str">
        <f>D747</f>
        <v>kg</v>
      </c>
      <c r="E765" s="77"/>
      <c r="F765" s="82"/>
      <c r="G765" s="82"/>
      <c r="H765" s="82"/>
    </row>
    <row r="766" spans="2:8" ht="13" hidden="1" outlineLevel="1" x14ac:dyDescent="0.25">
      <c r="B766" s="74"/>
      <c r="C766" s="148"/>
      <c r="D766" s="76" t="str">
        <f>D747</f>
        <v>kg</v>
      </c>
      <c r="E766" s="77"/>
      <c r="F766" s="82"/>
      <c r="G766" s="82"/>
      <c r="H766" s="82"/>
    </row>
    <row r="767" spans="2:8" ht="13" hidden="1" outlineLevel="1" x14ac:dyDescent="0.25">
      <c r="B767" s="74"/>
      <c r="C767" s="148"/>
      <c r="D767" s="76" t="str">
        <f>D747</f>
        <v>kg</v>
      </c>
      <c r="E767" s="77"/>
      <c r="F767" s="82"/>
      <c r="G767" s="82"/>
      <c r="H767" s="82"/>
    </row>
    <row r="768" spans="2:8" ht="13" hidden="1" outlineLevel="1" x14ac:dyDescent="0.25">
      <c r="B768" s="74"/>
      <c r="C768" s="148"/>
      <c r="D768" s="76" t="str">
        <f>D747</f>
        <v>kg</v>
      </c>
      <c r="E768" s="77"/>
      <c r="F768" s="82"/>
      <c r="G768" s="82"/>
      <c r="H768" s="82"/>
    </row>
    <row r="769" spans="2:8" ht="13" hidden="1" outlineLevel="1" x14ac:dyDescent="0.25">
      <c r="B769" s="74"/>
      <c r="C769" s="148"/>
      <c r="D769" s="76" t="str">
        <f>D747</f>
        <v>kg</v>
      </c>
      <c r="E769" s="77"/>
      <c r="F769" s="82"/>
      <c r="G769" s="82"/>
      <c r="H769" s="82"/>
    </row>
    <row r="770" spans="2:8" ht="13" hidden="1" outlineLevel="1" x14ac:dyDescent="0.25">
      <c r="B770" s="79"/>
      <c r="C770" s="147"/>
      <c r="D770" s="81"/>
      <c r="E770" s="77"/>
      <c r="F770" s="82"/>
      <c r="G770" s="82"/>
      <c r="H770" s="82"/>
    </row>
    <row r="771" spans="2:8" ht="13" hidden="1" outlineLevel="1" x14ac:dyDescent="0.25">
      <c r="B771" s="86" t="s">
        <v>7</v>
      </c>
      <c r="C771" s="149">
        <f>SUM(C756:C769)</f>
        <v>0</v>
      </c>
      <c r="D771" s="88" t="str">
        <f>D747</f>
        <v>kg</v>
      </c>
      <c r="E771" s="77"/>
      <c r="F771" s="82"/>
      <c r="G771" s="82"/>
      <c r="H771" s="82"/>
    </row>
    <row r="772" spans="2:8" ht="13" hidden="1" outlineLevel="1" x14ac:dyDescent="0.25">
      <c r="B772" s="79" t="s">
        <v>71</v>
      </c>
      <c r="C772" s="150"/>
      <c r="D772" s="81"/>
      <c r="E772" s="77"/>
      <c r="F772" s="82"/>
      <c r="G772" s="82"/>
      <c r="H772" s="82"/>
    </row>
    <row r="773" spans="2:8" ht="13" hidden="1" outlineLevel="1" x14ac:dyDescent="0.25">
      <c r="B773" s="74"/>
      <c r="C773" s="148"/>
      <c r="D773" s="76" t="str">
        <f>D747</f>
        <v>kg</v>
      </c>
      <c r="E773" s="77"/>
      <c r="F773" s="82"/>
      <c r="G773" s="82"/>
      <c r="H773" s="82"/>
    </row>
    <row r="774" spans="2:8" ht="13" hidden="1" outlineLevel="1" x14ac:dyDescent="0.25">
      <c r="B774" s="74"/>
      <c r="C774" s="148"/>
      <c r="D774" s="76" t="str">
        <f>D747</f>
        <v>kg</v>
      </c>
      <c r="E774" s="77"/>
      <c r="F774" s="82"/>
      <c r="G774" s="82"/>
      <c r="H774" s="82"/>
    </row>
    <row r="775" spans="2:8" ht="13" hidden="1" outlineLevel="1" x14ac:dyDescent="0.25">
      <c r="B775" s="74"/>
      <c r="C775" s="148"/>
      <c r="D775" s="76" t="str">
        <f>D747</f>
        <v>kg</v>
      </c>
      <c r="E775" s="77"/>
      <c r="F775" s="82"/>
      <c r="G775" s="82"/>
      <c r="H775" s="82"/>
    </row>
    <row r="776" spans="2:8" ht="13" hidden="1" outlineLevel="1" x14ac:dyDescent="0.25">
      <c r="B776" s="74"/>
      <c r="C776" s="148"/>
      <c r="D776" s="76" t="str">
        <f>D747</f>
        <v>kg</v>
      </c>
      <c r="E776" s="77"/>
      <c r="F776" s="82"/>
      <c r="G776" s="82"/>
      <c r="H776" s="82"/>
    </row>
    <row r="777" spans="2:8" ht="13" hidden="1" outlineLevel="1" x14ac:dyDescent="0.25">
      <c r="B777" s="74"/>
      <c r="C777" s="148"/>
      <c r="D777" s="76" t="str">
        <f>D747</f>
        <v>kg</v>
      </c>
      <c r="E777" s="77"/>
      <c r="F777" s="82"/>
      <c r="G777" s="82"/>
      <c r="H777" s="82"/>
    </row>
    <row r="778" spans="2:8" ht="13" hidden="1" outlineLevel="1" x14ac:dyDescent="0.25">
      <c r="B778" s="74"/>
      <c r="C778" s="148"/>
      <c r="D778" s="76" t="str">
        <f>D747</f>
        <v>kg</v>
      </c>
      <c r="E778" s="90"/>
      <c r="F778" s="82"/>
      <c r="G778" s="82"/>
      <c r="H778" s="82"/>
    </row>
    <row r="779" spans="2:8" ht="13" hidden="1" outlineLevel="1" x14ac:dyDescent="0.25">
      <c r="B779" s="74"/>
      <c r="C779" s="148"/>
      <c r="D779" s="76" t="str">
        <f>D747</f>
        <v>kg</v>
      </c>
      <c r="E779" s="77"/>
      <c r="F779" s="82"/>
      <c r="G779" s="82"/>
      <c r="H779" s="82"/>
    </row>
    <row r="780" spans="2:8" ht="13" hidden="1" outlineLevel="1" x14ac:dyDescent="0.25">
      <c r="B780" s="74"/>
      <c r="C780" s="148"/>
      <c r="D780" s="76" t="str">
        <f>D747</f>
        <v>kg</v>
      </c>
      <c r="E780" s="77"/>
      <c r="F780" s="82"/>
      <c r="G780" s="82"/>
      <c r="H780" s="82"/>
    </row>
    <row r="781" spans="2:8" ht="13" hidden="1" outlineLevel="1" x14ac:dyDescent="0.25">
      <c r="B781" s="79" t="s">
        <v>70</v>
      </c>
      <c r="C781" s="147"/>
      <c r="D781" s="81"/>
      <c r="E781" s="77"/>
      <c r="F781" s="82"/>
      <c r="G781" s="82"/>
      <c r="H781" s="82"/>
    </row>
    <row r="782" spans="2:8" ht="13" hidden="1" outlineLevel="1" x14ac:dyDescent="0.25">
      <c r="B782" s="74"/>
      <c r="C782" s="148"/>
      <c r="D782" s="76" t="str">
        <f>D747</f>
        <v>kg</v>
      </c>
      <c r="E782" s="77"/>
      <c r="F782" s="82"/>
      <c r="G782" s="82"/>
      <c r="H782" s="82"/>
    </row>
    <row r="783" spans="2:8" ht="13" hidden="1" outlineLevel="1" x14ac:dyDescent="0.25">
      <c r="B783" s="74"/>
      <c r="C783" s="148"/>
      <c r="D783" s="76" t="str">
        <f>D747</f>
        <v>kg</v>
      </c>
      <c r="E783" s="77"/>
      <c r="F783" s="82"/>
      <c r="G783" s="82"/>
      <c r="H783" s="82"/>
    </row>
    <row r="784" spans="2:8" ht="13" hidden="1" outlineLevel="1" x14ac:dyDescent="0.25">
      <c r="B784" s="74"/>
      <c r="C784" s="148"/>
      <c r="D784" s="76" t="str">
        <f>D747</f>
        <v>kg</v>
      </c>
      <c r="E784" s="77"/>
      <c r="F784" s="82"/>
      <c r="G784" s="82"/>
      <c r="H784" s="82"/>
    </row>
    <row r="785" spans="2:8" ht="13" hidden="1" outlineLevel="1" x14ac:dyDescent="0.25">
      <c r="B785" s="74"/>
      <c r="C785" s="148"/>
      <c r="D785" s="76" t="str">
        <f>D747</f>
        <v>kg</v>
      </c>
      <c r="E785" s="77"/>
      <c r="F785" s="82"/>
      <c r="G785" s="82"/>
      <c r="H785" s="82"/>
    </row>
    <row r="786" spans="2:8" ht="13" hidden="1" outlineLevel="1" x14ac:dyDescent="0.25">
      <c r="B786" s="74"/>
      <c r="C786" s="148"/>
      <c r="D786" s="76" t="str">
        <f>D747</f>
        <v>kg</v>
      </c>
      <c r="E786" s="77"/>
      <c r="F786" s="82"/>
      <c r="G786" s="82"/>
      <c r="H786" s="82"/>
    </row>
    <row r="787" spans="2:8" ht="13" hidden="1" outlineLevel="1" x14ac:dyDescent="0.25">
      <c r="B787" s="74"/>
      <c r="C787" s="148"/>
      <c r="D787" s="76" t="str">
        <f>D747</f>
        <v>kg</v>
      </c>
      <c r="E787" s="77"/>
      <c r="F787" s="82"/>
      <c r="G787" s="82"/>
      <c r="H787" s="82"/>
    </row>
    <row r="788" spans="2:8" ht="13" hidden="1" outlineLevel="1" x14ac:dyDescent="0.25">
      <c r="B788" s="74"/>
      <c r="C788" s="148"/>
      <c r="D788" s="76" t="str">
        <f>D747</f>
        <v>kg</v>
      </c>
      <c r="E788" s="77"/>
      <c r="F788" s="82"/>
      <c r="G788" s="82"/>
      <c r="H788" s="82"/>
    </row>
    <row r="789" spans="2:8" ht="13" hidden="1" outlineLevel="1" x14ac:dyDescent="0.25">
      <c r="B789" s="79"/>
      <c r="C789" s="147"/>
      <c r="D789" s="81"/>
      <c r="E789" s="77"/>
      <c r="F789" s="82"/>
      <c r="G789" s="82"/>
      <c r="H789" s="82"/>
    </row>
    <row r="790" spans="2:8" ht="13" hidden="1" outlineLevel="1" x14ac:dyDescent="0.25">
      <c r="B790" s="86" t="s">
        <v>9</v>
      </c>
      <c r="C790" s="149">
        <f>SUM(C771:C788)</f>
        <v>0</v>
      </c>
      <c r="D790" s="91" t="str">
        <f>D747</f>
        <v>kg</v>
      </c>
      <c r="E790" s="98"/>
      <c r="F790" s="82"/>
      <c r="G790" s="82"/>
      <c r="H790" s="82"/>
    </row>
    <row r="791" spans="2:8" ht="13.5" hidden="1" outlineLevel="1" thickBot="1" x14ac:dyDescent="0.3">
      <c r="B791" s="92"/>
      <c r="C791" s="93"/>
      <c r="D791" s="94"/>
      <c r="E791" s="98"/>
      <c r="F791" s="82"/>
      <c r="G791" s="82"/>
      <c r="H791" s="82"/>
    </row>
    <row r="792" spans="2:8" ht="20.5" hidden="1" outlineLevel="1" thickBot="1" x14ac:dyDescent="0.3">
      <c r="B792" s="426" t="s">
        <v>10</v>
      </c>
      <c r="C792" s="427"/>
      <c r="D792" s="428"/>
      <c r="E792" s="98"/>
      <c r="F792" s="82"/>
      <c r="G792" s="82"/>
      <c r="H792" s="82"/>
    </row>
    <row r="793" spans="2:8" ht="13" hidden="1" outlineLevel="1" x14ac:dyDescent="0.25">
      <c r="B793" s="95" t="s">
        <v>23</v>
      </c>
      <c r="C793" s="96"/>
      <c r="D793" s="151">
        <f>SUM(C757:C758)</f>
        <v>0</v>
      </c>
      <c r="E793" s="98"/>
      <c r="F793" s="82"/>
      <c r="G793" s="82"/>
      <c r="H793" s="82"/>
    </row>
    <row r="794" spans="2:8" ht="13.5" hidden="1" outlineLevel="1" thickBot="1" x14ac:dyDescent="0.3">
      <c r="B794" s="99" t="s">
        <v>24</v>
      </c>
      <c r="C794" s="100"/>
      <c r="D794" s="152">
        <f>SUM(C760:C770)</f>
        <v>0</v>
      </c>
      <c r="E794" s="77"/>
      <c r="F794" s="110" t="s">
        <v>86</v>
      </c>
      <c r="G794" s="109" t="s">
        <v>85</v>
      </c>
      <c r="H794" s="110"/>
    </row>
    <row r="795" spans="2:8" ht="13.5" hidden="1" outlineLevel="1" thickBot="1" x14ac:dyDescent="0.3">
      <c r="B795" s="99" t="s">
        <v>25</v>
      </c>
      <c r="C795" s="100"/>
      <c r="D795" s="152">
        <f>SUM(C773:C781)</f>
        <v>0</v>
      </c>
      <c r="E795" s="77"/>
      <c r="F795" s="154"/>
      <c r="G795" s="413"/>
      <c r="H795" s="414"/>
    </row>
    <row r="796" spans="2:8" ht="13.5" hidden="1" outlineLevel="1" thickBot="1" x14ac:dyDescent="0.3">
      <c r="B796" s="102" t="s">
        <v>26</v>
      </c>
      <c r="C796" s="103"/>
      <c r="D796" s="153">
        <f>SUM(C782:C789)</f>
        <v>0</v>
      </c>
      <c r="E796" s="90"/>
      <c r="F796" s="64" t="s">
        <v>45</v>
      </c>
      <c r="G796" s="64" t="s">
        <v>45</v>
      </c>
      <c r="H796" s="155"/>
    </row>
    <row r="797" spans="2:8" ht="19" hidden="1" outlineLevel="1" thickTop="1" thickBot="1" x14ac:dyDescent="0.3">
      <c r="B797" s="105" t="s">
        <v>11</v>
      </c>
      <c r="C797" s="106"/>
      <c r="D797" s="107" t="e">
        <f>C771/C753</f>
        <v>#DIV/0!</v>
      </c>
      <c r="E797" s="90"/>
      <c r="F797" s="110"/>
      <c r="G797" s="117" t="s">
        <v>46</v>
      </c>
      <c r="H797" s="110"/>
    </row>
    <row r="798" spans="2:8" ht="18" hidden="1" customHeight="1" outlineLevel="1" thickBot="1" x14ac:dyDescent="0.3">
      <c r="B798" s="111" t="s">
        <v>12</v>
      </c>
      <c r="C798" s="112"/>
      <c r="D798" s="113" t="e">
        <f>(D793+D794+D795)/C753</f>
        <v>#DIV/0!</v>
      </c>
      <c r="E798" s="90"/>
      <c r="F798" s="429"/>
      <c r="G798" s="430"/>
      <c r="H798" s="431"/>
    </row>
    <row r="799" spans="2:8" ht="18" hidden="1" outlineLevel="1" x14ac:dyDescent="0.25">
      <c r="B799" s="111" t="s">
        <v>13</v>
      </c>
      <c r="C799" s="112"/>
      <c r="D799" s="113" t="e">
        <f>D795/C753</f>
        <v>#DIV/0!</v>
      </c>
      <c r="E799" s="77"/>
      <c r="F799" s="64" t="s">
        <v>45</v>
      </c>
      <c r="G799" s="64"/>
      <c r="H799" s="82"/>
    </row>
    <row r="800" spans="2:8" ht="18" hidden="1" outlineLevel="1" x14ac:dyDescent="0.25">
      <c r="B800" s="114" t="s">
        <v>14</v>
      </c>
      <c r="C800" s="115"/>
      <c r="D800" s="116" t="e">
        <f>D796/C753</f>
        <v>#DIV/0!</v>
      </c>
      <c r="E800" s="77"/>
      <c r="F800" s="82"/>
      <c r="G800" s="82"/>
      <c r="H800" s="82"/>
    </row>
    <row r="801" spans="2:8" ht="18.5" hidden="1" outlineLevel="1" thickBot="1" x14ac:dyDescent="0.3">
      <c r="B801" s="114" t="s">
        <v>15</v>
      </c>
      <c r="C801" s="119"/>
      <c r="D801" s="116" t="e">
        <f>SUM(D793:D796)/C753</f>
        <v>#DIV/0!</v>
      </c>
      <c r="E801" s="77"/>
      <c r="F801" s="415" t="s">
        <v>61</v>
      </c>
      <c r="G801" s="416"/>
      <c r="H801" s="416"/>
    </row>
    <row r="802" spans="2:8" ht="18.5" hidden="1" outlineLevel="1" thickTop="1" x14ac:dyDescent="0.25">
      <c r="B802" s="120" t="s">
        <v>16</v>
      </c>
      <c r="C802" s="121"/>
      <c r="D802" s="122" t="e">
        <f>((C757*D735)+D794+C758*MAX(1,F755))/C753</f>
        <v>#DIV/0!</v>
      </c>
      <c r="E802" s="77"/>
      <c r="F802" s="416"/>
      <c r="G802" s="416"/>
      <c r="H802" s="416"/>
    </row>
    <row r="803" spans="2:8" ht="18" hidden="1" outlineLevel="1" x14ac:dyDescent="0.25">
      <c r="B803" s="123" t="s">
        <v>17</v>
      </c>
      <c r="C803" s="124"/>
      <c r="D803" s="125" t="e">
        <f>(C757*D736+D794+D795+C758*(MAX(1,F755)+G755))/C753</f>
        <v>#DIV/0!</v>
      </c>
      <c r="E803" s="77"/>
      <c r="F803" s="416"/>
      <c r="G803" s="416"/>
      <c r="H803" s="416"/>
    </row>
    <row r="804" spans="2:8" ht="18" hidden="1" outlineLevel="1" x14ac:dyDescent="0.25">
      <c r="B804" s="123" t="s">
        <v>18</v>
      </c>
      <c r="C804" s="124"/>
      <c r="D804" s="125" t="e">
        <f>((C757*D737)+D795+C758*G755)/C753</f>
        <v>#DIV/0!</v>
      </c>
      <c r="F804" s="416"/>
      <c r="G804" s="416"/>
      <c r="H804" s="416"/>
    </row>
    <row r="805" spans="2:8" ht="18" hidden="1" outlineLevel="1" x14ac:dyDescent="0.25">
      <c r="B805" s="126" t="s">
        <v>19</v>
      </c>
      <c r="C805" s="127"/>
      <c r="D805" s="128" t="e">
        <f>(C757*D738+D796+C758*H755)/C753</f>
        <v>#DIV/0!</v>
      </c>
      <c r="F805" s="416"/>
      <c r="G805" s="416"/>
      <c r="H805" s="416"/>
    </row>
    <row r="806" spans="2:8" ht="18.5" hidden="1" outlineLevel="1" thickBot="1" x14ac:dyDescent="0.3">
      <c r="B806" s="129" t="s">
        <v>20</v>
      </c>
      <c r="C806" s="130"/>
      <c r="D806" s="131" t="e">
        <f>((C757*D739)+SUM(D794:D796)+C758*(MAX(1,F755)+G755+H755))/C753</f>
        <v>#DIV/0!</v>
      </c>
      <c r="F806" s="416"/>
      <c r="G806" s="416"/>
      <c r="H806" s="416"/>
    </row>
    <row r="807" spans="2:8" ht="13" hidden="1" outlineLevel="1" thickTop="1" x14ac:dyDescent="0.25">
      <c r="B807" s="156" t="s">
        <v>76</v>
      </c>
      <c r="C807" s="424"/>
      <c r="D807" s="425"/>
    </row>
    <row r="808" spans="2:8" ht="13" hidden="1" outlineLevel="1" thickBot="1" x14ac:dyDescent="0.3">
      <c r="B808" s="157" t="s">
        <v>58</v>
      </c>
      <c r="C808" s="422"/>
      <c r="D808" s="423"/>
    </row>
    <row r="809" spans="2:8" ht="21" hidden="1" outlineLevel="1" thickTop="1" thickBot="1" x14ac:dyDescent="0.3">
      <c r="B809" s="158" t="s">
        <v>59</v>
      </c>
      <c r="C809" s="420"/>
      <c r="D809" s="421"/>
      <c r="E809" s="31"/>
      <c r="F809" s="32" t="s">
        <v>27</v>
      </c>
      <c r="G809" s="33"/>
      <c r="H809" s="33"/>
    </row>
    <row r="810" spans="2:8" ht="14.5" hidden="1" outlineLevel="1" thickBot="1" x14ac:dyDescent="0.3">
      <c r="E810" s="40"/>
      <c r="F810" s="41" t="s">
        <v>28</v>
      </c>
      <c r="G810" s="41" t="s">
        <v>21</v>
      </c>
      <c r="H810" s="41" t="s">
        <v>8</v>
      </c>
    </row>
    <row r="811" spans="2:8" ht="13" hidden="1" outlineLevel="1" thickBot="1" x14ac:dyDescent="0.3">
      <c r="C811" s="118" t="s">
        <v>44</v>
      </c>
      <c r="D811" s="118" t="s">
        <v>42</v>
      </c>
      <c r="E811" s="46"/>
      <c r="F811" s="47"/>
      <c r="G811" s="47"/>
      <c r="H811" s="47"/>
    </row>
    <row r="812" spans="2:8" ht="20.5" hidden="1" outlineLevel="1" thickTop="1" x14ac:dyDescent="0.25">
      <c r="B812" s="140" t="s">
        <v>73</v>
      </c>
      <c r="C812" s="29"/>
      <c r="D812" s="141"/>
      <c r="E812" s="46"/>
      <c r="F812" s="47"/>
      <c r="G812" s="47"/>
      <c r="H812" s="47"/>
    </row>
    <row r="813" spans="2:8" ht="14" hidden="1" outlineLevel="1" x14ac:dyDescent="0.25">
      <c r="B813" s="37"/>
      <c r="C813" s="38" t="s">
        <v>0</v>
      </c>
      <c r="D813" s="39" t="s">
        <v>1</v>
      </c>
      <c r="E813" s="46"/>
      <c r="F813" s="47"/>
      <c r="G813" s="47"/>
      <c r="H813" s="47"/>
    </row>
    <row r="814" spans="2:8" ht="14" hidden="1" outlineLevel="1" x14ac:dyDescent="0.25">
      <c r="B814" s="43" t="s">
        <v>65</v>
      </c>
      <c r="C814" s="142"/>
      <c r="D814" s="45" t="s">
        <v>2</v>
      </c>
      <c r="E814" s="57"/>
      <c r="F814" s="58"/>
      <c r="G814" s="58"/>
      <c r="H814" s="58"/>
    </row>
    <row r="815" spans="2:8" ht="13" hidden="1" outlineLevel="1" x14ac:dyDescent="0.25">
      <c r="B815" s="43" t="s">
        <v>64</v>
      </c>
      <c r="C815" s="143"/>
      <c r="D815" s="45" t="s">
        <v>3</v>
      </c>
      <c r="E815" s="46"/>
      <c r="F815" s="47"/>
      <c r="G815" s="47"/>
      <c r="H815" s="47"/>
    </row>
    <row r="816" spans="2:8" ht="13" hidden="1" outlineLevel="1" x14ac:dyDescent="0.25">
      <c r="B816" s="51" t="s">
        <v>63</v>
      </c>
      <c r="C816" s="144">
        <f>C814*C815</f>
        <v>0</v>
      </c>
      <c r="D816" s="45" t="str">
        <f>D814</f>
        <v>kg</v>
      </c>
      <c r="E816" s="59"/>
      <c r="F816" s="47"/>
      <c r="G816" s="47"/>
      <c r="H816" s="47"/>
    </row>
    <row r="817" spans="2:8" ht="14" hidden="1" outlineLevel="1" x14ac:dyDescent="0.25">
      <c r="B817" s="54" t="s">
        <v>37</v>
      </c>
      <c r="C817" s="145">
        <v>1</v>
      </c>
      <c r="D817" s="56"/>
      <c r="E817" s="46"/>
      <c r="F817" s="47"/>
      <c r="G817" s="47"/>
      <c r="H817" s="47"/>
    </row>
    <row r="818" spans="2:8" ht="13.5" hidden="1" outlineLevel="1" thickBot="1" x14ac:dyDescent="0.3">
      <c r="B818" s="43" t="s">
        <v>66</v>
      </c>
      <c r="C818" s="142"/>
      <c r="D818" s="45" t="str">
        <f>D814</f>
        <v>kg</v>
      </c>
      <c r="F818" s="64"/>
      <c r="G818" s="64"/>
      <c r="H818" s="64"/>
    </row>
    <row r="819" spans="2:8" ht="14.5" hidden="1" outlineLevel="1" thickBot="1" x14ac:dyDescent="0.3">
      <c r="B819" s="43" t="s">
        <v>67</v>
      </c>
      <c r="C819" s="143"/>
      <c r="D819" s="45" t="s">
        <v>3</v>
      </c>
      <c r="E819" s="68"/>
      <c r="F819" s="69"/>
      <c r="G819" s="69"/>
      <c r="H819" s="69"/>
    </row>
    <row r="820" spans="2:8" ht="13.5" hidden="1" outlineLevel="1" thickBot="1" x14ac:dyDescent="0.3">
      <c r="B820" s="51" t="s">
        <v>68</v>
      </c>
      <c r="C820" s="144">
        <f>C818*C819</f>
        <v>0</v>
      </c>
      <c r="D820" s="45" t="str">
        <f>D814</f>
        <v>kg</v>
      </c>
      <c r="E820" s="73"/>
      <c r="F820" s="69"/>
      <c r="G820" s="69"/>
      <c r="H820" s="69"/>
    </row>
    <row r="821" spans="2:8" ht="13.5" hidden="1" outlineLevel="1" thickBot="1" x14ac:dyDescent="0.3">
      <c r="B821" s="61"/>
      <c r="C821" s="62"/>
      <c r="D821" s="63"/>
      <c r="E821" s="98"/>
      <c r="F821" s="69"/>
      <c r="G821" s="69"/>
      <c r="H821" s="69"/>
    </row>
    <row r="822" spans="2:8" ht="14.5" hidden="1" outlineLevel="1" thickBot="1" x14ac:dyDescent="0.3">
      <c r="B822" s="65" t="s">
        <v>5</v>
      </c>
      <c r="C822" s="66" t="s">
        <v>6</v>
      </c>
      <c r="D822" s="67" t="s">
        <v>1</v>
      </c>
      <c r="E822" s="77"/>
      <c r="F822" s="78"/>
      <c r="G822" s="78"/>
      <c r="H822" s="78"/>
    </row>
    <row r="823" spans="2:8" ht="13" hidden="1" outlineLevel="1" x14ac:dyDescent="0.25">
      <c r="B823" s="70" t="s">
        <v>43</v>
      </c>
      <c r="C823" s="71"/>
      <c r="D823" s="72"/>
      <c r="E823" s="77"/>
      <c r="F823" s="82"/>
      <c r="G823" s="82"/>
      <c r="H823" s="82"/>
    </row>
    <row r="824" spans="2:8" ht="13" hidden="1" outlineLevel="1" x14ac:dyDescent="0.25">
      <c r="B824" s="74"/>
      <c r="C824" s="146">
        <f>C816</f>
        <v>0</v>
      </c>
      <c r="D824" s="76" t="str">
        <f>D814</f>
        <v>kg</v>
      </c>
      <c r="E824" s="77"/>
      <c r="F824" s="82"/>
      <c r="G824" s="82"/>
      <c r="H824" s="82"/>
    </row>
    <row r="825" spans="2:8" ht="13" hidden="1" outlineLevel="1" x14ac:dyDescent="0.25">
      <c r="B825" s="74"/>
      <c r="C825" s="146"/>
      <c r="D825" s="76" t="str">
        <f>D814</f>
        <v>kg</v>
      </c>
      <c r="E825" s="77"/>
      <c r="F825" s="82"/>
      <c r="G825" s="82"/>
      <c r="H825" s="82"/>
    </row>
    <row r="826" spans="2:8" ht="13" hidden="1" outlineLevel="1" x14ac:dyDescent="0.25">
      <c r="B826" s="79" t="s">
        <v>69</v>
      </c>
      <c r="C826" s="147"/>
      <c r="D826" s="81"/>
      <c r="E826" s="77"/>
      <c r="F826" s="82"/>
      <c r="G826" s="82"/>
      <c r="H826" s="82"/>
    </row>
    <row r="827" spans="2:8" ht="13" hidden="1" outlineLevel="1" x14ac:dyDescent="0.25">
      <c r="B827" s="74"/>
      <c r="C827" s="148"/>
      <c r="D827" s="76" t="str">
        <f>D814</f>
        <v>kg</v>
      </c>
      <c r="E827" s="77"/>
      <c r="F827" s="82"/>
      <c r="G827" s="82"/>
      <c r="H827" s="82"/>
    </row>
    <row r="828" spans="2:8" ht="13" hidden="1" outlineLevel="1" x14ac:dyDescent="0.25">
      <c r="B828" s="74"/>
      <c r="C828" s="148"/>
      <c r="D828" s="76" t="str">
        <f>D814</f>
        <v>kg</v>
      </c>
      <c r="E828" s="77"/>
      <c r="F828" s="82"/>
      <c r="G828" s="82"/>
      <c r="H828" s="82"/>
    </row>
    <row r="829" spans="2:8" ht="13" hidden="1" outlineLevel="1" x14ac:dyDescent="0.25">
      <c r="B829" s="74"/>
      <c r="C829" s="148"/>
      <c r="D829" s="76" t="str">
        <f>D814</f>
        <v>kg</v>
      </c>
      <c r="E829" s="77"/>
      <c r="F829" s="82"/>
      <c r="G829" s="82"/>
      <c r="H829" s="82"/>
    </row>
    <row r="830" spans="2:8" ht="13" hidden="1" outlineLevel="1" x14ac:dyDescent="0.25">
      <c r="B830" s="74"/>
      <c r="C830" s="148"/>
      <c r="D830" s="76" t="str">
        <f>D814</f>
        <v>kg</v>
      </c>
      <c r="E830" s="77"/>
      <c r="F830" s="82"/>
      <c r="G830" s="82"/>
      <c r="H830" s="82"/>
    </row>
    <row r="831" spans="2:8" ht="13" hidden="1" outlineLevel="1" x14ac:dyDescent="0.25">
      <c r="B831" s="74"/>
      <c r="C831" s="148"/>
      <c r="D831" s="76" t="str">
        <f>D814</f>
        <v>kg</v>
      </c>
      <c r="E831" s="77"/>
      <c r="F831" s="82"/>
      <c r="G831" s="82"/>
      <c r="H831" s="82"/>
    </row>
    <row r="832" spans="2:8" ht="13" hidden="1" outlineLevel="1" x14ac:dyDescent="0.25">
      <c r="B832" s="74"/>
      <c r="C832" s="148"/>
      <c r="D832" s="76" t="str">
        <f>D814</f>
        <v>kg</v>
      </c>
      <c r="E832" s="77"/>
      <c r="F832" s="82"/>
      <c r="G832" s="82"/>
      <c r="H832" s="82"/>
    </row>
    <row r="833" spans="2:8" ht="13" hidden="1" outlineLevel="1" x14ac:dyDescent="0.25">
      <c r="B833" s="74"/>
      <c r="C833" s="148"/>
      <c r="D833" s="76" t="str">
        <f>D814</f>
        <v>kg</v>
      </c>
      <c r="E833" s="77"/>
      <c r="F833" s="82"/>
      <c r="G833" s="82"/>
      <c r="H833" s="82"/>
    </row>
    <row r="834" spans="2:8" ht="13" hidden="1" outlineLevel="1" x14ac:dyDescent="0.25">
      <c r="B834" s="74"/>
      <c r="C834" s="148"/>
      <c r="D834" s="76" t="str">
        <f>D814</f>
        <v>kg</v>
      </c>
      <c r="E834" s="77"/>
      <c r="F834" s="82"/>
      <c r="G834" s="82"/>
      <c r="H834" s="82"/>
    </row>
    <row r="835" spans="2:8" ht="13" hidden="1" outlineLevel="1" x14ac:dyDescent="0.25">
      <c r="B835" s="74"/>
      <c r="C835" s="148"/>
      <c r="D835" s="76" t="str">
        <f>D814</f>
        <v>kg</v>
      </c>
      <c r="E835" s="77"/>
      <c r="F835" s="82"/>
      <c r="G835" s="82"/>
      <c r="H835" s="82"/>
    </row>
    <row r="836" spans="2:8" ht="13" hidden="1" outlineLevel="1" x14ac:dyDescent="0.25">
      <c r="B836" s="74"/>
      <c r="C836" s="148"/>
      <c r="D836" s="76" t="str">
        <f>D814</f>
        <v>kg</v>
      </c>
      <c r="E836" s="77"/>
      <c r="F836" s="82"/>
      <c r="G836" s="82"/>
      <c r="H836" s="82"/>
    </row>
    <row r="837" spans="2:8" ht="13" hidden="1" outlineLevel="1" x14ac:dyDescent="0.25">
      <c r="B837" s="79"/>
      <c r="C837" s="147"/>
      <c r="D837" s="81"/>
      <c r="E837" s="77"/>
      <c r="F837" s="82"/>
      <c r="G837" s="82"/>
      <c r="H837" s="82"/>
    </row>
    <row r="838" spans="2:8" ht="13" hidden="1" outlineLevel="1" x14ac:dyDescent="0.25">
      <c r="B838" s="86" t="s">
        <v>7</v>
      </c>
      <c r="C838" s="149">
        <f>SUM(C823:C836)</f>
        <v>0</v>
      </c>
      <c r="D838" s="88" t="str">
        <f>D814</f>
        <v>kg</v>
      </c>
      <c r="E838" s="77"/>
      <c r="F838" s="82"/>
      <c r="G838" s="82"/>
      <c r="H838" s="82"/>
    </row>
    <row r="839" spans="2:8" ht="13" hidden="1" outlineLevel="1" x14ac:dyDescent="0.25">
      <c r="B839" s="79" t="s">
        <v>71</v>
      </c>
      <c r="C839" s="150"/>
      <c r="D839" s="81"/>
      <c r="E839" s="77"/>
      <c r="F839" s="82"/>
      <c r="G839" s="82"/>
      <c r="H839" s="82"/>
    </row>
    <row r="840" spans="2:8" ht="13" hidden="1" outlineLevel="1" x14ac:dyDescent="0.25">
      <c r="B840" s="74"/>
      <c r="C840" s="148"/>
      <c r="D840" s="76" t="str">
        <f>D814</f>
        <v>kg</v>
      </c>
      <c r="E840" s="77"/>
      <c r="F840" s="82"/>
      <c r="G840" s="82"/>
      <c r="H840" s="82"/>
    </row>
    <row r="841" spans="2:8" ht="13" hidden="1" outlineLevel="1" x14ac:dyDescent="0.25">
      <c r="B841" s="74"/>
      <c r="C841" s="148"/>
      <c r="D841" s="76" t="str">
        <f>D814</f>
        <v>kg</v>
      </c>
      <c r="E841" s="77"/>
      <c r="F841" s="82"/>
      <c r="G841" s="82"/>
      <c r="H841" s="82"/>
    </row>
    <row r="842" spans="2:8" ht="13" hidden="1" outlineLevel="1" x14ac:dyDescent="0.25">
      <c r="B842" s="74"/>
      <c r="C842" s="148"/>
      <c r="D842" s="76" t="str">
        <f>D814</f>
        <v>kg</v>
      </c>
      <c r="E842" s="77"/>
      <c r="F842" s="82"/>
      <c r="G842" s="82"/>
      <c r="H842" s="82"/>
    </row>
    <row r="843" spans="2:8" ht="13" hidden="1" outlineLevel="1" x14ac:dyDescent="0.25">
      <c r="B843" s="74"/>
      <c r="C843" s="148"/>
      <c r="D843" s="76" t="str">
        <f>D814</f>
        <v>kg</v>
      </c>
      <c r="E843" s="77"/>
      <c r="F843" s="82"/>
      <c r="G843" s="82"/>
      <c r="H843" s="82"/>
    </row>
    <row r="844" spans="2:8" ht="13" hidden="1" outlineLevel="1" x14ac:dyDescent="0.25">
      <c r="B844" s="74"/>
      <c r="C844" s="148"/>
      <c r="D844" s="76" t="str">
        <f>D814</f>
        <v>kg</v>
      </c>
      <c r="E844" s="77"/>
      <c r="F844" s="82"/>
      <c r="G844" s="82"/>
      <c r="H844" s="82"/>
    </row>
    <row r="845" spans="2:8" ht="13" hidden="1" outlineLevel="1" x14ac:dyDescent="0.25">
      <c r="B845" s="74"/>
      <c r="C845" s="148"/>
      <c r="D845" s="76" t="str">
        <f>D814</f>
        <v>kg</v>
      </c>
      <c r="E845" s="90"/>
      <c r="F845" s="82"/>
      <c r="G845" s="82"/>
      <c r="H845" s="82"/>
    </row>
    <row r="846" spans="2:8" ht="13" hidden="1" outlineLevel="1" x14ac:dyDescent="0.25">
      <c r="B846" s="74"/>
      <c r="C846" s="148"/>
      <c r="D846" s="76" t="str">
        <f>D814</f>
        <v>kg</v>
      </c>
      <c r="E846" s="77"/>
      <c r="F846" s="82"/>
      <c r="G846" s="82"/>
      <c r="H846" s="82"/>
    </row>
    <row r="847" spans="2:8" ht="13" hidden="1" outlineLevel="1" x14ac:dyDescent="0.25">
      <c r="B847" s="74"/>
      <c r="C847" s="148"/>
      <c r="D847" s="76" t="str">
        <f>D814</f>
        <v>kg</v>
      </c>
      <c r="E847" s="77"/>
      <c r="F847" s="82"/>
      <c r="G847" s="82"/>
      <c r="H847" s="82"/>
    </row>
    <row r="848" spans="2:8" ht="13" hidden="1" outlineLevel="1" x14ac:dyDescent="0.25">
      <c r="B848" s="79" t="s">
        <v>70</v>
      </c>
      <c r="C848" s="147"/>
      <c r="D848" s="81"/>
      <c r="E848" s="77"/>
      <c r="F848" s="82"/>
      <c r="G848" s="82"/>
      <c r="H848" s="82"/>
    </row>
    <row r="849" spans="2:8" ht="13" hidden="1" outlineLevel="1" x14ac:dyDescent="0.25">
      <c r="B849" s="74"/>
      <c r="C849" s="148"/>
      <c r="D849" s="76" t="str">
        <f>D814</f>
        <v>kg</v>
      </c>
      <c r="E849" s="77"/>
      <c r="F849" s="82"/>
      <c r="G849" s="82"/>
      <c r="H849" s="82"/>
    </row>
    <row r="850" spans="2:8" ht="13" hidden="1" outlineLevel="1" x14ac:dyDescent="0.25">
      <c r="B850" s="74"/>
      <c r="C850" s="148"/>
      <c r="D850" s="76" t="str">
        <f>D814</f>
        <v>kg</v>
      </c>
      <c r="E850" s="77"/>
      <c r="F850" s="82"/>
      <c r="G850" s="82"/>
      <c r="H850" s="82"/>
    </row>
    <row r="851" spans="2:8" ht="13" hidden="1" outlineLevel="1" x14ac:dyDescent="0.25">
      <c r="B851" s="74"/>
      <c r="C851" s="148"/>
      <c r="D851" s="76" t="str">
        <f>D814</f>
        <v>kg</v>
      </c>
      <c r="E851" s="77"/>
      <c r="F851" s="82"/>
      <c r="G851" s="82"/>
      <c r="H851" s="82"/>
    </row>
    <row r="852" spans="2:8" ht="13" hidden="1" outlineLevel="1" x14ac:dyDescent="0.25">
      <c r="B852" s="74"/>
      <c r="C852" s="148"/>
      <c r="D852" s="76" t="str">
        <f>D814</f>
        <v>kg</v>
      </c>
      <c r="E852" s="77"/>
      <c r="F852" s="82"/>
      <c r="G852" s="82"/>
      <c r="H852" s="82"/>
    </row>
    <row r="853" spans="2:8" ht="13" hidden="1" outlineLevel="1" x14ac:dyDescent="0.25">
      <c r="B853" s="74"/>
      <c r="C853" s="148"/>
      <c r="D853" s="76" t="str">
        <f>D814</f>
        <v>kg</v>
      </c>
      <c r="E853" s="77"/>
      <c r="F853" s="82"/>
      <c r="G853" s="82"/>
      <c r="H853" s="82"/>
    </row>
    <row r="854" spans="2:8" ht="13" hidden="1" outlineLevel="1" x14ac:dyDescent="0.25">
      <c r="B854" s="74"/>
      <c r="C854" s="148"/>
      <c r="D854" s="76" t="str">
        <f>D814</f>
        <v>kg</v>
      </c>
      <c r="E854" s="77"/>
      <c r="F854" s="82"/>
      <c r="G854" s="82"/>
      <c r="H854" s="82"/>
    </row>
    <row r="855" spans="2:8" ht="13" hidden="1" outlineLevel="1" x14ac:dyDescent="0.25">
      <c r="B855" s="74"/>
      <c r="C855" s="148"/>
      <c r="D855" s="76" t="str">
        <f>D814</f>
        <v>kg</v>
      </c>
      <c r="E855" s="77"/>
      <c r="F855" s="82"/>
      <c r="G855" s="82"/>
      <c r="H855" s="82"/>
    </row>
    <row r="856" spans="2:8" ht="13" hidden="1" outlineLevel="1" x14ac:dyDescent="0.25">
      <c r="B856" s="79"/>
      <c r="C856" s="147"/>
      <c r="D856" s="81"/>
      <c r="E856" s="77"/>
      <c r="F856" s="82"/>
      <c r="G856" s="82"/>
      <c r="H856" s="82"/>
    </row>
    <row r="857" spans="2:8" ht="13" hidden="1" outlineLevel="1" x14ac:dyDescent="0.25">
      <c r="B857" s="86" t="s">
        <v>9</v>
      </c>
      <c r="C857" s="149">
        <f>SUM(C838:C855)</f>
        <v>0</v>
      </c>
      <c r="D857" s="91" t="str">
        <f>D814</f>
        <v>kg</v>
      </c>
      <c r="E857" s="98"/>
      <c r="F857" s="82"/>
      <c r="G857" s="82"/>
      <c r="H857" s="82"/>
    </row>
    <row r="858" spans="2:8" ht="13.5" hidden="1" outlineLevel="1" thickBot="1" x14ac:dyDescent="0.3">
      <c r="B858" s="92"/>
      <c r="C858" s="93"/>
      <c r="D858" s="94"/>
      <c r="E858" s="98"/>
      <c r="F858" s="82"/>
      <c r="G858" s="82"/>
      <c r="H858" s="82"/>
    </row>
    <row r="859" spans="2:8" ht="20.5" hidden="1" outlineLevel="1" thickBot="1" x14ac:dyDescent="0.3">
      <c r="B859" s="426" t="s">
        <v>10</v>
      </c>
      <c r="C859" s="427"/>
      <c r="D859" s="428"/>
      <c r="E859" s="98"/>
      <c r="F859" s="82"/>
      <c r="G859" s="82"/>
      <c r="H859" s="82"/>
    </row>
    <row r="860" spans="2:8" ht="13" hidden="1" outlineLevel="1" x14ac:dyDescent="0.25">
      <c r="B860" s="95" t="s">
        <v>23</v>
      </c>
      <c r="C860" s="96"/>
      <c r="D860" s="151">
        <f>SUM(C824:C825)</f>
        <v>0</v>
      </c>
      <c r="E860" s="98"/>
      <c r="F860" s="82"/>
      <c r="G860" s="82"/>
      <c r="H860" s="82"/>
    </row>
    <row r="861" spans="2:8" ht="13.5" hidden="1" outlineLevel="1" thickBot="1" x14ac:dyDescent="0.3">
      <c r="B861" s="99" t="s">
        <v>24</v>
      </c>
      <c r="C861" s="100"/>
      <c r="D861" s="152">
        <f>SUM(C827:C837)</f>
        <v>0</v>
      </c>
      <c r="E861" s="77"/>
      <c r="F861" s="110" t="s">
        <v>86</v>
      </c>
      <c r="G861" s="109" t="s">
        <v>85</v>
      </c>
      <c r="H861" s="110"/>
    </row>
    <row r="862" spans="2:8" ht="13.5" hidden="1" outlineLevel="1" thickBot="1" x14ac:dyDescent="0.3">
      <c r="B862" s="99" t="s">
        <v>25</v>
      </c>
      <c r="C862" s="100"/>
      <c r="D862" s="152">
        <f>SUM(C840:C848)</f>
        <v>0</v>
      </c>
      <c r="E862" s="77"/>
      <c r="F862" s="154"/>
      <c r="G862" s="413"/>
      <c r="H862" s="414"/>
    </row>
    <row r="863" spans="2:8" ht="13.5" hidden="1" outlineLevel="1" thickBot="1" x14ac:dyDescent="0.3">
      <c r="B863" s="102" t="s">
        <v>26</v>
      </c>
      <c r="C863" s="103"/>
      <c r="D863" s="153">
        <f>SUM(C849:C856)</f>
        <v>0</v>
      </c>
      <c r="E863" s="90"/>
      <c r="F863" s="64" t="s">
        <v>45</v>
      </c>
      <c r="G863" s="64" t="s">
        <v>45</v>
      </c>
      <c r="H863" s="155"/>
    </row>
    <row r="864" spans="2:8" ht="19" hidden="1" outlineLevel="1" thickTop="1" thickBot="1" x14ac:dyDescent="0.3">
      <c r="B864" s="105" t="s">
        <v>11</v>
      </c>
      <c r="C864" s="106"/>
      <c r="D864" s="107" t="e">
        <f>C838/C820</f>
        <v>#DIV/0!</v>
      </c>
      <c r="E864" s="90"/>
      <c r="F864" s="110"/>
      <c r="G864" s="117" t="s">
        <v>46</v>
      </c>
      <c r="H864" s="110"/>
    </row>
    <row r="865" spans="2:8" ht="18" hidden="1" customHeight="1" outlineLevel="1" thickBot="1" x14ac:dyDescent="0.3">
      <c r="B865" s="111" t="s">
        <v>12</v>
      </c>
      <c r="C865" s="112"/>
      <c r="D865" s="113" t="e">
        <f>(D860+D861+D862)/C820</f>
        <v>#DIV/0!</v>
      </c>
      <c r="E865" s="90"/>
      <c r="F865" s="429"/>
      <c r="G865" s="430"/>
      <c r="H865" s="431"/>
    </row>
    <row r="866" spans="2:8" ht="18" hidden="1" outlineLevel="1" x14ac:dyDescent="0.25">
      <c r="B866" s="111" t="s">
        <v>13</v>
      </c>
      <c r="C866" s="112"/>
      <c r="D866" s="113" t="e">
        <f>D862/C820</f>
        <v>#DIV/0!</v>
      </c>
      <c r="E866" s="77"/>
      <c r="F866" s="64" t="s">
        <v>45</v>
      </c>
      <c r="G866" s="64"/>
      <c r="H866" s="82"/>
    </row>
    <row r="867" spans="2:8" ht="18" hidden="1" outlineLevel="1" x14ac:dyDescent="0.25">
      <c r="B867" s="114" t="s">
        <v>14</v>
      </c>
      <c r="C867" s="115"/>
      <c r="D867" s="116" t="e">
        <f>D863/C820</f>
        <v>#DIV/0!</v>
      </c>
      <c r="E867" s="77"/>
      <c r="F867" s="82"/>
      <c r="G867" s="82"/>
      <c r="H867" s="82"/>
    </row>
    <row r="868" spans="2:8" ht="18.5" hidden="1" outlineLevel="1" thickBot="1" x14ac:dyDescent="0.3">
      <c r="B868" s="114" t="s">
        <v>15</v>
      </c>
      <c r="C868" s="119"/>
      <c r="D868" s="116" t="e">
        <f>SUM(D860:D863)/C820</f>
        <v>#DIV/0!</v>
      </c>
      <c r="E868" s="77"/>
      <c r="F868" s="415" t="s">
        <v>61</v>
      </c>
      <c r="G868" s="416"/>
      <c r="H868" s="416"/>
    </row>
    <row r="869" spans="2:8" ht="18.5" hidden="1" outlineLevel="1" thickTop="1" x14ac:dyDescent="0.25">
      <c r="B869" s="120" t="s">
        <v>16</v>
      </c>
      <c r="C869" s="121"/>
      <c r="D869" s="122" t="e">
        <f>((C824*D802)+D861+C825*MAX(1,F822))/C820</f>
        <v>#DIV/0!</v>
      </c>
      <c r="E869" s="77"/>
      <c r="F869" s="416"/>
      <c r="G869" s="416"/>
      <c r="H869" s="416"/>
    </row>
    <row r="870" spans="2:8" ht="18" hidden="1" outlineLevel="1" x14ac:dyDescent="0.25">
      <c r="B870" s="123" t="s">
        <v>17</v>
      </c>
      <c r="C870" s="124"/>
      <c r="D870" s="125" t="e">
        <f>(C824*D803+D861+D862+C825*(MAX(1,F822)+G822))/C820</f>
        <v>#DIV/0!</v>
      </c>
      <c r="E870" s="77"/>
      <c r="F870" s="416"/>
      <c r="G870" s="416"/>
      <c r="H870" s="416"/>
    </row>
    <row r="871" spans="2:8" ht="18" hidden="1" outlineLevel="1" x14ac:dyDescent="0.25">
      <c r="B871" s="123" t="s">
        <v>18</v>
      </c>
      <c r="C871" s="124"/>
      <c r="D871" s="125" t="e">
        <f>((C824*D804)+D862+C825*G822)/C820</f>
        <v>#DIV/0!</v>
      </c>
      <c r="F871" s="416"/>
      <c r="G871" s="416"/>
      <c r="H871" s="416"/>
    </row>
    <row r="872" spans="2:8" ht="18" hidden="1" outlineLevel="1" x14ac:dyDescent="0.25">
      <c r="B872" s="126" t="s">
        <v>19</v>
      </c>
      <c r="C872" s="127"/>
      <c r="D872" s="128" t="e">
        <f>(C824*D805+D863+C825*H822)/C820</f>
        <v>#DIV/0!</v>
      </c>
      <c r="F872" s="416"/>
      <c r="G872" s="416"/>
      <c r="H872" s="416"/>
    </row>
    <row r="873" spans="2:8" ht="18.5" hidden="1" outlineLevel="1" thickBot="1" x14ac:dyDescent="0.3">
      <c r="B873" s="129" t="s">
        <v>20</v>
      </c>
      <c r="C873" s="130"/>
      <c r="D873" s="131" t="e">
        <f>((C824*D806)+SUM(D861:D863)+C825*(MAX(1,F822)+G822+H822))/C820</f>
        <v>#DIV/0!</v>
      </c>
      <c r="F873" s="416"/>
      <c r="G873" s="416"/>
      <c r="H873" s="416"/>
    </row>
    <row r="874" spans="2:8" ht="13" hidden="1" outlineLevel="1" thickTop="1" x14ac:dyDescent="0.25">
      <c r="B874" s="156" t="s">
        <v>76</v>
      </c>
      <c r="C874" s="424"/>
      <c r="D874" s="425"/>
    </row>
    <row r="875" spans="2:8" ht="13" hidden="1" outlineLevel="1" thickBot="1" x14ac:dyDescent="0.3">
      <c r="B875" s="157" t="s">
        <v>58</v>
      </c>
      <c r="C875" s="422"/>
      <c r="D875" s="423"/>
    </row>
    <row r="876" spans="2:8" ht="21" hidden="1" outlineLevel="1" thickTop="1" thickBot="1" x14ac:dyDescent="0.3">
      <c r="B876" s="158" t="s">
        <v>59</v>
      </c>
      <c r="C876" s="420"/>
      <c r="D876" s="421"/>
      <c r="E876" s="31"/>
      <c r="F876" s="32" t="s">
        <v>27</v>
      </c>
      <c r="G876" s="33"/>
      <c r="H876" s="33"/>
    </row>
    <row r="877" spans="2:8" ht="14.5" hidden="1" outlineLevel="1" thickBot="1" x14ac:dyDescent="0.3">
      <c r="E877" s="40"/>
      <c r="F877" s="41" t="s">
        <v>28</v>
      </c>
      <c r="G877" s="41" t="s">
        <v>21</v>
      </c>
      <c r="H877" s="41" t="s">
        <v>8</v>
      </c>
    </row>
    <row r="878" spans="2:8" ht="13" hidden="1" outlineLevel="1" thickBot="1" x14ac:dyDescent="0.3">
      <c r="C878" s="118" t="s">
        <v>44</v>
      </c>
      <c r="D878" s="118" t="s">
        <v>42</v>
      </c>
      <c r="E878" s="46"/>
      <c r="F878" s="47"/>
      <c r="G878" s="47"/>
      <c r="H878" s="47"/>
    </row>
    <row r="879" spans="2:8" ht="20.5" hidden="1" outlineLevel="1" thickTop="1" x14ac:dyDescent="0.25">
      <c r="B879" s="140" t="s">
        <v>73</v>
      </c>
      <c r="C879" s="29"/>
      <c r="D879" s="141"/>
      <c r="E879" s="46"/>
      <c r="F879" s="47"/>
      <c r="G879" s="47"/>
      <c r="H879" s="47"/>
    </row>
    <row r="880" spans="2:8" ht="14" hidden="1" outlineLevel="1" x14ac:dyDescent="0.25">
      <c r="B880" s="37"/>
      <c r="C880" s="38" t="s">
        <v>0</v>
      </c>
      <c r="D880" s="39" t="s">
        <v>1</v>
      </c>
      <c r="E880" s="46"/>
      <c r="F880" s="47"/>
      <c r="G880" s="47"/>
      <c r="H880" s="47"/>
    </row>
    <row r="881" spans="2:8" ht="14" hidden="1" outlineLevel="1" x14ac:dyDescent="0.25">
      <c r="B881" s="43" t="s">
        <v>65</v>
      </c>
      <c r="C881" s="142"/>
      <c r="D881" s="45" t="s">
        <v>2</v>
      </c>
      <c r="E881" s="57"/>
      <c r="F881" s="58"/>
      <c r="G881" s="58"/>
      <c r="H881" s="58"/>
    </row>
    <row r="882" spans="2:8" ht="13" hidden="1" outlineLevel="1" x14ac:dyDescent="0.25">
      <c r="B882" s="43" t="s">
        <v>64</v>
      </c>
      <c r="C882" s="143"/>
      <c r="D882" s="45" t="s">
        <v>3</v>
      </c>
      <c r="E882" s="46"/>
      <c r="F882" s="47"/>
      <c r="G882" s="47"/>
      <c r="H882" s="47"/>
    </row>
    <row r="883" spans="2:8" ht="13" hidden="1" outlineLevel="1" x14ac:dyDescent="0.25">
      <c r="B883" s="51" t="s">
        <v>63</v>
      </c>
      <c r="C883" s="144">
        <f>C881*C882</f>
        <v>0</v>
      </c>
      <c r="D883" s="45" t="str">
        <f>D881</f>
        <v>kg</v>
      </c>
      <c r="E883" s="59"/>
      <c r="F883" s="47"/>
      <c r="G883" s="47"/>
      <c r="H883" s="47"/>
    </row>
    <row r="884" spans="2:8" ht="14" hidden="1" outlineLevel="1" x14ac:dyDescent="0.25">
      <c r="B884" s="54" t="s">
        <v>37</v>
      </c>
      <c r="C884" s="145">
        <v>1</v>
      </c>
      <c r="D884" s="56"/>
      <c r="E884" s="46"/>
      <c r="F884" s="47"/>
      <c r="G884" s="47"/>
      <c r="H884" s="47"/>
    </row>
    <row r="885" spans="2:8" ht="13.5" hidden="1" outlineLevel="1" thickBot="1" x14ac:dyDescent="0.3">
      <c r="B885" s="43" t="s">
        <v>66</v>
      </c>
      <c r="C885" s="142"/>
      <c r="D885" s="45" t="str">
        <f>D881</f>
        <v>kg</v>
      </c>
      <c r="F885" s="64"/>
      <c r="G885" s="64"/>
      <c r="H885" s="64"/>
    </row>
    <row r="886" spans="2:8" ht="14.5" hidden="1" outlineLevel="1" thickBot="1" x14ac:dyDescent="0.3">
      <c r="B886" s="43" t="s">
        <v>67</v>
      </c>
      <c r="C886" s="143"/>
      <c r="D886" s="45" t="s">
        <v>3</v>
      </c>
      <c r="E886" s="68"/>
      <c r="F886" s="69"/>
      <c r="G886" s="69"/>
      <c r="H886" s="69"/>
    </row>
    <row r="887" spans="2:8" ht="13.5" hidden="1" outlineLevel="1" thickBot="1" x14ac:dyDescent="0.3">
      <c r="B887" s="51" t="s">
        <v>68</v>
      </c>
      <c r="C887" s="144">
        <f>C885*C886</f>
        <v>0</v>
      </c>
      <c r="D887" s="45" t="str">
        <f>D881</f>
        <v>kg</v>
      </c>
      <c r="E887" s="73"/>
      <c r="F887" s="69"/>
      <c r="G887" s="69"/>
      <c r="H887" s="69"/>
    </row>
    <row r="888" spans="2:8" ht="13.5" hidden="1" outlineLevel="1" thickBot="1" x14ac:dyDescent="0.3">
      <c r="B888" s="61"/>
      <c r="C888" s="62"/>
      <c r="D888" s="63"/>
      <c r="E888" s="98"/>
      <c r="F888" s="69"/>
      <c r="G888" s="69"/>
      <c r="H888" s="69"/>
    </row>
    <row r="889" spans="2:8" ht="14.5" hidden="1" outlineLevel="1" thickBot="1" x14ac:dyDescent="0.3">
      <c r="B889" s="65" t="s">
        <v>5</v>
      </c>
      <c r="C889" s="66" t="s">
        <v>6</v>
      </c>
      <c r="D889" s="67" t="s">
        <v>1</v>
      </c>
      <c r="E889" s="77"/>
      <c r="F889" s="78"/>
      <c r="G889" s="78"/>
      <c r="H889" s="78"/>
    </row>
    <row r="890" spans="2:8" ht="13" hidden="1" outlineLevel="1" x14ac:dyDescent="0.25">
      <c r="B890" s="70" t="s">
        <v>43</v>
      </c>
      <c r="C890" s="71"/>
      <c r="D890" s="72"/>
      <c r="E890" s="77"/>
      <c r="F890" s="82"/>
      <c r="G890" s="82"/>
      <c r="H890" s="82"/>
    </row>
    <row r="891" spans="2:8" ht="13" hidden="1" outlineLevel="1" x14ac:dyDescent="0.25">
      <c r="B891" s="74"/>
      <c r="C891" s="146">
        <f>C883</f>
        <v>0</v>
      </c>
      <c r="D891" s="76" t="str">
        <f>D881</f>
        <v>kg</v>
      </c>
      <c r="E891" s="77"/>
      <c r="F891" s="82"/>
      <c r="G891" s="82"/>
      <c r="H891" s="82"/>
    </row>
    <row r="892" spans="2:8" ht="13" hidden="1" outlineLevel="1" x14ac:dyDescent="0.25">
      <c r="B892" s="74"/>
      <c r="C892" s="146"/>
      <c r="D892" s="76" t="str">
        <f>D881</f>
        <v>kg</v>
      </c>
      <c r="E892" s="77"/>
      <c r="F892" s="82"/>
      <c r="G892" s="82"/>
      <c r="H892" s="82"/>
    </row>
    <row r="893" spans="2:8" ht="13" hidden="1" outlineLevel="1" x14ac:dyDescent="0.25">
      <c r="B893" s="79" t="s">
        <v>69</v>
      </c>
      <c r="C893" s="147"/>
      <c r="D893" s="81"/>
      <c r="E893" s="77"/>
      <c r="F893" s="82"/>
      <c r="G893" s="82"/>
      <c r="H893" s="82"/>
    </row>
    <row r="894" spans="2:8" ht="13" hidden="1" outlineLevel="1" x14ac:dyDescent="0.25">
      <c r="B894" s="74"/>
      <c r="C894" s="148"/>
      <c r="D894" s="76" t="str">
        <f>D881</f>
        <v>kg</v>
      </c>
      <c r="E894" s="77"/>
      <c r="F894" s="82"/>
      <c r="G894" s="82"/>
      <c r="H894" s="82"/>
    </row>
    <row r="895" spans="2:8" ht="13" hidden="1" outlineLevel="1" x14ac:dyDescent="0.25">
      <c r="B895" s="74"/>
      <c r="C895" s="148"/>
      <c r="D895" s="76" t="str">
        <f>D881</f>
        <v>kg</v>
      </c>
      <c r="E895" s="77"/>
      <c r="F895" s="82"/>
      <c r="G895" s="82"/>
      <c r="H895" s="82"/>
    </row>
    <row r="896" spans="2:8" ht="13" hidden="1" outlineLevel="1" x14ac:dyDescent="0.25">
      <c r="B896" s="74"/>
      <c r="C896" s="148"/>
      <c r="D896" s="76" t="str">
        <f>D881</f>
        <v>kg</v>
      </c>
      <c r="E896" s="77"/>
      <c r="F896" s="82"/>
      <c r="G896" s="82"/>
      <c r="H896" s="82"/>
    </row>
    <row r="897" spans="2:8" ht="13" hidden="1" outlineLevel="1" x14ac:dyDescent="0.25">
      <c r="B897" s="74"/>
      <c r="C897" s="148"/>
      <c r="D897" s="76" t="str">
        <f>D881</f>
        <v>kg</v>
      </c>
      <c r="E897" s="77"/>
      <c r="F897" s="82"/>
      <c r="G897" s="82"/>
      <c r="H897" s="82"/>
    </row>
    <row r="898" spans="2:8" ht="13" hidden="1" outlineLevel="1" x14ac:dyDescent="0.25">
      <c r="B898" s="74"/>
      <c r="C898" s="148"/>
      <c r="D898" s="76" t="str">
        <f>D881</f>
        <v>kg</v>
      </c>
      <c r="E898" s="77"/>
      <c r="F898" s="82"/>
      <c r="G898" s="82"/>
      <c r="H898" s="82"/>
    </row>
    <row r="899" spans="2:8" ht="13" hidden="1" outlineLevel="1" x14ac:dyDescent="0.25">
      <c r="B899" s="74"/>
      <c r="C899" s="148"/>
      <c r="D899" s="76" t="str">
        <f>D881</f>
        <v>kg</v>
      </c>
      <c r="E899" s="77"/>
      <c r="F899" s="82"/>
      <c r="G899" s="82"/>
      <c r="H899" s="82"/>
    </row>
    <row r="900" spans="2:8" ht="13" hidden="1" outlineLevel="1" x14ac:dyDescent="0.25">
      <c r="B900" s="74"/>
      <c r="C900" s="148"/>
      <c r="D900" s="76" t="str">
        <f>D881</f>
        <v>kg</v>
      </c>
      <c r="E900" s="77"/>
      <c r="F900" s="82"/>
      <c r="G900" s="82"/>
      <c r="H900" s="82"/>
    </row>
    <row r="901" spans="2:8" ht="13" hidden="1" outlineLevel="1" x14ac:dyDescent="0.25">
      <c r="B901" s="74"/>
      <c r="C901" s="148"/>
      <c r="D901" s="76" t="str">
        <f>D881</f>
        <v>kg</v>
      </c>
      <c r="E901" s="77"/>
      <c r="F901" s="82"/>
      <c r="G901" s="82"/>
      <c r="H901" s="82"/>
    </row>
    <row r="902" spans="2:8" ht="13" hidden="1" outlineLevel="1" x14ac:dyDescent="0.25">
      <c r="B902" s="74"/>
      <c r="C902" s="148"/>
      <c r="D902" s="76" t="str">
        <f>D881</f>
        <v>kg</v>
      </c>
      <c r="E902" s="77"/>
      <c r="F902" s="82"/>
      <c r="G902" s="82"/>
      <c r="H902" s="82"/>
    </row>
    <row r="903" spans="2:8" ht="13" hidden="1" outlineLevel="1" x14ac:dyDescent="0.25">
      <c r="B903" s="74"/>
      <c r="C903" s="148"/>
      <c r="D903" s="76" t="str">
        <f>D881</f>
        <v>kg</v>
      </c>
      <c r="E903" s="77"/>
      <c r="F903" s="82"/>
      <c r="G903" s="82"/>
      <c r="H903" s="82"/>
    </row>
    <row r="904" spans="2:8" ht="13" hidden="1" outlineLevel="1" x14ac:dyDescent="0.25">
      <c r="B904" s="79"/>
      <c r="C904" s="147"/>
      <c r="D904" s="81"/>
      <c r="E904" s="77"/>
      <c r="F904" s="82"/>
      <c r="G904" s="82"/>
      <c r="H904" s="82"/>
    </row>
    <row r="905" spans="2:8" ht="13" hidden="1" outlineLevel="1" x14ac:dyDescent="0.25">
      <c r="B905" s="86" t="s">
        <v>7</v>
      </c>
      <c r="C905" s="149">
        <f>SUM(C890:C903)</f>
        <v>0</v>
      </c>
      <c r="D905" s="88" t="str">
        <f>D881</f>
        <v>kg</v>
      </c>
      <c r="E905" s="77"/>
      <c r="F905" s="82"/>
      <c r="G905" s="82"/>
      <c r="H905" s="82"/>
    </row>
    <row r="906" spans="2:8" ht="13" hidden="1" outlineLevel="1" x14ac:dyDescent="0.25">
      <c r="B906" s="79" t="s">
        <v>71</v>
      </c>
      <c r="C906" s="150"/>
      <c r="D906" s="81"/>
      <c r="E906" s="77"/>
      <c r="F906" s="82"/>
      <c r="G906" s="82"/>
      <c r="H906" s="82"/>
    </row>
    <row r="907" spans="2:8" ht="13" hidden="1" outlineLevel="1" x14ac:dyDescent="0.25">
      <c r="B907" s="74"/>
      <c r="C907" s="148"/>
      <c r="D907" s="76" t="str">
        <f>D881</f>
        <v>kg</v>
      </c>
      <c r="E907" s="77"/>
      <c r="F907" s="82"/>
      <c r="G907" s="82"/>
      <c r="H907" s="82"/>
    </row>
    <row r="908" spans="2:8" ht="13" hidden="1" outlineLevel="1" x14ac:dyDescent="0.25">
      <c r="B908" s="74"/>
      <c r="C908" s="148"/>
      <c r="D908" s="76" t="str">
        <f>D881</f>
        <v>kg</v>
      </c>
      <c r="E908" s="77"/>
      <c r="F908" s="82"/>
      <c r="G908" s="82"/>
      <c r="H908" s="82"/>
    </row>
    <row r="909" spans="2:8" ht="13" hidden="1" outlineLevel="1" x14ac:dyDescent="0.25">
      <c r="B909" s="74"/>
      <c r="C909" s="148"/>
      <c r="D909" s="76" t="str">
        <f>D881</f>
        <v>kg</v>
      </c>
      <c r="E909" s="77"/>
      <c r="F909" s="82"/>
      <c r="G909" s="82"/>
      <c r="H909" s="82"/>
    </row>
    <row r="910" spans="2:8" ht="13" hidden="1" outlineLevel="1" x14ac:dyDescent="0.25">
      <c r="B910" s="74"/>
      <c r="C910" s="148"/>
      <c r="D910" s="76" t="str">
        <f>D881</f>
        <v>kg</v>
      </c>
      <c r="E910" s="77"/>
      <c r="F910" s="82"/>
      <c r="G910" s="82"/>
      <c r="H910" s="82"/>
    </row>
    <row r="911" spans="2:8" ht="13" hidden="1" outlineLevel="1" x14ac:dyDescent="0.25">
      <c r="B911" s="74"/>
      <c r="C911" s="148"/>
      <c r="D911" s="76" t="str">
        <f>D881</f>
        <v>kg</v>
      </c>
      <c r="E911" s="77"/>
      <c r="F911" s="82"/>
      <c r="G911" s="82"/>
      <c r="H911" s="82"/>
    </row>
    <row r="912" spans="2:8" ht="13" hidden="1" outlineLevel="1" x14ac:dyDescent="0.25">
      <c r="B912" s="74"/>
      <c r="C912" s="148"/>
      <c r="D912" s="76" t="str">
        <f>D881</f>
        <v>kg</v>
      </c>
      <c r="E912" s="90"/>
      <c r="F912" s="82"/>
      <c r="G912" s="82"/>
      <c r="H912" s="82"/>
    </row>
    <row r="913" spans="2:8" ht="13" hidden="1" outlineLevel="1" x14ac:dyDescent="0.25">
      <c r="B913" s="74"/>
      <c r="C913" s="148"/>
      <c r="D913" s="76" t="str">
        <f>D881</f>
        <v>kg</v>
      </c>
      <c r="E913" s="77"/>
      <c r="F913" s="82"/>
      <c r="G913" s="82"/>
      <c r="H913" s="82"/>
    </row>
    <row r="914" spans="2:8" ht="13" hidden="1" outlineLevel="1" x14ac:dyDescent="0.25">
      <c r="B914" s="74"/>
      <c r="C914" s="148"/>
      <c r="D914" s="76" t="str">
        <f>D881</f>
        <v>kg</v>
      </c>
      <c r="E914" s="77"/>
      <c r="F914" s="82"/>
      <c r="G914" s="82"/>
      <c r="H914" s="82"/>
    </row>
    <row r="915" spans="2:8" ht="13" hidden="1" outlineLevel="1" x14ac:dyDescent="0.25">
      <c r="B915" s="79" t="s">
        <v>70</v>
      </c>
      <c r="C915" s="147"/>
      <c r="D915" s="81"/>
      <c r="E915" s="77"/>
      <c r="F915" s="82"/>
      <c r="G915" s="82"/>
      <c r="H915" s="82"/>
    </row>
    <row r="916" spans="2:8" ht="13" hidden="1" outlineLevel="1" x14ac:dyDescent="0.25">
      <c r="B916" s="74"/>
      <c r="C916" s="148"/>
      <c r="D916" s="76" t="str">
        <f>D881</f>
        <v>kg</v>
      </c>
      <c r="E916" s="77"/>
      <c r="F916" s="82"/>
      <c r="G916" s="82"/>
      <c r="H916" s="82"/>
    </row>
    <row r="917" spans="2:8" ht="13" hidden="1" outlineLevel="1" x14ac:dyDescent="0.25">
      <c r="B917" s="74"/>
      <c r="C917" s="148"/>
      <c r="D917" s="76" t="str">
        <f>D881</f>
        <v>kg</v>
      </c>
      <c r="E917" s="77"/>
      <c r="F917" s="82"/>
      <c r="G917" s="82"/>
      <c r="H917" s="82"/>
    </row>
    <row r="918" spans="2:8" ht="13" hidden="1" outlineLevel="1" x14ac:dyDescent="0.25">
      <c r="B918" s="74"/>
      <c r="C918" s="148"/>
      <c r="D918" s="76" t="str">
        <f>D881</f>
        <v>kg</v>
      </c>
      <c r="E918" s="77"/>
      <c r="F918" s="82"/>
      <c r="G918" s="82"/>
      <c r="H918" s="82"/>
    </row>
    <row r="919" spans="2:8" ht="13" hidden="1" outlineLevel="1" x14ac:dyDescent="0.25">
      <c r="B919" s="74"/>
      <c r="C919" s="148"/>
      <c r="D919" s="76" t="str">
        <f>D881</f>
        <v>kg</v>
      </c>
      <c r="E919" s="77"/>
      <c r="F919" s="82"/>
      <c r="G919" s="82"/>
      <c r="H919" s="82"/>
    </row>
    <row r="920" spans="2:8" ht="13" hidden="1" outlineLevel="1" x14ac:dyDescent="0.25">
      <c r="B920" s="74"/>
      <c r="C920" s="148"/>
      <c r="D920" s="76" t="str">
        <f>D881</f>
        <v>kg</v>
      </c>
      <c r="E920" s="77"/>
      <c r="F920" s="82"/>
      <c r="G920" s="82"/>
      <c r="H920" s="82"/>
    </row>
    <row r="921" spans="2:8" ht="13" hidden="1" outlineLevel="1" x14ac:dyDescent="0.25">
      <c r="B921" s="74"/>
      <c r="C921" s="148"/>
      <c r="D921" s="76" t="str">
        <f>D881</f>
        <v>kg</v>
      </c>
      <c r="E921" s="77"/>
      <c r="F921" s="82"/>
      <c r="G921" s="82"/>
      <c r="H921" s="82"/>
    </row>
    <row r="922" spans="2:8" ht="13" hidden="1" outlineLevel="1" x14ac:dyDescent="0.25">
      <c r="B922" s="74"/>
      <c r="C922" s="148"/>
      <c r="D922" s="76" t="str">
        <f>D881</f>
        <v>kg</v>
      </c>
      <c r="E922" s="77"/>
      <c r="F922" s="82"/>
      <c r="G922" s="82"/>
      <c r="H922" s="82"/>
    </row>
    <row r="923" spans="2:8" ht="13" hidden="1" outlineLevel="1" x14ac:dyDescent="0.25">
      <c r="B923" s="79"/>
      <c r="C923" s="147"/>
      <c r="D923" s="81"/>
      <c r="E923" s="77"/>
      <c r="F923" s="82"/>
      <c r="G923" s="82"/>
      <c r="H923" s="82"/>
    </row>
    <row r="924" spans="2:8" ht="13" hidden="1" outlineLevel="1" x14ac:dyDescent="0.25">
      <c r="B924" s="86" t="s">
        <v>9</v>
      </c>
      <c r="C924" s="149">
        <f>SUM(C905:C922)</f>
        <v>0</v>
      </c>
      <c r="D924" s="91" t="str">
        <f>D881</f>
        <v>kg</v>
      </c>
      <c r="E924" s="98"/>
      <c r="F924" s="82"/>
      <c r="G924" s="82"/>
      <c r="H924" s="82"/>
    </row>
    <row r="925" spans="2:8" ht="13.5" hidden="1" outlineLevel="1" thickBot="1" x14ac:dyDescent="0.3">
      <c r="B925" s="92"/>
      <c r="C925" s="93"/>
      <c r="D925" s="94"/>
      <c r="E925" s="98"/>
      <c r="F925" s="82"/>
      <c r="G925" s="82"/>
      <c r="H925" s="82"/>
    </row>
    <row r="926" spans="2:8" ht="20.5" hidden="1" outlineLevel="1" thickBot="1" x14ac:dyDescent="0.3">
      <c r="B926" s="426" t="s">
        <v>10</v>
      </c>
      <c r="C926" s="427"/>
      <c r="D926" s="428"/>
      <c r="E926" s="98"/>
      <c r="F926" s="82"/>
      <c r="G926" s="82"/>
      <c r="H926" s="82"/>
    </row>
    <row r="927" spans="2:8" ht="13" hidden="1" outlineLevel="1" x14ac:dyDescent="0.25">
      <c r="B927" s="95" t="s">
        <v>23</v>
      </c>
      <c r="C927" s="96"/>
      <c r="D927" s="151">
        <f>SUM(C891:C892)</f>
        <v>0</v>
      </c>
      <c r="E927" s="98"/>
      <c r="F927" s="82"/>
      <c r="G927" s="82"/>
      <c r="H927" s="82"/>
    </row>
    <row r="928" spans="2:8" ht="13.5" hidden="1" outlineLevel="1" thickBot="1" x14ac:dyDescent="0.3">
      <c r="B928" s="99" t="s">
        <v>24</v>
      </c>
      <c r="C928" s="100"/>
      <c r="D928" s="152">
        <f>SUM(C894:C904)</f>
        <v>0</v>
      </c>
      <c r="E928" s="77"/>
      <c r="F928" s="110" t="s">
        <v>86</v>
      </c>
      <c r="G928" s="109" t="s">
        <v>85</v>
      </c>
      <c r="H928" s="110"/>
    </row>
    <row r="929" spans="2:8" ht="13.5" hidden="1" outlineLevel="1" thickBot="1" x14ac:dyDescent="0.3">
      <c r="B929" s="99" t="s">
        <v>25</v>
      </c>
      <c r="C929" s="100"/>
      <c r="D929" s="152">
        <f>SUM(C907:C915)</f>
        <v>0</v>
      </c>
      <c r="E929" s="77"/>
      <c r="F929" s="154"/>
      <c r="G929" s="413"/>
      <c r="H929" s="414"/>
    </row>
    <row r="930" spans="2:8" ht="13.5" hidden="1" outlineLevel="1" thickBot="1" x14ac:dyDescent="0.3">
      <c r="B930" s="102" t="s">
        <v>26</v>
      </c>
      <c r="C930" s="103"/>
      <c r="D930" s="153">
        <f>SUM(C916:C923)</f>
        <v>0</v>
      </c>
      <c r="E930" s="90"/>
      <c r="F930" s="64" t="s">
        <v>45</v>
      </c>
      <c r="G930" s="64" t="s">
        <v>45</v>
      </c>
      <c r="H930" s="155"/>
    </row>
    <row r="931" spans="2:8" ht="19" hidden="1" outlineLevel="1" thickTop="1" thickBot="1" x14ac:dyDescent="0.3">
      <c r="B931" s="105" t="s">
        <v>11</v>
      </c>
      <c r="C931" s="106"/>
      <c r="D931" s="107" t="e">
        <f>C905/C887</f>
        <v>#DIV/0!</v>
      </c>
      <c r="E931" s="90"/>
      <c r="F931" s="110"/>
      <c r="G931" s="117" t="s">
        <v>46</v>
      </c>
      <c r="H931" s="110"/>
    </row>
    <row r="932" spans="2:8" ht="18" hidden="1" customHeight="1" outlineLevel="1" thickBot="1" x14ac:dyDescent="0.3">
      <c r="B932" s="111" t="s">
        <v>12</v>
      </c>
      <c r="C932" s="112"/>
      <c r="D932" s="113" t="e">
        <f>(D927+D928+D929)/C887</f>
        <v>#DIV/0!</v>
      </c>
      <c r="E932" s="90"/>
      <c r="F932" s="429"/>
      <c r="G932" s="430"/>
      <c r="H932" s="431"/>
    </row>
    <row r="933" spans="2:8" ht="18" hidden="1" outlineLevel="1" x14ac:dyDescent="0.25">
      <c r="B933" s="111" t="s">
        <v>13</v>
      </c>
      <c r="C933" s="112"/>
      <c r="D933" s="113" t="e">
        <f>D929/C887</f>
        <v>#DIV/0!</v>
      </c>
      <c r="E933" s="77"/>
      <c r="F933" s="64" t="s">
        <v>45</v>
      </c>
      <c r="G933" s="64"/>
      <c r="H933" s="82"/>
    </row>
    <row r="934" spans="2:8" ht="18" hidden="1" outlineLevel="1" x14ac:dyDescent="0.25">
      <c r="B934" s="114" t="s">
        <v>14</v>
      </c>
      <c r="C934" s="115"/>
      <c r="D934" s="116" t="e">
        <f>D930/C887</f>
        <v>#DIV/0!</v>
      </c>
      <c r="E934" s="77"/>
      <c r="F934" s="82"/>
      <c r="G934" s="82"/>
      <c r="H934" s="82"/>
    </row>
    <row r="935" spans="2:8" ht="18.5" hidden="1" outlineLevel="1" thickBot="1" x14ac:dyDescent="0.3">
      <c r="B935" s="114" t="s">
        <v>15</v>
      </c>
      <c r="C935" s="119"/>
      <c r="D935" s="116" t="e">
        <f>SUM(D927:D930)/C887</f>
        <v>#DIV/0!</v>
      </c>
      <c r="E935" s="77"/>
      <c r="F935" s="415" t="s">
        <v>61</v>
      </c>
      <c r="G935" s="416"/>
      <c r="H935" s="416"/>
    </row>
    <row r="936" spans="2:8" ht="18.5" hidden="1" outlineLevel="1" thickTop="1" x14ac:dyDescent="0.25">
      <c r="B936" s="120" t="s">
        <v>16</v>
      </c>
      <c r="C936" s="121"/>
      <c r="D936" s="122" t="e">
        <f>((C891*D869)+D928+C892*MAX(1,F889))/C887</f>
        <v>#DIV/0!</v>
      </c>
      <c r="E936" s="77"/>
      <c r="F936" s="416"/>
      <c r="G936" s="416"/>
      <c r="H936" s="416"/>
    </row>
    <row r="937" spans="2:8" ht="18" hidden="1" outlineLevel="1" x14ac:dyDescent="0.25">
      <c r="B937" s="123" t="s">
        <v>17</v>
      </c>
      <c r="C937" s="124"/>
      <c r="D937" s="125" t="e">
        <f>(C891*D870+D928+D929+C892*(MAX(1,F889)+G889))/C887</f>
        <v>#DIV/0!</v>
      </c>
      <c r="E937" s="77"/>
      <c r="F937" s="416"/>
      <c r="G937" s="416"/>
      <c r="H937" s="416"/>
    </row>
    <row r="938" spans="2:8" ht="18" hidden="1" outlineLevel="1" x14ac:dyDescent="0.25">
      <c r="B938" s="123" t="s">
        <v>18</v>
      </c>
      <c r="C938" s="124"/>
      <c r="D938" s="125" t="e">
        <f>((C891*D871)+D929+C892*G889)/C887</f>
        <v>#DIV/0!</v>
      </c>
      <c r="F938" s="416"/>
      <c r="G938" s="416"/>
      <c r="H938" s="416"/>
    </row>
    <row r="939" spans="2:8" ht="18" hidden="1" outlineLevel="1" x14ac:dyDescent="0.25">
      <c r="B939" s="126" t="s">
        <v>19</v>
      </c>
      <c r="C939" s="127"/>
      <c r="D939" s="128" t="e">
        <f>(C891*D872+D930+C892*H889)/C887</f>
        <v>#DIV/0!</v>
      </c>
      <c r="F939" s="416"/>
      <c r="G939" s="416"/>
      <c r="H939" s="416"/>
    </row>
    <row r="940" spans="2:8" ht="18.5" hidden="1" outlineLevel="1" thickBot="1" x14ac:dyDescent="0.3">
      <c r="B940" s="129" t="s">
        <v>20</v>
      </c>
      <c r="C940" s="130"/>
      <c r="D940" s="131" t="e">
        <f>((C891*D873)+SUM(D928:D930)+C892*(MAX(1,F889)+G889+H889))/C887</f>
        <v>#DIV/0!</v>
      </c>
      <c r="F940" s="416"/>
      <c r="G940" s="416"/>
      <c r="H940" s="416"/>
    </row>
    <row r="941" spans="2:8" ht="13" hidden="1" outlineLevel="1" thickTop="1" x14ac:dyDescent="0.25">
      <c r="B941" s="156" t="s">
        <v>76</v>
      </c>
      <c r="C941" s="424"/>
      <c r="D941" s="425"/>
    </row>
    <row r="942" spans="2:8" hidden="1" outlineLevel="1" x14ac:dyDescent="0.25">
      <c r="B942" s="157" t="s">
        <v>58</v>
      </c>
      <c r="C942" s="422"/>
      <c r="D942" s="423"/>
    </row>
    <row r="943" spans="2:8" ht="13" hidden="1" outlineLevel="1" thickBot="1" x14ac:dyDescent="0.3">
      <c r="B943" s="158" t="s">
        <v>59</v>
      </c>
      <c r="C943" s="420"/>
      <c r="D943" s="421"/>
    </row>
    <row r="944" spans="2:8" hidden="1" outlineLevel="1" x14ac:dyDescent="0.25"/>
    <row r="945" hidden="1" outlineLevel="1" x14ac:dyDescent="0.25"/>
    <row r="946" hidden="1" outlineLevel="1" x14ac:dyDescent="0.25"/>
    <row r="947" hidden="1" outlineLevel="1" x14ac:dyDescent="0.25"/>
    <row r="948" hidden="1" outlineLevel="1" x14ac:dyDescent="0.25"/>
    <row r="949" hidden="1" outlineLevel="1" x14ac:dyDescent="0.25"/>
    <row r="950" hidden="1" outlineLevel="1" x14ac:dyDescent="0.25"/>
    <row r="951" hidden="1" outlineLevel="1" x14ac:dyDescent="0.25"/>
    <row r="952" hidden="1" outlineLevel="1" x14ac:dyDescent="0.25"/>
    <row r="953" hidden="1" outlineLevel="1" x14ac:dyDescent="0.25"/>
    <row r="954" hidden="1" outlineLevel="1" x14ac:dyDescent="0.25"/>
    <row r="955" hidden="1" outlineLevel="1" x14ac:dyDescent="0.25"/>
    <row r="956" hidden="1" outlineLevel="1" x14ac:dyDescent="0.25"/>
    <row r="957" hidden="1" outlineLevel="1" x14ac:dyDescent="0.25"/>
    <row r="958" hidden="1" outlineLevel="1" x14ac:dyDescent="0.25"/>
    <row r="959" hidden="1" outlineLevel="1" x14ac:dyDescent="0.25"/>
    <row r="960" hidden="1" outlineLevel="1" x14ac:dyDescent="0.25"/>
    <row r="961" hidden="1" outlineLevel="1" x14ac:dyDescent="0.25"/>
    <row r="962" hidden="1" outlineLevel="1" x14ac:dyDescent="0.25"/>
    <row r="963" hidden="1" outlineLevel="1" x14ac:dyDescent="0.25"/>
    <row r="964" hidden="1" outlineLevel="1" x14ac:dyDescent="0.25"/>
    <row r="965" hidden="1" outlineLevel="1" x14ac:dyDescent="0.25"/>
    <row r="966" hidden="1" outlineLevel="1" x14ac:dyDescent="0.25"/>
    <row r="967" hidden="1" outlineLevel="1" x14ac:dyDescent="0.25"/>
    <row r="968" hidden="1" outlineLevel="1" x14ac:dyDescent="0.25"/>
    <row r="969" hidden="1" outlineLevel="1" x14ac:dyDescent="0.25"/>
    <row r="970" hidden="1" outlineLevel="1" x14ac:dyDescent="0.25"/>
    <row r="971" hidden="1" outlineLevel="1" x14ac:dyDescent="0.25"/>
    <row r="972" hidden="1" outlineLevel="1" x14ac:dyDescent="0.25"/>
    <row r="973" hidden="1" outlineLevel="1" x14ac:dyDescent="0.25"/>
    <row r="974" hidden="1" outlineLevel="1" x14ac:dyDescent="0.25"/>
    <row r="975" hidden="1" outlineLevel="1" x14ac:dyDescent="0.25"/>
    <row r="976" hidden="1" outlineLevel="1" x14ac:dyDescent="0.25"/>
    <row r="977" hidden="1" outlineLevel="1" x14ac:dyDescent="0.25"/>
    <row r="978" hidden="1" outlineLevel="1" x14ac:dyDescent="0.25"/>
    <row r="979" hidden="1" outlineLevel="1" x14ac:dyDescent="0.25"/>
    <row r="980" hidden="1" outlineLevel="1" x14ac:dyDescent="0.25"/>
    <row r="981" hidden="1" outlineLevel="1" x14ac:dyDescent="0.25"/>
    <row r="982" hidden="1" outlineLevel="1" x14ac:dyDescent="0.25"/>
    <row r="983" hidden="1" outlineLevel="1" x14ac:dyDescent="0.25"/>
    <row r="984" hidden="1" outlineLevel="1" x14ac:dyDescent="0.25"/>
    <row r="985" hidden="1" outlineLevel="1" x14ac:dyDescent="0.25"/>
    <row r="986" hidden="1" outlineLevel="1" x14ac:dyDescent="0.25"/>
    <row r="987" hidden="1" outlineLevel="1" x14ac:dyDescent="0.25"/>
    <row r="988" hidden="1" outlineLevel="1" x14ac:dyDescent="0.25"/>
    <row r="989" hidden="1" outlineLevel="1" x14ac:dyDescent="0.25"/>
    <row r="990" hidden="1" outlineLevel="1" x14ac:dyDescent="0.25"/>
    <row r="991" hidden="1" outlineLevel="1" x14ac:dyDescent="0.25"/>
    <row r="992" hidden="1" outlineLevel="1" x14ac:dyDescent="0.25"/>
    <row r="993" hidden="1" outlineLevel="1" x14ac:dyDescent="0.25"/>
    <row r="994" hidden="1" outlineLevel="1" x14ac:dyDescent="0.25"/>
    <row r="995" hidden="1" outlineLevel="1" x14ac:dyDescent="0.25"/>
    <row r="996" hidden="1" outlineLevel="1" x14ac:dyDescent="0.25"/>
    <row r="997" hidden="1" outlineLevel="1" x14ac:dyDescent="0.25"/>
    <row r="998" hidden="1" outlineLevel="1" x14ac:dyDescent="0.25"/>
    <row r="999" hidden="1" outlineLevel="1" x14ac:dyDescent="0.25"/>
    <row r="1000" hidden="1" outlineLevel="1" x14ac:dyDescent="0.25"/>
    <row r="1001" collapsed="1" x14ac:dyDescent="0.25"/>
  </sheetData>
  <sheetProtection algorithmName="SHA-512" hashValue="CFvFvGo2pCtZFbuVpnElvGhYCx9VBdZJ+/ljAwJxJEEEaO8TR9j47fbGLAM991ZVrg9KQVcVftwqbNvrDSMo2g==" saltValue="Iq5r5mnSSknLQN82pZxdMg==" spinCount="100000" sheet="1" objects="1" scenarios="1" selectLockedCells="1" selectUnlockedCells="1"/>
  <sortState xmlns:xlrd2="http://schemas.microsoft.com/office/spreadsheetml/2017/richdata2" ref="K4:K26">
    <sortCondition ref="K4"/>
  </sortState>
  <mergeCells count="96">
    <mergeCell ref="B55:D55"/>
    <mergeCell ref="B122:D122"/>
    <mergeCell ref="B189:D189"/>
    <mergeCell ref="B256:D256"/>
    <mergeCell ref="B323:D323"/>
    <mergeCell ref="C137:D137"/>
    <mergeCell ref="C138:D138"/>
    <mergeCell ref="C139:D139"/>
    <mergeCell ref="C204:D204"/>
    <mergeCell ref="C205:D205"/>
    <mergeCell ref="C206:D206"/>
    <mergeCell ref="N60:P69"/>
    <mergeCell ref="F935:H940"/>
    <mergeCell ref="F131:H136"/>
    <mergeCell ref="F198:H203"/>
    <mergeCell ref="B792:D792"/>
    <mergeCell ref="F61:H61"/>
    <mergeCell ref="F128:H128"/>
    <mergeCell ref="F195:H195"/>
    <mergeCell ref="F262:H262"/>
    <mergeCell ref="B725:D725"/>
    <mergeCell ref="B457:D457"/>
    <mergeCell ref="B390:D390"/>
    <mergeCell ref="F265:H270"/>
    <mergeCell ref="F533:H538"/>
    <mergeCell ref="F600:H605"/>
    <mergeCell ref="C740:D740"/>
    <mergeCell ref="F731:H731"/>
    <mergeCell ref="G728:H728"/>
    <mergeCell ref="B524:D524"/>
    <mergeCell ref="B591:D591"/>
    <mergeCell ref="B658:D658"/>
    <mergeCell ref="C606:D606"/>
    <mergeCell ref="C607:D607"/>
    <mergeCell ref="C608:D608"/>
    <mergeCell ref="F667:H672"/>
    <mergeCell ref="F329:H329"/>
    <mergeCell ref="C272:D272"/>
    <mergeCell ref="C273:D273"/>
    <mergeCell ref="C338:D338"/>
    <mergeCell ref="C339:D339"/>
    <mergeCell ref="F932:H932"/>
    <mergeCell ref="F734:H739"/>
    <mergeCell ref="F801:H806"/>
    <mergeCell ref="F868:H873"/>
    <mergeCell ref="F396:H396"/>
    <mergeCell ref="F463:H463"/>
    <mergeCell ref="F530:H530"/>
    <mergeCell ref="F597:H597"/>
    <mergeCell ref="F664:H664"/>
    <mergeCell ref="G594:H594"/>
    <mergeCell ref="G661:H661"/>
    <mergeCell ref="G795:H795"/>
    <mergeCell ref="G862:H862"/>
    <mergeCell ref="G929:H929"/>
    <mergeCell ref="F798:H798"/>
    <mergeCell ref="F865:H865"/>
    <mergeCell ref="C673:D673"/>
    <mergeCell ref="C674:D674"/>
    <mergeCell ref="C675:D675"/>
    <mergeCell ref="C941:D941"/>
    <mergeCell ref="C942:D942"/>
    <mergeCell ref="C741:D741"/>
    <mergeCell ref="C742:D742"/>
    <mergeCell ref="C943:D943"/>
    <mergeCell ref="C807:D807"/>
    <mergeCell ref="C808:D808"/>
    <mergeCell ref="C809:D809"/>
    <mergeCell ref="C874:D874"/>
    <mergeCell ref="C875:D875"/>
    <mergeCell ref="B859:D859"/>
    <mergeCell ref="B926:D926"/>
    <mergeCell ref="F54:H54"/>
    <mergeCell ref="G58:H58"/>
    <mergeCell ref="G125:H125"/>
    <mergeCell ref="G192:H192"/>
    <mergeCell ref="C876:D876"/>
    <mergeCell ref="C473:D473"/>
    <mergeCell ref="C474:D474"/>
    <mergeCell ref="C539:D539"/>
    <mergeCell ref="C540:D540"/>
    <mergeCell ref="C541:D541"/>
    <mergeCell ref="C340:D340"/>
    <mergeCell ref="C405:D405"/>
    <mergeCell ref="C406:D406"/>
    <mergeCell ref="C407:D407"/>
    <mergeCell ref="C472:D472"/>
    <mergeCell ref="C271:D271"/>
    <mergeCell ref="G259:H259"/>
    <mergeCell ref="G326:H326"/>
    <mergeCell ref="G393:H393"/>
    <mergeCell ref="G460:H460"/>
    <mergeCell ref="G527:H527"/>
    <mergeCell ref="F332:H337"/>
    <mergeCell ref="F399:H404"/>
    <mergeCell ref="F466:H471"/>
  </mergeCells>
  <dataValidations disablePrompts="1" count="3">
    <dataValidation type="list" allowBlank="1" showInputMessage="1" showErrorMessage="1" sqref="D4 D77 D144 D211 D278 D345 D412 D479 D546 D613 D680 D747 D814 D881" xr:uid="{00000000-0002-0000-0200-000000000000}">
      <formula1>Units</formula1>
    </dataValidation>
    <dataValidation allowBlank="1" showInputMessage="1" showErrorMessage="1" sqref="F18:H18 F152:H152 F85:H85 F219:H219 F353:H353 F286:H286 F420:H420 F487:H487 F554:H554 F621:H621 G14:H14 G16:H17 F15:H15" xr:uid="{00000000-0002-0000-0200-000001000000}"/>
    <dataValidation type="list" allowBlank="1" showInputMessage="1" showErrorMessage="1" sqref="C2 C75 C142 C209 C276 C343 C410 C477 C544 C611 C678 C745 C812 C879" xr:uid="{C71C8554-726A-4357-9E18-FFA160CEF881}">
      <formula1>#REF!</formula1>
    </dataValidation>
  </dataValidations>
  <pageMargins left="0.25" right="0.25" top="1" bottom="1" header="0.5" footer="0.5"/>
  <pageSetup paperSize="9" scale="64" fitToHeight="0" orientation="portrait" r:id="rId1"/>
  <headerFooter alignWithMargins="0">
    <oddHeader>&amp;CProcess Mass Intensity Calculator</oddHeader>
    <oddFooter>&amp;LThe ACS GCI Pharmaceutical Roundtable or American Chemical Society does not guarantee the accuracy of the calculations and accepts no responsibility for any consequence of their use. Comments may be sent to gcipr@acs.org. 2011 Copyright ACS GCI.</oddFooter>
  </headerFooter>
  <rowBreaks count="9" manualBreakCount="9">
    <brk id="65" max="16383" man="1"/>
    <brk id="132" max="16383" man="1"/>
    <brk id="199" max="16383" man="1"/>
    <brk id="266" max="16383" man="1"/>
    <brk id="333" max="16383" man="1"/>
    <brk id="400" max="16383" man="1"/>
    <brk id="467" max="16383" man="1"/>
    <brk id="534" max="16383" man="1"/>
    <brk id="601" max="16383" man="1"/>
  </rowBreaks>
  <drawing r:id="rId2"/>
  <legacy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A4E99AF5-ABBA-490F-A6ED-19622615C283}">
          <x14:formula1>
            <xm:f>'... additional information'!$A$3:$E$3</xm:f>
          </x14:formula1>
          <xm:sqref>C874:D874 C740:D740 C204:D204 C807:D807 C70:D70 C137:D137 C271:D271 C338:D338 C405:D405 C472:D472 C539:D539 C606:D606 C673:D673 C941:D941</xm:sqref>
        </x14:dataValidation>
        <x14:dataValidation type="list" allowBlank="1" showInputMessage="1" showErrorMessage="1" xr:uid="{06F9473D-ABFC-4E72-8A87-255F973A36C1}">
          <x14:formula1>
            <xm:f>'... additional information'!$A$7:$B$7</xm:f>
          </x14:formula1>
          <xm:sqref>C875:D875 C741:D741 C205:D205 C808:D808 C71:D71 C138:D138 C272:D272 C339:D339 C406:D406 C473:D473 C540:D540 C607:D607 C674:D674 C942:D942</xm:sqref>
        </x14:dataValidation>
        <x14:dataValidation type="list" allowBlank="1" showInputMessage="1" showErrorMessage="1" xr:uid="{752834B6-0BD8-4A5F-B86A-F04152CBBC27}">
          <x14:formula1>
            <xm:f>'... additional information'!$A$15:$J$15</xm:f>
          </x14:formula1>
          <xm:sqref>C72:D72 C139:D139 C206:D206 C273:D273 C340:D340 C407:D407 C474:D474 C541:D541 C608:D608 C675:D675 C742:D742 C809:D809 C876:D876 C943:D943</xm:sqref>
        </x14:dataValidation>
        <x14:dataValidation type="list" allowBlank="1" showInputMessage="1" showErrorMessage="1" xr:uid="{D2ADBC26-00FA-45CF-AE52-BB5B0F588F7E}">
          <x14:formula1>
            <xm:f>'... additional information'!$A$23:$B$23</xm:f>
          </x14:formula1>
          <xm:sqref>F58 F862 F125 F192 F259 F326 F393 F460 F527 F594 F661 F728 F795 F929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9999"/>
    <pageSetUpPr fitToPage="1"/>
  </sheetPr>
  <dimension ref="B1:P1001"/>
  <sheetViews>
    <sheetView showGridLines="0" zoomScale="80" zoomScaleNormal="80" zoomScaleSheetLayoutView="100" workbookViewId="0">
      <selection activeCell="R17" sqref="R17"/>
    </sheetView>
  </sheetViews>
  <sheetFormatPr defaultColWidth="9.26953125" defaultRowHeight="12.5" outlineLevelRow="1" x14ac:dyDescent="0.25"/>
  <cols>
    <col min="1" max="1" width="2.26953125" style="36" customWidth="1"/>
    <col min="2" max="2" width="64.26953125" style="139" bestFit="1" customWidth="1"/>
    <col min="3" max="3" width="17.7265625" style="36" customWidth="1"/>
    <col min="4" max="4" width="10.453125" style="36" bestFit="1" customWidth="1"/>
    <col min="5" max="5" width="10.26953125" style="36" hidden="1" customWidth="1"/>
    <col min="6" max="8" width="10.26953125" style="36" customWidth="1"/>
    <col min="9" max="12" width="10.26953125" style="36" hidden="1" customWidth="1"/>
    <col min="13" max="13" width="10.26953125" style="36" customWidth="1"/>
    <col min="14" max="14" width="9.26953125" style="36" customWidth="1"/>
    <col min="15" max="16384" width="9.26953125" style="36"/>
  </cols>
  <sheetData>
    <row r="1" spans="2:15" s="26" customFormat="1" ht="18.5" thickBot="1" x14ac:dyDescent="0.3">
      <c r="B1" s="24"/>
      <c r="C1" s="25"/>
      <c r="D1" s="25"/>
      <c r="I1" s="27"/>
      <c r="J1" s="27"/>
      <c r="N1" s="160"/>
      <c r="O1" s="160"/>
    </row>
    <row r="2" spans="2:15" ht="21" thickTop="1" thickBot="1" x14ac:dyDescent="0.3">
      <c r="B2" s="28" t="s">
        <v>74</v>
      </c>
      <c r="C2" s="29"/>
      <c r="D2" s="30" t="s">
        <v>98</v>
      </c>
      <c r="E2" s="31"/>
      <c r="F2" s="32" t="s">
        <v>27</v>
      </c>
      <c r="G2" s="33"/>
      <c r="H2" s="33"/>
      <c r="I2" s="34"/>
      <c r="J2" s="35"/>
      <c r="K2" s="34"/>
      <c r="L2" s="35"/>
      <c r="N2" s="60"/>
      <c r="O2" s="60"/>
    </row>
    <row r="3" spans="2:15" ht="14.5" thickBot="1" x14ac:dyDescent="0.3">
      <c r="B3" s="37"/>
      <c r="C3" s="38" t="s">
        <v>0</v>
      </c>
      <c r="D3" s="39" t="s">
        <v>1</v>
      </c>
      <c r="E3" s="40"/>
      <c r="F3" s="41" t="s">
        <v>28</v>
      </c>
      <c r="G3" s="41" t="s">
        <v>21</v>
      </c>
      <c r="H3" s="41" t="s">
        <v>8</v>
      </c>
      <c r="I3" s="42"/>
      <c r="J3" s="42"/>
      <c r="K3" s="34"/>
    </row>
    <row r="4" spans="2:15" ht="13" x14ac:dyDescent="0.25">
      <c r="B4" s="43" t="s">
        <v>65</v>
      </c>
      <c r="C4" s="161">
        <v>8.15</v>
      </c>
      <c r="D4" s="45" t="s">
        <v>22</v>
      </c>
      <c r="E4" s="46"/>
      <c r="F4" s="47"/>
      <c r="G4" s="47"/>
      <c r="H4" s="47"/>
      <c r="I4" s="48"/>
      <c r="J4" s="48"/>
      <c r="K4" s="34"/>
      <c r="N4" s="60"/>
      <c r="O4" s="60"/>
    </row>
    <row r="5" spans="2:15" ht="13" x14ac:dyDescent="0.25">
      <c r="B5" s="43" t="s">
        <v>64</v>
      </c>
      <c r="C5" s="162">
        <v>1</v>
      </c>
      <c r="D5" s="45" t="s">
        <v>3</v>
      </c>
      <c r="E5" s="46"/>
      <c r="F5" s="47"/>
      <c r="G5" s="47"/>
      <c r="H5" s="47"/>
      <c r="I5" s="50"/>
      <c r="J5" s="50"/>
      <c r="N5" s="60"/>
      <c r="O5" s="60"/>
    </row>
    <row r="6" spans="2:15" ht="13" x14ac:dyDescent="0.25">
      <c r="B6" s="51" t="s">
        <v>63</v>
      </c>
      <c r="C6" s="163">
        <f>C4*C5</f>
        <v>8.15</v>
      </c>
      <c r="D6" s="45" t="str">
        <f>D4</f>
        <v>g</v>
      </c>
      <c r="E6" s="46"/>
      <c r="F6" s="47"/>
      <c r="G6" s="47"/>
      <c r="H6" s="47"/>
      <c r="I6" s="53"/>
      <c r="J6" s="53"/>
      <c r="N6" s="60"/>
      <c r="O6" s="60"/>
    </row>
    <row r="7" spans="2:15" ht="14" x14ac:dyDescent="0.25">
      <c r="B7" s="54" t="s">
        <v>4</v>
      </c>
      <c r="C7" s="164">
        <v>0.8</v>
      </c>
      <c r="D7" s="56"/>
      <c r="E7" s="57"/>
      <c r="F7" s="58"/>
      <c r="G7" s="58"/>
      <c r="H7" s="58"/>
      <c r="I7" s="34"/>
      <c r="J7" s="53"/>
      <c r="L7" s="53"/>
      <c r="N7" s="60"/>
      <c r="O7" s="60"/>
    </row>
    <row r="8" spans="2:15" ht="13" x14ac:dyDescent="0.25">
      <c r="B8" s="43" t="s">
        <v>66</v>
      </c>
      <c r="C8" s="161">
        <v>5.2</v>
      </c>
      <c r="D8" s="45" t="str">
        <f>D4</f>
        <v>g</v>
      </c>
      <c r="E8" s="46"/>
      <c r="F8" s="47"/>
      <c r="G8" s="47"/>
      <c r="H8" s="47"/>
      <c r="I8" s="34"/>
      <c r="J8" s="53"/>
      <c r="L8" s="53"/>
      <c r="N8" s="60"/>
      <c r="O8" s="60"/>
    </row>
    <row r="9" spans="2:15" ht="13" x14ac:dyDescent="0.25">
      <c r="B9" s="43" t="s">
        <v>67</v>
      </c>
      <c r="C9" s="162">
        <v>1</v>
      </c>
      <c r="D9" s="45" t="s">
        <v>3</v>
      </c>
      <c r="E9" s="59"/>
      <c r="F9" s="47"/>
      <c r="G9" s="47"/>
      <c r="H9" s="47"/>
      <c r="I9" s="34"/>
      <c r="J9" s="53"/>
      <c r="L9" s="53"/>
      <c r="N9" s="60"/>
      <c r="O9" s="60"/>
    </row>
    <row r="10" spans="2:15" ht="13.5" thickBot="1" x14ac:dyDescent="0.3">
      <c r="B10" s="51" t="s">
        <v>68</v>
      </c>
      <c r="C10" s="163">
        <f>C8*C9</f>
        <v>5.2</v>
      </c>
      <c r="D10" s="45" t="str">
        <f>D4</f>
        <v>g</v>
      </c>
      <c r="E10" s="46"/>
      <c r="F10" s="47"/>
      <c r="G10" s="47"/>
      <c r="H10" s="47"/>
      <c r="I10" s="53"/>
      <c r="J10" s="53"/>
      <c r="N10" s="60"/>
      <c r="O10" s="60"/>
    </row>
    <row r="11" spans="2:15" ht="13.5" thickBot="1" x14ac:dyDescent="0.3">
      <c r="B11" s="61"/>
      <c r="C11" s="62"/>
      <c r="D11" s="63"/>
      <c r="F11" s="64"/>
      <c r="G11" s="64"/>
      <c r="H11" s="64"/>
      <c r="N11" s="60"/>
      <c r="O11" s="60"/>
    </row>
    <row r="12" spans="2:15" ht="14.5" thickBot="1" x14ac:dyDescent="0.3">
      <c r="B12" s="65" t="s">
        <v>5</v>
      </c>
      <c r="C12" s="66" t="s">
        <v>6</v>
      </c>
      <c r="D12" s="67" t="s">
        <v>1</v>
      </c>
      <c r="E12" s="68"/>
      <c r="F12" s="69"/>
      <c r="G12" s="69"/>
      <c r="H12" s="69"/>
      <c r="N12" s="60"/>
      <c r="O12" s="60"/>
    </row>
    <row r="13" spans="2:15" ht="13.5" thickBot="1" x14ac:dyDescent="0.3">
      <c r="B13" s="70" t="s">
        <v>91</v>
      </c>
      <c r="C13" s="71"/>
      <c r="D13" s="72"/>
      <c r="E13" s="73"/>
      <c r="F13" s="69"/>
      <c r="G13" s="69"/>
      <c r="H13" s="69"/>
      <c r="K13" s="34"/>
      <c r="N13" s="60"/>
      <c r="O13" s="60"/>
    </row>
    <row r="14" spans="2:15" ht="13.5" thickBot="1" x14ac:dyDescent="0.3">
      <c r="B14" s="74" t="s">
        <v>99</v>
      </c>
      <c r="C14" s="75">
        <f>C6</f>
        <v>8.15</v>
      </c>
      <c r="D14" s="76" t="str">
        <f>D4</f>
        <v>g</v>
      </c>
      <c r="E14" s="77"/>
      <c r="F14" s="78"/>
      <c r="G14" s="78"/>
      <c r="H14" s="78"/>
      <c r="N14" s="60"/>
      <c r="O14" s="60"/>
    </row>
    <row r="15" spans="2:15" ht="13.5" thickBot="1" x14ac:dyDescent="0.3">
      <c r="B15" s="74"/>
      <c r="C15" s="75"/>
      <c r="D15" s="76" t="str">
        <f>D4</f>
        <v>g</v>
      </c>
      <c r="E15" s="77"/>
      <c r="F15" s="78"/>
      <c r="G15" s="78"/>
      <c r="H15" s="78"/>
      <c r="N15" s="60"/>
      <c r="O15" s="60"/>
    </row>
    <row r="16" spans="2:15" ht="13.5" thickBot="1" x14ac:dyDescent="0.3">
      <c r="B16" s="79" t="s">
        <v>69</v>
      </c>
      <c r="C16" s="80"/>
      <c r="D16" s="81"/>
      <c r="E16" s="77"/>
      <c r="F16" s="82"/>
      <c r="G16" s="82"/>
      <c r="H16" s="82"/>
      <c r="N16" s="60"/>
      <c r="O16" s="60"/>
    </row>
    <row r="17" spans="2:16" ht="13" x14ac:dyDescent="0.25">
      <c r="B17" s="74" t="s">
        <v>101</v>
      </c>
      <c r="C17" s="83">
        <f>20*0.693*0.231</f>
        <v>3.20166</v>
      </c>
      <c r="D17" s="76" t="str">
        <f>D4</f>
        <v>g</v>
      </c>
      <c r="E17" s="77"/>
      <c r="F17" s="82"/>
      <c r="G17" s="82"/>
      <c r="H17" s="82"/>
      <c r="N17" s="432" t="s">
        <v>103</v>
      </c>
      <c r="O17" s="445"/>
      <c r="P17" s="446"/>
    </row>
    <row r="18" spans="2:16" ht="13" x14ac:dyDescent="0.25">
      <c r="B18" s="74" t="s">
        <v>104</v>
      </c>
      <c r="C18" s="83">
        <v>9.4030000000000005</v>
      </c>
      <c r="D18" s="76" t="str">
        <f>D4</f>
        <v>g</v>
      </c>
      <c r="E18" s="77"/>
      <c r="F18" s="82"/>
      <c r="G18" s="82"/>
      <c r="H18" s="82"/>
      <c r="N18" s="447"/>
      <c r="O18" s="448"/>
      <c r="P18" s="449"/>
    </row>
    <row r="19" spans="2:16" ht="13" x14ac:dyDescent="0.25">
      <c r="B19" s="74"/>
      <c r="C19" s="83"/>
      <c r="D19" s="76" t="str">
        <f>D4</f>
        <v>g</v>
      </c>
      <c r="E19" s="77"/>
      <c r="F19" s="82"/>
      <c r="G19" s="82"/>
      <c r="H19" s="82"/>
      <c r="N19" s="447"/>
      <c r="O19" s="448"/>
      <c r="P19" s="449"/>
    </row>
    <row r="20" spans="2:16" ht="13" x14ac:dyDescent="0.25">
      <c r="B20" s="74" t="s">
        <v>107</v>
      </c>
      <c r="C20" s="83">
        <f>100*1.0585*(36.458/1058.5)</f>
        <v>3.6457999999999995</v>
      </c>
      <c r="D20" s="76" t="str">
        <f>D4</f>
        <v>g</v>
      </c>
      <c r="E20" s="77"/>
      <c r="F20" s="82"/>
      <c r="G20" s="82"/>
      <c r="H20" s="82"/>
      <c r="N20" s="447"/>
      <c r="O20" s="448"/>
      <c r="P20" s="449"/>
    </row>
    <row r="21" spans="2:16" ht="13" x14ac:dyDescent="0.25">
      <c r="B21" s="165"/>
      <c r="C21" s="83"/>
      <c r="D21" s="76" t="str">
        <f>D4</f>
        <v>g</v>
      </c>
      <c r="E21" s="77"/>
      <c r="F21" s="82"/>
      <c r="G21" s="82"/>
      <c r="H21" s="82"/>
      <c r="N21" s="447"/>
      <c r="O21" s="448"/>
      <c r="P21" s="449"/>
    </row>
    <row r="22" spans="2:16" ht="13.5" thickBot="1" x14ac:dyDescent="0.3">
      <c r="B22" s="74" t="s">
        <v>110</v>
      </c>
      <c r="C22" s="83">
        <f>90*1.04*(40/1040)</f>
        <v>3.6000000000000005</v>
      </c>
      <c r="D22" s="76" t="str">
        <f>D4</f>
        <v>g</v>
      </c>
      <c r="E22" s="77"/>
      <c r="F22" s="82"/>
      <c r="G22" s="82"/>
      <c r="H22" s="82"/>
      <c r="N22" s="450"/>
      <c r="O22" s="451"/>
      <c r="P22" s="452"/>
    </row>
    <row r="23" spans="2:16" ht="13" x14ac:dyDescent="0.25">
      <c r="B23" s="74" t="s">
        <v>113</v>
      </c>
      <c r="C23" s="83">
        <f>1.2*2*0.36</f>
        <v>0.86399999999999999</v>
      </c>
      <c r="D23" s="76" t="str">
        <f>D4</f>
        <v>g</v>
      </c>
      <c r="E23" s="77"/>
      <c r="F23" s="82"/>
      <c r="G23" s="82"/>
      <c r="H23" s="82"/>
      <c r="N23" s="60"/>
      <c r="O23" s="60"/>
    </row>
    <row r="24" spans="2:16" ht="13" x14ac:dyDescent="0.25">
      <c r="B24" s="74"/>
      <c r="C24" s="83"/>
      <c r="D24" s="76" t="str">
        <f>D4</f>
        <v>g</v>
      </c>
      <c r="E24" s="77"/>
      <c r="F24" s="82"/>
      <c r="G24" s="82"/>
      <c r="H24" s="82"/>
      <c r="N24" s="60"/>
      <c r="O24" s="60"/>
    </row>
    <row r="25" spans="2:16" ht="13" x14ac:dyDescent="0.25">
      <c r="B25" s="166" t="s">
        <v>114</v>
      </c>
      <c r="C25" s="83">
        <f>0.05*0.5*150*0.713</f>
        <v>2.6737500000000001</v>
      </c>
      <c r="D25" s="76" t="str">
        <f>D4</f>
        <v>g</v>
      </c>
      <c r="E25" s="77"/>
      <c r="F25" s="82"/>
      <c r="G25" s="82"/>
      <c r="H25" s="82"/>
      <c r="N25" s="60"/>
      <c r="O25" s="60"/>
    </row>
    <row r="26" spans="2:16" ht="12.75" customHeight="1" x14ac:dyDescent="0.25">
      <c r="B26" s="74"/>
      <c r="C26" s="83"/>
      <c r="D26" s="76" t="str">
        <f>D4</f>
        <v>g</v>
      </c>
      <c r="E26" s="77"/>
      <c r="F26" s="82"/>
      <c r="G26" s="82"/>
      <c r="H26" s="82"/>
      <c r="N26" s="60"/>
      <c r="O26" s="60"/>
    </row>
    <row r="27" spans="2:16" ht="12.75" customHeight="1" x14ac:dyDescent="0.25">
      <c r="B27" s="84"/>
      <c r="C27" s="85"/>
      <c r="D27" s="76" t="str">
        <f>D4</f>
        <v>g</v>
      </c>
      <c r="E27" s="77"/>
      <c r="F27" s="82"/>
      <c r="G27" s="82"/>
      <c r="H27" s="82"/>
      <c r="N27" s="60"/>
      <c r="O27" s="60"/>
    </row>
    <row r="28" spans="2:16" ht="12.75" customHeight="1" x14ac:dyDescent="0.25">
      <c r="B28" s="86" t="s">
        <v>7</v>
      </c>
      <c r="C28" s="87">
        <f>SUM(C14:C27)</f>
        <v>31.538210000000007</v>
      </c>
      <c r="D28" s="88" t="str">
        <f>D4</f>
        <v>g</v>
      </c>
      <c r="E28" s="77"/>
      <c r="F28" s="82"/>
      <c r="G28" s="82"/>
      <c r="H28" s="82"/>
      <c r="K28" s="34"/>
      <c r="N28" s="60"/>
      <c r="O28" s="60"/>
    </row>
    <row r="29" spans="2:16" ht="13" x14ac:dyDescent="0.25">
      <c r="B29" s="79" t="s">
        <v>71</v>
      </c>
      <c r="C29" s="89"/>
      <c r="D29" s="81"/>
      <c r="E29" s="77"/>
      <c r="F29" s="82"/>
      <c r="G29" s="82"/>
      <c r="H29" s="82"/>
      <c r="N29" s="60"/>
      <c r="O29" s="60"/>
    </row>
    <row r="30" spans="2:16" ht="13" x14ac:dyDescent="0.25">
      <c r="B30" s="74" t="s">
        <v>100</v>
      </c>
      <c r="C30" s="83">
        <f>20*0.888</f>
        <v>17.760000000000002</v>
      </c>
      <c r="D30" s="76" t="str">
        <f>D4</f>
        <v>g</v>
      </c>
      <c r="E30" s="77"/>
      <c r="F30" s="82"/>
      <c r="G30" s="82"/>
      <c r="H30" s="82"/>
      <c r="N30" s="60"/>
      <c r="O30" s="60"/>
    </row>
    <row r="31" spans="2:16" ht="13" x14ac:dyDescent="0.25">
      <c r="B31" s="74" t="s">
        <v>102</v>
      </c>
      <c r="C31" s="83">
        <f>20*0.693*0.769</f>
        <v>10.658339999999999</v>
      </c>
      <c r="D31" s="76" t="str">
        <f>D4</f>
        <v>g</v>
      </c>
      <c r="E31" s="77"/>
      <c r="F31" s="82"/>
      <c r="G31" s="82"/>
      <c r="H31" s="82"/>
      <c r="N31" s="60"/>
      <c r="O31" s="60"/>
    </row>
    <row r="32" spans="2:16" ht="13" x14ac:dyDescent="0.25">
      <c r="B32" s="74" t="s">
        <v>105</v>
      </c>
      <c r="C32" s="83">
        <f>10*0.888</f>
        <v>8.8800000000000008</v>
      </c>
      <c r="D32" s="76" t="str">
        <f>D4</f>
        <v>g</v>
      </c>
      <c r="E32" s="77"/>
      <c r="F32" s="82"/>
      <c r="G32" s="82"/>
      <c r="H32" s="82"/>
      <c r="N32" s="60"/>
      <c r="O32" s="60"/>
    </row>
    <row r="33" spans="2:15" ht="13" x14ac:dyDescent="0.25">
      <c r="B33" s="74"/>
      <c r="C33" s="83"/>
      <c r="D33" s="76" t="str">
        <f>D4</f>
        <v>g</v>
      </c>
      <c r="E33" s="77"/>
      <c r="F33" s="82"/>
      <c r="G33" s="82"/>
      <c r="H33" s="82"/>
      <c r="N33" s="60"/>
      <c r="O33" s="60"/>
    </row>
    <row r="34" spans="2:15" ht="13" x14ac:dyDescent="0.25">
      <c r="B34" s="166" t="s">
        <v>109</v>
      </c>
      <c r="C34" s="83">
        <f>0.5*0.713*350</f>
        <v>124.77499999999999</v>
      </c>
      <c r="D34" s="76" t="str">
        <f>D4</f>
        <v>g</v>
      </c>
      <c r="E34" s="77"/>
      <c r="F34" s="82"/>
      <c r="G34" s="82"/>
      <c r="H34" s="82"/>
      <c r="N34" s="60"/>
      <c r="O34" s="60"/>
    </row>
    <row r="35" spans="2:15" ht="13" x14ac:dyDescent="0.25">
      <c r="B35" s="166" t="s">
        <v>115</v>
      </c>
      <c r="C35" s="83">
        <f>3*C25</f>
        <v>8.0212500000000002</v>
      </c>
      <c r="D35" s="76" t="str">
        <f>D4</f>
        <v>g</v>
      </c>
      <c r="E35" s="77"/>
      <c r="F35" s="82"/>
      <c r="G35" s="82"/>
      <c r="H35" s="82"/>
      <c r="N35" s="60"/>
      <c r="O35" s="60"/>
    </row>
    <row r="36" spans="2:15" ht="13" x14ac:dyDescent="0.25">
      <c r="B36" s="74"/>
      <c r="C36" s="83"/>
      <c r="D36" s="76" t="str">
        <f>D4</f>
        <v>g</v>
      </c>
      <c r="E36" s="77"/>
      <c r="F36" s="82"/>
      <c r="G36" s="82"/>
      <c r="H36" s="82"/>
      <c r="N36" s="60"/>
      <c r="O36" s="60"/>
    </row>
    <row r="37" spans="2:15" ht="13" x14ac:dyDescent="0.25">
      <c r="B37" s="74"/>
      <c r="C37" s="83"/>
      <c r="D37" s="76" t="str">
        <f>D4</f>
        <v>g</v>
      </c>
      <c r="E37" s="77"/>
      <c r="F37" s="82"/>
      <c r="G37" s="82"/>
      <c r="H37" s="82"/>
      <c r="N37" s="60"/>
      <c r="O37" s="60"/>
    </row>
    <row r="38" spans="2:15" ht="13" x14ac:dyDescent="0.25">
      <c r="B38" s="79" t="s">
        <v>70</v>
      </c>
      <c r="C38" s="80"/>
      <c r="D38" s="81"/>
      <c r="E38" s="90"/>
      <c r="F38" s="82"/>
      <c r="G38" s="82"/>
      <c r="H38" s="82"/>
      <c r="N38" s="60"/>
      <c r="O38" s="60"/>
    </row>
    <row r="39" spans="2:15" ht="13" x14ac:dyDescent="0.25">
      <c r="B39" s="74" t="s">
        <v>106</v>
      </c>
      <c r="C39" s="83">
        <f>105.85-C20</f>
        <v>102.2042</v>
      </c>
      <c r="D39" s="76" t="str">
        <f>D4</f>
        <v>g</v>
      </c>
      <c r="E39" s="77"/>
      <c r="F39" s="82"/>
      <c r="G39" s="82"/>
      <c r="H39" s="82"/>
      <c r="N39" s="60"/>
      <c r="O39" s="60"/>
    </row>
    <row r="40" spans="2:15" ht="13" x14ac:dyDescent="0.25">
      <c r="B40" s="74"/>
      <c r="C40" s="83"/>
      <c r="D40" s="76" t="str">
        <f>D4</f>
        <v>g</v>
      </c>
      <c r="E40" s="77"/>
      <c r="F40" s="82"/>
      <c r="G40" s="82"/>
      <c r="H40" s="82"/>
      <c r="N40" s="60"/>
      <c r="O40" s="60"/>
    </row>
    <row r="41" spans="2:15" ht="13" x14ac:dyDescent="0.25">
      <c r="B41" s="74" t="s">
        <v>108</v>
      </c>
      <c r="C41" s="83">
        <f>90*1.04-C22</f>
        <v>90.000000000000014</v>
      </c>
      <c r="D41" s="76" t="str">
        <f>D4</f>
        <v>g</v>
      </c>
      <c r="E41" s="77"/>
      <c r="F41" s="82"/>
      <c r="G41" s="82"/>
      <c r="H41" s="82"/>
      <c r="N41" s="60"/>
      <c r="O41" s="60"/>
    </row>
    <row r="42" spans="2:15" ht="13" x14ac:dyDescent="0.25">
      <c r="B42" s="74" t="s">
        <v>111</v>
      </c>
      <c r="C42" s="83">
        <f>1.2*2*0.64</f>
        <v>1.536</v>
      </c>
      <c r="D42" s="76" t="str">
        <f>D4</f>
        <v>g</v>
      </c>
      <c r="E42" s="77"/>
      <c r="F42" s="82"/>
      <c r="G42" s="82"/>
      <c r="H42" s="82"/>
      <c r="N42" s="60"/>
      <c r="O42" s="60"/>
    </row>
    <row r="43" spans="2:15" ht="13" x14ac:dyDescent="0.25">
      <c r="B43" s="74" t="s">
        <v>112</v>
      </c>
      <c r="C43" s="83">
        <f>0.5*150*0.713</f>
        <v>53.474999999999994</v>
      </c>
      <c r="D43" s="76" t="str">
        <f>D4</f>
        <v>g</v>
      </c>
      <c r="E43" s="77"/>
      <c r="F43" s="82"/>
      <c r="G43" s="82"/>
      <c r="H43" s="82"/>
      <c r="N43" s="60"/>
      <c r="O43" s="60"/>
    </row>
    <row r="44" spans="2:15" ht="13" x14ac:dyDescent="0.25">
      <c r="B44" s="74"/>
      <c r="C44" s="83"/>
      <c r="D44" s="76" t="str">
        <f>D4</f>
        <v>g</v>
      </c>
      <c r="E44" s="77"/>
      <c r="F44" s="82"/>
      <c r="G44" s="82"/>
      <c r="H44" s="82"/>
      <c r="N44" s="60"/>
      <c r="O44" s="60"/>
    </row>
    <row r="45" spans="2:15" ht="12.75" customHeight="1" x14ac:dyDescent="0.25">
      <c r="B45" s="74"/>
      <c r="C45" s="83"/>
      <c r="D45" s="76" t="str">
        <f>D4</f>
        <v>g</v>
      </c>
      <c r="E45" s="77"/>
      <c r="F45" s="82"/>
      <c r="G45" s="82"/>
      <c r="H45" s="82"/>
      <c r="K45" s="34"/>
      <c r="N45" s="60"/>
      <c r="O45" s="60"/>
    </row>
    <row r="46" spans="2:15" ht="12.75" customHeight="1" x14ac:dyDescent="0.25">
      <c r="B46" s="84"/>
      <c r="C46" s="85"/>
      <c r="D46" s="76" t="str">
        <f>D4</f>
        <v>g</v>
      </c>
      <c r="E46" s="77"/>
      <c r="F46" s="82"/>
      <c r="G46" s="82"/>
      <c r="H46" s="82"/>
      <c r="K46" s="34"/>
      <c r="N46" s="60"/>
      <c r="O46" s="60"/>
    </row>
    <row r="47" spans="2:15" ht="12.75" customHeight="1" x14ac:dyDescent="0.25">
      <c r="B47" s="86" t="s">
        <v>9</v>
      </c>
      <c r="C47" s="87">
        <f>SUM(C28:C46)</f>
        <v>448.84799999999996</v>
      </c>
      <c r="D47" s="91" t="str">
        <f>D4</f>
        <v>g</v>
      </c>
      <c r="E47" s="77"/>
      <c r="F47" s="82"/>
      <c r="G47" s="82"/>
      <c r="H47" s="82"/>
      <c r="N47" s="60"/>
      <c r="O47" s="60"/>
    </row>
    <row r="48" spans="2:15" ht="13.5" thickBot="1" x14ac:dyDescent="0.3">
      <c r="B48" s="92"/>
      <c r="C48" s="93"/>
      <c r="D48" s="94"/>
      <c r="E48" s="77"/>
      <c r="F48" s="82"/>
      <c r="G48" s="82"/>
      <c r="H48" s="82"/>
      <c r="N48" s="60"/>
      <c r="O48" s="60"/>
    </row>
    <row r="49" spans="2:15" ht="20.5" thickBot="1" x14ac:dyDescent="0.3">
      <c r="B49" s="426" t="s">
        <v>10</v>
      </c>
      <c r="C49" s="427"/>
      <c r="D49" s="428"/>
      <c r="E49" s="77"/>
      <c r="F49" s="82"/>
      <c r="G49" s="82"/>
      <c r="H49" s="82"/>
      <c r="N49" s="60"/>
      <c r="O49" s="60"/>
    </row>
    <row r="50" spans="2:15" ht="13" x14ac:dyDescent="0.25">
      <c r="B50" s="95" t="s">
        <v>23</v>
      </c>
      <c r="C50" s="96"/>
      <c r="D50" s="97">
        <f>SUM(C14:C15)</f>
        <v>8.15</v>
      </c>
      <c r="E50" s="98"/>
      <c r="F50" s="82"/>
      <c r="G50" s="82"/>
      <c r="H50" s="82"/>
      <c r="N50" s="60"/>
      <c r="O50" s="60"/>
    </row>
    <row r="51" spans="2:15" ht="13" x14ac:dyDescent="0.25">
      <c r="B51" s="99" t="s">
        <v>24</v>
      </c>
      <c r="C51" s="100"/>
      <c r="D51" s="101">
        <f>SUM(C17:C27)</f>
        <v>23.388210000000001</v>
      </c>
      <c r="E51" s="98"/>
      <c r="F51" s="82"/>
      <c r="G51" s="82"/>
      <c r="H51" s="82"/>
      <c r="N51" s="60"/>
      <c r="O51" s="60"/>
    </row>
    <row r="52" spans="2:15" ht="13" x14ac:dyDescent="0.25">
      <c r="B52" s="99" t="s">
        <v>25</v>
      </c>
      <c r="C52" s="100"/>
      <c r="D52" s="101">
        <f>SUM(C30:C38)</f>
        <v>170.09459000000001</v>
      </c>
      <c r="E52" s="98"/>
      <c r="F52" s="82"/>
      <c r="G52" s="82"/>
      <c r="H52" s="82"/>
      <c r="N52" s="60"/>
      <c r="O52" s="60"/>
    </row>
    <row r="53" spans="2:15" ht="13.5" thickBot="1" x14ac:dyDescent="0.3">
      <c r="B53" s="102" t="s">
        <v>26</v>
      </c>
      <c r="C53" s="103"/>
      <c r="D53" s="104">
        <f>SUM(C39:C46)</f>
        <v>247.21520000000001</v>
      </c>
      <c r="E53" s="98"/>
      <c r="F53" s="82"/>
      <c r="G53" s="82"/>
      <c r="H53" s="82"/>
      <c r="N53" s="60"/>
      <c r="O53" s="60"/>
    </row>
    <row r="54" spans="2:15" ht="18.5" thickTop="1" x14ac:dyDescent="0.25">
      <c r="B54" s="105" t="s">
        <v>11</v>
      </c>
      <c r="C54" s="106"/>
      <c r="D54" s="107">
        <f>C28/C10</f>
        <v>6.0650403846153855</v>
      </c>
      <c r="E54" s="77"/>
      <c r="F54" s="110"/>
      <c r="G54" s="109"/>
      <c r="H54" s="110"/>
      <c r="N54" s="60"/>
      <c r="O54" s="60"/>
    </row>
    <row r="55" spans="2:15" ht="18" x14ac:dyDescent="0.25">
      <c r="B55" s="111" t="s">
        <v>12</v>
      </c>
      <c r="C55" s="112"/>
      <c r="D55" s="113">
        <f>(D50+D51+D52)/C10</f>
        <v>38.77553846153846</v>
      </c>
      <c r="E55" s="77"/>
      <c r="F55" s="82"/>
      <c r="G55" s="82"/>
      <c r="H55" s="82"/>
      <c r="N55" s="60"/>
      <c r="O55" s="60"/>
    </row>
    <row r="56" spans="2:15" ht="18" x14ac:dyDescent="0.25">
      <c r="B56" s="111" t="s">
        <v>13</v>
      </c>
      <c r="C56" s="112"/>
      <c r="D56" s="113">
        <f>D52/C10</f>
        <v>32.710498076923081</v>
      </c>
      <c r="E56" s="90"/>
      <c r="F56" s="82"/>
      <c r="G56" s="82"/>
      <c r="H56" s="82"/>
      <c r="N56" s="60"/>
      <c r="O56" s="60"/>
    </row>
    <row r="57" spans="2:15" ht="18" x14ac:dyDescent="0.25">
      <c r="B57" s="114" t="s">
        <v>14</v>
      </c>
      <c r="C57" s="115"/>
      <c r="D57" s="116">
        <f>D53/C10</f>
        <v>47.541384615384615</v>
      </c>
      <c r="E57" s="90"/>
      <c r="F57" s="82"/>
      <c r="G57" s="82"/>
      <c r="H57" s="82"/>
      <c r="N57" s="60"/>
      <c r="O57" s="60"/>
    </row>
    <row r="58" spans="2:15" ht="18.5" thickBot="1" x14ac:dyDescent="0.3">
      <c r="B58" s="114" t="s">
        <v>15</v>
      </c>
      <c r="C58" s="119"/>
      <c r="D58" s="116">
        <f>SUM(D50:D53)/C10</f>
        <v>86.316923076923075</v>
      </c>
      <c r="E58" s="90"/>
      <c r="F58" s="82"/>
      <c r="G58" s="82"/>
      <c r="H58" s="82"/>
      <c r="N58" s="60"/>
      <c r="O58" s="60"/>
    </row>
    <row r="59" spans="2:15" ht="18.5" thickTop="1" x14ac:dyDescent="0.25">
      <c r="B59" s="120" t="s">
        <v>16</v>
      </c>
      <c r="C59" s="121"/>
      <c r="D59" s="122">
        <f>(D51+C14*MAX(1,F14)+C15*MAX(1,F15))/C10</f>
        <v>6.0650403846153846</v>
      </c>
      <c r="E59" s="77"/>
      <c r="F59" s="82"/>
      <c r="G59" s="82"/>
      <c r="H59" s="82"/>
      <c r="N59" s="60"/>
      <c r="O59" s="60"/>
    </row>
    <row r="60" spans="2:15" ht="18" x14ac:dyDescent="0.25">
      <c r="B60" s="123" t="s">
        <v>17</v>
      </c>
      <c r="C60" s="124"/>
      <c r="D60" s="125">
        <f>(D51+D52+C14*MAX(1,F14)+C15*MAX(1,F15)+SUMPRODUCT(C14:C15,G14:G15))/C10</f>
        <v>38.77553846153846</v>
      </c>
      <c r="E60" s="77"/>
      <c r="F60" s="110"/>
      <c r="G60" s="109"/>
      <c r="H60" s="110"/>
      <c r="N60" s="60"/>
      <c r="O60" s="60"/>
    </row>
    <row r="61" spans="2:15" ht="18" customHeight="1" x14ac:dyDescent="0.25">
      <c r="B61" s="123" t="s">
        <v>18</v>
      </c>
      <c r="C61" s="124"/>
      <c r="D61" s="125">
        <f>(D52+SUMPRODUCT(C14:C15,G14:G15))/C10</f>
        <v>32.710498076923081</v>
      </c>
      <c r="E61" s="77"/>
      <c r="F61" s="82"/>
      <c r="G61" s="82"/>
      <c r="H61" s="82"/>
      <c r="N61" s="60"/>
      <c r="O61" s="60"/>
    </row>
    <row r="62" spans="2:15" ht="18" x14ac:dyDescent="0.25">
      <c r="B62" s="126" t="s">
        <v>19</v>
      </c>
      <c r="C62" s="127"/>
      <c r="D62" s="128">
        <f>(D53+SUMPRODUCT(C14:C15,H14:H15))/C10</f>
        <v>47.541384615384615</v>
      </c>
      <c r="E62" s="77"/>
      <c r="F62" s="82"/>
      <c r="G62" s="82"/>
      <c r="H62" s="82"/>
      <c r="K62" s="34"/>
      <c r="N62" s="60"/>
      <c r="O62" s="60"/>
    </row>
    <row r="63" spans="2:15" ht="18.5" thickBot="1" x14ac:dyDescent="0.3">
      <c r="B63" s="129" t="s">
        <v>20</v>
      </c>
      <c r="C63" s="130"/>
      <c r="D63" s="131">
        <f>(SUM(D51:D53)+C14*MAX(1,F14)+C15*MAX(1,F15)+SUMPRODUCT(C14:C15,G14:G15)+SUMPRODUCT(C14:C15,H14:H15))/C10</f>
        <v>86.316923076923061</v>
      </c>
      <c r="E63" s="77"/>
      <c r="F63" s="82"/>
      <c r="G63" s="82"/>
      <c r="H63" s="82"/>
      <c r="I63" s="132"/>
      <c r="N63" s="60"/>
      <c r="O63" s="60"/>
    </row>
    <row r="64" spans="2:15" ht="13.5" thickTop="1" x14ac:dyDescent="0.25">
      <c r="B64" s="133"/>
      <c r="C64" s="134"/>
      <c r="D64" s="134"/>
      <c r="E64" s="46"/>
      <c r="F64" s="34"/>
      <c r="G64" s="34"/>
      <c r="H64" s="34"/>
      <c r="N64" s="60"/>
      <c r="O64" s="60"/>
    </row>
    <row r="65" spans="2:15" ht="13" x14ac:dyDescent="0.25">
      <c r="B65" s="135"/>
      <c r="C65" s="136"/>
      <c r="D65" s="136"/>
      <c r="E65" s="46"/>
      <c r="F65" s="34"/>
      <c r="G65" s="34"/>
      <c r="H65" s="34"/>
      <c r="N65" s="60"/>
      <c r="O65" s="60"/>
    </row>
    <row r="66" spans="2:15" ht="13" x14ac:dyDescent="0.25">
      <c r="B66" s="135"/>
      <c r="C66" s="138"/>
      <c r="D66" s="138"/>
      <c r="E66" s="46"/>
      <c r="F66" s="167"/>
      <c r="G66" s="168"/>
      <c r="H66" s="167"/>
      <c r="N66" s="60"/>
      <c r="O66" s="60"/>
    </row>
    <row r="67" spans="2:15" ht="13" x14ac:dyDescent="0.25">
      <c r="E67" s="46"/>
      <c r="F67" s="34"/>
      <c r="G67" s="34"/>
      <c r="H67" s="34"/>
      <c r="N67" s="60"/>
      <c r="O67" s="60"/>
    </row>
    <row r="68" spans="2:15" ht="13.5" hidden="1" outlineLevel="1" thickBot="1" x14ac:dyDescent="0.3">
      <c r="C68" s="25" t="s">
        <v>44</v>
      </c>
      <c r="D68" s="25" t="s">
        <v>42</v>
      </c>
      <c r="E68" s="46"/>
      <c r="F68" s="34"/>
      <c r="G68" s="34"/>
      <c r="H68" s="34"/>
      <c r="N68" s="60"/>
      <c r="O68" s="60"/>
    </row>
    <row r="69" spans="2:15" ht="21" hidden="1" outlineLevel="1" thickTop="1" thickBot="1" x14ac:dyDescent="0.3">
      <c r="B69" s="140" t="s">
        <v>73</v>
      </c>
      <c r="C69" s="29"/>
      <c r="D69" s="141"/>
      <c r="E69" s="31"/>
      <c r="F69" s="32" t="s">
        <v>27</v>
      </c>
      <c r="G69" s="33"/>
      <c r="H69" s="33"/>
      <c r="I69" s="34"/>
      <c r="N69" s="60"/>
      <c r="O69" s="60"/>
    </row>
    <row r="70" spans="2:15" ht="14.5" hidden="1" outlineLevel="1" thickBot="1" x14ac:dyDescent="0.3">
      <c r="B70" s="37"/>
      <c r="C70" s="38" t="s">
        <v>0</v>
      </c>
      <c r="D70" s="39" t="s">
        <v>1</v>
      </c>
      <c r="E70" s="40"/>
      <c r="F70" s="41" t="s">
        <v>28</v>
      </c>
      <c r="G70" s="41" t="s">
        <v>21</v>
      </c>
      <c r="H70" s="41" t="s">
        <v>8</v>
      </c>
      <c r="K70" s="34"/>
      <c r="N70" s="60"/>
      <c r="O70" s="60"/>
    </row>
    <row r="71" spans="2:15" ht="13" hidden="1" outlineLevel="1" x14ac:dyDescent="0.25">
      <c r="B71" s="43" t="s">
        <v>65</v>
      </c>
      <c r="C71" s="142"/>
      <c r="D71" s="45" t="s">
        <v>2</v>
      </c>
      <c r="E71" s="46"/>
      <c r="F71" s="47"/>
      <c r="G71" s="47"/>
      <c r="H71" s="47"/>
      <c r="N71" s="60"/>
      <c r="O71" s="60"/>
    </row>
    <row r="72" spans="2:15" ht="13" hidden="1" outlineLevel="1" x14ac:dyDescent="0.25">
      <c r="B72" s="43" t="s">
        <v>64</v>
      </c>
      <c r="C72" s="143"/>
      <c r="D72" s="45" t="s">
        <v>3</v>
      </c>
      <c r="E72" s="46"/>
      <c r="F72" s="47"/>
      <c r="G72" s="47"/>
      <c r="H72" s="47"/>
      <c r="N72" s="60"/>
      <c r="O72" s="60"/>
    </row>
    <row r="73" spans="2:15" ht="13" hidden="1" outlineLevel="1" x14ac:dyDescent="0.25">
      <c r="B73" s="51" t="s">
        <v>63</v>
      </c>
      <c r="C73" s="144">
        <f>C71*C72</f>
        <v>0</v>
      </c>
      <c r="D73" s="45" t="str">
        <f>D71</f>
        <v>kg</v>
      </c>
      <c r="E73" s="46"/>
      <c r="F73" s="47"/>
      <c r="G73" s="47"/>
      <c r="H73" s="47"/>
      <c r="N73" s="60"/>
      <c r="O73" s="60"/>
    </row>
    <row r="74" spans="2:15" ht="14" hidden="1" outlineLevel="1" x14ac:dyDescent="0.25">
      <c r="B74" s="54" t="s">
        <v>37</v>
      </c>
      <c r="C74" s="145">
        <v>1</v>
      </c>
      <c r="D74" s="56"/>
      <c r="E74" s="57"/>
      <c r="F74" s="58"/>
      <c r="G74" s="58"/>
      <c r="H74" s="58"/>
      <c r="N74" s="60"/>
      <c r="O74" s="60"/>
    </row>
    <row r="75" spans="2:15" ht="13" hidden="1" outlineLevel="1" x14ac:dyDescent="0.25">
      <c r="B75" s="43" t="s">
        <v>66</v>
      </c>
      <c r="C75" s="142"/>
      <c r="D75" s="45" t="str">
        <f>D71</f>
        <v>kg</v>
      </c>
      <c r="E75" s="46"/>
      <c r="F75" s="47"/>
      <c r="G75" s="47"/>
      <c r="H75" s="47"/>
      <c r="K75" s="34"/>
      <c r="N75" s="60"/>
      <c r="O75" s="60"/>
    </row>
    <row r="76" spans="2:15" ht="13" hidden="1" outlineLevel="1" x14ac:dyDescent="0.25">
      <c r="B76" s="43" t="s">
        <v>67</v>
      </c>
      <c r="C76" s="143"/>
      <c r="D76" s="45" t="s">
        <v>3</v>
      </c>
      <c r="E76" s="59"/>
      <c r="F76" s="47"/>
      <c r="G76" s="47"/>
      <c r="H76" s="47"/>
      <c r="N76" s="60"/>
      <c r="O76" s="60"/>
    </row>
    <row r="77" spans="2:15" ht="13.5" hidden="1" outlineLevel="1" thickBot="1" x14ac:dyDescent="0.3">
      <c r="B77" s="51" t="s">
        <v>68</v>
      </c>
      <c r="C77" s="144">
        <f>C75*C76</f>
        <v>0</v>
      </c>
      <c r="D77" s="45" t="str">
        <f>D71</f>
        <v>kg</v>
      </c>
      <c r="E77" s="46"/>
      <c r="F77" s="47"/>
      <c r="G77" s="47"/>
      <c r="H77" s="47"/>
      <c r="N77" s="60"/>
      <c r="O77" s="60"/>
    </row>
    <row r="78" spans="2:15" ht="13.5" hidden="1" outlineLevel="1" thickBot="1" x14ac:dyDescent="0.3">
      <c r="B78" s="61"/>
      <c r="C78" s="62"/>
      <c r="D78" s="63"/>
      <c r="F78" s="64"/>
      <c r="G78" s="64"/>
      <c r="H78" s="64"/>
      <c r="N78" s="60"/>
      <c r="O78" s="60"/>
    </row>
    <row r="79" spans="2:15" ht="14.5" hidden="1" outlineLevel="1" thickBot="1" x14ac:dyDescent="0.3">
      <c r="B79" s="65" t="s">
        <v>5</v>
      </c>
      <c r="C79" s="66" t="s">
        <v>6</v>
      </c>
      <c r="D79" s="67" t="s">
        <v>1</v>
      </c>
      <c r="E79" s="68"/>
      <c r="F79" s="69"/>
      <c r="G79" s="69"/>
      <c r="H79" s="69"/>
      <c r="N79" s="60"/>
      <c r="O79" s="60"/>
    </row>
    <row r="80" spans="2:15" ht="13" hidden="1" outlineLevel="1" x14ac:dyDescent="0.25">
      <c r="B80" s="70" t="s">
        <v>43</v>
      </c>
      <c r="C80" s="71"/>
      <c r="D80" s="72"/>
      <c r="E80" s="73"/>
      <c r="F80" s="69"/>
      <c r="G80" s="69"/>
      <c r="H80" s="69"/>
      <c r="N80" s="60"/>
      <c r="O80" s="60"/>
    </row>
    <row r="81" spans="2:15" ht="13.5" hidden="1" outlineLevel="1" thickBot="1" x14ac:dyDescent="0.3">
      <c r="B81" s="74"/>
      <c r="C81" s="146">
        <f>C73</f>
        <v>0</v>
      </c>
      <c r="D81" s="76" t="str">
        <f>D71</f>
        <v>kg</v>
      </c>
      <c r="E81" s="98"/>
      <c r="F81" s="69"/>
      <c r="G81" s="69"/>
      <c r="H81" s="69"/>
      <c r="N81" s="60"/>
      <c r="O81" s="60"/>
    </row>
    <row r="82" spans="2:15" ht="13.5" hidden="1" outlineLevel="1" thickBot="1" x14ac:dyDescent="0.3">
      <c r="B82" s="74"/>
      <c r="C82" s="146"/>
      <c r="D82" s="76" t="str">
        <f>D71</f>
        <v>kg</v>
      </c>
      <c r="E82" s="77"/>
      <c r="F82" s="78"/>
      <c r="G82" s="78"/>
      <c r="H82" s="78"/>
      <c r="N82" s="60"/>
      <c r="O82" s="60"/>
    </row>
    <row r="83" spans="2:15" ht="13" hidden="1" outlineLevel="1" x14ac:dyDescent="0.25">
      <c r="B83" s="79" t="s">
        <v>69</v>
      </c>
      <c r="C83" s="147"/>
      <c r="D83" s="81"/>
      <c r="E83" s="77"/>
      <c r="F83" s="82"/>
      <c r="G83" s="82"/>
      <c r="H83" s="82"/>
      <c r="N83" s="60"/>
      <c r="O83" s="60"/>
    </row>
    <row r="84" spans="2:15" ht="13" hidden="1" outlineLevel="1" x14ac:dyDescent="0.25">
      <c r="B84" s="74"/>
      <c r="C84" s="148"/>
      <c r="D84" s="76" t="str">
        <f>D71</f>
        <v>kg</v>
      </c>
      <c r="E84" s="77"/>
      <c r="F84" s="82"/>
      <c r="G84" s="82"/>
      <c r="H84" s="82"/>
      <c r="N84" s="60"/>
      <c r="O84" s="60"/>
    </row>
    <row r="85" spans="2:15" ht="13" hidden="1" outlineLevel="1" x14ac:dyDescent="0.25">
      <c r="B85" s="74"/>
      <c r="C85" s="148"/>
      <c r="D85" s="76" t="str">
        <f>D71</f>
        <v>kg</v>
      </c>
      <c r="E85" s="77"/>
      <c r="F85" s="82"/>
      <c r="G85" s="82"/>
      <c r="H85" s="82"/>
      <c r="N85" s="60"/>
      <c r="O85" s="60"/>
    </row>
    <row r="86" spans="2:15" ht="13" hidden="1" outlineLevel="1" x14ac:dyDescent="0.25">
      <c r="B86" s="74"/>
      <c r="C86" s="148"/>
      <c r="D86" s="76" t="str">
        <f>D71</f>
        <v>kg</v>
      </c>
      <c r="E86" s="77"/>
      <c r="F86" s="82"/>
      <c r="G86" s="82"/>
      <c r="H86" s="82"/>
      <c r="N86" s="60"/>
      <c r="O86" s="60"/>
    </row>
    <row r="87" spans="2:15" ht="13" hidden="1" outlineLevel="1" x14ac:dyDescent="0.25">
      <c r="B87" s="74"/>
      <c r="C87" s="148"/>
      <c r="D87" s="76" t="str">
        <f>D71</f>
        <v>kg</v>
      </c>
      <c r="E87" s="77"/>
      <c r="F87" s="82"/>
      <c r="G87" s="82"/>
      <c r="H87" s="82"/>
      <c r="N87" s="60"/>
      <c r="O87" s="60"/>
    </row>
    <row r="88" spans="2:15" ht="13" hidden="1" outlineLevel="1" x14ac:dyDescent="0.25">
      <c r="B88" s="74"/>
      <c r="C88" s="148"/>
      <c r="D88" s="76" t="str">
        <f>D71</f>
        <v>kg</v>
      </c>
      <c r="E88" s="77"/>
      <c r="F88" s="82"/>
      <c r="G88" s="82"/>
      <c r="H88" s="82"/>
      <c r="N88" s="60"/>
      <c r="O88" s="60"/>
    </row>
    <row r="89" spans="2:15" ht="13" hidden="1" outlineLevel="1" x14ac:dyDescent="0.25">
      <c r="B89" s="74"/>
      <c r="C89" s="148"/>
      <c r="D89" s="76" t="str">
        <f>D71</f>
        <v>kg</v>
      </c>
      <c r="E89" s="77"/>
      <c r="F89" s="82"/>
      <c r="G89" s="82"/>
      <c r="H89" s="82"/>
      <c r="N89" s="60"/>
      <c r="O89" s="60"/>
    </row>
    <row r="90" spans="2:15" ht="13" hidden="1" outlineLevel="1" x14ac:dyDescent="0.25">
      <c r="B90" s="74"/>
      <c r="C90" s="148"/>
      <c r="D90" s="76" t="str">
        <f>D71</f>
        <v>kg</v>
      </c>
      <c r="E90" s="77"/>
      <c r="F90" s="82"/>
      <c r="G90" s="82"/>
      <c r="H90" s="82"/>
      <c r="N90" s="60"/>
      <c r="O90" s="60"/>
    </row>
    <row r="91" spans="2:15" ht="13" hidden="1" outlineLevel="1" x14ac:dyDescent="0.25">
      <c r="B91" s="74"/>
      <c r="C91" s="148"/>
      <c r="D91" s="76" t="str">
        <f>D71</f>
        <v>kg</v>
      </c>
      <c r="E91" s="77"/>
      <c r="F91" s="82"/>
      <c r="G91" s="82"/>
      <c r="H91" s="82"/>
      <c r="N91" s="60"/>
      <c r="O91" s="60"/>
    </row>
    <row r="92" spans="2:15" ht="13" hidden="1" outlineLevel="1" x14ac:dyDescent="0.25">
      <c r="B92" s="74"/>
      <c r="C92" s="148"/>
      <c r="D92" s="76" t="str">
        <f>D71</f>
        <v>kg</v>
      </c>
      <c r="E92" s="77"/>
      <c r="F92" s="82"/>
      <c r="G92" s="82"/>
      <c r="H92" s="82"/>
      <c r="N92" s="60"/>
      <c r="O92" s="60"/>
    </row>
    <row r="93" spans="2:15" ht="13" hidden="1" outlineLevel="1" x14ac:dyDescent="0.25">
      <c r="B93" s="74"/>
      <c r="C93" s="148"/>
      <c r="D93" s="76" t="str">
        <f>D71</f>
        <v>kg</v>
      </c>
      <c r="E93" s="77"/>
      <c r="F93" s="82"/>
      <c r="G93" s="82"/>
      <c r="H93" s="82"/>
      <c r="N93" s="60"/>
      <c r="O93" s="60"/>
    </row>
    <row r="94" spans="2:15" ht="13.15" hidden="1" customHeight="1" outlineLevel="1" x14ac:dyDescent="0.25">
      <c r="B94" s="79"/>
      <c r="C94" s="147"/>
      <c r="D94" s="81"/>
      <c r="E94" s="77"/>
      <c r="F94" s="82"/>
      <c r="G94" s="82"/>
      <c r="H94" s="82"/>
      <c r="K94" s="34"/>
      <c r="N94" s="60"/>
      <c r="O94" s="60"/>
    </row>
    <row r="95" spans="2:15" ht="13" hidden="1" outlineLevel="1" x14ac:dyDescent="0.25">
      <c r="B95" s="86" t="s">
        <v>7</v>
      </c>
      <c r="C95" s="149">
        <f>SUM(C80:C93)</f>
        <v>0</v>
      </c>
      <c r="D95" s="88" t="str">
        <f>D71</f>
        <v>kg</v>
      </c>
      <c r="E95" s="77"/>
      <c r="F95" s="82"/>
      <c r="G95" s="82"/>
      <c r="H95" s="82"/>
      <c r="N95" s="60"/>
      <c r="O95" s="60"/>
    </row>
    <row r="96" spans="2:15" ht="13" hidden="1" outlineLevel="1" x14ac:dyDescent="0.25">
      <c r="B96" s="79" t="s">
        <v>71</v>
      </c>
      <c r="C96" s="150"/>
      <c r="D96" s="81"/>
      <c r="E96" s="77"/>
      <c r="F96" s="82"/>
      <c r="G96" s="82"/>
      <c r="H96" s="82"/>
      <c r="I96" s="34"/>
      <c r="J96" s="53"/>
      <c r="L96" s="53"/>
      <c r="N96" s="60"/>
      <c r="O96" s="60"/>
    </row>
    <row r="97" spans="2:15" ht="13" hidden="1" outlineLevel="1" x14ac:dyDescent="0.25">
      <c r="B97" s="74"/>
      <c r="C97" s="148"/>
      <c r="D97" s="76" t="str">
        <f>D71</f>
        <v>kg</v>
      </c>
      <c r="E97" s="77"/>
      <c r="F97" s="82"/>
      <c r="G97" s="82"/>
      <c r="H97" s="82"/>
      <c r="N97" s="60"/>
      <c r="O97" s="60"/>
    </row>
    <row r="98" spans="2:15" ht="13" hidden="1" outlineLevel="1" x14ac:dyDescent="0.25">
      <c r="B98" s="74"/>
      <c r="C98" s="148"/>
      <c r="D98" s="76" t="str">
        <f>D71</f>
        <v>kg</v>
      </c>
      <c r="E98" s="77"/>
      <c r="F98" s="82"/>
      <c r="G98" s="82"/>
      <c r="H98" s="82"/>
      <c r="N98" s="60"/>
      <c r="O98" s="60"/>
    </row>
    <row r="99" spans="2:15" ht="13" hidden="1" outlineLevel="1" x14ac:dyDescent="0.25">
      <c r="B99" s="74"/>
      <c r="C99" s="148"/>
      <c r="D99" s="76" t="str">
        <f>D71</f>
        <v>kg</v>
      </c>
      <c r="E99" s="77"/>
      <c r="F99" s="82"/>
      <c r="G99" s="82"/>
      <c r="H99" s="82"/>
      <c r="N99" s="60"/>
      <c r="O99" s="60"/>
    </row>
    <row r="100" spans="2:15" ht="13" hidden="1" outlineLevel="1" x14ac:dyDescent="0.25">
      <c r="B100" s="74"/>
      <c r="C100" s="148"/>
      <c r="D100" s="76" t="str">
        <f>D71</f>
        <v>kg</v>
      </c>
      <c r="E100" s="77"/>
      <c r="F100" s="82"/>
      <c r="G100" s="82"/>
      <c r="H100" s="82"/>
      <c r="N100" s="60"/>
      <c r="O100" s="60"/>
    </row>
    <row r="101" spans="2:15" ht="13" hidden="1" outlineLevel="1" x14ac:dyDescent="0.25">
      <c r="B101" s="74"/>
      <c r="C101" s="148"/>
      <c r="D101" s="76" t="str">
        <f>D71</f>
        <v>kg</v>
      </c>
      <c r="E101" s="77"/>
      <c r="F101" s="82"/>
      <c r="G101" s="82"/>
      <c r="H101" s="82"/>
      <c r="N101" s="60"/>
      <c r="O101" s="60"/>
    </row>
    <row r="102" spans="2:15" ht="13" hidden="1" outlineLevel="1" x14ac:dyDescent="0.25">
      <c r="B102" s="74"/>
      <c r="C102" s="148"/>
      <c r="D102" s="76" t="str">
        <f>D71</f>
        <v>kg</v>
      </c>
      <c r="E102" s="77"/>
      <c r="F102" s="82"/>
      <c r="G102" s="82"/>
      <c r="H102" s="82"/>
      <c r="N102" s="60"/>
      <c r="O102" s="60"/>
    </row>
    <row r="103" spans="2:15" ht="13" hidden="1" outlineLevel="1" x14ac:dyDescent="0.25">
      <c r="B103" s="74"/>
      <c r="C103" s="148"/>
      <c r="D103" s="76" t="str">
        <f>D71</f>
        <v>kg</v>
      </c>
      <c r="E103" s="77"/>
      <c r="F103" s="82"/>
      <c r="G103" s="82"/>
      <c r="H103" s="82"/>
      <c r="N103" s="60"/>
      <c r="O103" s="60"/>
    </row>
    <row r="104" spans="2:15" ht="13" hidden="1" outlineLevel="1" x14ac:dyDescent="0.25">
      <c r="B104" s="74"/>
      <c r="C104" s="148"/>
      <c r="D104" s="76" t="str">
        <f>D71</f>
        <v>kg</v>
      </c>
      <c r="E104" s="77"/>
      <c r="F104" s="82"/>
      <c r="G104" s="82"/>
      <c r="H104" s="82"/>
      <c r="N104" s="60"/>
      <c r="O104" s="60"/>
    </row>
    <row r="105" spans="2:15" ht="13" hidden="1" outlineLevel="1" x14ac:dyDescent="0.25">
      <c r="B105" s="79" t="s">
        <v>70</v>
      </c>
      <c r="C105" s="147"/>
      <c r="D105" s="81"/>
      <c r="E105" s="90"/>
      <c r="F105" s="82"/>
      <c r="G105" s="82"/>
      <c r="H105" s="82"/>
      <c r="N105" s="60"/>
      <c r="O105" s="60"/>
    </row>
    <row r="106" spans="2:15" ht="13" hidden="1" outlineLevel="1" x14ac:dyDescent="0.25">
      <c r="B106" s="74"/>
      <c r="C106" s="148"/>
      <c r="D106" s="76" t="str">
        <f>D71</f>
        <v>kg</v>
      </c>
      <c r="E106" s="77"/>
      <c r="F106" s="82"/>
      <c r="G106" s="82"/>
      <c r="H106" s="82"/>
      <c r="N106" s="60"/>
      <c r="O106" s="60"/>
    </row>
    <row r="107" spans="2:15" ht="13" hidden="1" outlineLevel="1" x14ac:dyDescent="0.25">
      <c r="B107" s="74"/>
      <c r="C107" s="148"/>
      <c r="D107" s="76" t="str">
        <f>D71</f>
        <v>kg</v>
      </c>
      <c r="E107" s="77"/>
      <c r="F107" s="82"/>
      <c r="G107" s="82"/>
      <c r="H107" s="82"/>
      <c r="N107" s="60"/>
      <c r="O107" s="60"/>
    </row>
    <row r="108" spans="2:15" ht="13" hidden="1" outlineLevel="1" x14ac:dyDescent="0.25">
      <c r="B108" s="74"/>
      <c r="C108" s="148"/>
      <c r="D108" s="76" t="str">
        <f>D71</f>
        <v>kg</v>
      </c>
      <c r="E108" s="77"/>
      <c r="F108" s="82"/>
      <c r="G108" s="82"/>
      <c r="H108" s="82"/>
      <c r="N108" s="60"/>
      <c r="O108" s="60"/>
    </row>
    <row r="109" spans="2:15" ht="13" hidden="1" outlineLevel="1" x14ac:dyDescent="0.25">
      <c r="B109" s="74"/>
      <c r="C109" s="148"/>
      <c r="D109" s="76" t="str">
        <f>D71</f>
        <v>kg</v>
      </c>
      <c r="E109" s="77"/>
      <c r="F109" s="82"/>
      <c r="G109" s="82"/>
      <c r="H109" s="82"/>
      <c r="N109" s="60"/>
      <c r="O109" s="60"/>
    </row>
    <row r="110" spans="2:15" ht="13" hidden="1" outlineLevel="1" x14ac:dyDescent="0.25">
      <c r="B110" s="74"/>
      <c r="C110" s="148"/>
      <c r="D110" s="76" t="str">
        <f>D73</f>
        <v>kg</v>
      </c>
      <c r="E110" s="77"/>
      <c r="F110" s="82"/>
      <c r="G110" s="82"/>
      <c r="H110" s="82"/>
      <c r="N110" s="60"/>
      <c r="O110" s="60"/>
    </row>
    <row r="111" spans="2:15" ht="13" hidden="1" outlineLevel="1" x14ac:dyDescent="0.25">
      <c r="B111" s="74"/>
      <c r="C111" s="148"/>
      <c r="D111" s="76" t="str">
        <f>D71</f>
        <v>kg</v>
      </c>
      <c r="E111" s="77"/>
      <c r="F111" s="82"/>
      <c r="G111" s="82"/>
      <c r="H111" s="82"/>
      <c r="N111" s="60"/>
      <c r="O111" s="60"/>
    </row>
    <row r="112" spans="2:15" ht="13" hidden="1" outlineLevel="1" x14ac:dyDescent="0.25">
      <c r="B112" s="74"/>
      <c r="C112" s="148"/>
      <c r="D112" s="76" t="str">
        <f>D71</f>
        <v>kg</v>
      </c>
      <c r="E112" s="77"/>
      <c r="F112" s="82"/>
      <c r="G112" s="82"/>
      <c r="H112" s="82"/>
      <c r="N112" s="60"/>
      <c r="O112" s="60"/>
    </row>
    <row r="113" spans="2:15" ht="13.15" hidden="1" customHeight="1" outlineLevel="1" x14ac:dyDescent="0.25">
      <c r="B113" s="79"/>
      <c r="C113" s="147"/>
      <c r="D113" s="81"/>
      <c r="E113" s="77"/>
      <c r="F113" s="82"/>
      <c r="G113" s="82"/>
      <c r="H113" s="82"/>
      <c r="K113" s="34"/>
      <c r="N113" s="60"/>
      <c r="O113" s="60"/>
    </row>
    <row r="114" spans="2:15" ht="13" hidden="1" outlineLevel="1" x14ac:dyDescent="0.25">
      <c r="B114" s="86" t="s">
        <v>9</v>
      </c>
      <c r="C114" s="149">
        <f>SUM(C95:C112)</f>
        <v>0</v>
      </c>
      <c r="D114" s="91" t="str">
        <f>D71</f>
        <v>kg</v>
      </c>
      <c r="E114" s="77"/>
      <c r="F114" s="82"/>
      <c r="G114" s="82"/>
      <c r="H114" s="82"/>
      <c r="N114" s="60"/>
      <c r="O114" s="60"/>
    </row>
    <row r="115" spans="2:15" ht="13.5" hidden="1" outlineLevel="1" thickBot="1" x14ac:dyDescent="0.3">
      <c r="B115" s="92"/>
      <c r="C115" s="93"/>
      <c r="D115" s="94"/>
      <c r="E115" s="77"/>
      <c r="F115" s="82"/>
      <c r="G115" s="82"/>
      <c r="H115" s="82"/>
      <c r="N115" s="60"/>
      <c r="O115" s="60"/>
    </row>
    <row r="116" spans="2:15" ht="20.5" hidden="1" outlineLevel="1" thickBot="1" x14ac:dyDescent="0.3">
      <c r="B116" s="426" t="s">
        <v>10</v>
      </c>
      <c r="C116" s="427"/>
      <c r="D116" s="428"/>
      <c r="E116" s="77"/>
      <c r="F116" s="82"/>
      <c r="G116" s="82"/>
      <c r="H116" s="82"/>
      <c r="N116" s="60"/>
      <c r="O116" s="60"/>
    </row>
    <row r="117" spans="2:15" ht="13" hidden="1" outlineLevel="1" x14ac:dyDescent="0.25">
      <c r="B117" s="95" t="s">
        <v>23</v>
      </c>
      <c r="C117" s="96"/>
      <c r="D117" s="151">
        <f>SUM(C81:C82)</f>
        <v>0</v>
      </c>
      <c r="E117" s="98"/>
      <c r="F117" s="82"/>
      <c r="G117" s="82"/>
      <c r="H117" s="82"/>
      <c r="N117" s="60"/>
      <c r="O117" s="60"/>
    </row>
    <row r="118" spans="2:15" ht="13" hidden="1" outlineLevel="1" x14ac:dyDescent="0.25">
      <c r="B118" s="99" t="s">
        <v>24</v>
      </c>
      <c r="C118" s="100"/>
      <c r="D118" s="152">
        <f>SUM(C84:C94)</f>
        <v>0</v>
      </c>
      <c r="E118" s="98"/>
      <c r="F118" s="82"/>
      <c r="G118" s="82"/>
      <c r="H118" s="82"/>
      <c r="N118" s="60"/>
      <c r="O118" s="60"/>
    </row>
    <row r="119" spans="2:15" ht="13" hidden="1" outlineLevel="1" x14ac:dyDescent="0.25">
      <c r="B119" s="99" t="s">
        <v>25</v>
      </c>
      <c r="C119" s="100"/>
      <c r="D119" s="152">
        <f>SUM(C97:C105)</f>
        <v>0</v>
      </c>
      <c r="E119" s="98"/>
      <c r="F119" s="82"/>
      <c r="G119" s="82"/>
      <c r="H119" s="82"/>
      <c r="N119" s="60"/>
      <c r="O119" s="60"/>
    </row>
    <row r="120" spans="2:15" ht="13.5" hidden="1" outlineLevel="1" thickBot="1" x14ac:dyDescent="0.3">
      <c r="B120" s="102" t="s">
        <v>26</v>
      </c>
      <c r="C120" s="103"/>
      <c r="D120" s="153">
        <f>SUM(C106:C113)</f>
        <v>0</v>
      </c>
      <c r="E120" s="98"/>
      <c r="F120" s="82"/>
      <c r="G120" s="82"/>
      <c r="H120" s="82"/>
      <c r="N120" s="60"/>
      <c r="O120" s="60"/>
    </row>
    <row r="121" spans="2:15" ht="19" hidden="1" outlineLevel="1" thickTop="1" thickBot="1" x14ac:dyDescent="0.3">
      <c r="B121" s="105" t="s">
        <v>11</v>
      </c>
      <c r="C121" s="106"/>
      <c r="D121" s="107" t="e">
        <f>C95/C77</f>
        <v>#DIV/0!</v>
      </c>
      <c r="E121" s="77"/>
      <c r="F121" s="110" t="s">
        <v>86</v>
      </c>
      <c r="G121" s="109" t="s">
        <v>85</v>
      </c>
      <c r="H121" s="110"/>
      <c r="N121" s="60"/>
      <c r="O121" s="60"/>
    </row>
    <row r="122" spans="2:15" ht="18.5" hidden="1" outlineLevel="1" thickBot="1" x14ac:dyDescent="0.3">
      <c r="B122" s="111" t="s">
        <v>12</v>
      </c>
      <c r="C122" s="112"/>
      <c r="D122" s="113" t="e">
        <f>(D117+D118+D119)/C77</f>
        <v>#DIV/0!</v>
      </c>
      <c r="E122" s="77"/>
      <c r="F122" s="154"/>
      <c r="G122" s="413"/>
      <c r="H122" s="414"/>
      <c r="N122" s="60"/>
      <c r="O122" s="60"/>
    </row>
    <row r="123" spans="2:15" ht="18" hidden="1" outlineLevel="1" x14ac:dyDescent="0.25">
      <c r="B123" s="111" t="s">
        <v>13</v>
      </c>
      <c r="C123" s="112"/>
      <c r="D123" s="113" t="e">
        <f>D119/C77</f>
        <v>#DIV/0!</v>
      </c>
      <c r="E123" s="90"/>
      <c r="F123" s="64" t="s">
        <v>45</v>
      </c>
      <c r="G123" s="64" t="s">
        <v>45</v>
      </c>
      <c r="H123" s="155"/>
      <c r="N123" s="60"/>
      <c r="O123" s="60"/>
    </row>
    <row r="124" spans="2:15" ht="18.5" hidden="1" outlineLevel="1" thickBot="1" x14ac:dyDescent="0.3">
      <c r="B124" s="114" t="s">
        <v>14</v>
      </c>
      <c r="C124" s="115"/>
      <c r="D124" s="116" t="e">
        <f>D120/C77</f>
        <v>#DIV/0!</v>
      </c>
      <c r="E124" s="90"/>
      <c r="F124" s="110"/>
      <c r="G124" s="117" t="s">
        <v>46</v>
      </c>
      <c r="H124" s="110"/>
      <c r="N124" s="60"/>
      <c r="O124" s="60"/>
    </row>
    <row r="125" spans="2:15" ht="18.5" hidden="1" outlineLevel="1" thickBot="1" x14ac:dyDescent="0.3">
      <c r="B125" s="114" t="s">
        <v>15</v>
      </c>
      <c r="C125" s="119"/>
      <c r="D125" s="116" t="e">
        <f>SUM(D117:D120)/C77</f>
        <v>#DIV/0!</v>
      </c>
      <c r="E125" s="90"/>
      <c r="F125" s="429"/>
      <c r="G125" s="430"/>
      <c r="H125" s="431"/>
      <c r="N125" s="60"/>
      <c r="O125" s="60"/>
    </row>
    <row r="126" spans="2:15" ht="18.5" hidden="1" outlineLevel="1" thickTop="1" x14ac:dyDescent="0.25">
      <c r="B126" s="120" t="s">
        <v>16</v>
      </c>
      <c r="C126" s="121"/>
      <c r="D126" s="122" t="e">
        <f>((C81*D59)+D118+C82*MAX(1,F82))/C77</f>
        <v>#DIV/0!</v>
      </c>
      <c r="E126" s="77"/>
      <c r="F126" s="64" t="s">
        <v>45</v>
      </c>
      <c r="G126" s="64"/>
      <c r="H126" s="82"/>
      <c r="N126" s="60"/>
      <c r="O126" s="60"/>
    </row>
    <row r="127" spans="2:15" ht="18" hidden="1" outlineLevel="1" x14ac:dyDescent="0.25">
      <c r="B127" s="123" t="s">
        <v>17</v>
      </c>
      <c r="C127" s="124"/>
      <c r="D127" s="125" t="e">
        <f>(C81*D60+D118+D119+C82*(MAX(1,F82)+G82))/C77</f>
        <v>#DIV/0!</v>
      </c>
      <c r="E127" s="77"/>
      <c r="F127" s="82"/>
      <c r="G127" s="82"/>
      <c r="H127" s="82"/>
      <c r="N127" s="60"/>
      <c r="O127" s="60"/>
    </row>
    <row r="128" spans="2:15" ht="18" hidden="1" customHeight="1" outlineLevel="1" x14ac:dyDescent="0.25">
      <c r="B128" s="123" t="s">
        <v>18</v>
      </c>
      <c r="C128" s="124"/>
      <c r="D128" s="125" t="e">
        <f>((C81*D61)+D119+C82*G82)/C77</f>
        <v>#DIV/0!</v>
      </c>
      <c r="E128" s="77"/>
      <c r="F128" s="415" t="s">
        <v>61</v>
      </c>
      <c r="G128" s="416"/>
      <c r="H128" s="416"/>
      <c r="N128" s="60"/>
      <c r="O128" s="60"/>
    </row>
    <row r="129" spans="2:15" ht="18" hidden="1" outlineLevel="1" x14ac:dyDescent="0.25">
      <c r="B129" s="126" t="s">
        <v>19</v>
      </c>
      <c r="C129" s="127"/>
      <c r="D129" s="128" t="e">
        <f>(C81*D62+D120+C82*H82)/C77</f>
        <v>#DIV/0!</v>
      </c>
      <c r="E129" s="77"/>
      <c r="F129" s="416"/>
      <c r="G129" s="416"/>
      <c r="H129" s="416"/>
      <c r="N129" s="60"/>
      <c r="O129" s="60"/>
    </row>
    <row r="130" spans="2:15" ht="18.5" hidden="1" outlineLevel="1" thickBot="1" x14ac:dyDescent="0.3">
      <c r="B130" s="129" t="s">
        <v>20</v>
      </c>
      <c r="C130" s="130"/>
      <c r="D130" s="131" t="e">
        <f>((C81*D63)+SUM(D118:D120)+C82*(MAX(1,F82)+G82+H82))/C77</f>
        <v>#DIV/0!</v>
      </c>
      <c r="E130" s="77"/>
      <c r="F130" s="416"/>
      <c r="G130" s="416"/>
      <c r="H130" s="416"/>
      <c r="N130" s="60"/>
      <c r="O130" s="60"/>
    </row>
    <row r="131" spans="2:15" ht="13" hidden="1" outlineLevel="1" thickTop="1" x14ac:dyDescent="0.25">
      <c r="B131" s="156" t="s">
        <v>76</v>
      </c>
      <c r="C131" s="424"/>
      <c r="D131" s="425"/>
      <c r="E131" s="46"/>
      <c r="F131" s="416"/>
      <c r="G131" s="416"/>
      <c r="H131" s="416"/>
      <c r="N131" s="60"/>
      <c r="O131" s="60"/>
    </row>
    <row r="132" spans="2:15" hidden="1" outlineLevel="1" x14ac:dyDescent="0.25">
      <c r="B132" s="157" t="s">
        <v>58</v>
      </c>
      <c r="C132" s="422"/>
      <c r="D132" s="423"/>
      <c r="E132" s="46"/>
      <c r="F132" s="416"/>
      <c r="G132" s="416"/>
      <c r="H132" s="416"/>
      <c r="N132" s="60"/>
      <c r="O132" s="60"/>
    </row>
    <row r="133" spans="2:15" ht="13" hidden="1" outlineLevel="1" thickBot="1" x14ac:dyDescent="0.3">
      <c r="B133" s="158" t="s">
        <v>59</v>
      </c>
      <c r="C133" s="420"/>
      <c r="D133" s="421"/>
      <c r="E133" s="46"/>
      <c r="F133" s="416"/>
      <c r="G133" s="416"/>
      <c r="H133" s="416"/>
      <c r="N133" s="60"/>
      <c r="O133" s="60"/>
    </row>
    <row r="134" spans="2:15" ht="13" hidden="1" outlineLevel="1" x14ac:dyDescent="0.25">
      <c r="E134" s="46"/>
      <c r="F134" s="34"/>
      <c r="G134" s="34"/>
      <c r="H134" s="34"/>
      <c r="N134" s="60"/>
      <c r="O134" s="60"/>
    </row>
    <row r="135" spans="2:15" ht="13.5" hidden="1" outlineLevel="1" thickBot="1" x14ac:dyDescent="0.3">
      <c r="C135" s="25" t="s">
        <v>44</v>
      </c>
      <c r="D135" s="25" t="s">
        <v>42</v>
      </c>
      <c r="E135" s="46"/>
      <c r="F135" s="34"/>
      <c r="G135" s="34"/>
      <c r="H135" s="34"/>
      <c r="N135" s="60"/>
      <c r="O135" s="60"/>
    </row>
    <row r="136" spans="2:15" ht="21" hidden="1" outlineLevel="1" thickTop="1" thickBot="1" x14ac:dyDescent="0.3">
      <c r="B136" s="140" t="s">
        <v>73</v>
      </c>
      <c r="C136" s="29"/>
      <c r="D136" s="141"/>
      <c r="E136" s="31"/>
      <c r="F136" s="32" t="s">
        <v>27</v>
      </c>
      <c r="G136" s="33"/>
      <c r="H136" s="33"/>
      <c r="I136" s="34"/>
    </row>
    <row r="137" spans="2:15" ht="14.5" hidden="1" outlineLevel="1" thickBot="1" x14ac:dyDescent="0.3">
      <c r="B137" s="37"/>
      <c r="C137" s="38" t="s">
        <v>0</v>
      </c>
      <c r="D137" s="39" t="s">
        <v>1</v>
      </c>
      <c r="E137" s="40"/>
      <c r="F137" s="41" t="s">
        <v>28</v>
      </c>
      <c r="G137" s="41" t="s">
        <v>21</v>
      </c>
      <c r="H137" s="41" t="s">
        <v>8</v>
      </c>
    </row>
    <row r="138" spans="2:15" ht="13" hidden="1" outlineLevel="1" x14ac:dyDescent="0.25">
      <c r="B138" s="43" t="s">
        <v>65</v>
      </c>
      <c r="C138" s="142"/>
      <c r="D138" s="45" t="s">
        <v>2</v>
      </c>
      <c r="E138" s="46"/>
      <c r="F138" s="47"/>
      <c r="G138" s="47"/>
      <c r="H138" s="47"/>
      <c r="N138" s="60"/>
      <c r="O138" s="60"/>
    </row>
    <row r="139" spans="2:15" ht="13" hidden="1" outlineLevel="1" x14ac:dyDescent="0.25">
      <c r="B139" s="43" t="s">
        <v>64</v>
      </c>
      <c r="C139" s="143"/>
      <c r="D139" s="45" t="s">
        <v>3</v>
      </c>
      <c r="E139" s="46"/>
      <c r="F139" s="47"/>
      <c r="G139" s="47"/>
      <c r="H139" s="47"/>
      <c r="N139" s="60"/>
      <c r="O139" s="60"/>
    </row>
    <row r="140" spans="2:15" ht="13" hidden="1" outlineLevel="1" x14ac:dyDescent="0.25">
      <c r="B140" s="51" t="s">
        <v>63</v>
      </c>
      <c r="C140" s="144">
        <f>C138*C139</f>
        <v>0</v>
      </c>
      <c r="D140" s="45" t="str">
        <f>D138</f>
        <v>kg</v>
      </c>
      <c r="E140" s="46"/>
      <c r="F140" s="47"/>
      <c r="G140" s="47"/>
      <c r="H140" s="47"/>
      <c r="N140" s="60"/>
      <c r="O140" s="60"/>
    </row>
    <row r="141" spans="2:15" ht="14" hidden="1" outlineLevel="1" x14ac:dyDescent="0.25">
      <c r="B141" s="54" t="s">
        <v>37</v>
      </c>
      <c r="C141" s="145">
        <v>1</v>
      </c>
      <c r="D141" s="56"/>
      <c r="E141" s="57"/>
      <c r="F141" s="58"/>
      <c r="G141" s="58"/>
      <c r="H141" s="58"/>
      <c r="N141" s="60"/>
      <c r="O141" s="60"/>
    </row>
    <row r="142" spans="2:15" ht="13" hidden="1" outlineLevel="1" x14ac:dyDescent="0.25">
      <c r="B142" s="43" t="s">
        <v>66</v>
      </c>
      <c r="C142" s="142"/>
      <c r="D142" s="45" t="str">
        <f>D138</f>
        <v>kg</v>
      </c>
      <c r="E142" s="46"/>
      <c r="F142" s="47"/>
      <c r="G142" s="47"/>
      <c r="H142" s="47"/>
      <c r="N142" s="60"/>
      <c r="O142" s="60"/>
    </row>
    <row r="143" spans="2:15" ht="13" hidden="1" outlineLevel="1" x14ac:dyDescent="0.25">
      <c r="B143" s="43" t="s">
        <v>67</v>
      </c>
      <c r="C143" s="143"/>
      <c r="D143" s="45" t="s">
        <v>3</v>
      </c>
      <c r="E143" s="59"/>
      <c r="F143" s="47"/>
      <c r="G143" s="47"/>
      <c r="H143" s="47"/>
      <c r="N143" s="60"/>
      <c r="O143" s="60"/>
    </row>
    <row r="144" spans="2:15" ht="13.5" hidden="1" outlineLevel="1" thickBot="1" x14ac:dyDescent="0.3">
      <c r="B144" s="51" t="s">
        <v>68</v>
      </c>
      <c r="C144" s="144">
        <f>C142*C143</f>
        <v>0</v>
      </c>
      <c r="D144" s="45" t="str">
        <f>D138</f>
        <v>kg</v>
      </c>
      <c r="E144" s="46"/>
      <c r="F144" s="47"/>
      <c r="G144" s="47"/>
      <c r="H144" s="47"/>
      <c r="N144" s="60"/>
      <c r="O144" s="60"/>
    </row>
    <row r="145" spans="2:15" ht="13.5" hidden="1" outlineLevel="1" thickBot="1" x14ac:dyDescent="0.3">
      <c r="B145" s="61"/>
      <c r="C145" s="62"/>
      <c r="D145" s="63"/>
      <c r="F145" s="64"/>
      <c r="G145" s="64"/>
      <c r="H145" s="64"/>
      <c r="N145" s="60"/>
      <c r="O145" s="60"/>
    </row>
    <row r="146" spans="2:15" ht="14.5" hidden="1" outlineLevel="1" thickBot="1" x14ac:dyDescent="0.3">
      <c r="B146" s="65" t="s">
        <v>5</v>
      </c>
      <c r="C146" s="66" t="s">
        <v>6</v>
      </c>
      <c r="D146" s="67" t="s">
        <v>1</v>
      </c>
      <c r="E146" s="68"/>
      <c r="F146" s="69"/>
      <c r="G146" s="69"/>
      <c r="H146" s="69"/>
      <c r="N146" s="60"/>
      <c r="O146" s="60"/>
    </row>
    <row r="147" spans="2:15" ht="13" hidden="1" outlineLevel="1" x14ac:dyDescent="0.25">
      <c r="B147" s="70" t="s">
        <v>43</v>
      </c>
      <c r="C147" s="71"/>
      <c r="D147" s="72"/>
      <c r="E147" s="73"/>
      <c r="F147" s="69"/>
      <c r="G147" s="69"/>
      <c r="H147" s="69"/>
      <c r="N147" s="60"/>
      <c r="O147" s="60"/>
    </row>
    <row r="148" spans="2:15" ht="13.5" hidden="1" outlineLevel="1" thickBot="1" x14ac:dyDescent="0.3">
      <c r="B148" s="74"/>
      <c r="C148" s="146">
        <f>C140</f>
        <v>0</v>
      </c>
      <c r="D148" s="76" t="str">
        <f>D138</f>
        <v>kg</v>
      </c>
      <c r="E148" s="98"/>
      <c r="F148" s="69"/>
      <c r="G148" s="69"/>
      <c r="H148" s="69"/>
      <c r="N148" s="60"/>
      <c r="O148" s="60"/>
    </row>
    <row r="149" spans="2:15" ht="13.5" hidden="1" outlineLevel="1" thickBot="1" x14ac:dyDescent="0.3">
      <c r="B149" s="74"/>
      <c r="C149" s="146"/>
      <c r="D149" s="76" t="str">
        <f>D138</f>
        <v>kg</v>
      </c>
      <c r="E149" s="77"/>
      <c r="F149" s="78"/>
      <c r="G149" s="78"/>
      <c r="H149" s="78"/>
      <c r="N149" s="60"/>
      <c r="O149" s="60"/>
    </row>
    <row r="150" spans="2:15" ht="13" hidden="1" outlineLevel="1" x14ac:dyDescent="0.25">
      <c r="B150" s="79" t="s">
        <v>69</v>
      </c>
      <c r="C150" s="147"/>
      <c r="D150" s="81"/>
      <c r="E150" s="77"/>
      <c r="F150" s="82"/>
      <c r="G150" s="82"/>
      <c r="H150" s="82"/>
      <c r="N150" s="60"/>
      <c r="O150" s="60"/>
    </row>
    <row r="151" spans="2:15" ht="13" hidden="1" outlineLevel="1" x14ac:dyDescent="0.25">
      <c r="B151" s="74"/>
      <c r="C151" s="148"/>
      <c r="D151" s="76" t="str">
        <f>D138</f>
        <v>kg</v>
      </c>
      <c r="E151" s="77"/>
      <c r="F151" s="82"/>
      <c r="G151" s="82"/>
      <c r="H151" s="82"/>
      <c r="N151" s="60"/>
      <c r="O151" s="60"/>
    </row>
    <row r="152" spans="2:15" ht="13" hidden="1" outlineLevel="1" x14ac:dyDescent="0.25">
      <c r="B152" s="74"/>
      <c r="C152" s="148"/>
      <c r="D152" s="76" t="str">
        <f>D138</f>
        <v>kg</v>
      </c>
      <c r="E152" s="77"/>
      <c r="F152" s="82"/>
      <c r="G152" s="82"/>
      <c r="H152" s="82"/>
      <c r="N152" s="60"/>
      <c r="O152" s="60"/>
    </row>
    <row r="153" spans="2:15" ht="13" hidden="1" outlineLevel="1" x14ac:dyDescent="0.25">
      <c r="B153" s="74"/>
      <c r="C153" s="148"/>
      <c r="D153" s="76" t="str">
        <f>D138</f>
        <v>kg</v>
      </c>
      <c r="E153" s="77"/>
      <c r="F153" s="82"/>
      <c r="G153" s="82"/>
      <c r="H153" s="82"/>
      <c r="N153" s="60"/>
      <c r="O153" s="60"/>
    </row>
    <row r="154" spans="2:15" ht="13" hidden="1" outlineLevel="1" x14ac:dyDescent="0.25">
      <c r="B154" s="74"/>
      <c r="C154" s="148"/>
      <c r="D154" s="76" t="str">
        <f>D138</f>
        <v>kg</v>
      </c>
      <c r="E154" s="77"/>
      <c r="F154" s="82"/>
      <c r="G154" s="82"/>
      <c r="H154" s="82"/>
      <c r="N154" s="60"/>
      <c r="O154" s="60"/>
    </row>
    <row r="155" spans="2:15" ht="13" hidden="1" outlineLevel="1" x14ac:dyDescent="0.25">
      <c r="B155" s="74"/>
      <c r="C155" s="148"/>
      <c r="D155" s="76" t="str">
        <f>D138</f>
        <v>kg</v>
      </c>
      <c r="E155" s="77"/>
      <c r="F155" s="82"/>
      <c r="G155" s="82"/>
      <c r="H155" s="82"/>
      <c r="N155" s="60"/>
      <c r="O155" s="60"/>
    </row>
    <row r="156" spans="2:15" ht="13" hidden="1" outlineLevel="1" x14ac:dyDescent="0.25">
      <c r="B156" s="74"/>
      <c r="C156" s="148"/>
      <c r="D156" s="76" t="str">
        <f>D138</f>
        <v>kg</v>
      </c>
      <c r="E156" s="77"/>
      <c r="F156" s="82"/>
      <c r="G156" s="82"/>
      <c r="H156" s="82"/>
      <c r="N156" s="60"/>
      <c r="O156" s="60"/>
    </row>
    <row r="157" spans="2:15" ht="13" hidden="1" outlineLevel="1" x14ac:dyDescent="0.25">
      <c r="B157" s="74"/>
      <c r="C157" s="148"/>
      <c r="D157" s="76" t="str">
        <f>D138</f>
        <v>kg</v>
      </c>
      <c r="E157" s="77"/>
      <c r="F157" s="82"/>
      <c r="G157" s="82"/>
      <c r="H157" s="82"/>
      <c r="N157" s="60"/>
      <c r="O157" s="60"/>
    </row>
    <row r="158" spans="2:15" ht="13" hidden="1" outlineLevel="1" x14ac:dyDescent="0.25">
      <c r="B158" s="74"/>
      <c r="C158" s="148"/>
      <c r="D158" s="76" t="str">
        <f>D138</f>
        <v>kg</v>
      </c>
      <c r="E158" s="77"/>
      <c r="F158" s="82"/>
      <c r="G158" s="82"/>
      <c r="H158" s="82"/>
      <c r="N158" s="60"/>
      <c r="O158" s="60"/>
    </row>
    <row r="159" spans="2:15" ht="13" hidden="1" outlineLevel="1" x14ac:dyDescent="0.25">
      <c r="B159" s="74"/>
      <c r="C159" s="148"/>
      <c r="D159" s="76" t="str">
        <f>D138</f>
        <v>kg</v>
      </c>
      <c r="E159" s="77"/>
      <c r="F159" s="82"/>
      <c r="G159" s="82"/>
      <c r="H159" s="82"/>
      <c r="N159" s="60"/>
      <c r="O159" s="60"/>
    </row>
    <row r="160" spans="2:15" ht="13" hidden="1" outlineLevel="1" x14ac:dyDescent="0.25">
      <c r="B160" s="74"/>
      <c r="C160" s="148"/>
      <c r="D160" s="76" t="str">
        <f>D138</f>
        <v>kg</v>
      </c>
      <c r="E160" s="77"/>
      <c r="F160" s="82"/>
      <c r="G160" s="82"/>
      <c r="H160" s="82"/>
      <c r="N160" s="60"/>
      <c r="O160" s="60"/>
    </row>
    <row r="161" spans="2:15" ht="13.15" hidden="1" customHeight="1" outlineLevel="1" x14ac:dyDescent="0.25">
      <c r="B161" s="79"/>
      <c r="C161" s="147"/>
      <c r="D161" s="81"/>
      <c r="E161" s="77"/>
      <c r="F161" s="82"/>
      <c r="G161" s="82"/>
      <c r="H161" s="82"/>
      <c r="K161" s="34"/>
      <c r="N161" s="60"/>
      <c r="O161" s="60"/>
    </row>
    <row r="162" spans="2:15" ht="13" hidden="1" outlineLevel="1" x14ac:dyDescent="0.25">
      <c r="B162" s="86" t="s">
        <v>7</v>
      </c>
      <c r="C162" s="149">
        <f>SUM(C147:C160)</f>
        <v>0</v>
      </c>
      <c r="D162" s="88" t="str">
        <f>D138</f>
        <v>kg</v>
      </c>
      <c r="E162" s="77"/>
      <c r="F162" s="82"/>
      <c r="G162" s="82"/>
      <c r="H162" s="82"/>
      <c r="N162" s="60"/>
      <c r="O162" s="60"/>
    </row>
    <row r="163" spans="2:15" ht="13" hidden="1" outlineLevel="1" x14ac:dyDescent="0.25">
      <c r="B163" s="79" t="s">
        <v>71</v>
      </c>
      <c r="C163" s="150"/>
      <c r="D163" s="81"/>
      <c r="E163" s="77"/>
      <c r="F163" s="82"/>
      <c r="G163" s="82"/>
      <c r="H163" s="82"/>
      <c r="N163" s="60"/>
      <c r="O163" s="60"/>
    </row>
    <row r="164" spans="2:15" ht="13" hidden="1" outlineLevel="1" x14ac:dyDescent="0.25">
      <c r="B164" s="74"/>
      <c r="C164" s="148"/>
      <c r="D164" s="76" t="str">
        <f>D138</f>
        <v>kg</v>
      </c>
      <c r="E164" s="77"/>
      <c r="F164" s="82"/>
      <c r="G164" s="82"/>
      <c r="H164" s="82"/>
      <c r="N164" s="60"/>
      <c r="O164" s="60"/>
    </row>
    <row r="165" spans="2:15" ht="13" hidden="1" outlineLevel="1" x14ac:dyDescent="0.25">
      <c r="B165" s="74"/>
      <c r="C165" s="148"/>
      <c r="D165" s="76" t="str">
        <f>D138</f>
        <v>kg</v>
      </c>
      <c r="E165" s="77"/>
      <c r="F165" s="82"/>
      <c r="G165" s="82"/>
      <c r="H165" s="82"/>
      <c r="N165" s="60"/>
      <c r="O165" s="60"/>
    </row>
    <row r="166" spans="2:15" ht="13" hidden="1" outlineLevel="1" x14ac:dyDescent="0.25">
      <c r="B166" s="74"/>
      <c r="C166" s="148"/>
      <c r="D166" s="76" t="str">
        <f>D138</f>
        <v>kg</v>
      </c>
      <c r="E166" s="77"/>
      <c r="F166" s="82"/>
      <c r="G166" s="82"/>
      <c r="H166" s="82"/>
      <c r="N166" s="60"/>
      <c r="O166" s="60"/>
    </row>
    <row r="167" spans="2:15" ht="13" hidden="1" outlineLevel="1" x14ac:dyDescent="0.25">
      <c r="B167" s="74"/>
      <c r="C167" s="148"/>
      <c r="D167" s="76" t="str">
        <f>D138</f>
        <v>kg</v>
      </c>
      <c r="E167" s="77"/>
      <c r="F167" s="82"/>
      <c r="G167" s="82"/>
      <c r="H167" s="82"/>
      <c r="N167" s="60"/>
      <c r="O167" s="60"/>
    </row>
    <row r="168" spans="2:15" ht="13" hidden="1" outlineLevel="1" x14ac:dyDescent="0.25">
      <c r="B168" s="74"/>
      <c r="C168" s="148"/>
      <c r="D168" s="76" t="str">
        <f>D138</f>
        <v>kg</v>
      </c>
      <c r="E168" s="77"/>
      <c r="F168" s="82"/>
      <c r="G168" s="82"/>
      <c r="H168" s="82"/>
      <c r="N168" s="60"/>
      <c r="O168" s="60"/>
    </row>
    <row r="169" spans="2:15" ht="13" hidden="1" outlineLevel="1" x14ac:dyDescent="0.25">
      <c r="B169" s="74"/>
      <c r="C169" s="148"/>
      <c r="D169" s="76" t="str">
        <f>D138</f>
        <v>kg</v>
      </c>
      <c r="E169" s="77"/>
      <c r="F169" s="82"/>
      <c r="G169" s="82"/>
      <c r="H169" s="82"/>
      <c r="N169" s="60"/>
      <c r="O169" s="60"/>
    </row>
    <row r="170" spans="2:15" ht="13" hidden="1" outlineLevel="1" x14ac:dyDescent="0.25">
      <c r="B170" s="74"/>
      <c r="C170" s="148"/>
      <c r="D170" s="76" t="str">
        <f>D138</f>
        <v>kg</v>
      </c>
      <c r="E170" s="77"/>
      <c r="F170" s="82"/>
      <c r="G170" s="82"/>
      <c r="H170" s="82"/>
      <c r="N170" s="60"/>
      <c r="O170" s="60"/>
    </row>
    <row r="171" spans="2:15" ht="13" hidden="1" outlineLevel="1" x14ac:dyDescent="0.25">
      <c r="B171" s="74"/>
      <c r="C171" s="148"/>
      <c r="D171" s="76" t="str">
        <f>D138</f>
        <v>kg</v>
      </c>
      <c r="E171" s="77"/>
      <c r="F171" s="82"/>
      <c r="G171" s="82"/>
      <c r="H171" s="82"/>
      <c r="N171" s="60"/>
      <c r="O171" s="60"/>
    </row>
    <row r="172" spans="2:15" ht="13" hidden="1" outlineLevel="1" x14ac:dyDescent="0.25">
      <c r="B172" s="79" t="s">
        <v>70</v>
      </c>
      <c r="C172" s="147"/>
      <c r="D172" s="81"/>
      <c r="E172" s="90"/>
      <c r="F172" s="82"/>
      <c r="G172" s="82"/>
      <c r="H172" s="82"/>
      <c r="N172" s="60"/>
      <c r="O172" s="60"/>
    </row>
    <row r="173" spans="2:15" ht="13" hidden="1" outlineLevel="1" x14ac:dyDescent="0.25">
      <c r="B173" s="74"/>
      <c r="C173" s="148"/>
      <c r="D173" s="76" t="str">
        <f>D138</f>
        <v>kg</v>
      </c>
      <c r="E173" s="77"/>
      <c r="F173" s="82"/>
      <c r="G173" s="82"/>
      <c r="H173" s="82"/>
      <c r="N173" s="60"/>
      <c r="O173" s="60"/>
    </row>
    <row r="174" spans="2:15" ht="13" hidden="1" outlineLevel="1" x14ac:dyDescent="0.25">
      <c r="B174" s="74"/>
      <c r="C174" s="148"/>
      <c r="D174" s="76" t="str">
        <f>D138</f>
        <v>kg</v>
      </c>
      <c r="E174" s="77"/>
      <c r="F174" s="82"/>
      <c r="G174" s="82"/>
      <c r="H174" s="82"/>
      <c r="N174" s="60"/>
      <c r="O174" s="60"/>
    </row>
    <row r="175" spans="2:15" ht="13" hidden="1" outlineLevel="1" x14ac:dyDescent="0.25">
      <c r="B175" s="74"/>
      <c r="C175" s="148"/>
      <c r="D175" s="76" t="str">
        <f>D138</f>
        <v>kg</v>
      </c>
      <c r="E175" s="77"/>
      <c r="F175" s="82"/>
      <c r="G175" s="82"/>
      <c r="H175" s="82"/>
      <c r="N175" s="60"/>
      <c r="O175" s="60"/>
    </row>
    <row r="176" spans="2:15" ht="13" hidden="1" outlineLevel="1" x14ac:dyDescent="0.25">
      <c r="B176" s="74"/>
      <c r="C176" s="148"/>
      <c r="D176" s="76" t="str">
        <f>D138</f>
        <v>kg</v>
      </c>
      <c r="E176" s="77"/>
      <c r="F176" s="82"/>
      <c r="G176" s="82"/>
      <c r="H176" s="82"/>
      <c r="N176" s="60"/>
      <c r="O176" s="60"/>
    </row>
    <row r="177" spans="2:15" ht="13" hidden="1" outlineLevel="1" x14ac:dyDescent="0.25">
      <c r="B177" s="74"/>
      <c r="C177" s="148"/>
      <c r="D177" s="76" t="str">
        <f>D138</f>
        <v>kg</v>
      </c>
      <c r="E177" s="77"/>
      <c r="F177" s="82"/>
      <c r="G177" s="82"/>
      <c r="H177" s="82"/>
      <c r="N177" s="60"/>
      <c r="O177" s="60"/>
    </row>
    <row r="178" spans="2:15" ht="13" hidden="1" outlineLevel="1" x14ac:dyDescent="0.25">
      <c r="B178" s="74"/>
      <c r="C178" s="148"/>
      <c r="D178" s="76" t="str">
        <f>D138</f>
        <v>kg</v>
      </c>
      <c r="E178" s="77"/>
      <c r="F178" s="82"/>
      <c r="G178" s="82"/>
      <c r="H178" s="82"/>
      <c r="N178" s="60"/>
      <c r="O178" s="60"/>
    </row>
    <row r="179" spans="2:15" ht="13" hidden="1" outlineLevel="1" x14ac:dyDescent="0.25">
      <c r="B179" s="74"/>
      <c r="C179" s="148"/>
      <c r="D179" s="76" t="str">
        <f>D138</f>
        <v>kg</v>
      </c>
      <c r="E179" s="77"/>
      <c r="F179" s="82"/>
      <c r="G179" s="82"/>
      <c r="H179" s="82"/>
      <c r="N179" s="60"/>
      <c r="O179" s="60"/>
    </row>
    <row r="180" spans="2:15" ht="13.15" hidden="1" customHeight="1" outlineLevel="1" x14ac:dyDescent="0.25">
      <c r="B180" s="79"/>
      <c r="C180" s="147"/>
      <c r="D180" s="81"/>
      <c r="E180" s="77"/>
      <c r="F180" s="82"/>
      <c r="G180" s="82"/>
      <c r="H180" s="82"/>
      <c r="K180" s="34"/>
      <c r="N180" s="60"/>
      <c r="O180" s="60"/>
    </row>
    <row r="181" spans="2:15" ht="13" hidden="1" outlineLevel="1" x14ac:dyDescent="0.25">
      <c r="B181" s="86" t="s">
        <v>9</v>
      </c>
      <c r="C181" s="149">
        <f>SUM(C162:C179)</f>
        <v>0</v>
      </c>
      <c r="D181" s="91" t="str">
        <f>D138</f>
        <v>kg</v>
      </c>
      <c r="E181" s="77"/>
      <c r="F181" s="82"/>
      <c r="G181" s="82"/>
      <c r="H181" s="82"/>
      <c r="N181" s="60"/>
      <c r="O181" s="60"/>
    </row>
    <row r="182" spans="2:15" ht="13.5" hidden="1" outlineLevel="1" thickBot="1" x14ac:dyDescent="0.3">
      <c r="B182" s="92"/>
      <c r="C182" s="93"/>
      <c r="D182" s="94"/>
      <c r="E182" s="77"/>
      <c r="F182" s="82"/>
      <c r="G182" s="82"/>
      <c r="H182" s="82"/>
      <c r="N182" s="60"/>
      <c r="O182" s="60"/>
    </row>
    <row r="183" spans="2:15" ht="20.5" hidden="1" outlineLevel="1" thickBot="1" x14ac:dyDescent="0.3">
      <c r="B183" s="426" t="s">
        <v>10</v>
      </c>
      <c r="C183" s="427"/>
      <c r="D183" s="428"/>
      <c r="E183" s="77"/>
      <c r="F183" s="82"/>
      <c r="G183" s="82"/>
      <c r="H183" s="82"/>
      <c r="N183" s="60"/>
      <c r="O183" s="60"/>
    </row>
    <row r="184" spans="2:15" ht="13" hidden="1" outlineLevel="1" x14ac:dyDescent="0.25">
      <c r="B184" s="95" t="s">
        <v>23</v>
      </c>
      <c r="C184" s="96"/>
      <c r="D184" s="151">
        <f>SUM(C148:C149)</f>
        <v>0</v>
      </c>
      <c r="E184" s="98"/>
      <c r="F184" s="82"/>
      <c r="G184" s="82"/>
      <c r="H184" s="82"/>
      <c r="N184" s="60"/>
      <c r="O184" s="60"/>
    </row>
    <row r="185" spans="2:15" ht="13" hidden="1" outlineLevel="1" x14ac:dyDescent="0.25">
      <c r="B185" s="99" t="s">
        <v>24</v>
      </c>
      <c r="C185" s="100"/>
      <c r="D185" s="152">
        <f>SUM(C151:C161)</f>
        <v>0</v>
      </c>
      <c r="E185" s="98"/>
      <c r="F185" s="82"/>
      <c r="G185" s="82"/>
      <c r="H185" s="82"/>
      <c r="N185" s="60"/>
      <c r="O185" s="60"/>
    </row>
    <row r="186" spans="2:15" ht="13" hidden="1" outlineLevel="1" x14ac:dyDescent="0.25">
      <c r="B186" s="99" t="s">
        <v>25</v>
      </c>
      <c r="C186" s="100"/>
      <c r="D186" s="152">
        <f>SUM(C164:C172)</f>
        <v>0</v>
      </c>
      <c r="E186" s="98"/>
      <c r="F186" s="82"/>
      <c r="G186" s="82"/>
      <c r="H186" s="82"/>
      <c r="N186" s="60"/>
      <c r="O186" s="60"/>
    </row>
    <row r="187" spans="2:15" ht="13.5" hidden="1" outlineLevel="1" thickBot="1" x14ac:dyDescent="0.3">
      <c r="B187" s="102" t="s">
        <v>26</v>
      </c>
      <c r="C187" s="103"/>
      <c r="D187" s="153">
        <f>SUM(C173:C180)</f>
        <v>0</v>
      </c>
      <c r="E187" s="98"/>
      <c r="F187" s="82"/>
      <c r="G187" s="82"/>
      <c r="H187" s="82"/>
      <c r="N187" s="60"/>
      <c r="O187" s="60"/>
    </row>
    <row r="188" spans="2:15" ht="19" hidden="1" outlineLevel="1" thickTop="1" thickBot="1" x14ac:dyDescent="0.3">
      <c r="B188" s="105" t="s">
        <v>11</v>
      </c>
      <c r="C188" s="106"/>
      <c r="D188" s="107" t="e">
        <f>C162/C144</f>
        <v>#DIV/0!</v>
      </c>
      <c r="E188" s="77"/>
      <c r="F188" s="110" t="s">
        <v>86</v>
      </c>
      <c r="G188" s="109" t="s">
        <v>85</v>
      </c>
      <c r="H188" s="110"/>
      <c r="N188" s="60"/>
      <c r="O188" s="60"/>
    </row>
    <row r="189" spans="2:15" ht="18.5" hidden="1" outlineLevel="1" thickBot="1" x14ac:dyDescent="0.3">
      <c r="B189" s="111" t="s">
        <v>12</v>
      </c>
      <c r="C189" s="112"/>
      <c r="D189" s="113" t="e">
        <f>(D184+D185+D186)/C144</f>
        <v>#DIV/0!</v>
      </c>
      <c r="E189" s="77"/>
      <c r="F189" s="154"/>
      <c r="G189" s="413"/>
      <c r="H189" s="414"/>
      <c r="N189" s="60"/>
      <c r="O189" s="60"/>
    </row>
    <row r="190" spans="2:15" ht="18" hidden="1" customHeight="1" outlineLevel="1" x14ac:dyDescent="0.25">
      <c r="B190" s="111" t="s">
        <v>13</v>
      </c>
      <c r="C190" s="112"/>
      <c r="D190" s="113" t="e">
        <f>D186/C144</f>
        <v>#DIV/0!</v>
      </c>
      <c r="E190" s="90"/>
      <c r="F190" s="64" t="s">
        <v>45</v>
      </c>
      <c r="G190" s="64" t="s">
        <v>45</v>
      </c>
      <c r="H190" s="155"/>
      <c r="N190" s="60"/>
      <c r="O190" s="60"/>
    </row>
    <row r="191" spans="2:15" ht="18" hidden="1" customHeight="1" outlineLevel="1" thickBot="1" x14ac:dyDescent="0.3">
      <c r="B191" s="114" t="s">
        <v>14</v>
      </c>
      <c r="C191" s="115"/>
      <c r="D191" s="116" t="e">
        <f>D187/C144</f>
        <v>#DIV/0!</v>
      </c>
      <c r="E191" s="90"/>
      <c r="F191" s="110"/>
      <c r="G191" s="117" t="s">
        <v>46</v>
      </c>
      <c r="H191" s="110"/>
      <c r="N191" s="60"/>
      <c r="O191" s="60"/>
    </row>
    <row r="192" spans="2:15" ht="18.5" hidden="1" outlineLevel="1" thickBot="1" x14ac:dyDescent="0.3">
      <c r="B192" s="114" t="s">
        <v>15</v>
      </c>
      <c r="C192" s="119"/>
      <c r="D192" s="116" t="e">
        <f>SUM(D184:D187)/C144</f>
        <v>#DIV/0!</v>
      </c>
      <c r="E192" s="90"/>
      <c r="F192" s="429"/>
      <c r="G192" s="430"/>
      <c r="H192" s="431"/>
      <c r="N192" s="60"/>
      <c r="O192" s="60"/>
    </row>
    <row r="193" spans="2:15" ht="18.5" hidden="1" outlineLevel="1" thickTop="1" x14ac:dyDescent="0.25">
      <c r="B193" s="120" t="s">
        <v>16</v>
      </c>
      <c r="C193" s="121"/>
      <c r="D193" s="122" t="e">
        <f>((C148*D126)+D185+C149*MAX(1,F149))/C144</f>
        <v>#DIV/0!</v>
      </c>
      <c r="E193" s="77"/>
      <c r="F193" s="64" t="s">
        <v>45</v>
      </c>
      <c r="G193" s="64"/>
      <c r="H193" s="82"/>
      <c r="N193" s="60"/>
      <c r="O193" s="60"/>
    </row>
    <row r="194" spans="2:15" ht="18" hidden="1" outlineLevel="1" x14ac:dyDescent="0.25">
      <c r="B194" s="123" t="s">
        <v>17</v>
      </c>
      <c r="C194" s="124"/>
      <c r="D194" s="125" t="e">
        <f>(C148*D127+D185+D186+C149*(MAX(1,F149)+G149))/C144</f>
        <v>#DIV/0!</v>
      </c>
      <c r="E194" s="77"/>
      <c r="F194" s="82"/>
      <c r="G194" s="82"/>
      <c r="H194" s="82"/>
      <c r="N194" s="60"/>
      <c r="O194" s="60"/>
    </row>
    <row r="195" spans="2:15" ht="18" hidden="1" customHeight="1" outlineLevel="1" x14ac:dyDescent="0.25">
      <c r="B195" s="123" t="s">
        <v>18</v>
      </c>
      <c r="C195" s="124"/>
      <c r="D195" s="125" t="e">
        <f>((C148*D128)+D186+C149*G149)/C144</f>
        <v>#DIV/0!</v>
      </c>
      <c r="E195" s="77"/>
      <c r="F195" s="415" t="s">
        <v>61</v>
      </c>
      <c r="G195" s="416"/>
      <c r="H195" s="416"/>
      <c r="N195" s="60"/>
      <c r="O195" s="60"/>
    </row>
    <row r="196" spans="2:15" ht="18" hidden="1" outlineLevel="1" x14ac:dyDescent="0.25">
      <c r="B196" s="126" t="s">
        <v>19</v>
      </c>
      <c r="C196" s="127"/>
      <c r="D196" s="128" t="e">
        <f>(C148*D129+D187+C149*H149)/C144</f>
        <v>#DIV/0!</v>
      </c>
      <c r="E196" s="77"/>
      <c r="F196" s="416"/>
      <c r="G196" s="416"/>
      <c r="H196" s="416"/>
      <c r="N196" s="60"/>
      <c r="O196" s="60"/>
    </row>
    <row r="197" spans="2:15" ht="18.5" hidden="1" outlineLevel="1" thickBot="1" x14ac:dyDescent="0.3">
      <c r="B197" s="129" t="s">
        <v>20</v>
      </c>
      <c r="C197" s="130"/>
      <c r="D197" s="131" t="e">
        <f>((C148*D130)+SUM(D185:D187)+C149*(MAX(1,F149)+G149+H149))/C144</f>
        <v>#DIV/0!</v>
      </c>
      <c r="E197" s="77"/>
      <c r="F197" s="416"/>
      <c r="G197" s="416"/>
      <c r="H197" s="416"/>
      <c r="N197" s="60"/>
      <c r="O197" s="60"/>
    </row>
    <row r="198" spans="2:15" ht="13" hidden="1" outlineLevel="1" thickTop="1" x14ac:dyDescent="0.25">
      <c r="B198" s="156" t="s">
        <v>76</v>
      </c>
      <c r="C198" s="424"/>
      <c r="D198" s="425"/>
      <c r="E198" s="46"/>
      <c r="F198" s="416"/>
      <c r="G198" s="416"/>
      <c r="H198" s="416"/>
      <c r="N198" s="60"/>
      <c r="O198" s="60"/>
    </row>
    <row r="199" spans="2:15" hidden="1" outlineLevel="1" x14ac:dyDescent="0.25">
      <c r="B199" s="157" t="s">
        <v>58</v>
      </c>
      <c r="C199" s="422"/>
      <c r="D199" s="423"/>
      <c r="E199" s="46"/>
      <c r="F199" s="416"/>
      <c r="G199" s="416"/>
      <c r="H199" s="416"/>
      <c r="N199" s="60"/>
      <c r="O199" s="60"/>
    </row>
    <row r="200" spans="2:15" ht="13" hidden="1" outlineLevel="1" thickBot="1" x14ac:dyDescent="0.3">
      <c r="B200" s="158" t="s">
        <v>59</v>
      </c>
      <c r="C200" s="420"/>
      <c r="D200" s="421"/>
      <c r="E200" s="46"/>
      <c r="F200" s="416"/>
      <c r="G200" s="416"/>
      <c r="H200" s="416"/>
      <c r="N200" s="60"/>
      <c r="O200" s="60"/>
    </row>
    <row r="201" spans="2:15" ht="13" hidden="1" outlineLevel="1" x14ac:dyDescent="0.25">
      <c r="E201" s="46"/>
      <c r="F201" s="34"/>
      <c r="G201" s="34"/>
      <c r="H201" s="34"/>
      <c r="N201" s="60"/>
      <c r="O201" s="60"/>
    </row>
    <row r="202" spans="2:15" ht="13.5" hidden="1" outlineLevel="1" thickBot="1" x14ac:dyDescent="0.3">
      <c r="C202" s="25" t="s">
        <v>44</v>
      </c>
      <c r="D202" s="25" t="s">
        <v>42</v>
      </c>
      <c r="E202" s="46"/>
      <c r="F202" s="34"/>
      <c r="G202" s="34"/>
      <c r="H202" s="34"/>
      <c r="N202" s="60"/>
      <c r="O202" s="60"/>
    </row>
    <row r="203" spans="2:15" ht="23.25" hidden="1" customHeight="1" outlineLevel="1" thickTop="1" thickBot="1" x14ac:dyDescent="0.3">
      <c r="B203" s="140" t="s">
        <v>73</v>
      </c>
      <c r="C203" s="29"/>
      <c r="D203" s="141"/>
      <c r="E203" s="31"/>
      <c r="F203" s="32" t="s">
        <v>27</v>
      </c>
      <c r="G203" s="33"/>
      <c r="H203" s="33"/>
      <c r="I203" s="34"/>
    </row>
    <row r="204" spans="2:15" ht="14.5" hidden="1" outlineLevel="1" thickBot="1" x14ac:dyDescent="0.3">
      <c r="B204" s="37"/>
      <c r="C204" s="38" t="s">
        <v>0</v>
      </c>
      <c r="D204" s="39" t="s">
        <v>1</v>
      </c>
      <c r="E204" s="40"/>
      <c r="F204" s="41" t="s">
        <v>28</v>
      </c>
      <c r="G204" s="41" t="s">
        <v>21</v>
      </c>
      <c r="H204" s="41" t="s">
        <v>8</v>
      </c>
    </row>
    <row r="205" spans="2:15" ht="13" hidden="1" outlineLevel="1" x14ac:dyDescent="0.25">
      <c r="B205" s="43" t="s">
        <v>65</v>
      </c>
      <c r="C205" s="142"/>
      <c r="D205" s="45" t="s">
        <v>2</v>
      </c>
      <c r="E205" s="46"/>
      <c r="F205" s="47"/>
      <c r="G205" s="47"/>
      <c r="H205" s="47"/>
      <c r="N205" s="60"/>
      <c r="O205" s="60"/>
    </row>
    <row r="206" spans="2:15" ht="13" hidden="1" outlineLevel="1" x14ac:dyDescent="0.25">
      <c r="B206" s="43" t="s">
        <v>64</v>
      </c>
      <c r="C206" s="143"/>
      <c r="D206" s="45" t="s">
        <v>3</v>
      </c>
      <c r="E206" s="46"/>
      <c r="F206" s="47"/>
      <c r="G206" s="47"/>
      <c r="H206" s="47"/>
      <c r="N206" s="60"/>
      <c r="O206" s="60"/>
    </row>
    <row r="207" spans="2:15" ht="13" hidden="1" outlineLevel="1" x14ac:dyDescent="0.25">
      <c r="B207" s="51" t="s">
        <v>63</v>
      </c>
      <c r="C207" s="144">
        <f>C205*C206</f>
        <v>0</v>
      </c>
      <c r="D207" s="45" t="str">
        <f>D205</f>
        <v>kg</v>
      </c>
      <c r="E207" s="46"/>
      <c r="F207" s="47"/>
      <c r="G207" s="47"/>
      <c r="H207" s="47"/>
      <c r="N207" s="60"/>
      <c r="O207" s="60"/>
    </row>
    <row r="208" spans="2:15" ht="14" hidden="1" outlineLevel="1" x14ac:dyDescent="0.25">
      <c r="B208" s="54" t="s">
        <v>37</v>
      </c>
      <c r="C208" s="145">
        <v>1</v>
      </c>
      <c r="D208" s="56"/>
      <c r="E208" s="57"/>
      <c r="F208" s="58"/>
      <c r="G208" s="58"/>
      <c r="H208" s="58"/>
      <c r="N208" s="60"/>
      <c r="O208" s="60"/>
    </row>
    <row r="209" spans="2:15" ht="13" hidden="1" outlineLevel="1" x14ac:dyDescent="0.25">
      <c r="B209" s="43" t="s">
        <v>66</v>
      </c>
      <c r="C209" s="142"/>
      <c r="D209" s="45" t="str">
        <f>D205</f>
        <v>kg</v>
      </c>
      <c r="E209" s="46"/>
      <c r="F209" s="47"/>
      <c r="G209" s="47"/>
      <c r="H209" s="47"/>
      <c r="N209" s="60"/>
      <c r="O209" s="60"/>
    </row>
    <row r="210" spans="2:15" ht="13" hidden="1" outlineLevel="1" x14ac:dyDescent="0.25">
      <c r="B210" s="43" t="s">
        <v>67</v>
      </c>
      <c r="C210" s="143"/>
      <c r="D210" s="45" t="s">
        <v>3</v>
      </c>
      <c r="E210" s="59"/>
      <c r="F210" s="47"/>
      <c r="G210" s="47"/>
      <c r="H210" s="47"/>
      <c r="N210" s="60"/>
      <c r="O210" s="60"/>
    </row>
    <row r="211" spans="2:15" ht="13.5" hidden="1" outlineLevel="1" thickBot="1" x14ac:dyDescent="0.3">
      <c r="B211" s="51" t="s">
        <v>68</v>
      </c>
      <c r="C211" s="144">
        <f>C209*C210</f>
        <v>0</v>
      </c>
      <c r="D211" s="45" t="str">
        <f>D205</f>
        <v>kg</v>
      </c>
      <c r="E211" s="46"/>
      <c r="F211" s="47"/>
      <c r="G211" s="47"/>
      <c r="H211" s="47"/>
      <c r="N211" s="60"/>
      <c r="O211" s="60"/>
    </row>
    <row r="212" spans="2:15" ht="13.5" hidden="1" outlineLevel="1" thickBot="1" x14ac:dyDescent="0.3">
      <c r="B212" s="61"/>
      <c r="C212" s="62"/>
      <c r="D212" s="63"/>
      <c r="F212" s="64"/>
      <c r="G212" s="64"/>
      <c r="H212" s="64"/>
      <c r="N212" s="60"/>
      <c r="O212" s="60"/>
    </row>
    <row r="213" spans="2:15" ht="14.5" hidden="1" outlineLevel="1" thickBot="1" x14ac:dyDescent="0.3">
      <c r="B213" s="65" t="s">
        <v>5</v>
      </c>
      <c r="C213" s="66" t="s">
        <v>6</v>
      </c>
      <c r="D213" s="67" t="s">
        <v>1</v>
      </c>
      <c r="E213" s="68"/>
      <c r="F213" s="69"/>
      <c r="G213" s="69"/>
      <c r="H213" s="69"/>
      <c r="N213" s="60"/>
      <c r="O213" s="60"/>
    </row>
    <row r="214" spans="2:15" ht="13" hidden="1" outlineLevel="1" x14ac:dyDescent="0.25">
      <c r="B214" s="70" t="s">
        <v>43</v>
      </c>
      <c r="C214" s="71"/>
      <c r="D214" s="72"/>
      <c r="E214" s="73"/>
      <c r="F214" s="69"/>
      <c r="G214" s="69"/>
      <c r="H214" s="69"/>
      <c r="N214" s="60"/>
      <c r="O214" s="60"/>
    </row>
    <row r="215" spans="2:15" ht="13.5" hidden="1" outlineLevel="1" thickBot="1" x14ac:dyDescent="0.3">
      <c r="B215" s="74"/>
      <c r="C215" s="146">
        <f>C207</f>
        <v>0</v>
      </c>
      <c r="D215" s="76" t="str">
        <f>D205</f>
        <v>kg</v>
      </c>
      <c r="E215" s="98"/>
      <c r="F215" s="69"/>
      <c r="G215" s="69"/>
      <c r="H215" s="69"/>
      <c r="N215" s="60"/>
      <c r="O215" s="60"/>
    </row>
    <row r="216" spans="2:15" ht="13.5" hidden="1" outlineLevel="1" thickBot="1" x14ac:dyDescent="0.3">
      <c r="B216" s="74"/>
      <c r="C216" s="146"/>
      <c r="D216" s="76" t="str">
        <f>D205</f>
        <v>kg</v>
      </c>
      <c r="E216" s="77"/>
      <c r="F216" s="78"/>
      <c r="G216" s="78"/>
      <c r="H216" s="78"/>
      <c r="N216" s="60"/>
      <c r="O216" s="60"/>
    </row>
    <row r="217" spans="2:15" ht="13" hidden="1" outlineLevel="1" x14ac:dyDescent="0.25">
      <c r="B217" s="79" t="s">
        <v>69</v>
      </c>
      <c r="C217" s="147"/>
      <c r="D217" s="81"/>
      <c r="E217" s="77"/>
      <c r="F217" s="82"/>
      <c r="G217" s="82"/>
      <c r="H217" s="82"/>
      <c r="N217" s="60"/>
      <c r="O217" s="60"/>
    </row>
    <row r="218" spans="2:15" ht="13" hidden="1" outlineLevel="1" x14ac:dyDescent="0.25">
      <c r="B218" s="74"/>
      <c r="C218" s="148"/>
      <c r="D218" s="76" t="str">
        <f>D205</f>
        <v>kg</v>
      </c>
      <c r="E218" s="77"/>
      <c r="F218" s="82"/>
      <c r="G218" s="82"/>
      <c r="H218" s="82"/>
      <c r="N218" s="60"/>
      <c r="O218" s="60"/>
    </row>
    <row r="219" spans="2:15" ht="13" hidden="1" outlineLevel="1" x14ac:dyDescent="0.25">
      <c r="B219" s="74"/>
      <c r="C219" s="148"/>
      <c r="D219" s="76" t="str">
        <f>D205</f>
        <v>kg</v>
      </c>
      <c r="E219" s="77"/>
      <c r="F219" s="82"/>
      <c r="G219" s="82"/>
      <c r="H219" s="82"/>
      <c r="N219" s="60"/>
      <c r="O219" s="60"/>
    </row>
    <row r="220" spans="2:15" ht="13" hidden="1" outlineLevel="1" x14ac:dyDescent="0.25">
      <c r="B220" s="74"/>
      <c r="C220" s="148"/>
      <c r="D220" s="76" t="str">
        <f>D205</f>
        <v>kg</v>
      </c>
      <c r="E220" s="77"/>
      <c r="F220" s="82"/>
      <c r="G220" s="82"/>
      <c r="H220" s="82"/>
      <c r="N220" s="60"/>
      <c r="O220" s="60"/>
    </row>
    <row r="221" spans="2:15" ht="13" hidden="1" outlineLevel="1" x14ac:dyDescent="0.25">
      <c r="B221" s="74"/>
      <c r="C221" s="148"/>
      <c r="D221" s="76" t="str">
        <f>D205</f>
        <v>kg</v>
      </c>
      <c r="E221" s="77"/>
      <c r="F221" s="82"/>
      <c r="G221" s="82"/>
      <c r="H221" s="82"/>
      <c r="N221" s="60"/>
      <c r="O221" s="60"/>
    </row>
    <row r="222" spans="2:15" ht="13" hidden="1" outlineLevel="1" x14ac:dyDescent="0.25">
      <c r="B222" s="74"/>
      <c r="C222" s="148"/>
      <c r="D222" s="76" t="str">
        <f>D205</f>
        <v>kg</v>
      </c>
      <c r="E222" s="77"/>
      <c r="F222" s="82"/>
      <c r="G222" s="82"/>
      <c r="H222" s="82"/>
      <c r="N222" s="60"/>
      <c r="O222" s="60"/>
    </row>
    <row r="223" spans="2:15" ht="13" hidden="1" outlineLevel="1" x14ac:dyDescent="0.25">
      <c r="B223" s="74"/>
      <c r="C223" s="148"/>
      <c r="D223" s="76" t="str">
        <f>D205</f>
        <v>kg</v>
      </c>
      <c r="E223" s="77"/>
      <c r="F223" s="82"/>
      <c r="G223" s="82"/>
      <c r="H223" s="82"/>
      <c r="N223" s="60"/>
      <c r="O223" s="60"/>
    </row>
    <row r="224" spans="2:15" ht="13" hidden="1" outlineLevel="1" x14ac:dyDescent="0.25">
      <c r="B224" s="74"/>
      <c r="C224" s="148"/>
      <c r="D224" s="76" t="str">
        <f>D205</f>
        <v>kg</v>
      </c>
      <c r="E224" s="77"/>
      <c r="F224" s="82"/>
      <c r="G224" s="82"/>
      <c r="H224" s="82"/>
      <c r="N224" s="60"/>
      <c r="O224" s="60"/>
    </row>
    <row r="225" spans="2:15" ht="13" hidden="1" outlineLevel="1" x14ac:dyDescent="0.25">
      <c r="B225" s="74"/>
      <c r="C225" s="148"/>
      <c r="D225" s="76" t="str">
        <f>D205</f>
        <v>kg</v>
      </c>
      <c r="E225" s="77"/>
      <c r="F225" s="82"/>
      <c r="G225" s="82"/>
      <c r="H225" s="82"/>
      <c r="J225" s="159"/>
      <c r="N225" s="60"/>
      <c r="O225" s="60"/>
    </row>
    <row r="226" spans="2:15" ht="13" hidden="1" outlineLevel="1" x14ac:dyDescent="0.25">
      <c r="B226" s="74"/>
      <c r="C226" s="148"/>
      <c r="D226" s="76" t="str">
        <f>D205</f>
        <v>kg</v>
      </c>
      <c r="E226" s="77"/>
      <c r="F226" s="82"/>
      <c r="G226" s="82"/>
      <c r="H226" s="82"/>
      <c r="N226" s="60"/>
      <c r="O226" s="60"/>
    </row>
    <row r="227" spans="2:15" ht="13" hidden="1" outlineLevel="1" x14ac:dyDescent="0.25">
      <c r="B227" s="74"/>
      <c r="C227" s="148"/>
      <c r="D227" s="76" t="str">
        <f>D205</f>
        <v>kg</v>
      </c>
      <c r="E227" s="77"/>
      <c r="F227" s="82"/>
      <c r="G227" s="82"/>
      <c r="H227" s="82"/>
      <c r="N227" s="60"/>
      <c r="O227" s="60"/>
    </row>
    <row r="228" spans="2:15" ht="13.15" hidden="1" customHeight="1" outlineLevel="1" x14ac:dyDescent="0.25">
      <c r="B228" s="79"/>
      <c r="C228" s="147"/>
      <c r="D228" s="81"/>
      <c r="E228" s="77"/>
      <c r="F228" s="82"/>
      <c r="G228" s="82"/>
      <c r="H228" s="82"/>
      <c r="K228" s="34"/>
      <c r="N228" s="60"/>
      <c r="O228" s="60"/>
    </row>
    <row r="229" spans="2:15" ht="13" hidden="1" outlineLevel="1" x14ac:dyDescent="0.25">
      <c r="B229" s="86" t="s">
        <v>7</v>
      </c>
      <c r="C229" s="149">
        <f>SUM(C214:C227)</f>
        <v>0</v>
      </c>
      <c r="D229" s="88" t="str">
        <f>D205</f>
        <v>kg</v>
      </c>
      <c r="E229" s="77"/>
      <c r="F229" s="82"/>
      <c r="G229" s="82"/>
      <c r="H229" s="82"/>
      <c r="N229" s="60"/>
      <c r="O229" s="60"/>
    </row>
    <row r="230" spans="2:15" ht="13" hidden="1" outlineLevel="1" x14ac:dyDescent="0.25">
      <c r="B230" s="79" t="s">
        <v>71</v>
      </c>
      <c r="C230" s="150"/>
      <c r="D230" s="81"/>
      <c r="E230" s="77"/>
      <c r="F230" s="82"/>
      <c r="G230" s="82"/>
      <c r="H230" s="82"/>
      <c r="N230" s="60"/>
      <c r="O230" s="60"/>
    </row>
    <row r="231" spans="2:15" ht="13" hidden="1" outlineLevel="1" x14ac:dyDescent="0.25">
      <c r="B231" s="74"/>
      <c r="C231" s="148"/>
      <c r="D231" s="76" t="str">
        <f>D205</f>
        <v>kg</v>
      </c>
      <c r="E231" s="77"/>
      <c r="F231" s="82"/>
      <c r="G231" s="82"/>
      <c r="H231" s="82"/>
      <c r="J231" s="159"/>
      <c r="N231" s="60"/>
      <c r="O231" s="60"/>
    </row>
    <row r="232" spans="2:15" ht="13" hidden="1" outlineLevel="1" x14ac:dyDescent="0.25">
      <c r="B232" s="74"/>
      <c r="C232" s="148"/>
      <c r="D232" s="76" t="str">
        <f>D205</f>
        <v>kg</v>
      </c>
      <c r="E232" s="77"/>
      <c r="F232" s="82"/>
      <c r="G232" s="82"/>
      <c r="H232" s="82"/>
      <c r="J232" s="159"/>
      <c r="N232" s="60"/>
      <c r="O232" s="60"/>
    </row>
    <row r="233" spans="2:15" ht="13" hidden="1" outlineLevel="1" x14ac:dyDescent="0.25">
      <c r="B233" s="74"/>
      <c r="C233" s="148"/>
      <c r="D233" s="76" t="str">
        <f>D205</f>
        <v>kg</v>
      </c>
      <c r="E233" s="77"/>
      <c r="F233" s="82"/>
      <c r="G233" s="82"/>
      <c r="H233" s="82"/>
      <c r="J233" s="159"/>
      <c r="N233" s="60"/>
      <c r="O233" s="60"/>
    </row>
    <row r="234" spans="2:15" ht="13" hidden="1" outlineLevel="1" x14ac:dyDescent="0.25">
      <c r="B234" s="74"/>
      <c r="C234" s="148"/>
      <c r="D234" s="76" t="str">
        <f>D205</f>
        <v>kg</v>
      </c>
      <c r="E234" s="77"/>
      <c r="F234" s="82"/>
      <c r="G234" s="82"/>
      <c r="H234" s="82"/>
      <c r="N234" s="60"/>
      <c r="O234" s="60"/>
    </row>
    <row r="235" spans="2:15" ht="13" hidden="1" outlineLevel="1" x14ac:dyDescent="0.25">
      <c r="B235" s="74"/>
      <c r="C235" s="148"/>
      <c r="D235" s="76" t="str">
        <f>D205</f>
        <v>kg</v>
      </c>
      <c r="E235" s="77"/>
      <c r="F235" s="82"/>
      <c r="G235" s="82"/>
      <c r="H235" s="82"/>
      <c r="N235" s="60"/>
      <c r="O235" s="60"/>
    </row>
    <row r="236" spans="2:15" ht="13" hidden="1" outlineLevel="1" x14ac:dyDescent="0.25">
      <c r="B236" s="74"/>
      <c r="C236" s="148"/>
      <c r="D236" s="76" t="str">
        <f>D205</f>
        <v>kg</v>
      </c>
      <c r="E236" s="77"/>
      <c r="F236" s="82"/>
      <c r="G236" s="82"/>
      <c r="H236" s="82"/>
      <c r="N236" s="60"/>
      <c r="O236" s="60"/>
    </row>
    <row r="237" spans="2:15" ht="13" hidden="1" outlineLevel="1" x14ac:dyDescent="0.25">
      <c r="B237" s="74"/>
      <c r="C237" s="148"/>
      <c r="D237" s="76" t="str">
        <f>D205</f>
        <v>kg</v>
      </c>
      <c r="E237" s="77"/>
      <c r="F237" s="82"/>
      <c r="G237" s="82"/>
      <c r="H237" s="82"/>
      <c r="N237" s="60"/>
      <c r="O237" s="60"/>
    </row>
    <row r="238" spans="2:15" ht="13" hidden="1" outlineLevel="1" x14ac:dyDescent="0.25">
      <c r="B238" s="74"/>
      <c r="C238" s="148"/>
      <c r="D238" s="76" t="str">
        <f>D205</f>
        <v>kg</v>
      </c>
      <c r="E238" s="77"/>
      <c r="F238" s="82"/>
      <c r="G238" s="82"/>
      <c r="H238" s="82"/>
      <c r="N238" s="60"/>
      <c r="O238" s="60"/>
    </row>
    <row r="239" spans="2:15" ht="13" hidden="1" outlineLevel="1" x14ac:dyDescent="0.25">
      <c r="B239" s="79" t="s">
        <v>70</v>
      </c>
      <c r="C239" s="147"/>
      <c r="D239" s="81"/>
      <c r="E239" s="90"/>
      <c r="F239" s="82"/>
      <c r="G239" s="82"/>
      <c r="H239" s="82"/>
      <c r="N239" s="60"/>
      <c r="O239" s="60"/>
    </row>
    <row r="240" spans="2:15" ht="13" hidden="1" outlineLevel="1" x14ac:dyDescent="0.25">
      <c r="B240" s="74"/>
      <c r="C240" s="148"/>
      <c r="D240" s="76" t="str">
        <f>D205</f>
        <v>kg</v>
      </c>
      <c r="E240" s="77"/>
      <c r="F240" s="82"/>
      <c r="G240" s="82"/>
      <c r="H240" s="82"/>
      <c r="N240" s="60"/>
      <c r="O240" s="60"/>
    </row>
    <row r="241" spans="2:15" ht="13" hidden="1" outlineLevel="1" x14ac:dyDescent="0.25">
      <c r="B241" s="74"/>
      <c r="C241" s="148"/>
      <c r="D241" s="76" t="str">
        <f>D205</f>
        <v>kg</v>
      </c>
      <c r="E241" s="77"/>
      <c r="F241" s="82"/>
      <c r="G241" s="82"/>
      <c r="H241" s="82"/>
      <c r="N241" s="60"/>
      <c r="O241" s="60"/>
    </row>
    <row r="242" spans="2:15" ht="13" hidden="1" outlineLevel="1" x14ac:dyDescent="0.25">
      <c r="B242" s="74"/>
      <c r="C242" s="148"/>
      <c r="D242" s="76" t="str">
        <f>D205</f>
        <v>kg</v>
      </c>
      <c r="E242" s="77"/>
      <c r="F242" s="82"/>
      <c r="G242" s="82"/>
      <c r="H242" s="82"/>
      <c r="N242" s="60"/>
      <c r="O242" s="60"/>
    </row>
    <row r="243" spans="2:15" ht="13" hidden="1" outlineLevel="1" x14ac:dyDescent="0.25">
      <c r="B243" s="74"/>
      <c r="C243" s="148"/>
      <c r="D243" s="76" t="str">
        <f>D205</f>
        <v>kg</v>
      </c>
      <c r="E243" s="77"/>
      <c r="F243" s="82"/>
      <c r="G243" s="82"/>
      <c r="H243" s="82"/>
      <c r="N243" s="60"/>
      <c r="O243" s="60"/>
    </row>
    <row r="244" spans="2:15" ht="13" hidden="1" outlineLevel="1" x14ac:dyDescent="0.25">
      <c r="B244" s="74"/>
      <c r="C244" s="148"/>
      <c r="D244" s="76" t="str">
        <f>D205</f>
        <v>kg</v>
      </c>
      <c r="E244" s="77"/>
      <c r="F244" s="82"/>
      <c r="G244" s="82"/>
      <c r="H244" s="82"/>
      <c r="N244" s="60"/>
      <c r="O244" s="60"/>
    </row>
    <row r="245" spans="2:15" ht="13" hidden="1" outlineLevel="1" x14ac:dyDescent="0.25">
      <c r="B245" s="74"/>
      <c r="C245" s="148"/>
      <c r="D245" s="76" t="str">
        <f>D205</f>
        <v>kg</v>
      </c>
      <c r="E245" s="77"/>
      <c r="F245" s="82"/>
      <c r="G245" s="82"/>
      <c r="H245" s="82"/>
      <c r="N245" s="60"/>
      <c r="O245" s="60"/>
    </row>
    <row r="246" spans="2:15" ht="13" hidden="1" outlineLevel="1" x14ac:dyDescent="0.25">
      <c r="B246" s="74"/>
      <c r="C246" s="148"/>
      <c r="D246" s="76" t="str">
        <f>D205</f>
        <v>kg</v>
      </c>
      <c r="E246" s="77"/>
      <c r="F246" s="82"/>
      <c r="G246" s="82"/>
      <c r="H246" s="82"/>
      <c r="N246" s="60"/>
      <c r="O246" s="60"/>
    </row>
    <row r="247" spans="2:15" ht="13.15" hidden="1" customHeight="1" outlineLevel="1" x14ac:dyDescent="0.25">
      <c r="B247" s="79"/>
      <c r="C247" s="147"/>
      <c r="D247" s="81"/>
      <c r="E247" s="77"/>
      <c r="F247" s="82"/>
      <c r="G247" s="82"/>
      <c r="H247" s="82"/>
      <c r="K247" s="34"/>
      <c r="N247" s="60"/>
      <c r="O247" s="60"/>
    </row>
    <row r="248" spans="2:15" ht="13" hidden="1" outlineLevel="1" x14ac:dyDescent="0.25">
      <c r="B248" s="86" t="s">
        <v>9</v>
      </c>
      <c r="C248" s="149">
        <f>SUM(C229:C246)</f>
        <v>0</v>
      </c>
      <c r="D248" s="91" t="str">
        <f>D205</f>
        <v>kg</v>
      </c>
      <c r="E248" s="77"/>
      <c r="F248" s="82"/>
      <c r="G248" s="82"/>
      <c r="H248" s="82"/>
      <c r="N248" s="60"/>
      <c r="O248" s="60"/>
    </row>
    <row r="249" spans="2:15" ht="13.5" hidden="1" outlineLevel="1" thickBot="1" x14ac:dyDescent="0.3">
      <c r="B249" s="92"/>
      <c r="C249" s="93"/>
      <c r="D249" s="94"/>
      <c r="E249" s="77"/>
      <c r="F249" s="82"/>
      <c r="G249" s="82"/>
      <c r="H249" s="82"/>
      <c r="N249" s="60"/>
      <c r="O249" s="60"/>
    </row>
    <row r="250" spans="2:15" ht="20.5" hidden="1" outlineLevel="1" thickBot="1" x14ac:dyDescent="0.3">
      <c r="B250" s="426" t="s">
        <v>10</v>
      </c>
      <c r="C250" s="427"/>
      <c r="D250" s="428"/>
      <c r="E250" s="77"/>
      <c r="F250" s="82"/>
      <c r="G250" s="82"/>
      <c r="H250" s="82"/>
      <c r="N250" s="60"/>
      <c r="O250" s="60"/>
    </row>
    <row r="251" spans="2:15" ht="13" hidden="1" outlineLevel="1" x14ac:dyDescent="0.25">
      <c r="B251" s="95" t="s">
        <v>23</v>
      </c>
      <c r="C251" s="96"/>
      <c r="D251" s="151">
        <f>SUM(C215:C216)</f>
        <v>0</v>
      </c>
      <c r="E251" s="98"/>
      <c r="F251" s="82"/>
      <c r="G251" s="82"/>
      <c r="H251" s="82"/>
      <c r="N251" s="60"/>
      <c r="O251" s="60"/>
    </row>
    <row r="252" spans="2:15" ht="13" hidden="1" outlineLevel="1" x14ac:dyDescent="0.25">
      <c r="B252" s="99" t="s">
        <v>24</v>
      </c>
      <c r="C252" s="100"/>
      <c r="D252" s="152">
        <f>SUM(C218:C228)</f>
        <v>0</v>
      </c>
      <c r="E252" s="98"/>
      <c r="F252" s="82"/>
      <c r="G252" s="82"/>
      <c r="H252" s="82"/>
      <c r="N252" s="60"/>
      <c r="O252" s="60"/>
    </row>
    <row r="253" spans="2:15" ht="13" hidden="1" outlineLevel="1" x14ac:dyDescent="0.25">
      <c r="B253" s="99" t="s">
        <v>25</v>
      </c>
      <c r="C253" s="100"/>
      <c r="D253" s="152">
        <f>SUM(C231:C239)</f>
        <v>0</v>
      </c>
      <c r="E253" s="98"/>
      <c r="F253" s="82"/>
      <c r="G253" s="82"/>
      <c r="H253" s="82"/>
      <c r="N253" s="60"/>
      <c r="O253" s="60"/>
    </row>
    <row r="254" spans="2:15" ht="13.5" hidden="1" outlineLevel="1" thickBot="1" x14ac:dyDescent="0.3">
      <c r="B254" s="102" t="s">
        <v>26</v>
      </c>
      <c r="C254" s="103"/>
      <c r="D254" s="153">
        <f>SUM(C240:C247)</f>
        <v>0</v>
      </c>
      <c r="E254" s="98"/>
      <c r="F254" s="82"/>
      <c r="G254" s="82"/>
      <c r="H254" s="82"/>
      <c r="N254" s="60"/>
      <c r="O254" s="60"/>
    </row>
    <row r="255" spans="2:15" ht="19" hidden="1" outlineLevel="1" thickTop="1" thickBot="1" x14ac:dyDescent="0.3">
      <c r="B255" s="105" t="s">
        <v>11</v>
      </c>
      <c r="C255" s="106"/>
      <c r="D255" s="107" t="e">
        <f>C229/C211</f>
        <v>#DIV/0!</v>
      </c>
      <c r="E255" s="77"/>
      <c r="F255" s="110" t="s">
        <v>86</v>
      </c>
      <c r="G255" s="109" t="s">
        <v>85</v>
      </c>
      <c r="H255" s="110"/>
      <c r="N255" s="60"/>
      <c r="O255" s="60"/>
    </row>
    <row r="256" spans="2:15" ht="18.5" hidden="1" outlineLevel="1" thickBot="1" x14ac:dyDescent="0.3">
      <c r="B256" s="111" t="s">
        <v>12</v>
      </c>
      <c r="C256" s="112"/>
      <c r="D256" s="113" t="e">
        <f>(D251+D252+D253)/C211</f>
        <v>#DIV/0!</v>
      </c>
      <c r="E256" s="77"/>
      <c r="F256" s="154"/>
      <c r="G256" s="413"/>
      <c r="H256" s="414"/>
      <c r="N256" s="60"/>
      <c r="O256" s="60"/>
    </row>
    <row r="257" spans="2:15" ht="18" hidden="1" outlineLevel="1" x14ac:dyDescent="0.25">
      <c r="B257" s="111" t="s">
        <v>13</v>
      </c>
      <c r="C257" s="112"/>
      <c r="D257" s="113" t="e">
        <f>D253/C211</f>
        <v>#DIV/0!</v>
      </c>
      <c r="E257" s="90"/>
      <c r="F257" s="64" t="s">
        <v>45</v>
      </c>
      <c r="G257" s="64" t="s">
        <v>45</v>
      </c>
      <c r="H257" s="155"/>
      <c r="N257" s="60"/>
      <c r="O257" s="60"/>
    </row>
    <row r="258" spans="2:15" ht="18.5" hidden="1" outlineLevel="1" thickBot="1" x14ac:dyDescent="0.3">
      <c r="B258" s="114" t="s">
        <v>14</v>
      </c>
      <c r="C258" s="115"/>
      <c r="D258" s="116" t="e">
        <f>D254/C211</f>
        <v>#DIV/0!</v>
      </c>
      <c r="E258" s="90"/>
      <c r="F258" s="110"/>
      <c r="G258" s="117" t="s">
        <v>46</v>
      </c>
      <c r="H258" s="110"/>
      <c r="N258" s="60"/>
      <c r="O258" s="60"/>
    </row>
    <row r="259" spans="2:15" ht="18.5" hidden="1" outlineLevel="1" thickBot="1" x14ac:dyDescent="0.3">
      <c r="B259" s="114" t="s">
        <v>15</v>
      </c>
      <c r="C259" s="119"/>
      <c r="D259" s="116" t="e">
        <f>SUM(D251:D254)/C211</f>
        <v>#DIV/0!</v>
      </c>
      <c r="E259" s="90"/>
      <c r="F259" s="429"/>
      <c r="G259" s="430"/>
      <c r="H259" s="431"/>
      <c r="N259" s="60"/>
      <c r="O259" s="60"/>
    </row>
    <row r="260" spans="2:15" ht="18.5" hidden="1" outlineLevel="1" thickTop="1" x14ac:dyDescent="0.25">
      <c r="B260" s="120" t="s">
        <v>16</v>
      </c>
      <c r="C260" s="121"/>
      <c r="D260" s="122" t="e">
        <f>((C215*D193)+D252+C216*MAX(1,F216))/C211</f>
        <v>#DIV/0!</v>
      </c>
      <c r="E260" s="77"/>
      <c r="F260" s="64" t="s">
        <v>45</v>
      </c>
      <c r="G260" s="64"/>
      <c r="H260" s="82"/>
      <c r="N260" s="60"/>
      <c r="O260" s="60"/>
    </row>
    <row r="261" spans="2:15" ht="18" hidden="1" outlineLevel="1" x14ac:dyDescent="0.25">
      <c r="B261" s="123" t="s">
        <v>17</v>
      </c>
      <c r="C261" s="124"/>
      <c r="D261" s="125" t="e">
        <f>(C215*D194+D252+D253+C216*(MAX(1,F216)+G216))/C211</f>
        <v>#DIV/0!</v>
      </c>
      <c r="E261" s="77"/>
      <c r="F261" s="82"/>
      <c r="G261" s="82"/>
      <c r="H261" s="82"/>
      <c r="N261" s="60"/>
      <c r="O261" s="60"/>
    </row>
    <row r="262" spans="2:15" ht="18" hidden="1" customHeight="1" outlineLevel="1" x14ac:dyDescent="0.25">
      <c r="B262" s="123" t="s">
        <v>18</v>
      </c>
      <c r="C262" s="124"/>
      <c r="D262" s="125" t="e">
        <f>((C215*D195)+D253+C216*G216)/C211</f>
        <v>#DIV/0!</v>
      </c>
      <c r="E262" s="77"/>
      <c r="F262" s="415" t="s">
        <v>61</v>
      </c>
      <c r="G262" s="416"/>
      <c r="H262" s="416"/>
      <c r="N262" s="60"/>
      <c r="O262" s="60"/>
    </row>
    <row r="263" spans="2:15" ht="18" hidden="1" outlineLevel="1" x14ac:dyDescent="0.25">
      <c r="B263" s="126" t="s">
        <v>19</v>
      </c>
      <c r="C263" s="127"/>
      <c r="D263" s="128" t="e">
        <f>(C215*D196+D254+C216*H216)/C211</f>
        <v>#DIV/0!</v>
      </c>
      <c r="E263" s="77"/>
      <c r="F263" s="416"/>
      <c r="G263" s="416"/>
      <c r="H263" s="416"/>
      <c r="N263" s="60"/>
      <c r="O263" s="60"/>
    </row>
    <row r="264" spans="2:15" ht="18.5" hidden="1" outlineLevel="1" thickBot="1" x14ac:dyDescent="0.3">
      <c r="B264" s="129" t="s">
        <v>20</v>
      </c>
      <c r="C264" s="130"/>
      <c r="D264" s="131" t="e">
        <f>((C215*D197)+SUM(D252:D254)+C216*(MAX(1,F216)+G216+H216))/C211</f>
        <v>#DIV/0!</v>
      </c>
      <c r="E264" s="77"/>
      <c r="F264" s="416"/>
      <c r="G264" s="416"/>
      <c r="H264" s="416"/>
      <c r="N264" s="60"/>
      <c r="O264" s="60"/>
    </row>
    <row r="265" spans="2:15" ht="13" hidden="1" outlineLevel="1" thickTop="1" x14ac:dyDescent="0.25">
      <c r="B265" s="156" t="s">
        <v>76</v>
      </c>
      <c r="C265" s="424"/>
      <c r="D265" s="425"/>
      <c r="E265" s="46"/>
      <c r="F265" s="416"/>
      <c r="G265" s="416"/>
      <c r="H265" s="416"/>
      <c r="N265" s="60"/>
      <c r="O265" s="60"/>
    </row>
    <row r="266" spans="2:15" hidden="1" outlineLevel="1" x14ac:dyDescent="0.25">
      <c r="B266" s="157" t="s">
        <v>58</v>
      </c>
      <c r="C266" s="422"/>
      <c r="D266" s="423"/>
      <c r="E266" s="46"/>
      <c r="F266" s="416"/>
      <c r="G266" s="416"/>
      <c r="H266" s="416"/>
      <c r="N266" s="60"/>
      <c r="O266" s="60"/>
    </row>
    <row r="267" spans="2:15" ht="13" hidden="1" outlineLevel="1" thickBot="1" x14ac:dyDescent="0.3">
      <c r="B267" s="158" t="s">
        <v>59</v>
      </c>
      <c r="C267" s="420"/>
      <c r="D267" s="421"/>
      <c r="E267" s="46"/>
      <c r="F267" s="416"/>
      <c r="G267" s="416"/>
      <c r="H267" s="416"/>
      <c r="N267" s="60"/>
      <c r="O267" s="60"/>
    </row>
    <row r="268" spans="2:15" ht="13" hidden="1" outlineLevel="1" x14ac:dyDescent="0.25">
      <c r="E268" s="46"/>
      <c r="F268" s="34"/>
      <c r="G268" s="34"/>
      <c r="H268" s="34"/>
      <c r="N268" s="60"/>
      <c r="O268" s="60"/>
    </row>
    <row r="269" spans="2:15" ht="13.5" hidden="1" outlineLevel="1" thickBot="1" x14ac:dyDescent="0.3">
      <c r="C269" s="25" t="s">
        <v>44</v>
      </c>
      <c r="D269" s="25" t="s">
        <v>42</v>
      </c>
      <c r="E269" s="46"/>
      <c r="F269" s="34"/>
      <c r="G269" s="34"/>
      <c r="H269" s="34"/>
      <c r="N269" s="60"/>
      <c r="O269" s="60"/>
    </row>
    <row r="270" spans="2:15" ht="21" hidden="1" outlineLevel="1" thickTop="1" thickBot="1" x14ac:dyDescent="0.3">
      <c r="B270" s="140" t="s">
        <v>73</v>
      </c>
      <c r="C270" s="29"/>
      <c r="D270" s="141"/>
      <c r="E270" s="31"/>
      <c r="F270" s="32" t="s">
        <v>27</v>
      </c>
      <c r="G270" s="33"/>
      <c r="H270" s="33"/>
      <c r="I270" s="34"/>
    </row>
    <row r="271" spans="2:15" ht="14.5" hidden="1" outlineLevel="1" thickBot="1" x14ac:dyDescent="0.3">
      <c r="B271" s="37"/>
      <c r="C271" s="38" t="s">
        <v>0</v>
      </c>
      <c r="D271" s="39" t="s">
        <v>1</v>
      </c>
      <c r="E271" s="40"/>
      <c r="F271" s="41" t="s">
        <v>28</v>
      </c>
      <c r="G271" s="41" t="s">
        <v>21</v>
      </c>
      <c r="H271" s="41" t="s">
        <v>8</v>
      </c>
    </row>
    <row r="272" spans="2:15" ht="13" hidden="1" outlineLevel="1" x14ac:dyDescent="0.25">
      <c r="B272" s="43" t="s">
        <v>65</v>
      </c>
      <c r="C272" s="142"/>
      <c r="D272" s="45" t="s">
        <v>2</v>
      </c>
      <c r="E272" s="46"/>
      <c r="F272" s="47"/>
      <c r="G272" s="47"/>
      <c r="H272" s="47"/>
      <c r="N272" s="60"/>
      <c r="O272" s="60"/>
    </row>
    <row r="273" spans="2:15" ht="13" hidden="1" outlineLevel="1" x14ac:dyDescent="0.25">
      <c r="B273" s="43" t="s">
        <v>64</v>
      </c>
      <c r="C273" s="143"/>
      <c r="D273" s="45" t="s">
        <v>3</v>
      </c>
      <c r="E273" s="46"/>
      <c r="F273" s="47"/>
      <c r="G273" s="47"/>
      <c r="H273" s="47"/>
      <c r="N273" s="60"/>
      <c r="O273" s="60"/>
    </row>
    <row r="274" spans="2:15" ht="13" hidden="1" outlineLevel="1" x14ac:dyDescent="0.25">
      <c r="B274" s="51" t="s">
        <v>63</v>
      </c>
      <c r="C274" s="144">
        <f>C272*C273</f>
        <v>0</v>
      </c>
      <c r="D274" s="45" t="str">
        <f>D272</f>
        <v>kg</v>
      </c>
      <c r="E274" s="46"/>
      <c r="F274" s="47"/>
      <c r="G274" s="47"/>
      <c r="H274" s="47"/>
      <c r="N274" s="60"/>
      <c r="O274" s="60"/>
    </row>
    <row r="275" spans="2:15" ht="14" hidden="1" outlineLevel="1" x14ac:dyDescent="0.25">
      <c r="B275" s="54" t="s">
        <v>37</v>
      </c>
      <c r="C275" s="145">
        <v>1</v>
      </c>
      <c r="D275" s="56"/>
      <c r="E275" s="57"/>
      <c r="F275" s="58"/>
      <c r="G275" s="58"/>
      <c r="H275" s="58"/>
      <c r="N275" s="60"/>
      <c r="O275" s="60"/>
    </row>
    <row r="276" spans="2:15" ht="13" hidden="1" outlineLevel="1" x14ac:dyDescent="0.25">
      <c r="B276" s="43" t="s">
        <v>66</v>
      </c>
      <c r="C276" s="142"/>
      <c r="D276" s="45" t="str">
        <f>D272</f>
        <v>kg</v>
      </c>
      <c r="E276" s="46"/>
      <c r="F276" s="47"/>
      <c r="G276" s="47"/>
      <c r="H276" s="47"/>
      <c r="J276" s="159"/>
      <c r="N276" s="60"/>
      <c r="O276" s="60"/>
    </row>
    <row r="277" spans="2:15" ht="13" hidden="1" outlineLevel="1" x14ac:dyDescent="0.25">
      <c r="B277" s="43" t="s">
        <v>67</v>
      </c>
      <c r="C277" s="143"/>
      <c r="D277" s="45" t="s">
        <v>3</v>
      </c>
      <c r="E277" s="59"/>
      <c r="F277" s="47"/>
      <c r="G277" s="47"/>
      <c r="H277" s="47"/>
      <c r="N277" s="60"/>
      <c r="O277" s="60"/>
    </row>
    <row r="278" spans="2:15" ht="13.5" hidden="1" outlineLevel="1" thickBot="1" x14ac:dyDescent="0.3">
      <c r="B278" s="51" t="s">
        <v>68</v>
      </c>
      <c r="C278" s="144">
        <f>C276*C277</f>
        <v>0</v>
      </c>
      <c r="D278" s="45" t="str">
        <f>D272</f>
        <v>kg</v>
      </c>
      <c r="E278" s="46"/>
      <c r="F278" s="47"/>
      <c r="G278" s="47"/>
      <c r="H278" s="47"/>
      <c r="N278" s="60"/>
      <c r="O278" s="60"/>
    </row>
    <row r="279" spans="2:15" ht="13.5" hidden="1" outlineLevel="1" thickBot="1" x14ac:dyDescent="0.3">
      <c r="B279" s="61"/>
      <c r="C279" s="62"/>
      <c r="D279" s="63"/>
      <c r="F279" s="64"/>
      <c r="G279" s="64"/>
      <c r="H279" s="64"/>
      <c r="N279" s="60"/>
      <c r="O279" s="60"/>
    </row>
    <row r="280" spans="2:15" ht="14.5" hidden="1" outlineLevel="1" thickBot="1" x14ac:dyDescent="0.3">
      <c r="B280" s="65" t="s">
        <v>5</v>
      </c>
      <c r="C280" s="66" t="s">
        <v>6</v>
      </c>
      <c r="D280" s="67" t="s">
        <v>1</v>
      </c>
      <c r="E280" s="68"/>
      <c r="F280" s="69"/>
      <c r="G280" s="69"/>
      <c r="H280" s="69"/>
      <c r="N280" s="60"/>
      <c r="O280" s="60"/>
    </row>
    <row r="281" spans="2:15" ht="13" hidden="1" outlineLevel="1" x14ac:dyDescent="0.25">
      <c r="B281" s="70" t="s">
        <v>43</v>
      </c>
      <c r="C281" s="71"/>
      <c r="D281" s="72"/>
      <c r="E281" s="73"/>
      <c r="F281" s="69"/>
      <c r="G281" s="69"/>
      <c r="H281" s="69"/>
      <c r="N281" s="60"/>
      <c r="O281" s="60"/>
    </row>
    <row r="282" spans="2:15" ht="13.5" hidden="1" outlineLevel="1" thickBot="1" x14ac:dyDescent="0.3">
      <c r="B282" s="74"/>
      <c r="C282" s="146">
        <f>C274</f>
        <v>0</v>
      </c>
      <c r="D282" s="76" t="str">
        <f>D272</f>
        <v>kg</v>
      </c>
      <c r="E282" s="98"/>
      <c r="F282" s="69"/>
      <c r="G282" s="69"/>
      <c r="H282" s="69"/>
      <c r="N282" s="60"/>
      <c r="O282" s="60"/>
    </row>
    <row r="283" spans="2:15" ht="13.5" hidden="1" outlineLevel="1" thickBot="1" x14ac:dyDescent="0.3">
      <c r="B283" s="74"/>
      <c r="C283" s="146"/>
      <c r="D283" s="76" t="str">
        <f>D272</f>
        <v>kg</v>
      </c>
      <c r="E283" s="77"/>
      <c r="F283" s="78"/>
      <c r="G283" s="78"/>
      <c r="H283" s="78"/>
      <c r="N283" s="60"/>
      <c r="O283" s="60"/>
    </row>
    <row r="284" spans="2:15" ht="13" hidden="1" outlineLevel="1" x14ac:dyDescent="0.25">
      <c r="B284" s="79" t="s">
        <v>69</v>
      </c>
      <c r="C284" s="147"/>
      <c r="D284" s="81"/>
      <c r="E284" s="77"/>
      <c r="F284" s="82"/>
      <c r="G284" s="82"/>
      <c r="H284" s="82"/>
      <c r="N284" s="60"/>
      <c r="O284" s="60"/>
    </row>
    <row r="285" spans="2:15" ht="13" hidden="1" outlineLevel="1" x14ac:dyDescent="0.25">
      <c r="B285" s="74"/>
      <c r="C285" s="148"/>
      <c r="D285" s="76" t="str">
        <f>D272</f>
        <v>kg</v>
      </c>
      <c r="E285" s="77"/>
      <c r="F285" s="82"/>
      <c r="G285" s="82"/>
      <c r="H285" s="82"/>
      <c r="N285" s="60"/>
      <c r="O285" s="60"/>
    </row>
    <row r="286" spans="2:15" ht="13" hidden="1" outlineLevel="1" x14ac:dyDescent="0.25">
      <c r="B286" s="74"/>
      <c r="C286" s="148"/>
      <c r="D286" s="76" t="str">
        <f>D272</f>
        <v>kg</v>
      </c>
      <c r="E286" s="77"/>
      <c r="F286" s="82"/>
      <c r="G286" s="82"/>
      <c r="H286" s="82"/>
      <c r="N286" s="60"/>
      <c r="O286" s="60"/>
    </row>
    <row r="287" spans="2:15" ht="13" hidden="1" outlineLevel="1" x14ac:dyDescent="0.25">
      <c r="B287" s="74"/>
      <c r="C287" s="148"/>
      <c r="D287" s="76" t="str">
        <f>D272</f>
        <v>kg</v>
      </c>
      <c r="E287" s="77"/>
      <c r="F287" s="82"/>
      <c r="G287" s="82"/>
      <c r="H287" s="82"/>
      <c r="N287" s="60"/>
      <c r="O287" s="60"/>
    </row>
    <row r="288" spans="2:15" ht="13" hidden="1" outlineLevel="1" x14ac:dyDescent="0.25">
      <c r="B288" s="74"/>
      <c r="C288" s="148"/>
      <c r="D288" s="76" t="str">
        <f>D272</f>
        <v>kg</v>
      </c>
      <c r="E288" s="77"/>
      <c r="F288" s="82"/>
      <c r="G288" s="82"/>
      <c r="H288" s="82"/>
      <c r="N288" s="60"/>
      <c r="O288" s="60"/>
    </row>
    <row r="289" spans="2:15" ht="13" hidden="1" outlineLevel="1" x14ac:dyDescent="0.25">
      <c r="B289" s="74"/>
      <c r="C289" s="148"/>
      <c r="D289" s="76" t="str">
        <f>D272</f>
        <v>kg</v>
      </c>
      <c r="E289" s="77"/>
      <c r="F289" s="82"/>
      <c r="G289" s="82"/>
      <c r="H289" s="82"/>
      <c r="N289" s="60"/>
      <c r="O289" s="60"/>
    </row>
    <row r="290" spans="2:15" ht="13" hidden="1" outlineLevel="1" x14ac:dyDescent="0.25">
      <c r="B290" s="74"/>
      <c r="C290" s="148"/>
      <c r="D290" s="76" t="str">
        <f>D272</f>
        <v>kg</v>
      </c>
      <c r="E290" s="77"/>
      <c r="F290" s="82"/>
      <c r="G290" s="82"/>
      <c r="H290" s="82"/>
      <c r="N290" s="60"/>
      <c r="O290" s="60"/>
    </row>
    <row r="291" spans="2:15" ht="13" hidden="1" outlineLevel="1" x14ac:dyDescent="0.25">
      <c r="B291" s="74"/>
      <c r="C291" s="148"/>
      <c r="D291" s="76" t="str">
        <f>D272</f>
        <v>kg</v>
      </c>
      <c r="E291" s="77"/>
      <c r="F291" s="82"/>
      <c r="G291" s="82"/>
      <c r="H291" s="82"/>
      <c r="N291" s="60"/>
      <c r="O291" s="60"/>
    </row>
    <row r="292" spans="2:15" ht="13" hidden="1" outlineLevel="1" x14ac:dyDescent="0.25">
      <c r="B292" s="74"/>
      <c r="C292" s="148"/>
      <c r="D292" s="76" t="str">
        <f>D272</f>
        <v>kg</v>
      </c>
      <c r="E292" s="77"/>
      <c r="F292" s="82"/>
      <c r="G292" s="82"/>
      <c r="H292" s="82"/>
      <c r="N292" s="60"/>
      <c r="O292" s="60"/>
    </row>
    <row r="293" spans="2:15" ht="13" hidden="1" outlineLevel="1" x14ac:dyDescent="0.25">
      <c r="B293" s="74"/>
      <c r="C293" s="148"/>
      <c r="D293" s="76" t="str">
        <f>D272</f>
        <v>kg</v>
      </c>
      <c r="E293" s="77"/>
      <c r="F293" s="82"/>
      <c r="G293" s="82"/>
      <c r="H293" s="82"/>
      <c r="N293" s="60"/>
      <c r="O293" s="60"/>
    </row>
    <row r="294" spans="2:15" ht="13" hidden="1" outlineLevel="1" x14ac:dyDescent="0.25">
      <c r="B294" s="74"/>
      <c r="C294" s="148"/>
      <c r="D294" s="76" t="str">
        <f>D272</f>
        <v>kg</v>
      </c>
      <c r="E294" s="77"/>
      <c r="F294" s="82"/>
      <c r="G294" s="82"/>
      <c r="H294" s="82"/>
      <c r="N294" s="60"/>
      <c r="O294" s="60"/>
    </row>
    <row r="295" spans="2:15" ht="13.15" hidden="1" customHeight="1" outlineLevel="1" x14ac:dyDescent="0.25">
      <c r="B295" s="79"/>
      <c r="C295" s="147"/>
      <c r="D295" s="81"/>
      <c r="E295" s="77"/>
      <c r="F295" s="82"/>
      <c r="G295" s="82"/>
      <c r="H295" s="82"/>
      <c r="K295" s="34"/>
      <c r="N295" s="60"/>
      <c r="O295" s="60"/>
    </row>
    <row r="296" spans="2:15" ht="13" hidden="1" outlineLevel="1" x14ac:dyDescent="0.25">
      <c r="B296" s="86" t="s">
        <v>7</v>
      </c>
      <c r="C296" s="149">
        <f>SUM(C281:C294)</f>
        <v>0</v>
      </c>
      <c r="D296" s="88" t="str">
        <f>D272</f>
        <v>kg</v>
      </c>
      <c r="E296" s="77"/>
      <c r="F296" s="82"/>
      <c r="G296" s="82"/>
      <c r="H296" s="82"/>
      <c r="N296" s="60"/>
      <c r="O296" s="60"/>
    </row>
    <row r="297" spans="2:15" ht="13" hidden="1" outlineLevel="1" x14ac:dyDescent="0.25">
      <c r="B297" s="79" t="s">
        <v>71</v>
      </c>
      <c r="C297" s="150"/>
      <c r="D297" s="81"/>
      <c r="E297" s="77"/>
      <c r="F297" s="82"/>
      <c r="G297" s="82"/>
      <c r="H297" s="82"/>
      <c r="N297" s="60"/>
      <c r="O297" s="60"/>
    </row>
    <row r="298" spans="2:15" ht="13" hidden="1" outlineLevel="1" x14ac:dyDescent="0.25">
      <c r="B298" s="74"/>
      <c r="C298" s="148"/>
      <c r="D298" s="76" t="str">
        <f>D272</f>
        <v>kg</v>
      </c>
      <c r="E298" s="77"/>
      <c r="F298" s="82"/>
      <c r="G298" s="82"/>
      <c r="H298" s="82"/>
      <c r="N298" s="60"/>
      <c r="O298" s="60"/>
    </row>
    <row r="299" spans="2:15" ht="13" hidden="1" outlineLevel="1" x14ac:dyDescent="0.25">
      <c r="B299" s="74"/>
      <c r="C299" s="148"/>
      <c r="D299" s="76" t="str">
        <f>D272</f>
        <v>kg</v>
      </c>
      <c r="E299" s="77"/>
      <c r="F299" s="82"/>
      <c r="G299" s="82"/>
      <c r="H299" s="82"/>
      <c r="N299" s="60"/>
      <c r="O299" s="60"/>
    </row>
    <row r="300" spans="2:15" ht="13" hidden="1" outlineLevel="1" x14ac:dyDescent="0.25">
      <c r="B300" s="74"/>
      <c r="C300" s="148"/>
      <c r="D300" s="76" t="str">
        <f>D272</f>
        <v>kg</v>
      </c>
      <c r="E300" s="77"/>
      <c r="F300" s="82"/>
      <c r="G300" s="82"/>
      <c r="H300" s="82"/>
      <c r="N300" s="60"/>
      <c r="O300" s="60"/>
    </row>
    <row r="301" spans="2:15" ht="13" hidden="1" outlineLevel="1" x14ac:dyDescent="0.25">
      <c r="B301" s="74"/>
      <c r="C301" s="148"/>
      <c r="D301" s="76" t="str">
        <f>D272</f>
        <v>kg</v>
      </c>
      <c r="E301" s="77"/>
      <c r="F301" s="82"/>
      <c r="G301" s="82"/>
      <c r="H301" s="82"/>
      <c r="N301" s="60"/>
      <c r="O301" s="60"/>
    </row>
    <row r="302" spans="2:15" ht="13" hidden="1" outlineLevel="1" x14ac:dyDescent="0.25">
      <c r="B302" s="74"/>
      <c r="C302" s="148"/>
      <c r="D302" s="76" t="str">
        <f>D272</f>
        <v>kg</v>
      </c>
      <c r="E302" s="77"/>
      <c r="F302" s="82"/>
      <c r="G302" s="82"/>
      <c r="H302" s="82"/>
      <c r="N302" s="60"/>
      <c r="O302" s="60"/>
    </row>
    <row r="303" spans="2:15" ht="13" hidden="1" outlineLevel="1" x14ac:dyDescent="0.25">
      <c r="B303" s="74"/>
      <c r="C303" s="148"/>
      <c r="D303" s="76" t="str">
        <f>D272</f>
        <v>kg</v>
      </c>
      <c r="E303" s="77"/>
      <c r="F303" s="82"/>
      <c r="G303" s="82"/>
      <c r="H303" s="82"/>
      <c r="N303" s="60"/>
      <c r="O303" s="60"/>
    </row>
    <row r="304" spans="2:15" ht="13" hidden="1" outlineLevel="1" x14ac:dyDescent="0.25">
      <c r="B304" s="74"/>
      <c r="C304" s="148"/>
      <c r="D304" s="76" t="str">
        <f>D272</f>
        <v>kg</v>
      </c>
      <c r="E304" s="77"/>
      <c r="F304" s="82"/>
      <c r="G304" s="82"/>
      <c r="H304" s="82"/>
      <c r="N304" s="60"/>
      <c r="O304" s="60"/>
    </row>
    <row r="305" spans="2:15" ht="13" hidden="1" outlineLevel="1" x14ac:dyDescent="0.25">
      <c r="B305" s="74"/>
      <c r="C305" s="148"/>
      <c r="D305" s="76" t="str">
        <f>D272</f>
        <v>kg</v>
      </c>
      <c r="E305" s="77"/>
      <c r="F305" s="82"/>
      <c r="G305" s="82"/>
      <c r="H305" s="82"/>
      <c r="N305" s="60"/>
      <c r="O305" s="60"/>
    </row>
    <row r="306" spans="2:15" ht="13" hidden="1" outlineLevel="1" x14ac:dyDescent="0.25">
      <c r="B306" s="79" t="s">
        <v>70</v>
      </c>
      <c r="C306" s="147"/>
      <c r="D306" s="81"/>
      <c r="E306" s="90"/>
      <c r="F306" s="82"/>
      <c r="G306" s="82"/>
      <c r="H306" s="82"/>
      <c r="N306" s="60"/>
      <c r="O306" s="60"/>
    </row>
    <row r="307" spans="2:15" ht="13" hidden="1" outlineLevel="1" x14ac:dyDescent="0.25">
      <c r="B307" s="74"/>
      <c r="C307" s="148"/>
      <c r="D307" s="76" t="str">
        <f>D272</f>
        <v>kg</v>
      </c>
      <c r="E307" s="77"/>
      <c r="F307" s="82"/>
      <c r="G307" s="82"/>
      <c r="H307" s="82"/>
      <c r="N307" s="60"/>
      <c r="O307" s="60"/>
    </row>
    <row r="308" spans="2:15" ht="13" hidden="1" outlineLevel="1" x14ac:dyDescent="0.25">
      <c r="B308" s="74"/>
      <c r="C308" s="148"/>
      <c r="D308" s="76" t="str">
        <f>D272</f>
        <v>kg</v>
      </c>
      <c r="E308" s="77"/>
      <c r="F308" s="82"/>
      <c r="G308" s="82"/>
      <c r="H308" s="82"/>
      <c r="N308" s="60"/>
      <c r="O308" s="60"/>
    </row>
    <row r="309" spans="2:15" ht="13" hidden="1" outlineLevel="1" x14ac:dyDescent="0.25">
      <c r="B309" s="74"/>
      <c r="C309" s="148"/>
      <c r="D309" s="76" t="str">
        <f>D272</f>
        <v>kg</v>
      </c>
      <c r="E309" s="77"/>
      <c r="F309" s="82"/>
      <c r="G309" s="82"/>
      <c r="H309" s="82"/>
      <c r="N309" s="60"/>
      <c r="O309" s="60"/>
    </row>
    <row r="310" spans="2:15" ht="13" hidden="1" outlineLevel="1" x14ac:dyDescent="0.25">
      <c r="B310" s="74"/>
      <c r="C310" s="148"/>
      <c r="D310" s="76" t="str">
        <f>D272</f>
        <v>kg</v>
      </c>
      <c r="E310" s="77"/>
      <c r="F310" s="82"/>
      <c r="G310" s="82"/>
      <c r="H310" s="82"/>
      <c r="N310" s="60"/>
      <c r="O310" s="60"/>
    </row>
    <row r="311" spans="2:15" ht="13" hidden="1" outlineLevel="1" x14ac:dyDescent="0.25">
      <c r="B311" s="74"/>
      <c r="C311" s="148"/>
      <c r="D311" s="76" t="str">
        <f>D272</f>
        <v>kg</v>
      </c>
      <c r="E311" s="77"/>
      <c r="F311" s="82"/>
      <c r="G311" s="82"/>
      <c r="H311" s="82"/>
      <c r="N311" s="60"/>
      <c r="O311" s="60"/>
    </row>
    <row r="312" spans="2:15" ht="13" hidden="1" outlineLevel="1" x14ac:dyDescent="0.25">
      <c r="B312" s="74"/>
      <c r="C312" s="148"/>
      <c r="D312" s="76" t="str">
        <f>D272</f>
        <v>kg</v>
      </c>
      <c r="E312" s="77"/>
      <c r="F312" s="82"/>
      <c r="G312" s="82"/>
      <c r="H312" s="82"/>
      <c r="N312" s="60"/>
      <c r="O312" s="60"/>
    </row>
    <row r="313" spans="2:15" ht="13" hidden="1" outlineLevel="1" x14ac:dyDescent="0.25">
      <c r="B313" s="74"/>
      <c r="C313" s="148"/>
      <c r="D313" s="76" t="str">
        <f>D272</f>
        <v>kg</v>
      </c>
      <c r="E313" s="77"/>
      <c r="F313" s="82"/>
      <c r="G313" s="82"/>
      <c r="H313" s="82"/>
      <c r="N313" s="60"/>
      <c r="O313" s="60"/>
    </row>
    <row r="314" spans="2:15" ht="13.15" hidden="1" customHeight="1" outlineLevel="1" x14ac:dyDescent="0.25">
      <c r="B314" s="79"/>
      <c r="C314" s="147"/>
      <c r="D314" s="81"/>
      <c r="E314" s="77"/>
      <c r="F314" s="82"/>
      <c r="G314" s="82"/>
      <c r="H314" s="82"/>
      <c r="K314" s="34"/>
      <c r="N314" s="60"/>
      <c r="O314" s="60"/>
    </row>
    <row r="315" spans="2:15" ht="13" hidden="1" outlineLevel="1" x14ac:dyDescent="0.25">
      <c r="B315" s="86" t="s">
        <v>9</v>
      </c>
      <c r="C315" s="149">
        <f>SUM(C296:C313)</f>
        <v>0</v>
      </c>
      <c r="D315" s="91" t="str">
        <f>D272</f>
        <v>kg</v>
      </c>
      <c r="E315" s="77"/>
      <c r="F315" s="82"/>
      <c r="G315" s="82"/>
      <c r="H315" s="82"/>
      <c r="N315" s="60"/>
      <c r="O315" s="60"/>
    </row>
    <row r="316" spans="2:15" ht="13.5" hidden="1" outlineLevel="1" thickBot="1" x14ac:dyDescent="0.3">
      <c r="B316" s="92"/>
      <c r="C316" s="93"/>
      <c r="D316" s="94"/>
      <c r="E316" s="77"/>
      <c r="F316" s="82"/>
      <c r="G316" s="82"/>
      <c r="H316" s="82"/>
      <c r="N316" s="60"/>
      <c r="O316" s="60"/>
    </row>
    <row r="317" spans="2:15" ht="20.5" hidden="1" outlineLevel="1" thickBot="1" x14ac:dyDescent="0.3">
      <c r="B317" s="426" t="s">
        <v>10</v>
      </c>
      <c r="C317" s="427"/>
      <c r="D317" s="428"/>
      <c r="E317" s="77"/>
      <c r="F317" s="82"/>
      <c r="G317" s="82"/>
      <c r="H317" s="82"/>
      <c r="N317" s="60"/>
      <c r="O317" s="60"/>
    </row>
    <row r="318" spans="2:15" ht="13" hidden="1" outlineLevel="1" x14ac:dyDescent="0.25">
      <c r="B318" s="95" t="s">
        <v>23</v>
      </c>
      <c r="C318" s="96"/>
      <c r="D318" s="151">
        <f>SUM(C282:C283)</f>
        <v>0</v>
      </c>
      <c r="E318" s="98"/>
      <c r="F318" s="82"/>
      <c r="G318" s="82"/>
      <c r="H318" s="82"/>
      <c r="N318" s="60"/>
      <c r="O318" s="60"/>
    </row>
    <row r="319" spans="2:15" ht="13" hidden="1" outlineLevel="1" x14ac:dyDescent="0.25">
      <c r="B319" s="99" t="s">
        <v>24</v>
      </c>
      <c r="C319" s="100"/>
      <c r="D319" s="152">
        <f>SUM(C285:C295)</f>
        <v>0</v>
      </c>
      <c r="E319" s="98"/>
      <c r="F319" s="82"/>
      <c r="G319" s="82"/>
      <c r="H319" s="82"/>
      <c r="N319" s="60"/>
      <c r="O319" s="60"/>
    </row>
    <row r="320" spans="2:15" ht="13" hidden="1" outlineLevel="1" x14ac:dyDescent="0.25">
      <c r="B320" s="99" t="s">
        <v>25</v>
      </c>
      <c r="C320" s="100"/>
      <c r="D320" s="152">
        <f>SUM(C298:C306)</f>
        <v>0</v>
      </c>
      <c r="E320" s="98"/>
      <c r="F320" s="82"/>
      <c r="G320" s="82"/>
      <c r="H320" s="82"/>
      <c r="N320" s="60"/>
      <c r="O320" s="60"/>
    </row>
    <row r="321" spans="2:15" ht="13.5" hidden="1" outlineLevel="1" thickBot="1" x14ac:dyDescent="0.3">
      <c r="B321" s="102" t="s">
        <v>26</v>
      </c>
      <c r="C321" s="103"/>
      <c r="D321" s="153">
        <f>SUM(C307:C314)</f>
        <v>0</v>
      </c>
      <c r="E321" s="98"/>
      <c r="F321" s="82"/>
      <c r="G321" s="82"/>
      <c r="H321" s="82"/>
      <c r="N321" s="60"/>
      <c r="O321" s="60"/>
    </row>
    <row r="322" spans="2:15" ht="19" hidden="1" outlineLevel="1" thickTop="1" thickBot="1" x14ac:dyDescent="0.3">
      <c r="B322" s="105" t="s">
        <v>11</v>
      </c>
      <c r="C322" s="106"/>
      <c r="D322" s="107" t="e">
        <f>C296/C278</f>
        <v>#DIV/0!</v>
      </c>
      <c r="E322" s="77"/>
      <c r="F322" s="110" t="s">
        <v>86</v>
      </c>
      <c r="G322" s="109" t="s">
        <v>85</v>
      </c>
      <c r="H322" s="110"/>
      <c r="N322" s="60"/>
      <c r="O322" s="60"/>
    </row>
    <row r="323" spans="2:15" ht="18.5" hidden="1" outlineLevel="1" thickBot="1" x14ac:dyDescent="0.3">
      <c r="B323" s="111" t="s">
        <v>12</v>
      </c>
      <c r="C323" s="112"/>
      <c r="D323" s="113" t="e">
        <f>(D318+D319+D320)/C278</f>
        <v>#DIV/0!</v>
      </c>
      <c r="E323" s="77"/>
      <c r="F323" s="154"/>
      <c r="G323" s="413"/>
      <c r="H323" s="414"/>
      <c r="N323" s="60"/>
      <c r="O323" s="60"/>
    </row>
    <row r="324" spans="2:15" ht="18" hidden="1" outlineLevel="1" x14ac:dyDescent="0.25">
      <c r="B324" s="111" t="s">
        <v>13</v>
      </c>
      <c r="C324" s="112"/>
      <c r="D324" s="113" t="e">
        <f>D320/C278</f>
        <v>#DIV/0!</v>
      </c>
      <c r="E324" s="90"/>
      <c r="F324" s="64" t="s">
        <v>45</v>
      </c>
      <c r="G324" s="64" t="s">
        <v>45</v>
      </c>
      <c r="H324" s="155"/>
      <c r="N324" s="60"/>
      <c r="O324" s="60"/>
    </row>
    <row r="325" spans="2:15" ht="18.5" hidden="1" outlineLevel="1" thickBot="1" x14ac:dyDescent="0.3">
      <c r="B325" s="114" t="s">
        <v>14</v>
      </c>
      <c r="C325" s="115"/>
      <c r="D325" s="116" t="e">
        <f>D321/C278</f>
        <v>#DIV/0!</v>
      </c>
      <c r="E325" s="90"/>
      <c r="F325" s="110"/>
      <c r="G325" s="117" t="s">
        <v>46</v>
      </c>
      <c r="H325" s="110"/>
      <c r="N325" s="60"/>
      <c r="O325" s="60"/>
    </row>
    <row r="326" spans="2:15" ht="18.5" hidden="1" outlineLevel="1" thickBot="1" x14ac:dyDescent="0.3">
      <c r="B326" s="114" t="s">
        <v>15</v>
      </c>
      <c r="C326" s="119"/>
      <c r="D326" s="116" t="e">
        <f>SUM(D318:D321)/C278</f>
        <v>#DIV/0!</v>
      </c>
      <c r="E326" s="90"/>
      <c r="F326" s="429"/>
      <c r="G326" s="430"/>
      <c r="H326" s="431"/>
      <c r="N326" s="60"/>
      <c r="O326" s="60"/>
    </row>
    <row r="327" spans="2:15" ht="18.5" hidden="1" outlineLevel="1" thickTop="1" x14ac:dyDescent="0.25">
      <c r="B327" s="120" t="s">
        <v>16</v>
      </c>
      <c r="C327" s="121"/>
      <c r="D327" s="122" t="e">
        <f>((C282*D260)+D319+C283*MAX(1,F283))/C278</f>
        <v>#DIV/0!</v>
      </c>
      <c r="E327" s="77"/>
      <c r="F327" s="64" t="s">
        <v>45</v>
      </c>
      <c r="G327" s="64"/>
      <c r="H327" s="82"/>
      <c r="N327" s="60"/>
      <c r="O327" s="60"/>
    </row>
    <row r="328" spans="2:15" ht="18" hidden="1" outlineLevel="1" x14ac:dyDescent="0.25">
      <c r="B328" s="123" t="s">
        <v>17</v>
      </c>
      <c r="C328" s="124"/>
      <c r="D328" s="125" t="e">
        <f>(C282*D261+D319+D320+C283*(MAX(1,F283)+G283))/C278</f>
        <v>#DIV/0!</v>
      </c>
      <c r="E328" s="77"/>
      <c r="F328" s="82"/>
      <c r="G328" s="82"/>
      <c r="H328" s="82"/>
      <c r="N328" s="60"/>
      <c r="O328" s="60"/>
    </row>
    <row r="329" spans="2:15" ht="18" hidden="1" customHeight="1" outlineLevel="1" x14ac:dyDescent="0.25">
      <c r="B329" s="123" t="s">
        <v>18</v>
      </c>
      <c r="C329" s="124"/>
      <c r="D329" s="125" t="e">
        <f>((C282*D262)+D320+C283*G283)/C278</f>
        <v>#DIV/0!</v>
      </c>
      <c r="E329" s="77"/>
      <c r="F329" s="415" t="s">
        <v>61</v>
      </c>
      <c r="G329" s="416"/>
      <c r="H329" s="416"/>
      <c r="N329" s="60"/>
      <c r="O329" s="60"/>
    </row>
    <row r="330" spans="2:15" ht="18" hidden="1" outlineLevel="1" x14ac:dyDescent="0.25">
      <c r="B330" s="126" t="s">
        <v>19</v>
      </c>
      <c r="C330" s="127"/>
      <c r="D330" s="128" t="e">
        <f>(C282*D263+D321+C283*H283)/C278</f>
        <v>#DIV/0!</v>
      </c>
      <c r="E330" s="77"/>
      <c r="F330" s="416"/>
      <c r="G330" s="416"/>
      <c r="H330" s="416"/>
      <c r="N330" s="60"/>
      <c r="O330" s="60"/>
    </row>
    <row r="331" spans="2:15" ht="18.5" hidden="1" outlineLevel="1" thickBot="1" x14ac:dyDescent="0.3">
      <c r="B331" s="129" t="s">
        <v>20</v>
      </c>
      <c r="C331" s="130"/>
      <c r="D331" s="131" t="e">
        <f>((C282*D264)+SUM(D319:D321)+C283*(MAX(1,F283)+G283+H283))/C278</f>
        <v>#DIV/0!</v>
      </c>
      <c r="E331" s="77"/>
      <c r="F331" s="416"/>
      <c r="G331" s="416"/>
      <c r="H331" s="416"/>
      <c r="N331" s="60"/>
      <c r="O331" s="60"/>
    </row>
    <row r="332" spans="2:15" ht="13" hidden="1" outlineLevel="1" thickTop="1" x14ac:dyDescent="0.25">
      <c r="B332" s="156" t="s">
        <v>76</v>
      </c>
      <c r="C332" s="424"/>
      <c r="D332" s="425"/>
      <c r="E332" s="46"/>
      <c r="F332" s="416"/>
      <c r="G332" s="416"/>
      <c r="H332" s="416"/>
      <c r="N332" s="60"/>
      <c r="O332" s="60"/>
    </row>
    <row r="333" spans="2:15" hidden="1" outlineLevel="1" x14ac:dyDescent="0.25">
      <c r="B333" s="157" t="s">
        <v>58</v>
      </c>
      <c r="C333" s="422"/>
      <c r="D333" s="423"/>
      <c r="E333" s="46"/>
      <c r="F333" s="416"/>
      <c r="G333" s="416"/>
      <c r="H333" s="416"/>
      <c r="N333" s="60"/>
      <c r="O333" s="60"/>
    </row>
    <row r="334" spans="2:15" ht="13" hidden="1" outlineLevel="1" thickBot="1" x14ac:dyDescent="0.3">
      <c r="B334" s="158" t="s">
        <v>59</v>
      </c>
      <c r="C334" s="420"/>
      <c r="D334" s="421"/>
      <c r="E334" s="46"/>
      <c r="F334" s="416"/>
      <c r="G334" s="416"/>
      <c r="H334" s="416"/>
      <c r="N334" s="60"/>
      <c r="O334" s="60"/>
    </row>
    <row r="335" spans="2:15" ht="13" hidden="1" outlineLevel="1" x14ac:dyDescent="0.25">
      <c r="E335" s="46"/>
      <c r="F335" s="34"/>
      <c r="G335" s="34"/>
      <c r="H335" s="34"/>
      <c r="N335" s="60"/>
      <c r="O335" s="60"/>
    </row>
    <row r="336" spans="2:15" ht="13.5" hidden="1" outlineLevel="1" thickBot="1" x14ac:dyDescent="0.3">
      <c r="C336" s="25" t="s">
        <v>44</v>
      </c>
      <c r="D336" s="25" t="s">
        <v>42</v>
      </c>
      <c r="E336" s="46"/>
      <c r="F336" s="34"/>
      <c r="G336" s="34"/>
      <c r="H336" s="34"/>
      <c r="N336" s="60"/>
      <c r="O336" s="60"/>
    </row>
    <row r="337" spans="2:15" ht="21" hidden="1" outlineLevel="1" thickTop="1" thickBot="1" x14ac:dyDescent="0.3">
      <c r="B337" s="140" t="s">
        <v>73</v>
      </c>
      <c r="C337" s="29"/>
      <c r="D337" s="141"/>
      <c r="E337" s="31"/>
      <c r="F337" s="32" t="s">
        <v>27</v>
      </c>
      <c r="G337" s="33"/>
      <c r="H337" s="33"/>
      <c r="I337" s="34"/>
    </row>
    <row r="338" spans="2:15" ht="14.5" hidden="1" outlineLevel="1" thickBot="1" x14ac:dyDescent="0.3">
      <c r="B338" s="37"/>
      <c r="C338" s="38" t="s">
        <v>0</v>
      </c>
      <c r="D338" s="39" t="s">
        <v>1</v>
      </c>
      <c r="E338" s="40"/>
      <c r="F338" s="41" t="s">
        <v>28</v>
      </c>
      <c r="G338" s="41" t="s">
        <v>21</v>
      </c>
      <c r="H338" s="41" t="s">
        <v>8</v>
      </c>
    </row>
    <row r="339" spans="2:15" ht="13" hidden="1" outlineLevel="1" x14ac:dyDescent="0.25">
      <c r="B339" s="43" t="s">
        <v>65</v>
      </c>
      <c r="C339" s="142"/>
      <c r="D339" s="45" t="s">
        <v>2</v>
      </c>
      <c r="E339" s="46"/>
      <c r="F339" s="47"/>
      <c r="G339" s="47"/>
      <c r="H339" s="47"/>
      <c r="N339" s="60"/>
      <c r="O339" s="60"/>
    </row>
    <row r="340" spans="2:15" ht="13" hidden="1" outlineLevel="1" x14ac:dyDescent="0.25">
      <c r="B340" s="43" t="s">
        <v>64</v>
      </c>
      <c r="C340" s="143"/>
      <c r="D340" s="45" t="s">
        <v>3</v>
      </c>
      <c r="E340" s="46"/>
      <c r="F340" s="47"/>
      <c r="G340" s="47"/>
      <c r="H340" s="47"/>
      <c r="J340" s="159"/>
      <c r="N340" s="60"/>
      <c r="O340" s="60"/>
    </row>
    <row r="341" spans="2:15" ht="13" hidden="1" outlineLevel="1" x14ac:dyDescent="0.25">
      <c r="B341" s="51" t="s">
        <v>63</v>
      </c>
      <c r="C341" s="144">
        <f>C339*C340</f>
        <v>0</v>
      </c>
      <c r="D341" s="45" t="str">
        <f>D339</f>
        <v>kg</v>
      </c>
      <c r="E341" s="46"/>
      <c r="F341" s="47"/>
      <c r="G341" s="47"/>
      <c r="H341" s="47"/>
      <c r="N341" s="60"/>
      <c r="O341" s="60"/>
    </row>
    <row r="342" spans="2:15" ht="14" hidden="1" outlineLevel="1" x14ac:dyDescent="0.25">
      <c r="B342" s="54" t="s">
        <v>37</v>
      </c>
      <c r="C342" s="145">
        <v>1</v>
      </c>
      <c r="D342" s="56"/>
      <c r="E342" s="57"/>
      <c r="F342" s="58"/>
      <c r="G342" s="58"/>
      <c r="H342" s="58"/>
      <c r="N342" s="60"/>
      <c r="O342" s="60"/>
    </row>
    <row r="343" spans="2:15" ht="13" hidden="1" outlineLevel="1" x14ac:dyDescent="0.25">
      <c r="B343" s="43" t="s">
        <v>66</v>
      </c>
      <c r="C343" s="142"/>
      <c r="D343" s="45" t="str">
        <f>D339</f>
        <v>kg</v>
      </c>
      <c r="E343" s="46"/>
      <c r="F343" s="47"/>
      <c r="G343" s="47"/>
      <c r="H343" s="47"/>
      <c r="N343" s="60"/>
      <c r="O343" s="60"/>
    </row>
    <row r="344" spans="2:15" ht="13" hidden="1" outlineLevel="1" x14ac:dyDescent="0.25">
      <c r="B344" s="43" t="s">
        <v>67</v>
      </c>
      <c r="C344" s="143"/>
      <c r="D344" s="45" t="s">
        <v>3</v>
      </c>
      <c r="E344" s="59"/>
      <c r="F344" s="47"/>
      <c r="G344" s="47"/>
      <c r="H344" s="47"/>
      <c r="N344" s="60"/>
      <c r="O344" s="60"/>
    </row>
    <row r="345" spans="2:15" ht="13.5" hidden="1" outlineLevel="1" thickBot="1" x14ac:dyDescent="0.3">
      <c r="B345" s="51" t="s">
        <v>68</v>
      </c>
      <c r="C345" s="144">
        <f>C343*C344</f>
        <v>0</v>
      </c>
      <c r="D345" s="45" t="str">
        <f>D339</f>
        <v>kg</v>
      </c>
      <c r="E345" s="46"/>
      <c r="F345" s="47"/>
      <c r="G345" s="47"/>
      <c r="H345" s="47"/>
      <c r="N345" s="60"/>
      <c r="O345" s="60"/>
    </row>
    <row r="346" spans="2:15" ht="13.5" hidden="1" outlineLevel="1" thickBot="1" x14ac:dyDescent="0.3">
      <c r="B346" s="61"/>
      <c r="C346" s="62"/>
      <c r="D346" s="63"/>
      <c r="F346" s="64"/>
      <c r="G346" s="64"/>
      <c r="H346" s="64"/>
      <c r="N346" s="60"/>
      <c r="O346" s="60"/>
    </row>
    <row r="347" spans="2:15" ht="14.5" hidden="1" outlineLevel="1" thickBot="1" x14ac:dyDescent="0.3">
      <c r="B347" s="65" t="s">
        <v>5</v>
      </c>
      <c r="C347" s="66" t="s">
        <v>6</v>
      </c>
      <c r="D347" s="67" t="s">
        <v>1</v>
      </c>
      <c r="E347" s="68"/>
      <c r="F347" s="69"/>
      <c r="G347" s="69"/>
      <c r="H347" s="69"/>
      <c r="N347" s="60"/>
      <c r="O347" s="60"/>
    </row>
    <row r="348" spans="2:15" ht="13" hidden="1" outlineLevel="1" x14ac:dyDescent="0.25">
      <c r="B348" s="70" t="s">
        <v>43</v>
      </c>
      <c r="C348" s="71"/>
      <c r="D348" s="72"/>
      <c r="E348" s="73"/>
      <c r="F348" s="69"/>
      <c r="G348" s="69"/>
      <c r="H348" s="69"/>
      <c r="N348" s="60"/>
      <c r="O348" s="60"/>
    </row>
    <row r="349" spans="2:15" ht="13.5" hidden="1" outlineLevel="1" thickBot="1" x14ac:dyDescent="0.3">
      <c r="B349" s="74"/>
      <c r="C349" s="146">
        <f>C341</f>
        <v>0</v>
      </c>
      <c r="D349" s="76" t="str">
        <f>D339</f>
        <v>kg</v>
      </c>
      <c r="E349" s="98"/>
      <c r="F349" s="69"/>
      <c r="G349" s="69"/>
      <c r="H349" s="69"/>
      <c r="N349" s="60"/>
      <c r="O349" s="60"/>
    </row>
    <row r="350" spans="2:15" ht="13.5" hidden="1" outlineLevel="1" thickBot="1" x14ac:dyDescent="0.3">
      <c r="B350" s="74"/>
      <c r="C350" s="146"/>
      <c r="D350" s="76" t="str">
        <f>D339</f>
        <v>kg</v>
      </c>
      <c r="E350" s="77"/>
      <c r="F350" s="78"/>
      <c r="G350" s="78"/>
      <c r="H350" s="78"/>
      <c r="N350" s="60"/>
      <c r="O350" s="60"/>
    </row>
    <row r="351" spans="2:15" ht="13" hidden="1" outlineLevel="1" x14ac:dyDescent="0.25">
      <c r="B351" s="79" t="s">
        <v>69</v>
      </c>
      <c r="C351" s="147"/>
      <c r="D351" s="81"/>
      <c r="E351" s="77"/>
      <c r="F351" s="82"/>
      <c r="G351" s="82"/>
      <c r="H351" s="82"/>
      <c r="N351" s="60"/>
      <c r="O351" s="60"/>
    </row>
    <row r="352" spans="2:15" ht="13" hidden="1" outlineLevel="1" x14ac:dyDescent="0.25">
      <c r="B352" s="74"/>
      <c r="C352" s="148"/>
      <c r="D352" s="76" t="str">
        <f>D339</f>
        <v>kg</v>
      </c>
      <c r="E352" s="77"/>
      <c r="F352" s="82"/>
      <c r="G352" s="82"/>
      <c r="H352" s="82"/>
      <c r="N352" s="60"/>
      <c r="O352" s="60"/>
    </row>
    <row r="353" spans="2:15" ht="13" hidden="1" outlineLevel="1" x14ac:dyDescent="0.25">
      <c r="B353" s="74"/>
      <c r="C353" s="148"/>
      <c r="D353" s="76" t="str">
        <f>D339</f>
        <v>kg</v>
      </c>
      <c r="E353" s="77"/>
      <c r="F353" s="82"/>
      <c r="G353" s="82"/>
      <c r="H353" s="82"/>
      <c r="N353" s="60"/>
      <c r="O353" s="60"/>
    </row>
    <row r="354" spans="2:15" ht="13" hidden="1" outlineLevel="1" x14ac:dyDescent="0.25">
      <c r="B354" s="74"/>
      <c r="C354" s="148"/>
      <c r="D354" s="76" t="str">
        <f>D339</f>
        <v>kg</v>
      </c>
      <c r="E354" s="77"/>
      <c r="F354" s="82"/>
      <c r="G354" s="82"/>
      <c r="H354" s="82"/>
      <c r="N354" s="60"/>
      <c r="O354" s="60"/>
    </row>
    <row r="355" spans="2:15" ht="13" hidden="1" outlineLevel="1" x14ac:dyDescent="0.25">
      <c r="B355" s="74"/>
      <c r="C355" s="148"/>
      <c r="D355" s="76" t="str">
        <f>D339</f>
        <v>kg</v>
      </c>
      <c r="E355" s="77"/>
      <c r="F355" s="82"/>
      <c r="G355" s="82"/>
      <c r="H355" s="82"/>
      <c r="N355" s="60"/>
      <c r="O355" s="60"/>
    </row>
    <row r="356" spans="2:15" ht="13" hidden="1" outlineLevel="1" x14ac:dyDescent="0.25">
      <c r="B356" s="74"/>
      <c r="C356" s="148"/>
      <c r="D356" s="76" t="str">
        <f>D339</f>
        <v>kg</v>
      </c>
      <c r="E356" s="77"/>
      <c r="F356" s="82"/>
      <c r="G356" s="82"/>
      <c r="H356" s="82"/>
      <c r="N356" s="60"/>
      <c r="O356" s="60"/>
    </row>
    <row r="357" spans="2:15" ht="13" hidden="1" outlineLevel="1" x14ac:dyDescent="0.25">
      <c r="B357" s="74"/>
      <c r="C357" s="148"/>
      <c r="D357" s="76" t="str">
        <f>D339</f>
        <v>kg</v>
      </c>
      <c r="E357" s="77"/>
      <c r="F357" s="82"/>
      <c r="G357" s="82"/>
      <c r="H357" s="82"/>
      <c r="N357" s="60"/>
      <c r="O357" s="60"/>
    </row>
    <row r="358" spans="2:15" ht="13" hidden="1" outlineLevel="1" x14ac:dyDescent="0.25">
      <c r="B358" s="74"/>
      <c r="C358" s="148"/>
      <c r="D358" s="76" t="str">
        <f>D339</f>
        <v>kg</v>
      </c>
      <c r="E358" s="77"/>
      <c r="F358" s="82"/>
      <c r="G358" s="82"/>
      <c r="H358" s="82"/>
      <c r="N358" s="60"/>
      <c r="O358" s="60"/>
    </row>
    <row r="359" spans="2:15" ht="13" hidden="1" outlineLevel="1" x14ac:dyDescent="0.25">
      <c r="B359" s="74"/>
      <c r="C359" s="148"/>
      <c r="D359" s="76" t="str">
        <f>D339</f>
        <v>kg</v>
      </c>
      <c r="E359" s="77"/>
      <c r="F359" s="82"/>
      <c r="G359" s="82"/>
      <c r="H359" s="82"/>
      <c r="N359" s="60"/>
      <c r="O359" s="60"/>
    </row>
    <row r="360" spans="2:15" ht="13" hidden="1" outlineLevel="1" x14ac:dyDescent="0.25">
      <c r="B360" s="74"/>
      <c r="C360" s="148"/>
      <c r="D360" s="76" t="str">
        <f>D339</f>
        <v>kg</v>
      </c>
      <c r="E360" s="77"/>
      <c r="F360" s="82"/>
      <c r="G360" s="82"/>
      <c r="H360" s="82"/>
      <c r="N360" s="60"/>
      <c r="O360" s="60"/>
    </row>
    <row r="361" spans="2:15" ht="13" hidden="1" outlineLevel="1" x14ac:dyDescent="0.25">
      <c r="B361" s="74"/>
      <c r="C361" s="148"/>
      <c r="D361" s="76" t="str">
        <f>D339</f>
        <v>kg</v>
      </c>
      <c r="E361" s="77"/>
      <c r="F361" s="82"/>
      <c r="G361" s="82"/>
      <c r="H361" s="82"/>
      <c r="N361" s="60"/>
      <c r="O361" s="60"/>
    </row>
    <row r="362" spans="2:15" ht="13.15" hidden="1" customHeight="1" outlineLevel="1" x14ac:dyDescent="0.25">
      <c r="B362" s="79"/>
      <c r="C362" s="147"/>
      <c r="D362" s="81"/>
      <c r="E362" s="77"/>
      <c r="F362" s="82"/>
      <c r="G362" s="82"/>
      <c r="H362" s="82"/>
      <c r="K362" s="34"/>
      <c r="N362" s="60"/>
      <c r="O362" s="60"/>
    </row>
    <row r="363" spans="2:15" ht="13" hidden="1" outlineLevel="1" x14ac:dyDescent="0.25">
      <c r="B363" s="86" t="s">
        <v>7</v>
      </c>
      <c r="C363" s="149">
        <f>SUM(C348:C361)</f>
        <v>0</v>
      </c>
      <c r="D363" s="88" t="str">
        <f>D339</f>
        <v>kg</v>
      </c>
      <c r="E363" s="77"/>
      <c r="F363" s="82"/>
      <c r="G363" s="82"/>
      <c r="H363" s="82"/>
      <c r="N363" s="60"/>
      <c r="O363" s="60"/>
    </row>
    <row r="364" spans="2:15" ht="13" hidden="1" outlineLevel="1" x14ac:dyDescent="0.25">
      <c r="B364" s="79" t="s">
        <v>71</v>
      </c>
      <c r="C364" s="150"/>
      <c r="D364" s="81"/>
      <c r="E364" s="77"/>
      <c r="F364" s="82"/>
      <c r="G364" s="82"/>
      <c r="H364" s="82"/>
      <c r="N364" s="60"/>
      <c r="O364" s="60"/>
    </row>
    <row r="365" spans="2:15" ht="13" hidden="1" outlineLevel="1" x14ac:dyDescent="0.25">
      <c r="B365" s="74"/>
      <c r="C365" s="148"/>
      <c r="D365" s="76" t="str">
        <f>D339</f>
        <v>kg</v>
      </c>
      <c r="E365" s="77"/>
      <c r="F365" s="82"/>
      <c r="G365" s="82"/>
      <c r="H365" s="82"/>
      <c r="N365" s="60"/>
      <c r="O365" s="60"/>
    </row>
    <row r="366" spans="2:15" ht="13" hidden="1" outlineLevel="1" x14ac:dyDescent="0.25">
      <c r="B366" s="74"/>
      <c r="C366" s="148"/>
      <c r="D366" s="76" t="str">
        <f>D339</f>
        <v>kg</v>
      </c>
      <c r="E366" s="77"/>
      <c r="F366" s="82"/>
      <c r="G366" s="82"/>
      <c r="H366" s="82"/>
      <c r="N366" s="60"/>
      <c r="O366" s="60"/>
    </row>
    <row r="367" spans="2:15" ht="13" hidden="1" outlineLevel="1" x14ac:dyDescent="0.25">
      <c r="B367" s="74"/>
      <c r="C367" s="148"/>
      <c r="D367" s="76" t="str">
        <f>D339</f>
        <v>kg</v>
      </c>
      <c r="E367" s="77"/>
      <c r="F367" s="82"/>
      <c r="G367" s="82"/>
      <c r="H367" s="82"/>
      <c r="N367" s="60"/>
      <c r="O367" s="60"/>
    </row>
    <row r="368" spans="2:15" ht="13" hidden="1" outlineLevel="1" x14ac:dyDescent="0.25">
      <c r="B368" s="74"/>
      <c r="C368" s="148"/>
      <c r="D368" s="76" t="str">
        <f>D339</f>
        <v>kg</v>
      </c>
      <c r="E368" s="77"/>
      <c r="F368" s="82"/>
      <c r="G368" s="82"/>
      <c r="H368" s="82"/>
      <c r="N368" s="60"/>
      <c r="O368" s="60"/>
    </row>
    <row r="369" spans="2:15" ht="13" hidden="1" outlineLevel="1" x14ac:dyDescent="0.25">
      <c r="B369" s="74"/>
      <c r="C369" s="148"/>
      <c r="D369" s="76" t="str">
        <f>D339</f>
        <v>kg</v>
      </c>
      <c r="E369" s="77"/>
      <c r="F369" s="82"/>
      <c r="G369" s="82"/>
      <c r="H369" s="82"/>
      <c r="N369" s="60"/>
      <c r="O369" s="60"/>
    </row>
    <row r="370" spans="2:15" ht="13" hidden="1" outlineLevel="1" x14ac:dyDescent="0.25">
      <c r="B370" s="74"/>
      <c r="C370" s="148"/>
      <c r="D370" s="76" t="str">
        <f>D339</f>
        <v>kg</v>
      </c>
      <c r="E370" s="77"/>
      <c r="F370" s="82"/>
      <c r="G370" s="82"/>
      <c r="H370" s="82"/>
      <c r="N370" s="60"/>
      <c r="O370" s="60"/>
    </row>
    <row r="371" spans="2:15" ht="13" hidden="1" outlineLevel="1" x14ac:dyDescent="0.25">
      <c r="B371" s="74"/>
      <c r="C371" s="148"/>
      <c r="D371" s="76" t="str">
        <f>D339</f>
        <v>kg</v>
      </c>
      <c r="E371" s="77"/>
      <c r="F371" s="82"/>
      <c r="G371" s="82"/>
      <c r="H371" s="82"/>
      <c r="N371" s="60"/>
      <c r="O371" s="60"/>
    </row>
    <row r="372" spans="2:15" ht="13" hidden="1" outlineLevel="1" x14ac:dyDescent="0.25">
      <c r="B372" s="74"/>
      <c r="C372" s="148"/>
      <c r="D372" s="76" t="str">
        <f>D339</f>
        <v>kg</v>
      </c>
      <c r="E372" s="77"/>
      <c r="F372" s="82"/>
      <c r="G372" s="82"/>
      <c r="H372" s="82"/>
      <c r="N372" s="60"/>
      <c r="O372" s="60"/>
    </row>
    <row r="373" spans="2:15" ht="13" hidden="1" outlineLevel="1" x14ac:dyDescent="0.25">
      <c r="B373" s="79" t="s">
        <v>70</v>
      </c>
      <c r="C373" s="147"/>
      <c r="D373" s="81"/>
      <c r="E373" s="90"/>
      <c r="F373" s="82"/>
      <c r="G373" s="82"/>
      <c r="H373" s="82"/>
      <c r="N373" s="60"/>
      <c r="O373" s="60"/>
    </row>
    <row r="374" spans="2:15" ht="13" hidden="1" outlineLevel="1" x14ac:dyDescent="0.25">
      <c r="B374" s="74"/>
      <c r="C374" s="148"/>
      <c r="D374" s="76" t="str">
        <f>D339</f>
        <v>kg</v>
      </c>
      <c r="E374" s="77"/>
      <c r="F374" s="82"/>
      <c r="G374" s="82"/>
      <c r="H374" s="82"/>
      <c r="N374" s="60"/>
      <c r="O374" s="60"/>
    </row>
    <row r="375" spans="2:15" ht="13" hidden="1" outlineLevel="1" x14ac:dyDescent="0.25">
      <c r="B375" s="74"/>
      <c r="C375" s="148"/>
      <c r="D375" s="76" t="str">
        <f>D339</f>
        <v>kg</v>
      </c>
      <c r="E375" s="77"/>
      <c r="F375" s="82"/>
      <c r="G375" s="82"/>
      <c r="H375" s="82"/>
      <c r="N375" s="60"/>
      <c r="O375" s="60"/>
    </row>
    <row r="376" spans="2:15" ht="13" hidden="1" outlineLevel="1" x14ac:dyDescent="0.25">
      <c r="B376" s="74"/>
      <c r="C376" s="148"/>
      <c r="D376" s="76" t="str">
        <f>D339</f>
        <v>kg</v>
      </c>
      <c r="E376" s="77"/>
      <c r="F376" s="82"/>
      <c r="G376" s="82"/>
      <c r="H376" s="82"/>
      <c r="N376" s="60"/>
      <c r="O376" s="60"/>
    </row>
    <row r="377" spans="2:15" ht="13" hidden="1" outlineLevel="1" x14ac:dyDescent="0.25">
      <c r="B377" s="74"/>
      <c r="C377" s="148"/>
      <c r="D377" s="76" t="str">
        <f>D339</f>
        <v>kg</v>
      </c>
      <c r="E377" s="77"/>
      <c r="F377" s="82"/>
      <c r="G377" s="82"/>
      <c r="H377" s="82"/>
      <c r="N377" s="60"/>
      <c r="O377" s="60"/>
    </row>
    <row r="378" spans="2:15" ht="13" hidden="1" outlineLevel="1" x14ac:dyDescent="0.25">
      <c r="B378" s="74"/>
      <c r="C378" s="148"/>
      <c r="D378" s="76" t="str">
        <f>D339</f>
        <v>kg</v>
      </c>
      <c r="E378" s="77"/>
      <c r="F378" s="82"/>
      <c r="G378" s="82"/>
      <c r="H378" s="82"/>
      <c r="N378" s="60"/>
      <c r="O378" s="60"/>
    </row>
    <row r="379" spans="2:15" ht="14.25" hidden="1" customHeight="1" outlineLevel="1" x14ac:dyDescent="0.25">
      <c r="B379" s="74"/>
      <c r="C379" s="148"/>
      <c r="D379" s="76" t="str">
        <f>D339</f>
        <v>kg</v>
      </c>
      <c r="E379" s="77"/>
      <c r="F379" s="82"/>
      <c r="G379" s="82"/>
      <c r="H379" s="82"/>
      <c r="N379" s="60"/>
      <c r="O379" s="60"/>
    </row>
    <row r="380" spans="2:15" ht="13" hidden="1" outlineLevel="1" x14ac:dyDescent="0.25">
      <c r="B380" s="74"/>
      <c r="C380" s="148"/>
      <c r="D380" s="76" t="str">
        <f>D339</f>
        <v>kg</v>
      </c>
      <c r="E380" s="77"/>
      <c r="F380" s="82"/>
      <c r="G380" s="82"/>
      <c r="H380" s="82"/>
      <c r="N380" s="60"/>
      <c r="O380" s="60"/>
    </row>
    <row r="381" spans="2:15" ht="13.15" hidden="1" customHeight="1" outlineLevel="1" x14ac:dyDescent="0.25">
      <c r="B381" s="79"/>
      <c r="C381" s="147"/>
      <c r="D381" s="81"/>
      <c r="E381" s="77"/>
      <c r="F381" s="82"/>
      <c r="G381" s="82"/>
      <c r="H381" s="82"/>
      <c r="K381" s="34"/>
      <c r="N381" s="60"/>
      <c r="O381" s="60"/>
    </row>
    <row r="382" spans="2:15" ht="13" hidden="1" outlineLevel="1" x14ac:dyDescent="0.25">
      <c r="B382" s="86" t="s">
        <v>9</v>
      </c>
      <c r="C382" s="149">
        <f>SUM(C363:C380)</f>
        <v>0</v>
      </c>
      <c r="D382" s="91" t="str">
        <f>D339</f>
        <v>kg</v>
      </c>
      <c r="E382" s="77"/>
      <c r="F382" s="82"/>
      <c r="G382" s="82"/>
      <c r="H382" s="82"/>
      <c r="N382" s="60"/>
      <c r="O382" s="60"/>
    </row>
    <row r="383" spans="2:15" ht="13.5" hidden="1" outlineLevel="1" thickBot="1" x14ac:dyDescent="0.3">
      <c r="B383" s="92"/>
      <c r="C383" s="93"/>
      <c r="D383" s="94"/>
      <c r="E383" s="77"/>
      <c r="F383" s="82"/>
      <c r="G383" s="82"/>
      <c r="H383" s="82"/>
      <c r="N383" s="60"/>
      <c r="O383" s="60"/>
    </row>
    <row r="384" spans="2:15" ht="20.5" hidden="1" outlineLevel="1" thickBot="1" x14ac:dyDescent="0.3">
      <c r="B384" s="426" t="s">
        <v>10</v>
      </c>
      <c r="C384" s="427"/>
      <c r="D384" s="428"/>
      <c r="E384" s="77"/>
      <c r="F384" s="82"/>
      <c r="G384" s="82"/>
      <c r="H384" s="82"/>
      <c r="N384" s="60"/>
      <c r="O384" s="60"/>
    </row>
    <row r="385" spans="2:15" ht="13" hidden="1" outlineLevel="1" x14ac:dyDescent="0.25">
      <c r="B385" s="95" t="s">
        <v>23</v>
      </c>
      <c r="C385" s="96"/>
      <c r="D385" s="151">
        <f>SUM(C349:C350)</f>
        <v>0</v>
      </c>
      <c r="E385" s="98"/>
      <c r="F385" s="82"/>
      <c r="G385" s="82"/>
      <c r="H385" s="82"/>
      <c r="N385" s="60"/>
      <c r="O385" s="60"/>
    </row>
    <row r="386" spans="2:15" ht="13" hidden="1" outlineLevel="1" x14ac:dyDescent="0.25">
      <c r="B386" s="99" t="s">
        <v>24</v>
      </c>
      <c r="C386" s="100"/>
      <c r="D386" s="152">
        <f>SUM(C352:C362)</f>
        <v>0</v>
      </c>
      <c r="E386" s="98"/>
      <c r="F386" s="82"/>
      <c r="G386" s="82"/>
      <c r="H386" s="82"/>
      <c r="N386" s="60"/>
      <c r="O386" s="60"/>
    </row>
    <row r="387" spans="2:15" ht="13" hidden="1" outlineLevel="1" x14ac:dyDescent="0.25">
      <c r="B387" s="99" t="s">
        <v>25</v>
      </c>
      <c r="C387" s="100"/>
      <c r="D387" s="152">
        <f>SUM(C365:C373)</f>
        <v>0</v>
      </c>
      <c r="E387" s="98"/>
      <c r="F387" s="82"/>
      <c r="G387" s="82"/>
      <c r="H387" s="82"/>
      <c r="N387" s="60"/>
      <c r="O387" s="60"/>
    </row>
    <row r="388" spans="2:15" ht="13.5" hidden="1" outlineLevel="1" thickBot="1" x14ac:dyDescent="0.3">
      <c r="B388" s="102" t="s">
        <v>26</v>
      </c>
      <c r="C388" s="103"/>
      <c r="D388" s="153">
        <f>SUM(C374:C381)</f>
        <v>0</v>
      </c>
      <c r="E388" s="98"/>
      <c r="F388" s="82"/>
      <c r="G388" s="82"/>
      <c r="H388" s="82"/>
      <c r="N388" s="60"/>
      <c r="O388" s="60"/>
    </row>
    <row r="389" spans="2:15" ht="19" hidden="1" outlineLevel="1" thickTop="1" thickBot="1" x14ac:dyDescent="0.3">
      <c r="B389" s="105" t="s">
        <v>11</v>
      </c>
      <c r="C389" s="106"/>
      <c r="D389" s="107" t="e">
        <f>C363/C345</f>
        <v>#DIV/0!</v>
      </c>
      <c r="E389" s="77"/>
      <c r="F389" s="110" t="s">
        <v>86</v>
      </c>
      <c r="G389" s="109" t="s">
        <v>85</v>
      </c>
      <c r="H389" s="110"/>
      <c r="N389" s="60"/>
      <c r="O389" s="60"/>
    </row>
    <row r="390" spans="2:15" ht="18.5" hidden="1" outlineLevel="1" thickBot="1" x14ac:dyDescent="0.3">
      <c r="B390" s="111" t="s">
        <v>12</v>
      </c>
      <c r="C390" s="112"/>
      <c r="D390" s="113" t="e">
        <f>(D385+D386+D387)/C345</f>
        <v>#DIV/0!</v>
      </c>
      <c r="E390" s="77"/>
      <c r="F390" s="154"/>
      <c r="G390" s="413"/>
      <c r="H390" s="414"/>
      <c r="N390" s="60"/>
      <c r="O390" s="60"/>
    </row>
    <row r="391" spans="2:15" ht="18" hidden="1" outlineLevel="1" x14ac:dyDescent="0.25">
      <c r="B391" s="111" t="s">
        <v>13</v>
      </c>
      <c r="C391" s="112"/>
      <c r="D391" s="113" t="e">
        <f>D387/C345</f>
        <v>#DIV/0!</v>
      </c>
      <c r="E391" s="90"/>
      <c r="F391" s="64" t="s">
        <v>45</v>
      </c>
      <c r="G391" s="64" t="s">
        <v>45</v>
      </c>
      <c r="H391" s="155"/>
      <c r="N391" s="60"/>
      <c r="O391" s="60"/>
    </row>
    <row r="392" spans="2:15" ht="18.5" hidden="1" outlineLevel="1" thickBot="1" x14ac:dyDescent="0.3">
      <c r="B392" s="114" t="s">
        <v>14</v>
      </c>
      <c r="C392" s="115"/>
      <c r="D392" s="116" t="e">
        <f>D388/C345</f>
        <v>#DIV/0!</v>
      </c>
      <c r="E392" s="90"/>
      <c r="F392" s="110"/>
      <c r="G392" s="117" t="s">
        <v>46</v>
      </c>
      <c r="H392" s="110"/>
      <c r="N392" s="60"/>
      <c r="O392" s="60"/>
    </row>
    <row r="393" spans="2:15" ht="18.5" hidden="1" outlineLevel="1" thickBot="1" x14ac:dyDescent="0.3">
      <c r="B393" s="114" t="s">
        <v>15</v>
      </c>
      <c r="C393" s="119"/>
      <c r="D393" s="116" t="e">
        <f>SUM(D385:D388)/C345</f>
        <v>#DIV/0!</v>
      </c>
      <c r="E393" s="90"/>
      <c r="F393" s="429"/>
      <c r="G393" s="430"/>
      <c r="H393" s="431"/>
      <c r="N393" s="60"/>
      <c r="O393" s="60"/>
    </row>
    <row r="394" spans="2:15" ht="18.5" hidden="1" outlineLevel="1" thickTop="1" x14ac:dyDescent="0.25">
      <c r="B394" s="120" t="s">
        <v>16</v>
      </c>
      <c r="C394" s="121"/>
      <c r="D394" s="122" t="e">
        <f>((C349*D327)+D386+C350*MAX(1,F350))/C345</f>
        <v>#DIV/0!</v>
      </c>
      <c r="E394" s="77"/>
      <c r="F394" s="64" t="s">
        <v>45</v>
      </c>
      <c r="G394" s="64"/>
      <c r="H394" s="82"/>
      <c r="N394" s="60"/>
      <c r="O394" s="60"/>
    </row>
    <row r="395" spans="2:15" ht="18" hidden="1" outlineLevel="1" x14ac:dyDescent="0.25">
      <c r="B395" s="123" t="s">
        <v>17</v>
      </c>
      <c r="C395" s="124"/>
      <c r="D395" s="125" t="e">
        <f>(C349*D328+D386+D387+C350*(MAX(1,F350)+G350))/C345</f>
        <v>#DIV/0!</v>
      </c>
      <c r="E395" s="77"/>
      <c r="F395" s="82"/>
      <c r="G395" s="82"/>
      <c r="H395" s="82"/>
      <c r="N395" s="60"/>
      <c r="O395" s="60"/>
    </row>
    <row r="396" spans="2:15" ht="18" hidden="1" customHeight="1" outlineLevel="1" x14ac:dyDescent="0.25">
      <c r="B396" s="123" t="s">
        <v>18</v>
      </c>
      <c r="C396" s="124"/>
      <c r="D396" s="125" t="e">
        <f>((C349*D329)+D387+C350*G350)/C345</f>
        <v>#DIV/0!</v>
      </c>
      <c r="E396" s="77"/>
      <c r="F396" s="415" t="s">
        <v>61</v>
      </c>
      <c r="G396" s="416"/>
      <c r="H396" s="416"/>
      <c r="N396" s="60"/>
      <c r="O396" s="60"/>
    </row>
    <row r="397" spans="2:15" ht="18" hidden="1" outlineLevel="1" x14ac:dyDescent="0.25">
      <c r="B397" s="126" t="s">
        <v>19</v>
      </c>
      <c r="C397" s="127"/>
      <c r="D397" s="128" t="e">
        <f>(C349*D330+D388+C350*H350)/C345</f>
        <v>#DIV/0!</v>
      </c>
      <c r="E397" s="77"/>
      <c r="F397" s="416"/>
      <c r="G397" s="416"/>
      <c r="H397" s="416"/>
      <c r="N397" s="60"/>
      <c r="O397" s="60"/>
    </row>
    <row r="398" spans="2:15" ht="18.5" hidden="1" outlineLevel="1" thickBot="1" x14ac:dyDescent="0.3">
      <c r="B398" s="129" t="s">
        <v>20</v>
      </c>
      <c r="C398" s="130"/>
      <c r="D398" s="131" t="e">
        <f>((C349*D331)+SUM(D386:D388)+C350*(MAX(1,F350)+G350+H350))/C345</f>
        <v>#DIV/0!</v>
      </c>
      <c r="E398" s="77"/>
      <c r="F398" s="416"/>
      <c r="G398" s="416"/>
      <c r="H398" s="416"/>
      <c r="N398" s="60"/>
      <c r="O398" s="60"/>
    </row>
    <row r="399" spans="2:15" ht="13" hidden="1" outlineLevel="1" thickTop="1" x14ac:dyDescent="0.25">
      <c r="B399" s="156" t="s">
        <v>76</v>
      </c>
      <c r="C399" s="424"/>
      <c r="D399" s="425"/>
      <c r="E399" s="46"/>
      <c r="F399" s="416"/>
      <c r="G399" s="416"/>
      <c r="H399" s="416"/>
      <c r="N399" s="60"/>
      <c r="O399" s="60"/>
    </row>
    <row r="400" spans="2:15" hidden="1" outlineLevel="1" x14ac:dyDescent="0.25">
      <c r="B400" s="157" t="s">
        <v>58</v>
      </c>
      <c r="C400" s="422"/>
      <c r="D400" s="423"/>
      <c r="E400" s="46"/>
      <c r="F400" s="416"/>
      <c r="G400" s="416"/>
      <c r="H400" s="416"/>
      <c r="N400" s="60"/>
      <c r="O400" s="60"/>
    </row>
    <row r="401" spans="2:15" ht="13" hidden="1" outlineLevel="1" thickBot="1" x14ac:dyDescent="0.3">
      <c r="B401" s="158" t="s">
        <v>59</v>
      </c>
      <c r="C401" s="420"/>
      <c r="D401" s="421"/>
      <c r="E401" s="46"/>
      <c r="F401" s="416"/>
      <c r="G401" s="416"/>
      <c r="H401" s="416"/>
      <c r="N401" s="60"/>
      <c r="O401" s="60"/>
    </row>
    <row r="402" spans="2:15" ht="13" hidden="1" outlineLevel="1" x14ac:dyDescent="0.25">
      <c r="E402" s="46"/>
      <c r="F402" s="34"/>
      <c r="G402" s="34"/>
      <c r="H402" s="34"/>
      <c r="N402" s="60"/>
      <c r="O402" s="60"/>
    </row>
    <row r="403" spans="2:15" ht="13.5" hidden="1" outlineLevel="1" thickBot="1" x14ac:dyDescent="0.3">
      <c r="C403" s="25" t="s">
        <v>44</v>
      </c>
      <c r="D403" s="25" t="s">
        <v>42</v>
      </c>
      <c r="E403" s="46"/>
      <c r="F403" s="34"/>
      <c r="G403" s="34"/>
      <c r="H403" s="34"/>
      <c r="N403" s="60"/>
      <c r="O403" s="60"/>
    </row>
    <row r="404" spans="2:15" ht="21" hidden="1" outlineLevel="1" thickTop="1" thickBot="1" x14ac:dyDescent="0.3">
      <c r="B404" s="140" t="s">
        <v>73</v>
      </c>
      <c r="C404" s="29"/>
      <c r="D404" s="141"/>
      <c r="E404" s="31"/>
      <c r="F404" s="32" t="s">
        <v>27</v>
      </c>
      <c r="G404" s="33"/>
      <c r="H404" s="33"/>
      <c r="I404" s="34"/>
    </row>
    <row r="405" spans="2:15" ht="14.65" hidden="1" customHeight="1" outlineLevel="1" thickBot="1" x14ac:dyDescent="0.3">
      <c r="B405" s="37"/>
      <c r="C405" s="38" t="s">
        <v>0</v>
      </c>
      <c r="D405" s="39" t="s">
        <v>1</v>
      </c>
      <c r="E405" s="40"/>
      <c r="F405" s="41" t="s">
        <v>28</v>
      </c>
      <c r="G405" s="41" t="s">
        <v>21</v>
      </c>
      <c r="H405" s="41" t="s">
        <v>8</v>
      </c>
    </row>
    <row r="406" spans="2:15" ht="13" hidden="1" outlineLevel="1" x14ac:dyDescent="0.25">
      <c r="B406" s="43" t="s">
        <v>65</v>
      </c>
      <c r="C406" s="142"/>
      <c r="D406" s="45" t="s">
        <v>2</v>
      </c>
      <c r="E406" s="46"/>
      <c r="F406" s="47"/>
      <c r="G406" s="47"/>
      <c r="H406" s="47"/>
      <c r="N406" s="60"/>
      <c r="O406" s="60"/>
    </row>
    <row r="407" spans="2:15" ht="13" hidden="1" outlineLevel="1" x14ac:dyDescent="0.25">
      <c r="B407" s="43" t="s">
        <v>64</v>
      </c>
      <c r="C407" s="143"/>
      <c r="D407" s="45" t="s">
        <v>3</v>
      </c>
      <c r="E407" s="46"/>
      <c r="F407" s="47"/>
      <c r="G407" s="47"/>
      <c r="H407" s="47"/>
      <c r="N407" s="60"/>
      <c r="O407" s="60"/>
    </row>
    <row r="408" spans="2:15" ht="13" hidden="1" outlineLevel="1" x14ac:dyDescent="0.25">
      <c r="B408" s="51" t="s">
        <v>63</v>
      </c>
      <c r="C408" s="144">
        <f>C406*C407</f>
        <v>0</v>
      </c>
      <c r="D408" s="45" t="str">
        <f>D406</f>
        <v>kg</v>
      </c>
      <c r="E408" s="46"/>
      <c r="F408" s="47"/>
      <c r="G408" s="47"/>
      <c r="H408" s="47"/>
      <c r="N408" s="60"/>
      <c r="O408" s="60"/>
    </row>
    <row r="409" spans="2:15" ht="14" hidden="1" outlineLevel="1" x14ac:dyDescent="0.25">
      <c r="B409" s="54" t="s">
        <v>37</v>
      </c>
      <c r="C409" s="145">
        <v>1</v>
      </c>
      <c r="D409" s="56"/>
      <c r="E409" s="57"/>
      <c r="F409" s="58"/>
      <c r="G409" s="58"/>
      <c r="H409" s="58"/>
      <c r="N409" s="60"/>
      <c r="O409" s="60"/>
    </row>
    <row r="410" spans="2:15" ht="13" hidden="1" outlineLevel="1" x14ac:dyDescent="0.25">
      <c r="B410" s="43" t="s">
        <v>66</v>
      </c>
      <c r="C410" s="142"/>
      <c r="D410" s="45" t="str">
        <f>D406</f>
        <v>kg</v>
      </c>
      <c r="E410" s="46"/>
      <c r="F410" s="47"/>
      <c r="G410" s="47"/>
      <c r="H410" s="47"/>
      <c r="N410" s="60"/>
      <c r="O410" s="60"/>
    </row>
    <row r="411" spans="2:15" ht="13" hidden="1" outlineLevel="1" x14ac:dyDescent="0.25">
      <c r="B411" s="43" t="s">
        <v>67</v>
      </c>
      <c r="C411" s="143"/>
      <c r="D411" s="45" t="s">
        <v>3</v>
      </c>
      <c r="E411" s="59"/>
      <c r="F411" s="47"/>
      <c r="G411" s="47"/>
      <c r="H411" s="47"/>
      <c r="N411" s="60"/>
      <c r="O411" s="60"/>
    </row>
    <row r="412" spans="2:15" ht="13.5" hidden="1" outlineLevel="1" thickBot="1" x14ac:dyDescent="0.3">
      <c r="B412" s="51" t="s">
        <v>68</v>
      </c>
      <c r="C412" s="144">
        <f>C410*C411</f>
        <v>0</v>
      </c>
      <c r="D412" s="45" t="str">
        <f>D406</f>
        <v>kg</v>
      </c>
      <c r="E412" s="46"/>
      <c r="F412" s="47"/>
      <c r="G412" s="47"/>
      <c r="H412" s="47"/>
      <c r="N412" s="60"/>
      <c r="O412" s="60"/>
    </row>
    <row r="413" spans="2:15" ht="13.5" hidden="1" outlineLevel="1" thickBot="1" x14ac:dyDescent="0.3">
      <c r="B413" s="61"/>
      <c r="C413" s="62"/>
      <c r="D413" s="63"/>
      <c r="F413" s="64"/>
      <c r="G413" s="64"/>
      <c r="H413" s="64"/>
      <c r="N413" s="60"/>
      <c r="O413" s="60"/>
    </row>
    <row r="414" spans="2:15" ht="14.5" hidden="1" outlineLevel="1" thickBot="1" x14ac:dyDescent="0.3">
      <c r="B414" s="65" t="s">
        <v>5</v>
      </c>
      <c r="C414" s="66" t="s">
        <v>6</v>
      </c>
      <c r="D414" s="67" t="s">
        <v>1</v>
      </c>
      <c r="E414" s="68"/>
      <c r="F414" s="69"/>
      <c r="G414" s="69"/>
      <c r="H414" s="69"/>
      <c r="N414" s="60"/>
      <c r="O414" s="60"/>
    </row>
    <row r="415" spans="2:15" ht="13" hidden="1" outlineLevel="1" x14ac:dyDescent="0.25">
      <c r="B415" s="70" t="s">
        <v>43</v>
      </c>
      <c r="C415" s="71"/>
      <c r="D415" s="72"/>
      <c r="E415" s="73"/>
      <c r="F415" s="69"/>
      <c r="G415" s="69"/>
      <c r="H415" s="69"/>
      <c r="N415" s="60"/>
      <c r="O415" s="60"/>
    </row>
    <row r="416" spans="2:15" ht="13.5" hidden="1" outlineLevel="1" thickBot="1" x14ac:dyDescent="0.3">
      <c r="B416" s="74"/>
      <c r="C416" s="146">
        <f>C408</f>
        <v>0</v>
      </c>
      <c r="D416" s="76" t="str">
        <f>D406</f>
        <v>kg</v>
      </c>
      <c r="E416" s="98"/>
      <c r="F416" s="69"/>
      <c r="G416" s="69"/>
      <c r="H416" s="69"/>
      <c r="N416" s="60"/>
      <c r="O416" s="60"/>
    </row>
    <row r="417" spans="2:15" ht="13.5" hidden="1" outlineLevel="1" thickBot="1" x14ac:dyDescent="0.3">
      <c r="B417" s="74"/>
      <c r="C417" s="146"/>
      <c r="D417" s="76" t="str">
        <f>D406</f>
        <v>kg</v>
      </c>
      <c r="E417" s="77"/>
      <c r="F417" s="78"/>
      <c r="G417" s="78"/>
      <c r="H417" s="78"/>
      <c r="N417" s="60"/>
      <c r="O417" s="60"/>
    </row>
    <row r="418" spans="2:15" ht="13" hidden="1" outlineLevel="1" x14ac:dyDescent="0.25">
      <c r="B418" s="79" t="s">
        <v>69</v>
      </c>
      <c r="C418" s="147"/>
      <c r="D418" s="81"/>
      <c r="E418" s="77"/>
      <c r="F418" s="82"/>
      <c r="G418" s="82"/>
      <c r="H418" s="82"/>
      <c r="N418" s="60"/>
      <c r="O418" s="60"/>
    </row>
    <row r="419" spans="2:15" ht="13" hidden="1" outlineLevel="1" x14ac:dyDescent="0.25">
      <c r="B419" s="74"/>
      <c r="C419" s="148"/>
      <c r="D419" s="76" t="str">
        <f>D406</f>
        <v>kg</v>
      </c>
      <c r="E419" s="77"/>
      <c r="F419" s="82"/>
      <c r="G419" s="82"/>
      <c r="H419" s="82"/>
      <c r="N419" s="60"/>
      <c r="O419" s="60"/>
    </row>
    <row r="420" spans="2:15" ht="13" hidden="1" outlineLevel="1" x14ac:dyDescent="0.25">
      <c r="B420" s="74"/>
      <c r="C420" s="148"/>
      <c r="D420" s="76" t="str">
        <f>D406</f>
        <v>kg</v>
      </c>
      <c r="E420" s="77"/>
      <c r="F420" s="82"/>
      <c r="G420" s="82"/>
      <c r="H420" s="82"/>
      <c r="N420" s="60"/>
      <c r="O420" s="60"/>
    </row>
    <row r="421" spans="2:15" ht="13" hidden="1" outlineLevel="1" x14ac:dyDescent="0.25">
      <c r="B421" s="74"/>
      <c r="C421" s="148"/>
      <c r="D421" s="76" t="str">
        <f>D406</f>
        <v>kg</v>
      </c>
      <c r="E421" s="77"/>
      <c r="F421" s="82"/>
      <c r="G421" s="82"/>
      <c r="H421" s="82"/>
      <c r="N421" s="60"/>
      <c r="O421" s="60"/>
    </row>
    <row r="422" spans="2:15" ht="13" hidden="1" outlineLevel="1" x14ac:dyDescent="0.25">
      <c r="B422" s="74"/>
      <c r="C422" s="148"/>
      <c r="D422" s="76" t="str">
        <f>D406</f>
        <v>kg</v>
      </c>
      <c r="E422" s="77"/>
      <c r="F422" s="82"/>
      <c r="G422" s="82"/>
      <c r="H422" s="82"/>
      <c r="N422" s="60"/>
      <c r="O422" s="60"/>
    </row>
    <row r="423" spans="2:15" ht="13" hidden="1" outlineLevel="1" x14ac:dyDescent="0.25">
      <c r="B423" s="74"/>
      <c r="C423" s="148"/>
      <c r="D423" s="76" t="str">
        <f>D406</f>
        <v>kg</v>
      </c>
      <c r="E423" s="77"/>
      <c r="F423" s="82"/>
      <c r="G423" s="82"/>
      <c r="H423" s="82"/>
      <c r="N423" s="60"/>
      <c r="O423" s="60"/>
    </row>
    <row r="424" spans="2:15" ht="13" hidden="1" outlineLevel="1" x14ac:dyDescent="0.25">
      <c r="B424" s="74"/>
      <c r="C424" s="148"/>
      <c r="D424" s="76" t="str">
        <f>D406</f>
        <v>kg</v>
      </c>
      <c r="E424" s="77"/>
      <c r="F424" s="82"/>
      <c r="G424" s="82"/>
      <c r="H424" s="82"/>
      <c r="N424" s="60"/>
      <c r="O424" s="60"/>
    </row>
    <row r="425" spans="2:15" ht="13" hidden="1" outlineLevel="1" x14ac:dyDescent="0.25">
      <c r="B425" s="74"/>
      <c r="C425" s="148"/>
      <c r="D425" s="76" t="str">
        <f>D406</f>
        <v>kg</v>
      </c>
      <c r="E425" s="77"/>
      <c r="F425" s="82"/>
      <c r="G425" s="82"/>
      <c r="H425" s="82"/>
      <c r="N425" s="60"/>
      <c r="O425" s="60"/>
    </row>
    <row r="426" spans="2:15" ht="13" hidden="1" outlineLevel="1" x14ac:dyDescent="0.25">
      <c r="B426" s="74"/>
      <c r="C426" s="148"/>
      <c r="D426" s="76" t="str">
        <f>D406</f>
        <v>kg</v>
      </c>
      <c r="E426" s="77"/>
      <c r="F426" s="82"/>
      <c r="G426" s="82"/>
      <c r="H426" s="82"/>
      <c r="N426" s="60"/>
      <c r="O426" s="60"/>
    </row>
    <row r="427" spans="2:15" ht="13" hidden="1" outlineLevel="1" x14ac:dyDescent="0.25">
      <c r="B427" s="74"/>
      <c r="C427" s="148"/>
      <c r="D427" s="76" t="str">
        <f>D406</f>
        <v>kg</v>
      </c>
      <c r="E427" s="77"/>
      <c r="F427" s="82"/>
      <c r="G427" s="82"/>
      <c r="H427" s="82"/>
      <c r="N427" s="60"/>
      <c r="O427" s="60"/>
    </row>
    <row r="428" spans="2:15" ht="13" hidden="1" outlineLevel="1" x14ac:dyDescent="0.25">
      <c r="B428" s="74"/>
      <c r="C428" s="148"/>
      <c r="D428" s="76" t="str">
        <f>D406</f>
        <v>kg</v>
      </c>
      <c r="E428" s="77"/>
      <c r="F428" s="82"/>
      <c r="G428" s="82"/>
      <c r="H428" s="82"/>
      <c r="N428" s="60"/>
      <c r="O428" s="60"/>
    </row>
    <row r="429" spans="2:15" ht="13.15" hidden="1" customHeight="1" outlineLevel="1" x14ac:dyDescent="0.25">
      <c r="B429" s="79"/>
      <c r="C429" s="147"/>
      <c r="D429" s="81"/>
      <c r="E429" s="77"/>
      <c r="F429" s="82"/>
      <c r="G429" s="82"/>
      <c r="H429" s="82"/>
      <c r="K429" s="34"/>
      <c r="N429" s="60"/>
      <c r="O429" s="60"/>
    </row>
    <row r="430" spans="2:15" ht="13" hidden="1" outlineLevel="1" x14ac:dyDescent="0.25">
      <c r="B430" s="86" t="s">
        <v>7</v>
      </c>
      <c r="C430" s="149">
        <f>SUM(C415:C428)</f>
        <v>0</v>
      </c>
      <c r="D430" s="88" t="str">
        <f>D406</f>
        <v>kg</v>
      </c>
      <c r="E430" s="77"/>
      <c r="F430" s="82"/>
      <c r="G430" s="82"/>
      <c r="H430" s="82"/>
      <c r="N430" s="60"/>
      <c r="O430" s="60"/>
    </row>
    <row r="431" spans="2:15" ht="13" hidden="1" outlineLevel="1" x14ac:dyDescent="0.25">
      <c r="B431" s="79" t="s">
        <v>71</v>
      </c>
      <c r="C431" s="150"/>
      <c r="D431" s="81"/>
      <c r="E431" s="77"/>
      <c r="F431" s="82"/>
      <c r="G431" s="82"/>
      <c r="H431" s="82"/>
      <c r="N431" s="60"/>
      <c r="O431" s="60"/>
    </row>
    <row r="432" spans="2:15" ht="13" hidden="1" outlineLevel="1" x14ac:dyDescent="0.25">
      <c r="B432" s="74"/>
      <c r="C432" s="148"/>
      <c r="D432" s="76" t="str">
        <f>D406</f>
        <v>kg</v>
      </c>
      <c r="E432" s="77"/>
      <c r="F432" s="82"/>
      <c r="G432" s="82"/>
      <c r="H432" s="82"/>
      <c r="N432" s="60"/>
      <c r="O432" s="60"/>
    </row>
    <row r="433" spans="2:15" ht="13" hidden="1" outlineLevel="1" x14ac:dyDescent="0.25">
      <c r="B433" s="74"/>
      <c r="C433" s="148"/>
      <c r="D433" s="76" t="str">
        <f>D406</f>
        <v>kg</v>
      </c>
      <c r="E433" s="77"/>
      <c r="F433" s="82"/>
      <c r="G433" s="82"/>
      <c r="H433" s="82"/>
      <c r="N433" s="60"/>
      <c r="O433" s="60"/>
    </row>
    <row r="434" spans="2:15" ht="13" hidden="1" outlineLevel="1" x14ac:dyDescent="0.25">
      <c r="B434" s="74"/>
      <c r="C434" s="148"/>
      <c r="D434" s="76" t="str">
        <f>D406</f>
        <v>kg</v>
      </c>
      <c r="E434" s="77"/>
      <c r="F434" s="82"/>
      <c r="G434" s="82"/>
      <c r="H434" s="82"/>
      <c r="N434" s="60"/>
      <c r="O434" s="60"/>
    </row>
    <row r="435" spans="2:15" ht="13" hidden="1" outlineLevel="1" x14ac:dyDescent="0.25">
      <c r="B435" s="74"/>
      <c r="C435" s="148"/>
      <c r="D435" s="76" t="str">
        <f>D406</f>
        <v>kg</v>
      </c>
      <c r="E435" s="77"/>
      <c r="F435" s="82"/>
      <c r="G435" s="82"/>
      <c r="H435" s="82"/>
      <c r="N435" s="60"/>
      <c r="O435" s="60"/>
    </row>
    <row r="436" spans="2:15" ht="13" hidden="1" outlineLevel="1" x14ac:dyDescent="0.25">
      <c r="B436" s="74"/>
      <c r="C436" s="148"/>
      <c r="D436" s="76" t="str">
        <f>D406</f>
        <v>kg</v>
      </c>
      <c r="E436" s="77"/>
      <c r="F436" s="82"/>
      <c r="G436" s="82"/>
      <c r="H436" s="82"/>
      <c r="N436" s="60"/>
      <c r="O436" s="60"/>
    </row>
    <row r="437" spans="2:15" ht="13" hidden="1" outlineLevel="1" x14ac:dyDescent="0.25">
      <c r="B437" s="74"/>
      <c r="C437" s="148"/>
      <c r="D437" s="76" t="str">
        <f>D406</f>
        <v>kg</v>
      </c>
      <c r="E437" s="77"/>
      <c r="F437" s="82"/>
      <c r="G437" s="82"/>
      <c r="H437" s="82"/>
      <c r="N437" s="60"/>
      <c r="O437" s="60"/>
    </row>
    <row r="438" spans="2:15" ht="13" hidden="1" outlineLevel="1" x14ac:dyDescent="0.25">
      <c r="B438" s="74"/>
      <c r="C438" s="148"/>
      <c r="D438" s="76" t="str">
        <f>D406</f>
        <v>kg</v>
      </c>
      <c r="E438" s="77"/>
      <c r="F438" s="82"/>
      <c r="G438" s="82"/>
      <c r="H438" s="82"/>
      <c r="N438" s="60"/>
      <c r="O438" s="60"/>
    </row>
    <row r="439" spans="2:15" ht="13" hidden="1" outlineLevel="1" x14ac:dyDescent="0.25">
      <c r="B439" s="74"/>
      <c r="C439" s="148"/>
      <c r="D439" s="76" t="str">
        <f>D406</f>
        <v>kg</v>
      </c>
      <c r="E439" s="77"/>
      <c r="F439" s="82"/>
      <c r="G439" s="82"/>
      <c r="H439" s="82"/>
      <c r="N439" s="60"/>
      <c r="O439" s="60"/>
    </row>
    <row r="440" spans="2:15" ht="13" hidden="1" outlineLevel="1" x14ac:dyDescent="0.25">
      <c r="B440" s="79" t="s">
        <v>70</v>
      </c>
      <c r="C440" s="147"/>
      <c r="D440" s="81"/>
      <c r="E440" s="90"/>
      <c r="F440" s="82"/>
      <c r="G440" s="82"/>
      <c r="H440" s="82"/>
      <c r="N440" s="60"/>
      <c r="O440" s="60"/>
    </row>
    <row r="441" spans="2:15" ht="13" hidden="1" outlineLevel="1" x14ac:dyDescent="0.25">
      <c r="B441" s="74"/>
      <c r="C441" s="148"/>
      <c r="D441" s="76" t="str">
        <f>D406</f>
        <v>kg</v>
      </c>
      <c r="E441" s="77"/>
      <c r="F441" s="82"/>
      <c r="G441" s="82"/>
      <c r="H441" s="82"/>
      <c r="N441" s="60"/>
      <c r="O441" s="60"/>
    </row>
    <row r="442" spans="2:15" ht="13" hidden="1" outlineLevel="1" x14ac:dyDescent="0.25">
      <c r="B442" s="74"/>
      <c r="C442" s="148"/>
      <c r="D442" s="76" t="str">
        <f>D406</f>
        <v>kg</v>
      </c>
      <c r="E442" s="77"/>
      <c r="F442" s="82"/>
      <c r="G442" s="82"/>
      <c r="H442" s="82"/>
      <c r="N442" s="60"/>
      <c r="O442" s="60"/>
    </row>
    <row r="443" spans="2:15" ht="13" hidden="1" outlineLevel="1" x14ac:dyDescent="0.25">
      <c r="B443" s="74"/>
      <c r="C443" s="148"/>
      <c r="D443" s="76" t="str">
        <f>D406</f>
        <v>kg</v>
      </c>
      <c r="E443" s="77"/>
      <c r="F443" s="82"/>
      <c r="G443" s="82"/>
      <c r="H443" s="82"/>
      <c r="N443" s="60"/>
      <c r="O443" s="60"/>
    </row>
    <row r="444" spans="2:15" ht="13" hidden="1" outlineLevel="1" x14ac:dyDescent="0.25">
      <c r="B444" s="74"/>
      <c r="C444" s="148"/>
      <c r="D444" s="76" t="str">
        <f>D406</f>
        <v>kg</v>
      </c>
      <c r="E444" s="77"/>
      <c r="F444" s="82"/>
      <c r="G444" s="82"/>
      <c r="H444" s="82"/>
      <c r="N444" s="60"/>
      <c r="O444" s="60"/>
    </row>
    <row r="445" spans="2:15" ht="13" hidden="1" outlineLevel="1" x14ac:dyDescent="0.25">
      <c r="B445" s="74"/>
      <c r="C445" s="148"/>
      <c r="D445" s="76" t="str">
        <f>D406</f>
        <v>kg</v>
      </c>
      <c r="E445" s="77"/>
      <c r="F445" s="82"/>
      <c r="G445" s="82"/>
      <c r="H445" s="82"/>
      <c r="N445" s="60"/>
      <c r="O445" s="60"/>
    </row>
    <row r="446" spans="2:15" ht="14.25" hidden="1" customHeight="1" outlineLevel="1" x14ac:dyDescent="0.25">
      <c r="B446" s="74"/>
      <c r="C446" s="148"/>
      <c r="D446" s="76" t="str">
        <f>D406</f>
        <v>kg</v>
      </c>
      <c r="E446" s="77"/>
      <c r="F446" s="82"/>
      <c r="G446" s="82"/>
      <c r="H446" s="82"/>
      <c r="N446" s="60"/>
      <c r="O446" s="60"/>
    </row>
    <row r="447" spans="2:15" ht="13" hidden="1" outlineLevel="1" x14ac:dyDescent="0.25">
      <c r="B447" s="74"/>
      <c r="C447" s="148"/>
      <c r="D447" s="76" t="str">
        <f>D406</f>
        <v>kg</v>
      </c>
      <c r="E447" s="77"/>
      <c r="F447" s="82"/>
      <c r="G447" s="82"/>
      <c r="H447" s="82"/>
      <c r="N447" s="60"/>
      <c r="O447" s="60"/>
    </row>
    <row r="448" spans="2:15" ht="13.15" hidden="1" customHeight="1" outlineLevel="1" x14ac:dyDescent="0.25">
      <c r="B448" s="79"/>
      <c r="C448" s="147"/>
      <c r="D448" s="81"/>
      <c r="E448" s="77"/>
      <c r="F448" s="82"/>
      <c r="G448" s="82"/>
      <c r="H448" s="82"/>
      <c r="K448" s="34"/>
      <c r="N448" s="60"/>
      <c r="O448" s="60"/>
    </row>
    <row r="449" spans="2:15" ht="13" hidden="1" outlineLevel="1" x14ac:dyDescent="0.25">
      <c r="B449" s="86" t="s">
        <v>9</v>
      </c>
      <c r="C449" s="149">
        <f>SUM(C430:C447)</f>
        <v>0</v>
      </c>
      <c r="D449" s="91" t="str">
        <f>D406</f>
        <v>kg</v>
      </c>
      <c r="E449" s="77"/>
      <c r="F449" s="82"/>
      <c r="G449" s="82"/>
      <c r="H449" s="82"/>
      <c r="N449" s="60"/>
      <c r="O449" s="60"/>
    </row>
    <row r="450" spans="2:15" ht="13.5" hidden="1" outlineLevel="1" thickBot="1" x14ac:dyDescent="0.3">
      <c r="B450" s="92"/>
      <c r="C450" s="93"/>
      <c r="D450" s="94"/>
      <c r="E450" s="77"/>
      <c r="F450" s="82"/>
      <c r="G450" s="82"/>
      <c r="H450" s="82"/>
      <c r="N450" s="60"/>
      <c r="O450" s="60"/>
    </row>
    <row r="451" spans="2:15" ht="20.5" hidden="1" outlineLevel="1" thickBot="1" x14ac:dyDescent="0.3">
      <c r="B451" s="426" t="s">
        <v>10</v>
      </c>
      <c r="C451" s="427"/>
      <c r="D451" s="428"/>
      <c r="E451" s="77"/>
      <c r="F451" s="82"/>
      <c r="G451" s="82"/>
      <c r="H451" s="82"/>
      <c r="N451" s="60"/>
      <c r="O451" s="60"/>
    </row>
    <row r="452" spans="2:15" ht="13" hidden="1" outlineLevel="1" x14ac:dyDescent="0.25">
      <c r="B452" s="95" t="s">
        <v>23</v>
      </c>
      <c r="C452" s="96"/>
      <c r="D452" s="151">
        <f>SUM(C416:C417)</f>
        <v>0</v>
      </c>
      <c r="E452" s="98"/>
      <c r="F452" s="82"/>
      <c r="G452" s="82"/>
      <c r="H452" s="82"/>
      <c r="N452" s="60"/>
      <c r="O452" s="60"/>
    </row>
    <row r="453" spans="2:15" ht="13" hidden="1" outlineLevel="1" x14ac:dyDescent="0.25">
      <c r="B453" s="99" t="s">
        <v>24</v>
      </c>
      <c r="C453" s="100"/>
      <c r="D453" s="152">
        <f>SUM(C419:C429)</f>
        <v>0</v>
      </c>
      <c r="E453" s="98"/>
      <c r="F453" s="82"/>
      <c r="G453" s="82"/>
      <c r="H453" s="82"/>
      <c r="N453" s="60"/>
      <c r="O453" s="60"/>
    </row>
    <row r="454" spans="2:15" ht="13" hidden="1" outlineLevel="1" x14ac:dyDescent="0.25">
      <c r="B454" s="99" t="s">
        <v>25</v>
      </c>
      <c r="C454" s="100"/>
      <c r="D454" s="152">
        <f>SUM(C432:C440)</f>
        <v>0</v>
      </c>
      <c r="E454" s="98"/>
      <c r="F454" s="82"/>
      <c r="G454" s="82"/>
      <c r="H454" s="82"/>
      <c r="N454" s="60"/>
      <c r="O454" s="60"/>
    </row>
    <row r="455" spans="2:15" ht="13.5" hidden="1" outlineLevel="1" thickBot="1" x14ac:dyDescent="0.3">
      <c r="B455" s="102" t="s">
        <v>26</v>
      </c>
      <c r="C455" s="103"/>
      <c r="D455" s="153">
        <f>SUM(C441:C448)</f>
        <v>0</v>
      </c>
      <c r="E455" s="98"/>
      <c r="F455" s="82"/>
      <c r="G455" s="82"/>
      <c r="H455" s="82"/>
      <c r="N455" s="60"/>
      <c r="O455" s="60"/>
    </row>
    <row r="456" spans="2:15" ht="19" hidden="1" outlineLevel="1" thickTop="1" thickBot="1" x14ac:dyDescent="0.3">
      <c r="B456" s="105" t="s">
        <v>11</v>
      </c>
      <c r="C456" s="106"/>
      <c r="D456" s="107" t="e">
        <f>C430/C412</f>
        <v>#DIV/0!</v>
      </c>
      <c r="E456" s="77"/>
      <c r="F456" s="110" t="s">
        <v>86</v>
      </c>
      <c r="G456" s="109" t="s">
        <v>85</v>
      </c>
      <c r="H456" s="110"/>
      <c r="N456" s="60"/>
      <c r="O456" s="60"/>
    </row>
    <row r="457" spans="2:15" ht="18.5" hidden="1" outlineLevel="1" thickBot="1" x14ac:dyDescent="0.3">
      <c r="B457" s="111" t="s">
        <v>12</v>
      </c>
      <c r="C457" s="112"/>
      <c r="D457" s="113" t="e">
        <f>(D452+D453+D454)/C412</f>
        <v>#DIV/0!</v>
      </c>
      <c r="E457" s="77"/>
      <c r="F457" s="154"/>
      <c r="G457" s="413"/>
      <c r="H457" s="414"/>
      <c r="N457" s="60"/>
      <c r="O457" s="60"/>
    </row>
    <row r="458" spans="2:15" ht="18" hidden="1" outlineLevel="1" x14ac:dyDescent="0.25">
      <c r="B458" s="111" t="s">
        <v>13</v>
      </c>
      <c r="C458" s="112"/>
      <c r="D458" s="113" t="e">
        <f>D454/C412</f>
        <v>#DIV/0!</v>
      </c>
      <c r="E458" s="90"/>
      <c r="F458" s="64" t="s">
        <v>45</v>
      </c>
      <c r="G458" s="64" t="s">
        <v>45</v>
      </c>
      <c r="H458" s="155"/>
      <c r="N458" s="60"/>
      <c r="O458" s="60"/>
    </row>
    <row r="459" spans="2:15" ht="18.5" hidden="1" outlineLevel="1" thickBot="1" x14ac:dyDescent="0.3">
      <c r="B459" s="114" t="s">
        <v>14</v>
      </c>
      <c r="C459" s="115"/>
      <c r="D459" s="116" t="e">
        <f>D455/C412</f>
        <v>#DIV/0!</v>
      </c>
      <c r="E459" s="90"/>
      <c r="F459" s="110"/>
      <c r="G459" s="117" t="s">
        <v>46</v>
      </c>
      <c r="H459" s="110"/>
      <c r="N459" s="60"/>
      <c r="O459" s="60"/>
    </row>
    <row r="460" spans="2:15" ht="18.5" hidden="1" outlineLevel="1" thickBot="1" x14ac:dyDescent="0.3">
      <c r="B460" s="114" t="s">
        <v>15</v>
      </c>
      <c r="C460" s="119"/>
      <c r="D460" s="116" t="e">
        <f>SUM(D452:D455)/C412</f>
        <v>#DIV/0!</v>
      </c>
      <c r="E460" s="90"/>
      <c r="F460" s="429"/>
      <c r="G460" s="430"/>
      <c r="H460" s="431"/>
      <c r="N460" s="60"/>
      <c r="O460" s="60"/>
    </row>
    <row r="461" spans="2:15" ht="18.5" hidden="1" outlineLevel="1" thickTop="1" x14ac:dyDescent="0.25">
      <c r="B461" s="120" t="s">
        <v>16</v>
      </c>
      <c r="C461" s="121"/>
      <c r="D461" s="122" t="e">
        <f>((C416*D394)+D453+C417*MAX(1,F417))/C412</f>
        <v>#DIV/0!</v>
      </c>
      <c r="E461" s="77"/>
      <c r="F461" s="64" t="s">
        <v>45</v>
      </c>
      <c r="G461" s="64"/>
      <c r="H461" s="82"/>
      <c r="N461" s="60"/>
      <c r="O461" s="60"/>
    </row>
    <row r="462" spans="2:15" ht="18" hidden="1" outlineLevel="1" x14ac:dyDescent="0.25">
      <c r="B462" s="123" t="s">
        <v>17</v>
      </c>
      <c r="C462" s="124"/>
      <c r="D462" s="125" t="e">
        <f>(C416*D395+D453+D454+C417*(MAX(1,F417)+G417))/C412</f>
        <v>#DIV/0!</v>
      </c>
      <c r="E462" s="77"/>
      <c r="F462" s="82"/>
      <c r="G462" s="82"/>
      <c r="H462" s="82"/>
      <c r="N462" s="60"/>
      <c r="O462" s="60"/>
    </row>
    <row r="463" spans="2:15" ht="18" hidden="1" customHeight="1" outlineLevel="1" x14ac:dyDescent="0.25">
      <c r="B463" s="123" t="s">
        <v>18</v>
      </c>
      <c r="C463" s="124"/>
      <c r="D463" s="125" t="e">
        <f>((C416*D396)+D454+C417*G417)/C412</f>
        <v>#DIV/0!</v>
      </c>
      <c r="E463" s="77"/>
      <c r="F463" s="415" t="s">
        <v>61</v>
      </c>
      <c r="G463" s="416"/>
      <c r="H463" s="416"/>
      <c r="N463" s="60"/>
      <c r="O463" s="60"/>
    </row>
    <row r="464" spans="2:15" ht="18" hidden="1" outlineLevel="1" x14ac:dyDescent="0.25">
      <c r="B464" s="126" t="s">
        <v>19</v>
      </c>
      <c r="C464" s="127"/>
      <c r="D464" s="128" t="e">
        <f>(C416*D397+D455+C417*H417)/C412</f>
        <v>#DIV/0!</v>
      </c>
      <c r="E464" s="77"/>
      <c r="F464" s="416"/>
      <c r="G464" s="416"/>
      <c r="H464" s="416"/>
      <c r="N464" s="60"/>
      <c r="O464" s="60"/>
    </row>
    <row r="465" spans="2:15" ht="18.5" hidden="1" outlineLevel="1" thickBot="1" x14ac:dyDescent="0.3">
      <c r="B465" s="129" t="s">
        <v>20</v>
      </c>
      <c r="C465" s="130"/>
      <c r="D465" s="131" t="e">
        <f>((C416*D398)+SUM(D453:D455)+C417*(MAX(1,F417)+G417+H417))/C412</f>
        <v>#DIV/0!</v>
      </c>
      <c r="E465" s="77"/>
      <c r="F465" s="416"/>
      <c r="G465" s="416"/>
      <c r="H465" s="416"/>
      <c r="N465" s="60"/>
      <c r="O465" s="60"/>
    </row>
    <row r="466" spans="2:15" ht="13" hidden="1" outlineLevel="1" thickTop="1" x14ac:dyDescent="0.25">
      <c r="B466" s="156" t="s">
        <v>76</v>
      </c>
      <c r="C466" s="424"/>
      <c r="D466" s="425"/>
      <c r="F466" s="416"/>
      <c r="G466" s="416"/>
      <c r="H466" s="416"/>
      <c r="N466" s="60"/>
      <c r="O466" s="60"/>
    </row>
    <row r="467" spans="2:15" hidden="1" outlineLevel="1" x14ac:dyDescent="0.25">
      <c r="B467" s="157" t="s">
        <v>58</v>
      </c>
      <c r="C467" s="422"/>
      <c r="D467" s="423"/>
      <c r="F467" s="416"/>
      <c r="G467" s="416"/>
      <c r="H467" s="416"/>
      <c r="N467" s="60"/>
      <c r="O467" s="60"/>
    </row>
    <row r="468" spans="2:15" ht="13" hidden="1" outlineLevel="1" thickBot="1" x14ac:dyDescent="0.3">
      <c r="B468" s="158" t="s">
        <v>59</v>
      </c>
      <c r="C468" s="420"/>
      <c r="D468" s="421"/>
      <c r="F468" s="416"/>
      <c r="G468" s="416"/>
      <c r="H468" s="416"/>
      <c r="N468" s="60"/>
      <c r="O468" s="60"/>
    </row>
    <row r="469" spans="2:15" ht="13" hidden="1" outlineLevel="1" x14ac:dyDescent="0.25">
      <c r="F469" s="34"/>
      <c r="G469" s="34"/>
      <c r="H469" s="34"/>
      <c r="N469" s="60"/>
      <c r="O469" s="60"/>
    </row>
    <row r="470" spans="2:15" ht="13.5" hidden="1" outlineLevel="1" thickBot="1" x14ac:dyDescent="0.3">
      <c r="C470" s="25" t="s">
        <v>44</v>
      </c>
      <c r="D470" s="25" t="s">
        <v>42</v>
      </c>
      <c r="F470" s="34"/>
      <c r="G470" s="34"/>
      <c r="H470" s="34"/>
      <c r="N470" s="60"/>
      <c r="O470" s="60"/>
    </row>
    <row r="471" spans="2:15" ht="21" hidden="1" outlineLevel="1" thickTop="1" thickBot="1" x14ac:dyDescent="0.3">
      <c r="B471" s="140" t="s">
        <v>73</v>
      </c>
      <c r="C471" s="29"/>
      <c r="D471" s="141"/>
      <c r="E471" s="31"/>
      <c r="F471" s="32" t="s">
        <v>27</v>
      </c>
      <c r="G471" s="33"/>
      <c r="H471" s="33"/>
    </row>
    <row r="472" spans="2:15" ht="14.5" hidden="1" outlineLevel="1" thickBot="1" x14ac:dyDescent="0.3">
      <c r="B472" s="37"/>
      <c r="C472" s="38" t="s">
        <v>0</v>
      </c>
      <c r="D472" s="39" t="s">
        <v>1</v>
      </c>
      <c r="E472" s="40"/>
      <c r="F472" s="41" t="s">
        <v>28</v>
      </c>
      <c r="G472" s="41" t="s">
        <v>21</v>
      </c>
      <c r="H472" s="41" t="s">
        <v>8</v>
      </c>
    </row>
    <row r="473" spans="2:15" ht="13" hidden="1" outlineLevel="1" x14ac:dyDescent="0.25">
      <c r="B473" s="43" t="s">
        <v>65</v>
      </c>
      <c r="C473" s="142"/>
      <c r="D473" s="45" t="s">
        <v>2</v>
      </c>
      <c r="E473" s="46"/>
      <c r="F473" s="47"/>
      <c r="G473" s="47"/>
      <c r="H473" s="47"/>
      <c r="N473" s="60"/>
      <c r="O473" s="60"/>
    </row>
    <row r="474" spans="2:15" ht="13" hidden="1" outlineLevel="1" x14ac:dyDescent="0.25">
      <c r="B474" s="43" t="s">
        <v>64</v>
      </c>
      <c r="C474" s="143"/>
      <c r="D474" s="45" t="s">
        <v>3</v>
      </c>
      <c r="E474" s="46"/>
      <c r="F474" s="47"/>
      <c r="G474" s="47"/>
      <c r="H474" s="47"/>
      <c r="N474" s="60"/>
      <c r="O474" s="60"/>
    </row>
    <row r="475" spans="2:15" ht="13" hidden="1" outlineLevel="1" x14ac:dyDescent="0.25">
      <c r="B475" s="51" t="s">
        <v>63</v>
      </c>
      <c r="C475" s="144">
        <f>C473*C474</f>
        <v>0</v>
      </c>
      <c r="D475" s="45" t="str">
        <f>D473</f>
        <v>kg</v>
      </c>
      <c r="E475" s="46"/>
      <c r="F475" s="47"/>
      <c r="G475" s="47"/>
      <c r="H475" s="47"/>
      <c r="N475" s="60"/>
      <c r="O475" s="60"/>
    </row>
    <row r="476" spans="2:15" ht="14" hidden="1" outlineLevel="1" x14ac:dyDescent="0.25">
      <c r="B476" s="54" t="s">
        <v>37</v>
      </c>
      <c r="C476" s="145">
        <v>1</v>
      </c>
      <c r="D476" s="56"/>
      <c r="E476" s="57"/>
      <c r="F476" s="58"/>
      <c r="G476" s="58"/>
      <c r="H476" s="58"/>
      <c r="N476" s="60"/>
      <c r="O476" s="60"/>
    </row>
    <row r="477" spans="2:15" ht="13" hidden="1" outlineLevel="1" x14ac:dyDescent="0.25">
      <c r="B477" s="43" t="s">
        <v>66</v>
      </c>
      <c r="C477" s="142"/>
      <c r="D477" s="45" t="str">
        <f>D473</f>
        <v>kg</v>
      </c>
      <c r="E477" s="46"/>
      <c r="F477" s="47"/>
      <c r="G477" s="47"/>
      <c r="H477" s="47"/>
      <c r="N477" s="60"/>
      <c r="O477" s="60"/>
    </row>
    <row r="478" spans="2:15" ht="13" hidden="1" outlineLevel="1" x14ac:dyDescent="0.25">
      <c r="B478" s="43" t="s">
        <v>67</v>
      </c>
      <c r="C478" s="143"/>
      <c r="D478" s="45" t="s">
        <v>3</v>
      </c>
      <c r="E478" s="59"/>
      <c r="F478" s="47"/>
      <c r="G478" s="47"/>
      <c r="H478" s="47"/>
      <c r="N478" s="60"/>
      <c r="O478" s="60"/>
    </row>
    <row r="479" spans="2:15" ht="13.5" hidden="1" outlineLevel="1" thickBot="1" x14ac:dyDescent="0.3">
      <c r="B479" s="51" t="s">
        <v>68</v>
      </c>
      <c r="C479" s="144">
        <f>C477*C478</f>
        <v>0</v>
      </c>
      <c r="D479" s="45" t="str">
        <f>D473</f>
        <v>kg</v>
      </c>
      <c r="E479" s="46"/>
      <c r="F479" s="47"/>
      <c r="G479" s="47"/>
      <c r="H479" s="47"/>
      <c r="N479" s="60"/>
      <c r="O479" s="60"/>
    </row>
    <row r="480" spans="2:15" ht="13.5" hidden="1" outlineLevel="1" thickBot="1" x14ac:dyDescent="0.3">
      <c r="B480" s="61"/>
      <c r="C480" s="62"/>
      <c r="D480" s="63"/>
      <c r="F480" s="64"/>
      <c r="G480" s="64"/>
      <c r="H480" s="64"/>
      <c r="N480" s="60"/>
      <c r="O480" s="60"/>
    </row>
    <row r="481" spans="2:15" ht="14.5" hidden="1" outlineLevel="1" thickBot="1" x14ac:dyDescent="0.3">
      <c r="B481" s="65" t="s">
        <v>5</v>
      </c>
      <c r="C481" s="66" t="s">
        <v>6</v>
      </c>
      <c r="D481" s="67" t="s">
        <v>1</v>
      </c>
      <c r="E481" s="68"/>
      <c r="F481" s="69"/>
      <c r="G481" s="69"/>
      <c r="H481" s="69"/>
      <c r="N481" s="60"/>
      <c r="O481" s="60"/>
    </row>
    <row r="482" spans="2:15" ht="13" hidden="1" outlineLevel="1" x14ac:dyDescent="0.25">
      <c r="B482" s="70" t="s">
        <v>43</v>
      </c>
      <c r="C482" s="71"/>
      <c r="D482" s="72"/>
      <c r="E482" s="73"/>
      <c r="F482" s="69"/>
      <c r="G482" s="69"/>
      <c r="H482" s="69"/>
      <c r="N482" s="60"/>
      <c r="O482" s="60"/>
    </row>
    <row r="483" spans="2:15" ht="13.5" hidden="1" outlineLevel="1" thickBot="1" x14ac:dyDescent="0.3">
      <c r="B483" s="74"/>
      <c r="C483" s="146">
        <f>C475</f>
        <v>0</v>
      </c>
      <c r="D483" s="76" t="str">
        <f>D$473</f>
        <v>kg</v>
      </c>
      <c r="E483" s="98"/>
      <c r="F483" s="69"/>
      <c r="G483" s="69"/>
      <c r="H483" s="69"/>
      <c r="N483" s="60"/>
      <c r="O483" s="60"/>
    </row>
    <row r="484" spans="2:15" ht="13.5" hidden="1" outlineLevel="1" thickBot="1" x14ac:dyDescent="0.3">
      <c r="B484" s="74"/>
      <c r="C484" s="146"/>
      <c r="D484" s="76" t="str">
        <f>D$473</f>
        <v>kg</v>
      </c>
      <c r="E484" s="77"/>
      <c r="F484" s="78"/>
      <c r="G484" s="78"/>
      <c r="H484" s="78"/>
      <c r="N484" s="60"/>
      <c r="O484" s="60"/>
    </row>
    <row r="485" spans="2:15" ht="13" hidden="1" outlineLevel="1" x14ac:dyDescent="0.25">
      <c r="B485" s="79" t="s">
        <v>69</v>
      </c>
      <c r="C485" s="147"/>
      <c r="D485" s="81"/>
      <c r="E485" s="77"/>
      <c r="F485" s="82"/>
      <c r="G485" s="82"/>
      <c r="H485" s="82"/>
      <c r="N485" s="60"/>
      <c r="O485" s="60"/>
    </row>
    <row r="486" spans="2:15" ht="13" hidden="1" outlineLevel="1" x14ac:dyDescent="0.25">
      <c r="B486" s="74"/>
      <c r="C486" s="148"/>
      <c r="D486" s="76" t="str">
        <f t="shared" ref="D486:D492" si="0">D$473</f>
        <v>kg</v>
      </c>
      <c r="E486" s="77"/>
      <c r="F486" s="82"/>
      <c r="G486" s="82"/>
      <c r="H486" s="82"/>
      <c r="N486" s="60"/>
      <c r="O486" s="60"/>
    </row>
    <row r="487" spans="2:15" ht="13" hidden="1" outlineLevel="1" x14ac:dyDescent="0.25">
      <c r="B487" s="74"/>
      <c r="C487" s="148"/>
      <c r="D487" s="76" t="str">
        <f t="shared" si="0"/>
        <v>kg</v>
      </c>
      <c r="E487" s="77"/>
      <c r="F487" s="82"/>
      <c r="G487" s="82"/>
      <c r="H487" s="82"/>
      <c r="N487" s="60"/>
      <c r="O487" s="60"/>
    </row>
    <row r="488" spans="2:15" ht="13" hidden="1" outlineLevel="1" x14ac:dyDescent="0.25">
      <c r="B488" s="74"/>
      <c r="C488" s="148"/>
      <c r="D488" s="76" t="str">
        <f t="shared" si="0"/>
        <v>kg</v>
      </c>
      <c r="E488" s="77"/>
      <c r="F488" s="82"/>
      <c r="G488" s="82"/>
      <c r="H488" s="82"/>
      <c r="N488" s="60"/>
      <c r="O488" s="60"/>
    </row>
    <row r="489" spans="2:15" ht="13" hidden="1" outlineLevel="1" x14ac:dyDescent="0.25">
      <c r="B489" s="74"/>
      <c r="C489" s="148"/>
      <c r="D489" s="76" t="str">
        <f t="shared" si="0"/>
        <v>kg</v>
      </c>
      <c r="E489" s="77"/>
      <c r="F489" s="82"/>
      <c r="G489" s="82"/>
      <c r="H489" s="82"/>
      <c r="N489" s="60"/>
      <c r="O489" s="60"/>
    </row>
    <row r="490" spans="2:15" ht="13" hidden="1" outlineLevel="1" x14ac:dyDescent="0.25">
      <c r="B490" s="74"/>
      <c r="C490" s="148"/>
      <c r="D490" s="76" t="str">
        <f t="shared" si="0"/>
        <v>kg</v>
      </c>
      <c r="E490" s="77"/>
      <c r="F490" s="82"/>
      <c r="G490" s="82"/>
      <c r="H490" s="82"/>
      <c r="N490" s="60"/>
      <c r="O490" s="60"/>
    </row>
    <row r="491" spans="2:15" ht="13" hidden="1" outlineLevel="1" x14ac:dyDescent="0.25">
      <c r="B491" s="74"/>
      <c r="C491" s="148"/>
      <c r="D491" s="76" t="str">
        <f t="shared" si="0"/>
        <v>kg</v>
      </c>
      <c r="E491" s="77"/>
      <c r="F491" s="82"/>
      <c r="G491" s="82"/>
      <c r="H491" s="82"/>
      <c r="N491" s="60"/>
      <c r="O491" s="60"/>
    </row>
    <row r="492" spans="2:15" ht="13" hidden="1" outlineLevel="1" x14ac:dyDescent="0.25">
      <c r="B492" s="74"/>
      <c r="C492" s="148"/>
      <c r="D492" s="76" t="str">
        <f t="shared" si="0"/>
        <v>kg</v>
      </c>
      <c r="E492" s="77"/>
      <c r="F492" s="82"/>
      <c r="G492" s="82"/>
      <c r="H492" s="82"/>
      <c r="N492" s="60"/>
      <c r="O492" s="60"/>
    </row>
    <row r="493" spans="2:15" ht="13" hidden="1" outlineLevel="1" x14ac:dyDescent="0.25">
      <c r="B493" s="74"/>
      <c r="C493" s="148"/>
      <c r="D493" s="76" t="str">
        <f t="shared" ref="D493:D495" si="1">D$473</f>
        <v>kg</v>
      </c>
      <c r="E493" s="77"/>
      <c r="F493" s="82"/>
      <c r="G493" s="82"/>
      <c r="H493" s="82"/>
      <c r="N493" s="60"/>
      <c r="O493" s="60"/>
    </row>
    <row r="494" spans="2:15" ht="13" hidden="1" outlineLevel="1" x14ac:dyDescent="0.25">
      <c r="B494" s="74"/>
      <c r="C494" s="148"/>
      <c r="D494" s="76" t="str">
        <f t="shared" si="1"/>
        <v>kg</v>
      </c>
      <c r="E494" s="77"/>
      <c r="F494" s="82"/>
      <c r="G494" s="82"/>
      <c r="H494" s="82"/>
      <c r="N494" s="60"/>
      <c r="O494" s="60"/>
    </row>
    <row r="495" spans="2:15" ht="13" hidden="1" outlineLevel="1" x14ac:dyDescent="0.25">
      <c r="B495" s="74"/>
      <c r="C495" s="148"/>
      <c r="D495" s="76" t="str">
        <f t="shared" si="1"/>
        <v>kg</v>
      </c>
      <c r="E495" s="77"/>
      <c r="F495" s="82"/>
      <c r="G495" s="82"/>
      <c r="H495" s="82"/>
      <c r="N495" s="60"/>
      <c r="O495" s="60"/>
    </row>
    <row r="496" spans="2:15" ht="13.15" hidden="1" customHeight="1" outlineLevel="1" x14ac:dyDescent="0.25">
      <c r="B496" s="79"/>
      <c r="C496" s="147"/>
      <c r="D496" s="81"/>
      <c r="E496" s="77"/>
      <c r="F496" s="82"/>
      <c r="G496" s="82"/>
      <c r="H496" s="82"/>
      <c r="K496" s="34"/>
      <c r="N496" s="60"/>
      <c r="O496" s="60"/>
    </row>
    <row r="497" spans="2:15" ht="13" hidden="1" outlineLevel="1" x14ac:dyDescent="0.25">
      <c r="B497" s="86" t="s">
        <v>7</v>
      </c>
      <c r="C497" s="149">
        <f>SUM(C482:C495)</f>
        <v>0</v>
      </c>
      <c r="D497" s="88" t="str">
        <f>D$473</f>
        <v>kg</v>
      </c>
      <c r="E497" s="77"/>
      <c r="F497" s="82"/>
      <c r="G497" s="82"/>
      <c r="H497" s="82"/>
      <c r="N497" s="60"/>
      <c r="O497" s="60"/>
    </row>
    <row r="498" spans="2:15" ht="13" hidden="1" outlineLevel="1" x14ac:dyDescent="0.25">
      <c r="B498" s="79" t="s">
        <v>71</v>
      </c>
      <c r="C498" s="150"/>
      <c r="D498" s="81"/>
      <c r="E498" s="77"/>
      <c r="F498" s="82"/>
      <c r="G498" s="82"/>
      <c r="H498" s="82"/>
      <c r="N498" s="60"/>
      <c r="O498" s="60"/>
    </row>
    <row r="499" spans="2:15" ht="13" hidden="1" outlineLevel="1" x14ac:dyDescent="0.25">
      <c r="B499" s="74"/>
      <c r="C499" s="148"/>
      <c r="D499" s="76" t="str">
        <f t="shared" ref="D499:D506" si="2">D$473</f>
        <v>kg</v>
      </c>
      <c r="E499" s="77"/>
      <c r="F499" s="82"/>
      <c r="G499" s="82"/>
      <c r="H499" s="82"/>
      <c r="N499" s="60"/>
      <c r="O499" s="60"/>
    </row>
    <row r="500" spans="2:15" ht="13" hidden="1" outlineLevel="1" x14ac:dyDescent="0.25">
      <c r="B500" s="74"/>
      <c r="C500" s="148"/>
      <c r="D500" s="76" t="str">
        <f t="shared" si="2"/>
        <v>kg</v>
      </c>
      <c r="E500" s="77"/>
      <c r="F500" s="82"/>
      <c r="G500" s="82"/>
      <c r="H500" s="82"/>
      <c r="N500" s="60"/>
      <c r="O500" s="60"/>
    </row>
    <row r="501" spans="2:15" ht="13" hidden="1" outlineLevel="1" x14ac:dyDescent="0.25">
      <c r="B501" s="74"/>
      <c r="C501" s="148"/>
      <c r="D501" s="76" t="str">
        <f>D$473</f>
        <v>kg</v>
      </c>
      <c r="E501" s="77"/>
      <c r="F501" s="82"/>
      <c r="G501" s="82"/>
      <c r="H501" s="82"/>
      <c r="N501" s="60"/>
      <c r="O501" s="60"/>
    </row>
    <row r="502" spans="2:15" ht="13" hidden="1" outlineLevel="1" x14ac:dyDescent="0.25">
      <c r="B502" s="74"/>
      <c r="C502" s="148"/>
      <c r="D502" s="76" t="str">
        <f>D$473</f>
        <v>kg</v>
      </c>
      <c r="E502" s="77"/>
      <c r="F502" s="82"/>
      <c r="G502" s="82"/>
      <c r="H502" s="82"/>
      <c r="N502" s="60"/>
      <c r="O502" s="60"/>
    </row>
    <row r="503" spans="2:15" ht="13" hidden="1" outlineLevel="1" x14ac:dyDescent="0.25">
      <c r="B503" s="74"/>
      <c r="C503" s="148"/>
      <c r="D503" s="76" t="str">
        <f t="shared" si="2"/>
        <v>kg</v>
      </c>
      <c r="E503" s="77"/>
      <c r="F503" s="82"/>
      <c r="G503" s="82"/>
      <c r="H503" s="82"/>
      <c r="N503" s="60"/>
      <c r="O503" s="60"/>
    </row>
    <row r="504" spans="2:15" ht="13" hidden="1" outlineLevel="1" x14ac:dyDescent="0.25">
      <c r="B504" s="74"/>
      <c r="C504" s="148"/>
      <c r="D504" s="76" t="str">
        <f t="shared" si="2"/>
        <v>kg</v>
      </c>
      <c r="E504" s="77"/>
      <c r="F504" s="82"/>
      <c r="G504" s="82"/>
      <c r="H504" s="82"/>
      <c r="N504" s="60"/>
      <c r="O504" s="60"/>
    </row>
    <row r="505" spans="2:15" ht="13" hidden="1" outlineLevel="1" x14ac:dyDescent="0.25">
      <c r="B505" s="74"/>
      <c r="C505" s="148"/>
      <c r="D505" s="76" t="str">
        <f t="shared" si="2"/>
        <v>kg</v>
      </c>
      <c r="E505" s="77"/>
      <c r="F505" s="82"/>
      <c r="G505" s="82"/>
      <c r="H505" s="82"/>
      <c r="N505" s="60"/>
      <c r="O505" s="60"/>
    </row>
    <row r="506" spans="2:15" ht="13" hidden="1" outlineLevel="1" x14ac:dyDescent="0.25">
      <c r="B506" s="74"/>
      <c r="C506" s="148"/>
      <c r="D506" s="76" t="str">
        <f t="shared" si="2"/>
        <v>kg</v>
      </c>
      <c r="E506" s="77"/>
      <c r="F506" s="82"/>
      <c r="G506" s="82"/>
      <c r="H506" s="82"/>
      <c r="N506" s="60"/>
      <c r="O506" s="60"/>
    </row>
    <row r="507" spans="2:15" ht="13" hidden="1" outlineLevel="1" x14ac:dyDescent="0.25">
      <c r="B507" s="79" t="s">
        <v>70</v>
      </c>
      <c r="C507" s="147"/>
      <c r="D507" s="81"/>
      <c r="E507" s="90"/>
      <c r="F507" s="82"/>
      <c r="G507" s="82"/>
      <c r="H507" s="82"/>
      <c r="N507" s="60"/>
      <c r="O507" s="60"/>
    </row>
    <row r="508" spans="2:15" ht="13" hidden="1" outlineLevel="1" x14ac:dyDescent="0.25">
      <c r="B508" s="74"/>
      <c r="C508" s="148"/>
      <c r="D508" s="76" t="str">
        <f t="shared" ref="D508:D514" si="3">D$473</f>
        <v>kg</v>
      </c>
      <c r="E508" s="77"/>
      <c r="F508" s="82"/>
      <c r="G508" s="82"/>
      <c r="H508" s="82"/>
      <c r="N508" s="60"/>
      <c r="O508" s="60"/>
    </row>
    <row r="509" spans="2:15" ht="13" hidden="1" outlineLevel="1" x14ac:dyDescent="0.25">
      <c r="B509" s="74"/>
      <c r="C509" s="148"/>
      <c r="D509" s="76" t="str">
        <f>D$473</f>
        <v>kg</v>
      </c>
      <c r="E509" s="77"/>
      <c r="F509" s="82"/>
      <c r="G509" s="82"/>
      <c r="H509" s="82"/>
      <c r="N509" s="60"/>
      <c r="O509" s="60"/>
    </row>
    <row r="510" spans="2:15" ht="13" hidden="1" outlineLevel="1" x14ac:dyDescent="0.25">
      <c r="B510" s="74"/>
      <c r="C510" s="148"/>
      <c r="D510" s="76" t="str">
        <f>D$473</f>
        <v>kg</v>
      </c>
      <c r="E510" s="77"/>
      <c r="F510" s="82"/>
      <c r="G510" s="82"/>
      <c r="H510" s="82"/>
      <c r="N510" s="60"/>
      <c r="O510" s="60"/>
    </row>
    <row r="511" spans="2:15" ht="13" hidden="1" outlineLevel="1" x14ac:dyDescent="0.25">
      <c r="B511" s="74"/>
      <c r="C511" s="148"/>
      <c r="D511" s="76" t="str">
        <f>D$473</f>
        <v>kg</v>
      </c>
      <c r="E511" s="77"/>
      <c r="F511" s="82"/>
      <c r="G511" s="82"/>
      <c r="H511" s="82"/>
      <c r="N511" s="60"/>
      <c r="O511" s="60"/>
    </row>
    <row r="512" spans="2:15" ht="13" hidden="1" outlineLevel="1" x14ac:dyDescent="0.25">
      <c r="B512" s="74"/>
      <c r="C512" s="148"/>
      <c r="D512" s="76" t="str">
        <f t="shared" si="3"/>
        <v>kg</v>
      </c>
      <c r="E512" s="77"/>
      <c r="F512" s="82"/>
      <c r="G512" s="82"/>
      <c r="H512" s="82"/>
      <c r="N512" s="60"/>
      <c r="O512" s="60"/>
    </row>
    <row r="513" spans="2:15" ht="13" hidden="1" outlineLevel="1" x14ac:dyDescent="0.25">
      <c r="B513" s="74"/>
      <c r="C513" s="148"/>
      <c r="D513" s="76" t="str">
        <f t="shared" si="3"/>
        <v>kg</v>
      </c>
      <c r="E513" s="77"/>
      <c r="F513" s="82"/>
      <c r="G513" s="82"/>
      <c r="H513" s="82"/>
      <c r="N513" s="60"/>
      <c r="O513" s="60"/>
    </row>
    <row r="514" spans="2:15" ht="13" hidden="1" outlineLevel="1" x14ac:dyDescent="0.25">
      <c r="B514" s="74"/>
      <c r="C514" s="148"/>
      <c r="D514" s="76" t="str">
        <f t="shared" si="3"/>
        <v>kg</v>
      </c>
      <c r="E514" s="77"/>
      <c r="F514" s="82"/>
      <c r="G514" s="82"/>
      <c r="H514" s="82"/>
      <c r="N514" s="60"/>
      <c r="O514" s="60"/>
    </row>
    <row r="515" spans="2:15" ht="13.15" hidden="1" customHeight="1" outlineLevel="1" x14ac:dyDescent="0.25">
      <c r="B515" s="79"/>
      <c r="C515" s="147"/>
      <c r="D515" s="81"/>
      <c r="E515" s="77"/>
      <c r="F515" s="82"/>
      <c r="G515" s="82"/>
      <c r="H515" s="82"/>
      <c r="K515" s="34"/>
      <c r="N515" s="60"/>
      <c r="O515" s="60"/>
    </row>
    <row r="516" spans="2:15" ht="13" hidden="1" outlineLevel="1" x14ac:dyDescent="0.25">
      <c r="B516" s="86" t="s">
        <v>9</v>
      </c>
      <c r="C516" s="149">
        <f>SUM(C497:C514)</f>
        <v>0</v>
      </c>
      <c r="D516" s="91" t="str">
        <f>D$473</f>
        <v>kg</v>
      </c>
      <c r="E516" s="77"/>
      <c r="F516" s="82"/>
      <c r="G516" s="82"/>
      <c r="H516" s="82"/>
      <c r="N516" s="60"/>
      <c r="O516" s="60"/>
    </row>
    <row r="517" spans="2:15" ht="13.5" hidden="1" outlineLevel="1" thickBot="1" x14ac:dyDescent="0.3">
      <c r="B517" s="92"/>
      <c r="C517" s="93"/>
      <c r="D517" s="94"/>
      <c r="E517" s="77"/>
      <c r="F517" s="82"/>
      <c r="G517" s="82"/>
      <c r="H517" s="82"/>
      <c r="N517" s="60"/>
      <c r="O517" s="60"/>
    </row>
    <row r="518" spans="2:15" ht="21.65" hidden="1" customHeight="1" outlineLevel="1" thickBot="1" x14ac:dyDescent="0.3">
      <c r="B518" s="426" t="s">
        <v>10</v>
      </c>
      <c r="C518" s="427"/>
      <c r="D518" s="428"/>
      <c r="E518" s="77"/>
      <c r="F518" s="82"/>
      <c r="G518" s="82"/>
      <c r="H518" s="82"/>
      <c r="N518" s="60"/>
      <c r="O518" s="60"/>
    </row>
    <row r="519" spans="2:15" ht="13" hidden="1" outlineLevel="1" x14ac:dyDescent="0.25">
      <c r="B519" s="95" t="s">
        <v>23</v>
      </c>
      <c r="C519" s="96"/>
      <c r="D519" s="151">
        <f>SUM(C483:C484)</f>
        <v>0</v>
      </c>
      <c r="E519" s="98"/>
      <c r="F519" s="82"/>
      <c r="G519" s="82"/>
      <c r="H519" s="82"/>
      <c r="N519" s="60"/>
      <c r="O519" s="60"/>
    </row>
    <row r="520" spans="2:15" ht="13" hidden="1" outlineLevel="1" x14ac:dyDescent="0.25">
      <c r="B520" s="99" t="s">
        <v>24</v>
      </c>
      <c r="C520" s="100"/>
      <c r="D520" s="152">
        <f>SUM(C486:C496)</f>
        <v>0</v>
      </c>
      <c r="E520" s="98"/>
      <c r="F520" s="82"/>
      <c r="G520" s="82"/>
      <c r="H520" s="82"/>
      <c r="N520" s="60"/>
      <c r="O520" s="60"/>
    </row>
    <row r="521" spans="2:15" ht="13" hidden="1" outlineLevel="1" x14ac:dyDescent="0.25">
      <c r="B521" s="99" t="s">
        <v>25</v>
      </c>
      <c r="C521" s="100"/>
      <c r="D521" s="152">
        <f>SUM(C499:C507)</f>
        <v>0</v>
      </c>
      <c r="E521" s="98"/>
      <c r="F521" s="82"/>
      <c r="G521" s="82"/>
      <c r="H521" s="82"/>
      <c r="N521" s="60"/>
      <c r="O521" s="60"/>
    </row>
    <row r="522" spans="2:15" ht="15" hidden="1" customHeight="1" outlineLevel="1" thickBot="1" x14ac:dyDescent="0.3">
      <c r="B522" s="102" t="s">
        <v>26</v>
      </c>
      <c r="C522" s="103"/>
      <c r="D522" s="153">
        <f>SUM(C508:C515)</f>
        <v>0</v>
      </c>
      <c r="E522" s="98"/>
      <c r="F522" s="82"/>
      <c r="G522" s="82"/>
      <c r="H522" s="82"/>
      <c r="N522" s="60"/>
      <c r="O522" s="60"/>
    </row>
    <row r="523" spans="2:15" ht="19" hidden="1" outlineLevel="1" thickTop="1" thickBot="1" x14ac:dyDescent="0.3">
      <c r="B523" s="105" t="s">
        <v>11</v>
      </c>
      <c r="C523" s="106"/>
      <c r="D523" s="107" t="e">
        <f>C497/C479</f>
        <v>#DIV/0!</v>
      </c>
      <c r="E523" s="77"/>
      <c r="F523" s="110" t="s">
        <v>86</v>
      </c>
      <c r="G523" s="109" t="s">
        <v>85</v>
      </c>
      <c r="H523" s="110"/>
      <c r="N523" s="60"/>
      <c r="O523" s="60"/>
    </row>
    <row r="524" spans="2:15" ht="18.5" hidden="1" outlineLevel="1" thickBot="1" x14ac:dyDescent="0.3">
      <c r="B524" s="111" t="s">
        <v>12</v>
      </c>
      <c r="C524" s="112"/>
      <c r="D524" s="113" t="e">
        <f>(D519+D520+D521)/C479</f>
        <v>#DIV/0!</v>
      </c>
      <c r="E524" s="77"/>
      <c r="F524" s="154"/>
      <c r="G524" s="413"/>
      <c r="H524" s="414"/>
      <c r="N524" s="60"/>
      <c r="O524" s="60"/>
    </row>
    <row r="525" spans="2:15" ht="18" hidden="1" outlineLevel="1" x14ac:dyDescent="0.25">
      <c r="B525" s="111" t="s">
        <v>13</v>
      </c>
      <c r="C525" s="112"/>
      <c r="D525" s="113" t="e">
        <f>D521/C479</f>
        <v>#DIV/0!</v>
      </c>
      <c r="E525" s="90"/>
      <c r="F525" s="64" t="s">
        <v>45</v>
      </c>
      <c r="G525" s="64" t="s">
        <v>45</v>
      </c>
      <c r="H525" s="155"/>
      <c r="N525" s="60"/>
      <c r="O525" s="60"/>
    </row>
    <row r="526" spans="2:15" ht="18.5" hidden="1" outlineLevel="1" thickBot="1" x14ac:dyDescent="0.3">
      <c r="B526" s="114" t="s">
        <v>14</v>
      </c>
      <c r="C526" s="115"/>
      <c r="D526" s="116" t="e">
        <f>D522/C479</f>
        <v>#DIV/0!</v>
      </c>
      <c r="E526" s="90"/>
      <c r="F526" s="110"/>
      <c r="G526" s="117" t="s">
        <v>46</v>
      </c>
      <c r="H526" s="110"/>
      <c r="N526" s="60"/>
      <c r="O526" s="60"/>
    </row>
    <row r="527" spans="2:15" ht="18.5" hidden="1" outlineLevel="1" thickBot="1" x14ac:dyDescent="0.3">
      <c r="B527" s="114" t="s">
        <v>15</v>
      </c>
      <c r="C527" s="119"/>
      <c r="D527" s="116" t="e">
        <f>SUM(D519:D522)/C479</f>
        <v>#DIV/0!</v>
      </c>
      <c r="E527" s="90"/>
      <c r="F527" s="429"/>
      <c r="G527" s="430"/>
      <c r="H527" s="431"/>
      <c r="N527" s="60"/>
      <c r="O527" s="60"/>
    </row>
    <row r="528" spans="2:15" ht="18.5" hidden="1" outlineLevel="1" thickTop="1" x14ac:dyDescent="0.25">
      <c r="B528" s="120" t="s">
        <v>16</v>
      </c>
      <c r="C528" s="121"/>
      <c r="D528" s="122" t="e">
        <f>((C483*D461)+D520+C484*MAX(1,F484))/C479</f>
        <v>#DIV/0!</v>
      </c>
      <c r="E528" s="77"/>
      <c r="F528" s="64" t="s">
        <v>45</v>
      </c>
      <c r="G528" s="64"/>
      <c r="H528" s="82"/>
      <c r="N528" s="60"/>
      <c r="O528" s="60"/>
    </row>
    <row r="529" spans="2:15" ht="18" hidden="1" outlineLevel="1" x14ac:dyDescent="0.25">
      <c r="B529" s="123" t="s">
        <v>17</v>
      </c>
      <c r="C529" s="124"/>
      <c r="D529" s="125" t="e">
        <f>(C483*D462+D520+D521+C484*(MAX(1,F484)+G484))/C479</f>
        <v>#DIV/0!</v>
      </c>
      <c r="E529" s="77"/>
      <c r="F529" s="82"/>
      <c r="G529" s="82"/>
      <c r="H529" s="82"/>
      <c r="N529" s="60"/>
      <c r="O529" s="60"/>
    </row>
    <row r="530" spans="2:15" ht="18" hidden="1" customHeight="1" outlineLevel="1" x14ac:dyDescent="0.25">
      <c r="B530" s="123" t="s">
        <v>18</v>
      </c>
      <c r="C530" s="124"/>
      <c r="D530" s="125" t="e">
        <f>((C483*D463)+D521+C484*G484)/C479</f>
        <v>#DIV/0!</v>
      </c>
      <c r="E530" s="77"/>
      <c r="F530" s="415" t="s">
        <v>61</v>
      </c>
      <c r="G530" s="416"/>
      <c r="H530" s="416"/>
      <c r="N530" s="60"/>
      <c r="O530" s="60"/>
    </row>
    <row r="531" spans="2:15" ht="18" hidden="1" outlineLevel="1" x14ac:dyDescent="0.25">
      <c r="B531" s="126" t="s">
        <v>19</v>
      </c>
      <c r="C531" s="127"/>
      <c r="D531" s="128" t="e">
        <f>(C483*D464+D522+C484*H484)/C479</f>
        <v>#DIV/0!</v>
      </c>
      <c r="E531" s="77"/>
      <c r="F531" s="416"/>
      <c r="G531" s="416"/>
      <c r="H531" s="416"/>
      <c r="N531" s="60"/>
      <c r="O531" s="60"/>
    </row>
    <row r="532" spans="2:15" ht="18.5" hidden="1" outlineLevel="1" thickBot="1" x14ac:dyDescent="0.3">
      <c r="B532" s="129" t="s">
        <v>20</v>
      </c>
      <c r="C532" s="130"/>
      <c r="D532" s="131" t="e">
        <f>((C483*D465)+SUM(D520:D522)+C484*(MAX(1,F484)+G484+H484))/C479</f>
        <v>#DIV/0!</v>
      </c>
      <c r="E532" s="77"/>
      <c r="F532" s="416"/>
      <c r="G532" s="416"/>
      <c r="H532" s="416"/>
      <c r="N532" s="60"/>
      <c r="O532" s="60"/>
    </row>
    <row r="533" spans="2:15" ht="13" hidden="1" outlineLevel="1" thickTop="1" x14ac:dyDescent="0.25">
      <c r="B533" s="156" t="s">
        <v>76</v>
      </c>
      <c r="C533" s="424"/>
      <c r="D533" s="425"/>
      <c r="F533" s="416"/>
      <c r="G533" s="416"/>
      <c r="H533" s="416"/>
      <c r="N533" s="60"/>
      <c r="O533" s="60"/>
    </row>
    <row r="534" spans="2:15" hidden="1" outlineLevel="1" x14ac:dyDescent="0.25">
      <c r="B534" s="157" t="s">
        <v>58</v>
      </c>
      <c r="C534" s="422"/>
      <c r="D534" s="423"/>
      <c r="F534" s="416"/>
      <c r="G534" s="416"/>
      <c r="H534" s="416"/>
      <c r="N534" s="60"/>
      <c r="O534" s="60"/>
    </row>
    <row r="535" spans="2:15" ht="13" hidden="1" outlineLevel="1" thickBot="1" x14ac:dyDescent="0.3">
      <c r="B535" s="158" t="s">
        <v>59</v>
      </c>
      <c r="C535" s="420"/>
      <c r="D535" s="421"/>
      <c r="F535" s="416"/>
      <c r="G535" s="416"/>
      <c r="H535" s="416"/>
      <c r="N535" s="60"/>
      <c r="O535" s="60"/>
    </row>
    <row r="536" spans="2:15" ht="13" hidden="1" outlineLevel="1" x14ac:dyDescent="0.25">
      <c r="F536" s="34"/>
      <c r="G536" s="34"/>
      <c r="H536" s="34"/>
      <c r="N536" s="60"/>
      <c r="O536" s="60"/>
    </row>
    <row r="537" spans="2:15" ht="13.5" hidden="1" outlineLevel="1" thickBot="1" x14ac:dyDescent="0.3">
      <c r="C537" s="25" t="s">
        <v>44</v>
      </c>
      <c r="D537" s="25" t="s">
        <v>42</v>
      </c>
      <c r="F537" s="34"/>
      <c r="G537" s="34"/>
      <c r="H537" s="34"/>
      <c r="N537" s="60"/>
      <c r="O537" s="60"/>
    </row>
    <row r="538" spans="2:15" ht="21" hidden="1" outlineLevel="1" thickTop="1" thickBot="1" x14ac:dyDescent="0.3">
      <c r="B538" s="140" t="s">
        <v>73</v>
      </c>
      <c r="C538" s="29"/>
      <c r="D538" s="141"/>
      <c r="E538" s="31"/>
      <c r="F538" s="32" t="s">
        <v>27</v>
      </c>
      <c r="G538" s="33"/>
      <c r="H538" s="33"/>
    </row>
    <row r="539" spans="2:15" ht="14.5" hidden="1" outlineLevel="1" thickBot="1" x14ac:dyDescent="0.3">
      <c r="B539" s="37"/>
      <c r="C539" s="38" t="s">
        <v>0</v>
      </c>
      <c r="D539" s="39" t="s">
        <v>1</v>
      </c>
      <c r="E539" s="40"/>
      <c r="F539" s="41" t="s">
        <v>28</v>
      </c>
      <c r="G539" s="41" t="s">
        <v>21</v>
      </c>
      <c r="H539" s="41" t="s">
        <v>8</v>
      </c>
    </row>
    <row r="540" spans="2:15" ht="13" hidden="1" outlineLevel="1" x14ac:dyDescent="0.25">
      <c r="B540" s="43" t="s">
        <v>65</v>
      </c>
      <c r="C540" s="142"/>
      <c r="D540" s="45" t="s">
        <v>2</v>
      </c>
      <c r="E540" s="46"/>
      <c r="F540" s="47"/>
      <c r="G540" s="47"/>
      <c r="H540" s="47"/>
      <c r="N540" s="60"/>
      <c r="O540" s="60"/>
    </row>
    <row r="541" spans="2:15" ht="13" hidden="1" outlineLevel="1" x14ac:dyDescent="0.25">
      <c r="B541" s="43" t="s">
        <v>64</v>
      </c>
      <c r="C541" s="143"/>
      <c r="D541" s="45" t="s">
        <v>3</v>
      </c>
      <c r="E541" s="46"/>
      <c r="F541" s="47"/>
      <c r="G541" s="47"/>
      <c r="H541" s="47"/>
      <c r="N541" s="60"/>
      <c r="O541" s="60"/>
    </row>
    <row r="542" spans="2:15" ht="13" hidden="1" outlineLevel="1" x14ac:dyDescent="0.25">
      <c r="B542" s="51" t="s">
        <v>63</v>
      </c>
      <c r="C542" s="144">
        <f>C540*C541</f>
        <v>0</v>
      </c>
      <c r="D542" s="45" t="str">
        <f>D540</f>
        <v>kg</v>
      </c>
      <c r="E542" s="46"/>
      <c r="F542" s="47"/>
      <c r="G542" s="47"/>
      <c r="H542" s="47"/>
      <c r="N542" s="60"/>
      <c r="O542" s="60"/>
    </row>
    <row r="543" spans="2:15" ht="14" hidden="1" outlineLevel="1" x14ac:dyDescent="0.25">
      <c r="B543" s="54" t="s">
        <v>37</v>
      </c>
      <c r="C543" s="145">
        <v>1</v>
      </c>
      <c r="D543" s="56"/>
      <c r="E543" s="57"/>
      <c r="F543" s="58"/>
      <c r="G543" s="58"/>
      <c r="H543" s="58"/>
      <c r="N543" s="60"/>
      <c r="O543" s="60"/>
    </row>
    <row r="544" spans="2:15" ht="13" hidden="1" outlineLevel="1" x14ac:dyDescent="0.25">
      <c r="B544" s="43" t="s">
        <v>66</v>
      </c>
      <c r="C544" s="142"/>
      <c r="D544" s="45" t="str">
        <f>D540</f>
        <v>kg</v>
      </c>
      <c r="E544" s="46"/>
      <c r="F544" s="47"/>
      <c r="G544" s="47"/>
      <c r="H544" s="47"/>
      <c r="N544" s="60"/>
      <c r="O544" s="60"/>
    </row>
    <row r="545" spans="2:15" ht="13" hidden="1" outlineLevel="1" x14ac:dyDescent="0.25">
      <c r="B545" s="43" t="s">
        <v>67</v>
      </c>
      <c r="C545" s="143"/>
      <c r="D545" s="45" t="s">
        <v>3</v>
      </c>
      <c r="E545" s="59"/>
      <c r="F545" s="47"/>
      <c r="G545" s="47"/>
      <c r="H545" s="47"/>
      <c r="N545" s="60"/>
      <c r="O545" s="60"/>
    </row>
    <row r="546" spans="2:15" ht="13.5" hidden="1" outlineLevel="1" thickBot="1" x14ac:dyDescent="0.3">
      <c r="B546" s="51" t="s">
        <v>68</v>
      </c>
      <c r="C546" s="144">
        <f>C544*C545</f>
        <v>0</v>
      </c>
      <c r="D546" s="45" t="str">
        <f>D540</f>
        <v>kg</v>
      </c>
      <c r="E546" s="46"/>
      <c r="F546" s="47"/>
      <c r="G546" s="47"/>
      <c r="H546" s="47"/>
      <c r="N546" s="60"/>
      <c r="O546" s="60"/>
    </row>
    <row r="547" spans="2:15" ht="13.5" hidden="1" outlineLevel="1" thickBot="1" x14ac:dyDescent="0.3">
      <c r="B547" s="61"/>
      <c r="C547" s="62"/>
      <c r="D547" s="63"/>
      <c r="F547" s="64"/>
      <c r="G547" s="64"/>
      <c r="H547" s="64"/>
      <c r="N547" s="60"/>
      <c r="O547" s="60"/>
    </row>
    <row r="548" spans="2:15" ht="14.5" hidden="1" outlineLevel="1" thickBot="1" x14ac:dyDescent="0.3">
      <c r="B548" s="65" t="s">
        <v>5</v>
      </c>
      <c r="C548" s="66" t="s">
        <v>6</v>
      </c>
      <c r="D548" s="67" t="s">
        <v>1</v>
      </c>
      <c r="E548" s="68"/>
      <c r="F548" s="69"/>
      <c r="G548" s="69"/>
      <c r="H548" s="69"/>
      <c r="N548" s="60"/>
      <c r="O548" s="60"/>
    </row>
    <row r="549" spans="2:15" ht="13" hidden="1" outlineLevel="1" x14ac:dyDescent="0.25">
      <c r="B549" s="70" t="s">
        <v>43</v>
      </c>
      <c r="C549" s="71"/>
      <c r="D549" s="72"/>
      <c r="E549" s="73"/>
      <c r="F549" s="69"/>
      <c r="G549" s="69"/>
      <c r="H549" s="69"/>
      <c r="N549" s="60"/>
      <c r="O549" s="60"/>
    </row>
    <row r="550" spans="2:15" ht="13.5" hidden="1" outlineLevel="1" thickBot="1" x14ac:dyDescent="0.3">
      <c r="B550" s="74"/>
      <c r="C550" s="146">
        <f>C542</f>
        <v>0</v>
      </c>
      <c r="D550" s="76" t="str">
        <f>D540</f>
        <v>kg</v>
      </c>
      <c r="E550" s="98"/>
      <c r="F550" s="69"/>
      <c r="G550" s="69"/>
      <c r="H550" s="69"/>
      <c r="N550" s="60"/>
      <c r="O550" s="60"/>
    </row>
    <row r="551" spans="2:15" ht="13.5" hidden="1" outlineLevel="1" thickBot="1" x14ac:dyDescent="0.3">
      <c r="B551" s="74"/>
      <c r="C551" s="146"/>
      <c r="D551" s="76" t="str">
        <f>D540</f>
        <v>kg</v>
      </c>
      <c r="E551" s="77"/>
      <c r="F551" s="78"/>
      <c r="G551" s="78"/>
      <c r="H551" s="78"/>
      <c r="N551" s="60"/>
      <c r="O551" s="60"/>
    </row>
    <row r="552" spans="2:15" ht="13" hidden="1" outlineLevel="1" x14ac:dyDescent="0.25">
      <c r="B552" s="79" t="s">
        <v>69</v>
      </c>
      <c r="C552" s="147"/>
      <c r="D552" s="81"/>
      <c r="E552" s="77"/>
      <c r="F552" s="82"/>
      <c r="G552" s="82"/>
      <c r="H552" s="82"/>
      <c r="N552" s="60"/>
      <c r="O552" s="60"/>
    </row>
    <row r="553" spans="2:15" ht="13" hidden="1" outlineLevel="1" x14ac:dyDescent="0.25">
      <c r="B553" s="74"/>
      <c r="C553" s="148"/>
      <c r="D553" s="76" t="str">
        <f>D540</f>
        <v>kg</v>
      </c>
      <c r="E553" s="77"/>
      <c r="F553" s="82"/>
      <c r="G553" s="82"/>
      <c r="H553" s="82"/>
      <c r="N553" s="60"/>
      <c r="O553" s="60"/>
    </row>
    <row r="554" spans="2:15" ht="13" hidden="1" outlineLevel="1" x14ac:dyDescent="0.25">
      <c r="B554" s="74"/>
      <c r="C554" s="148"/>
      <c r="D554" s="76" t="str">
        <f>D540</f>
        <v>kg</v>
      </c>
      <c r="E554" s="77"/>
      <c r="F554" s="82"/>
      <c r="G554" s="82"/>
      <c r="H554" s="82"/>
      <c r="N554" s="60"/>
      <c r="O554" s="60"/>
    </row>
    <row r="555" spans="2:15" ht="13" hidden="1" outlineLevel="1" x14ac:dyDescent="0.25">
      <c r="B555" s="74"/>
      <c r="C555" s="148"/>
      <c r="D555" s="76" t="str">
        <f>D540</f>
        <v>kg</v>
      </c>
      <c r="E555" s="77"/>
      <c r="F555" s="82"/>
      <c r="G555" s="82"/>
      <c r="H555" s="82"/>
      <c r="N555" s="60"/>
      <c r="O555" s="60"/>
    </row>
    <row r="556" spans="2:15" ht="13" hidden="1" outlineLevel="1" x14ac:dyDescent="0.25">
      <c r="B556" s="74"/>
      <c r="C556" s="148"/>
      <c r="D556" s="76" t="str">
        <f>D540</f>
        <v>kg</v>
      </c>
      <c r="E556" s="77"/>
      <c r="F556" s="82"/>
      <c r="G556" s="82"/>
      <c r="H556" s="82"/>
      <c r="N556" s="60"/>
      <c r="O556" s="60"/>
    </row>
    <row r="557" spans="2:15" ht="13" hidden="1" outlineLevel="1" x14ac:dyDescent="0.25">
      <c r="B557" s="74"/>
      <c r="C557" s="148"/>
      <c r="D557" s="76" t="str">
        <f>D540</f>
        <v>kg</v>
      </c>
      <c r="E557" s="77"/>
      <c r="F557" s="82"/>
      <c r="G557" s="82"/>
      <c r="H557" s="82"/>
      <c r="N557" s="60"/>
      <c r="O557" s="60"/>
    </row>
    <row r="558" spans="2:15" ht="13" hidden="1" outlineLevel="1" x14ac:dyDescent="0.25">
      <c r="B558" s="74"/>
      <c r="C558" s="148"/>
      <c r="D558" s="76" t="str">
        <f>D540</f>
        <v>kg</v>
      </c>
      <c r="E558" s="77"/>
      <c r="F558" s="82"/>
      <c r="G558" s="82"/>
      <c r="H558" s="82"/>
      <c r="N558" s="60"/>
      <c r="O558" s="60"/>
    </row>
    <row r="559" spans="2:15" ht="13" hidden="1" outlineLevel="1" x14ac:dyDescent="0.25">
      <c r="B559" s="74"/>
      <c r="C559" s="148"/>
      <c r="D559" s="76" t="str">
        <f>D540</f>
        <v>kg</v>
      </c>
      <c r="E559" s="77"/>
      <c r="F559" s="82"/>
      <c r="G559" s="82"/>
      <c r="H559" s="82"/>
      <c r="N559" s="60"/>
      <c r="O559" s="60"/>
    </row>
    <row r="560" spans="2:15" ht="13" hidden="1" outlineLevel="1" x14ac:dyDescent="0.25">
      <c r="B560" s="74"/>
      <c r="C560" s="148"/>
      <c r="D560" s="76" t="str">
        <f>D540</f>
        <v>kg</v>
      </c>
      <c r="E560" s="77"/>
      <c r="F560" s="82"/>
      <c r="G560" s="82"/>
      <c r="H560" s="82"/>
      <c r="N560" s="60"/>
      <c r="O560" s="60"/>
    </row>
    <row r="561" spans="2:15" ht="13" hidden="1" outlineLevel="1" x14ac:dyDescent="0.25">
      <c r="B561" s="74"/>
      <c r="C561" s="148"/>
      <c r="D561" s="76" t="str">
        <f>D540</f>
        <v>kg</v>
      </c>
      <c r="E561" s="77"/>
      <c r="F561" s="82"/>
      <c r="G561" s="82"/>
      <c r="H561" s="82"/>
      <c r="N561" s="60"/>
      <c r="O561" s="60"/>
    </row>
    <row r="562" spans="2:15" ht="13" hidden="1" outlineLevel="1" x14ac:dyDescent="0.25">
      <c r="B562" s="74"/>
      <c r="C562" s="148"/>
      <c r="D562" s="76" t="str">
        <f>D540</f>
        <v>kg</v>
      </c>
      <c r="E562" s="77"/>
      <c r="F562" s="82"/>
      <c r="G562" s="82"/>
      <c r="H562" s="82"/>
      <c r="N562" s="60"/>
      <c r="O562" s="60"/>
    </row>
    <row r="563" spans="2:15" ht="13.15" hidden="1" customHeight="1" outlineLevel="1" x14ac:dyDescent="0.25">
      <c r="B563" s="79"/>
      <c r="C563" s="147"/>
      <c r="D563" s="81"/>
      <c r="E563" s="77"/>
      <c r="F563" s="82"/>
      <c r="G563" s="82"/>
      <c r="H563" s="82"/>
      <c r="K563" s="34"/>
      <c r="N563" s="60"/>
      <c r="O563" s="60"/>
    </row>
    <row r="564" spans="2:15" ht="13" hidden="1" outlineLevel="1" x14ac:dyDescent="0.25">
      <c r="B564" s="86" t="s">
        <v>7</v>
      </c>
      <c r="C564" s="149">
        <f>SUM(C549:C562)</f>
        <v>0</v>
      </c>
      <c r="D564" s="88" t="str">
        <f>D540</f>
        <v>kg</v>
      </c>
      <c r="E564" s="77"/>
      <c r="F564" s="82"/>
      <c r="G564" s="82"/>
      <c r="H564" s="82"/>
      <c r="N564" s="60"/>
      <c r="O564" s="60"/>
    </row>
    <row r="565" spans="2:15" ht="13" hidden="1" outlineLevel="1" x14ac:dyDescent="0.25">
      <c r="B565" s="79" t="s">
        <v>71</v>
      </c>
      <c r="C565" s="150"/>
      <c r="D565" s="81"/>
      <c r="E565" s="77"/>
      <c r="F565" s="82"/>
      <c r="G565" s="82"/>
      <c r="H565" s="82"/>
      <c r="N565" s="60"/>
      <c r="O565" s="60"/>
    </row>
    <row r="566" spans="2:15" ht="13" hidden="1" outlineLevel="1" x14ac:dyDescent="0.25">
      <c r="B566" s="74"/>
      <c r="C566" s="148"/>
      <c r="D566" s="76" t="str">
        <f>D540</f>
        <v>kg</v>
      </c>
      <c r="E566" s="77"/>
      <c r="F566" s="82"/>
      <c r="G566" s="82"/>
      <c r="H566" s="82"/>
      <c r="N566" s="60"/>
      <c r="O566" s="60"/>
    </row>
    <row r="567" spans="2:15" ht="13" hidden="1" outlineLevel="1" x14ac:dyDescent="0.25">
      <c r="B567" s="74"/>
      <c r="C567" s="148"/>
      <c r="D567" s="76" t="str">
        <f>D540</f>
        <v>kg</v>
      </c>
      <c r="E567" s="77"/>
      <c r="F567" s="82"/>
      <c r="G567" s="82"/>
      <c r="H567" s="82"/>
      <c r="N567" s="60"/>
      <c r="O567" s="60"/>
    </row>
    <row r="568" spans="2:15" ht="13" hidden="1" outlineLevel="1" x14ac:dyDescent="0.25">
      <c r="B568" s="74"/>
      <c r="C568" s="148"/>
      <c r="D568" s="76" t="str">
        <f>D540</f>
        <v>kg</v>
      </c>
      <c r="E568" s="77"/>
      <c r="F568" s="82"/>
      <c r="G568" s="82"/>
      <c r="H568" s="82"/>
      <c r="N568" s="60"/>
      <c r="O568" s="60"/>
    </row>
    <row r="569" spans="2:15" ht="13" hidden="1" outlineLevel="1" x14ac:dyDescent="0.25">
      <c r="B569" s="74"/>
      <c r="C569" s="148"/>
      <c r="D569" s="76" t="str">
        <f>D540</f>
        <v>kg</v>
      </c>
      <c r="E569" s="77"/>
      <c r="F569" s="82"/>
      <c r="G569" s="82"/>
      <c r="H569" s="82"/>
      <c r="N569" s="60"/>
      <c r="O569" s="60"/>
    </row>
    <row r="570" spans="2:15" ht="13" hidden="1" outlineLevel="1" x14ac:dyDescent="0.25">
      <c r="B570" s="74"/>
      <c r="C570" s="148"/>
      <c r="D570" s="76" t="str">
        <f>D540</f>
        <v>kg</v>
      </c>
      <c r="E570" s="77"/>
      <c r="F570" s="82"/>
      <c r="G570" s="82"/>
      <c r="H570" s="82"/>
      <c r="N570" s="60"/>
      <c r="O570" s="60"/>
    </row>
    <row r="571" spans="2:15" ht="13" hidden="1" outlineLevel="1" x14ac:dyDescent="0.25">
      <c r="B571" s="74"/>
      <c r="C571" s="148"/>
      <c r="D571" s="76" t="str">
        <f>D540</f>
        <v>kg</v>
      </c>
      <c r="E571" s="77"/>
      <c r="F571" s="82"/>
      <c r="G571" s="82"/>
      <c r="H571" s="82"/>
      <c r="N571" s="60"/>
      <c r="O571" s="60"/>
    </row>
    <row r="572" spans="2:15" ht="13" hidden="1" outlineLevel="1" x14ac:dyDescent="0.25">
      <c r="B572" s="74"/>
      <c r="C572" s="148"/>
      <c r="D572" s="76" t="str">
        <f>D540</f>
        <v>kg</v>
      </c>
      <c r="E572" s="77"/>
      <c r="F572" s="82"/>
      <c r="G572" s="82"/>
      <c r="H572" s="82"/>
      <c r="N572" s="60"/>
      <c r="O572" s="60"/>
    </row>
    <row r="573" spans="2:15" ht="13" hidden="1" outlineLevel="1" x14ac:dyDescent="0.25">
      <c r="B573" s="74"/>
      <c r="C573" s="148"/>
      <c r="D573" s="76" t="str">
        <f>D540</f>
        <v>kg</v>
      </c>
      <c r="E573" s="77"/>
      <c r="F573" s="82"/>
      <c r="G573" s="82"/>
      <c r="H573" s="82"/>
      <c r="N573" s="60"/>
      <c r="O573" s="60"/>
    </row>
    <row r="574" spans="2:15" ht="13" hidden="1" outlineLevel="1" x14ac:dyDescent="0.25">
      <c r="B574" s="79" t="s">
        <v>70</v>
      </c>
      <c r="C574" s="147"/>
      <c r="D574" s="81"/>
      <c r="E574" s="90"/>
      <c r="F574" s="82"/>
      <c r="G574" s="82"/>
      <c r="H574" s="82"/>
      <c r="N574" s="60"/>
      <c r="O574" s="60"/>
    </row>
    <row r="575" spans="2:15" ht="13" hidden="1" outlineLevel="1" x14ac:dyDescent="0.25">
      <c r="B575" s="74"/>
      <c r="C575" s="148"/>
      <c r="D575" s="76" t="str">
        <f>D540</f>
        <v>kg</v>
      </c>
      <c r="E575" s="77"/>
      <c r="F575" s="82"/>
      <c r="G575" s="82"/>
      <c r="H575" s="82"/>
      <c r="N575" s="60"/>
      <c r="O575" s="60"/>
    </row>
    <row r="576" spans="2:15" ht="13" hidden="1" outlineLevel="1" x14ac:dyDescent="0.25">
      <c r="B576" s="74"/>
      <c r="C576" s="148"/>
      <c r="D576" s="76" t="str">
        <f>D540</f>
        <v>kg</v>
      </c>
      <c r="E576" s="77"/>
      <c r="F576" s="82"/>
      <c r="G576" s="82"/>
      <c r="H576" s="82"/>
      <c r="N576" s="60"/>
      <c r="O576" s="60"/>
    </row>
    <row r="577" spans="2:15" ht="13" hidden="1" outlineLevel="1" x14ac:dyDescent="0.25">
      <c r="B577" s="74"/>
      <c r="C577" s="148"/>
      <c r="D577" s="76" t="str">
        <f>D540</f>
        <v>kg</v>
      </c>
      <c r="E577" s="77"/>
      <c r="F577" s="82"/>
      <c r="G577" s="82"/>
      <c r="H577" s="82"/>
      <c r="N577" s="60"/>
      <c r="O577" s="60"/>
    </row>
    <row r="578" spans="2:15" ht="13" hidden="1" outlineLevel="1" x14ac:dyDescent="0.25">
      <c r="B578" s="74"/>
      <c r="C578" s="148"/>
      <c r="D578" s="76" t="str">
        <f>D540</f>
        <v>kg</v>
      </c>
      <c r="E578" s="77"/>
      <c r="F578" s="82"/>
      <c r="G578" s="82"/>
      <c r="H578" s="82"/>
      <c r="N578" s="60"/>
      <c r="O578" s="60"/>
    </row>
    <row r="579" spans="2:15" ht="13" hidden="1" outlineLevel="1" x14ac:dyDescent="0.25">
      <c r="B579" s="74"/>
      <c r="C579" s="148"/>
      <c r="D579" s="76" t="str">
        <f>D540</f>
        <v>kg</v>
      </c>
      <c r="E579" s="77"/>
      <c r="F579" s="82"/>
      <c r="G579" s="82"/>
      <c r="H579" s="82"/>
      <c r="N579" s="60"/>
      <c r="O579" s="60"/>
    </row>
    <row r="580" spans="2:15" ht="13" hidden="1" outlineLevel="1" x14ac:dyDescent="0.25">
      <c r="B580" s="74"/>
      <c r="C580" s="148"/>
      <c r="D580" s="76" t="str">
        <f>D540</f>
        <v>kg</v>
      </c>
      <c r="E580" s="77"/>
      <c r="F580" s="82"/>
      <c r="G580" s="82"/>
      <c r="H580" s="82"/>
      <c r="N580" s="60"/>
      <c r="O580" s="60"/>
    </row>
    <row r="581" spans="2:15" ht="13" hidden="1" outlineLevel="1" x14ac:dyDescent="0.25">
      <c r="B581" s="74"/>
      <c r="C581" s="148"/>
      <c r="D581" s="76" t="str">
        <f>D540</f>
        <v>kg</v>
      </c>
      <c r="E581" s="77"/>
      <c r="F581" s="82"/>
      <c r="G581" s="82"/>
      <c r="H581" s="82"/>
      <c r="N581" s="60"/>
      <c r="O581" s="60"/>
    </row>
    <row r="582" spans="2:15" ht="13.15" hidden="1" customHeight="1" outlineLevel="1" x14ac:dyDescent="0.25">
      <c r="B582" s="79"/>
      <c r="C582" s="147"/>
      <c r="D582" s="81"/>
      <c r="E582" s="77"/>
      <c r="F582" s="82"/>
      <c r="G582" s="82"/>
      <c r="H582" s="82"/>
      <c r="K582" s="34"/>
      <c r="N582" s="60"/>
      <c r="O582" s="60"/>
    </row>
    <row r="583" spans="2:15" ht="13" hidden="1" outlineLevel="1" x14ac:dyDescent="0.25">
      <c r="B583" s="86" t="s">
        <v>9</v>
      </c>
      <c r="C583" s="149">
        <f>SUM(C564:C581)</f>
        <v>0</v>
      </c>
      <c r="D583" s="91" t="str">
        <f>D540</f>
        <v>kg</v>
      </c>
      <c r="E583" s="77"/>
      <c r="F583" s="82"/>
      <c r="G583" s="82"/>
      <c r="H583" s="82"/>
      <c r="N583" s="60"/>
      <c r="O583" s="60"/>
    </row>
    <row r="584" spans="2:15" ht="13.5" hidden="1" outlineLevel="1" thickBot="1" x14ac:dyDescent="0.3">
      <c r="B584" s="92"/>
      <c r="C584" s="93"/>
      <c r="D584" s="94"/>
      <c r="E584" s="77"/>
      <c r="F584" s="82"/>
      <c r="G584" s="82"/>
      <c r="H584" s="82"/>
      <c r="N584" s="60"/>
      <c r="O584" s="60"/>
    </row>
    <row r="585" spans="2:15" ht="20.5" hidden="1" outlineLevel="1" thickBot="1" x14ac:dyDescent="0.3">
      <c r="B585" s="426" t="s">
        <v>10</v>
      </c>
      <c r="C585" s="427"/>
      <c r="D585" s="428"/>
      <c r="E585" s="77"/>
      <c r="F585" s="82"/>
      <c r="G585" s="82"/>
      <c r="H585" s="82"/>
      <c r="N585" s="60"/>
      <c r="O585" s="60"/>
    </row>
    <row r="586" spans="2:15" ht="13" hidden="1" outlineLevel="1" x14ac:dyDescent="0.25">
      <c r="B586" s="95" t="s">
        <v>23</v>
      </c>
      <c r="C586" s="96"/>
      <c r="D586" s="151">
        <f>SUM(C550:C551)</f>
        <v>0</v>
      </c>
      <c r="E586" s="98"/>
      <c r="F586" s="82"/>
      <c r="G586" s="82"/>
      <c r="H586" s="82"/>
      <c r="N586" s="60"/>
      <c r="O586" s="60"/>
    </row>
    <row r="587" spans="2:15" ht="13" hidden="1" outlineLevel="1" x14ac:dyDescent="0.25">
      <c r="B587" s="99" t="s">
        <v>24</v>
      </c>
      <c r="C587" s="100"/>
      <c r="D587" s="152">
        <f>SUM(C553:C563)</f>
        <v>0</v>
      </c>
      <c r="E587" s="98"/>
      <c r="F587" s="82"/>
      <c r="G587" s="82"/>
      <c r="H587" s="82"/>
      <c r="N587" s="60"/>
      <c r="O587" s="60"/>
    </row>
    <row r="588" spans="2:15" ht="13" hidden="1" outlineLevel="1" x14ac:dyDescent="0.25">
      <c r="B588" s="99" t="s">
        <v>25</v>
      </c>
      <c r="C588" s="100"/>
      <c r="D588" s="152">
        <f>SUM(C566:C574)</f>
        <v>0</v>
      </c>
      <c r="E588" s="98"/>
      <c r="F588" s="82"/>
      <c r="G588" s="82"/>
      <c r="H588" s="82"/>
      <c r="N588" s="60"/>
      <c r="O588" s="60"/>
    </row>
    <row r="589" spans="2:15" ht="13.5" hidden="1" outlineLevel="1" thickBot="1" x14ac:dyDescent="0.3">
      <c r="B589" s="102" t="s">
        <v>26</v>
      </c>
      <c r="C589" s="103"/>
      <c r="D589" s="153">
        <f>SUM(C575:C582)</f>
        <v>0</v>
      </c>
      <c r="E589" s="98"/>
      <c r="F589" s="82"/>
      <c r="G589" s="82"/>
      <c r="H589" s="82"/>
      <c r="N589" s="60"/>
      <c r="O589" s="60"/>
    </row>
    <row r="590" spans="2:15" ht="19" hidden="1" outlineLevel="1" thickTop="1" thickBot="1" x14ac:dyDescent="0.3">
      <c r="B590" s="105" t="s">
        <v>11</v>
      </c>
      <c r="C590" s="106"/>
      <c r="D590" s="107" t="e">
        <f>C564/C546</f>
        <v>#DIV/0!</v>
      </c>
      <c r="E590" s="77"/>
      <c r="F590" s="110" t="s">
        <v>86</v>
      </c>
      <c r="G590" s="109" t="s">
        <v>85</v>
      </c>
      <c r="H590" s="110"/>
      <c r="N590" s="60"/>
      <c r="O590" s="60"/>
    </row>
    <row r="591" spans="2:15" ht="18.5" hidden="1" outlineLevel="1" thickBot="1" x14ac:dyDescent="0.3">
      <c r="B591" s="111" t="s">
        <v>12</v>
      </c>
      <c r="C591" s="112"/>
      <c r="D591" s="113" t="e">
        <f>(D586+D587+D588)/C546</f>
        <v>#DIV/0!</v>
      </c>
      <c r="E591" s="77"/>
      <c r="F591" s="154"/>
      <c r="G591" s="413"/>
      <c r="H591" s="414"/>
      <c r="N591" s="60"/>
      <c r="O591" s="60"/>
    </row>
    <row r="592" spans="2:15" ht="18" hidden="1" outlineLevel="1" x14ac:dyDescent="0.25">
      <c r="B592" s="111" t="s">
        <v>13</v>
      </c>
      <c r="C592" s="112"/>
      <c r="D592" s="113" t="e">
        <f>D588/C546</f>
        <v>#DIV/0!</v>
      </c>
      <c r="E592" s="90"/>
      <c r="F592" s="64" t="s">
        <v>45</v>
      </c>
      <c r="G592" s="64" t="s">
        <v>45</v>
      </c>
      <c r="H592" s="155"/>
      <c r="N592" s="60"/>
      <c r="O592" s="60"/>
    </row>
    <row r="593" spans="2:15" ht="18.5" hidden="1" outlineLevel="1" thickBot="1" x14ac:dyDescent="0.3">
      <c r="B593" s="114" t="s">
        <v>14</v>
      </c>
      <c r="C593" s="115"/>
      <c r="D593" s="116" t="e">
        <f>D589/C546</f>
        <v>#DIV/0!</v>
      </c>
      <c r="E593" s="90"/>
      <c r="F593" s="110"/>
      <c r="G593" s="117" t="s">
        <v>46</v>
      </c>
      <c r="H593" s="110"/>
      <c r="N593" s="60"/>
      <c r="O593" s="60"/>
    </row>
    <row r="594" spans="2:15" ht="18.5" hidden="1" outlineLevel="1" thickBot="1" x14ac:dyDescent="0.3">
      <c r="B594" s="114" t="s">
        <v>15</v>
      </c>
      <c r="C594" s="119"/>
      <c r="D594" s="116" t="e">
        <f>SUM(D586:D589)/C546</f>
        <v>#DIV/0!</v>
      </c>
      <c r="E594" s="90"/>
      <c r="F594" s="429"/>
      <c r="G594" s="430"/>
      <c r="H594" s="431"/>
      <c r="N594" s="60"/>
      <c r="O594" s="60"/>
    </row>
    <row r="595" spans="2:15" ht="18.5" hidden="1" outlineLevel="1" thickTop="1" x14ac:dyDescent="0.25">
      <c r="B595" s="120" t="s">
        <v>16</v>
      </c>
      <c r="C595" s="121"/>
      <c r="D595" s="122" t="e">
        <f>((C550*D528)+D587+C551*MAX(1,F551))/C546</f>
        <v>#DIV/0!</v>
      </c>
      <c r="E595" s="77"/>
      <c r="F595" s="64" t="s">
        <v>45</v>
      </c>
      <c r="G595" s="64"/>
      <c r="H595" s="82"/>
      <c r="N595" s="60"/>
      <c r="O595" s="60"/>
    </row>
    <row r="596" spans="2:15" ht="18" hidden="1" outlineLevel="1" x14ac:dyDescent="0.25">
      <c r="B596" s="123" t="s">
        <v>17</v>
      </c>
      <c r="C596" s="124"/>
      <c r="D596" s="125" t="e">
        <f>(C550*D529+D587+D588+C551*(MAX(1,F551)+G551))/C546</f>
        <v>#DIV/0!</v>
      </c>
      <c r="E596" s="77"/>
      <c r="F596" s="82"/>
      <c r="G596" s="82"/>
      <c r="H596" s="82"/>
      <c r="N596" s="60"/>
      <c r="O596" s="60"/>
    </row>
    <row r="597" spans="2:15" ht="18" hidden="1" customHeight="1" outlineLevel="1" x14ac:dyDescent="0.25">
      <c r="B597" s="123" t="s">
        <v>18</v>
      </c>
      <c r="C597" s="124"/>
      <c r="D597" s="125" t="e">
        <f>((C550*D530)+D588+C551*G551)/C546</f>
        <v>#DIV/0!</v>
      </c>
      <c r="E597" s="77"/>
      <c r="F597" s="415" t="s">
        <v>61</v>
      </c>
      <c r="G597" s="416"/>
      <c r="H597" s="416"/>
      <c r="N597" s="60"/>
      <c r="O597" s="60"/>
    </row>
    <row r="598" spans="2:15" ht="18" hidden="1" outlineLevel="1" x14ac:dyDescent="0.25">
      <c r="B598" s="126" t="s">
        <v>19</v>
      </c>
      <c r="C598" s="127"/>
      <c r="D598" s="128" t="e">
        <f>(C550*D531+D589+C551*H551)/C546</f>
        <v>#DIV/0!</v>
      </c>
      <c r="E598" s="77"/>
      <c r="F598" s="416"/>
      <c r="G598" s="416"/>
      <c r="H598" s="416"/>
      <c r="N598" s="60"/>
      <c r="O598" s="60"/>
    </row>
    <row r="599" spans="2:15" ht="18.5" hidden="1" outlineLevel="1" thickBot="1" x14ac:dyDescent="0.3">
      <c r="B599" s="129" t="s">
        <v>20</v>
      </c>
      <c r="C599" s="130"/>
      <c r="D599" s="131" t="e">
        <f>((C550*D532)+SUM(D587:D589)+C551*(MAX(1,F551)+G551+H551))/C546</f>
        <v>#DIV/0!</v>
      </c>
      <c r="E599" s="77"/>
      <c r="F599" s="416"/>
      <c r="G599" s="416"/>
      <c r="H599" s="416"/>
      <c r="N599" s="60"/>
      <c r="O599" s="60"/>
    </row>
    <row r="600" spans="2:15" ht="13" hidden="1" outlineLevel="1" thickTop="1" x14ac:dyDescent="0.25">
      <c r="B600" s="156" t="s">
        <v>76</v>
      </c>
      <c r="C600" s="424"/>
      <c r="D600" s="425"/>
      <c r="F600" s="416"/>
      <c r="G600" s="416"/>
      <c r="H600" s="416"/>
      <c r="N600" s="60"/>
      <c r="O600" s="60"/>
    </row>
    <row r="601" spans="2:15" hidden="1" outlineLevel="1" x14ac:dyDescent="0.25">
      <c r="B601" s="157" t="s">
        <v>58</v>
      </c>
      <c r="C601" s="422"/>
      <c r="D601" s="423"/>
      <c r="F601" s="416"/>
      <c r="G601" s="416"/>
      <c r="H601" s="416"/>
      <c r="N601" s="60"/>
      <c r="O601" s="60"/>
    </row>
    <row r="602" spans="2:15" ht="13" hidden="1" outlineLevel="1" thickBot="1" x14ac:dyDescent="0.3">
      <c r="B602" s="158" t="s">
        <v>59</v>
      </c>
      <c r="C602" s="420"/>
      <c r="D602" s="421"/>
      <c r="F602" s="416"/>
      <c r="G602" s="416"/>
      <c r="H602" s="416"/>
      <c r="N602" s="60"/>
      <c r="O602" s="60"/>
    </row>
    <row r="603" spans="2:15" hidden="1" outlineLevel="1" x14ac:dyDescent="0.25">
      <c r="N603" s="60"/>
      <c r="O603" s="60"/>
    </row>
    <row r="604" spans="2:15" ht="13" hidden="1" outlineLevel="1" thickBot="1" x14ac:dyDescent="0.3">
      <c r="C604" s="25" t="s">
        <v>44</v>
      </c>
      <c r="D604" s="25" t="s">
        <v>42</v>
      </c>
      <c r="N604" s="60"/>
      <c r="O604" s="60"/>
    </row>
    <row r="605" spans="2:15" ht="21" hidden="1" outlineLevel="1" thickTop="1" thickBot="1" x14ac:dyDescent="0.3">
      <c r="B605" s="140" t="s">
        <v>73</v>
      </c>
      <c r="C605" s="29"/>
      <c r="D605" s="141"/>
      <c r="E605" s="31"/>
      <c r="F605" s="32" t="s">
        <v>27</v>
      </c>
      <c r="G605" s="33"/>
      <c r="H605" s="33"/>
    </row>
    <row r="606" spans="2:15" ht="14.5" hidden="1" outlineLevel="1" thickBot="1" x14ac:dyDescent="0.3">
      <c r="B606" s="37"/>
      <c r="C606" s="38" t="s">
        <v>0</v>
      </c>
      <c r="D606" s="39" t="s">
        <v>1</v>
      </c>
      <c r="E606" s="40"/>
      <c r="F606" s="41" t="s">
        <v>28</v>
      </c>
      <c r="G606" s="41" t="s">
        <v>21</v>
      </c>
      <c r="H606" s="41" t="s">
        <v>8</v>
      </c>
    </row>
    <row r="607" spans="2:15" ht="13" hidden="1" outlineLevel="1" x14ac:dyDescent="0.25">
      <c r="B607" s="43" t="s">
        <v>65</v>
      </c>
      <c r="C607" s="142"/>
      <c r="D607" s="45" t="s">
        <v>2</v>
      </c>
      <c r="E607" s="46"/>
      <c r="F607" s="47"/>
      <c r="G607" s="47"/>
      <c r="H607" s="47"/>
      <c r="N607" s="60"/>
      <c r="O607" s="60"/>
    </row>
    <row r="608" spans="2:15" ht="13" hidden="1" outlineLevel="1" x14ac:dyDescent="0.25">
      <c r="B608" s="43" t="s">
        <v>64</v>
      </c>
      <c r="C608" s="143"/>
      <c r="D608" s="45" t="s">
        <v>3</v>
      </c>
      <c r="E608" s="46"/>
      <c r="F608" s="47"/>
      <c r="G608" s="47"/>
      <c r="H608" s="47"/>
      <c r="N608" s="60"/>
      <c r="O608" s="60"/>
    </row>
    <row r="609" spans="2:15" ht="13" hidden="1" outlineLevel="1" x14ac:dyDescent="0.25">
      <c r="B609" s="51" t="s">
        <v>63</v>
      </c>
      <c r="C609" s="144">
        <f>C607*C608</f>
        <v>0</v>
      </c>
      <c r="D609" s="45" t="str">
        <f>D607</f>
        <v>kg</v>
      </c>
      <c r="E609" s="46"/>
      <c r="F609" s="47"/>
      <c r="G609" s="47"/>
      <c r="H609" s="47"/>
      <c r="N609" s="60"/>
      <c r="O609" s="60"/>
    </row>
    <row r="610" spans="2:15" ht="14" hidden="1" outlineLevel="1" x14ac:dyDescent="0.25">
      <c r="B610" s="54" t="s">
        <v>37</v>
      </c>
      <c r="C610" s="145">
        <v>1</v>
      </c>
      <c r="D610" s="56"/>
      <c r="E610" s="57"/>
      <c r="F610" s="58"/>
      <c r="G610" s="58"/>
      <c r="H610" s="58"/>
      <c r="N610" s="60"/>
      <c r="O610" s="60"/>
    </row>
    <row r="611" spans="2:15" ht="13" hidden="1" outlineLevel="1" x14ac:dyDescent="0.25">
      <c r="B611" s="43" t="s">
        <v>66</v>
      </c>
      <c r="C611" s="142"/>
      <c r="D611" s="45" t="str">
        <f>D607</f>
        <v>kg</v>
      </c>
      <c r="E611" s="46"/>
      <c r="F611" s="47"/>
      <c r="G611" s="47"/>
      <c r="H611" s="47"/>
      <c r="N611" s="60"/>
      <c r="O611" s="60"/>
    </row>
    <row r="612" spans="2:15" ht="13" hidden="1" outlineLevel="1" x14ac:dyDescent="0.25">
      <c r="B612" s="43" t="s">
        <v>67</v>
      </c>
      <c r="C612" s="143"/>
      <c r="D612" s="45" t="s">
        <v>3</v>
      </c>
      <c r="E612" s="59"/>
      <c r="F612" s="47"/>
      <c r="G612" s="47"/>
      <c r="H612" s="47"/>
      <c r="N612" s="60"/>
      <c r="O612" s="60"/>
    </row>
    <row r="613" spans="2:15" ht="13.5" hidden="1" outlineLevel="1" thickBot="1" x14ac:dyDescent="0.3">
      <c r="B613" s="51" t="s">
        <v>68</v>
      </c>
      <c r="C613" s="144">
        <f>C611*C612</f>
        <v>0</v>
      </c>
      <c r="D613" s="45" t="str">
        <f>D607</f>
        <v>kg</v>
      </c>
      <c r="E613" s="46"/>
      <c r="F613" s="47"/>
      <c r="G613" s="47"/>
      <c r="H613" s="47"/>
      <c r="N613" s="60"/>
      <c r="O613" s="60"/>
    </row>
    <row r="614" spans="2:15" ht="13.5" hidden="1" outlineLevel="1" thickBot="1" x14ac:dyDescent="0.3">
      <c r="B614" s="61"/>
      <c r="C614" s="62"/>
      <c r="D614" s="63"/>
      <c r="F614" s="64"/>
      <c r="G614" s="64"/>
      <c r="H614" s="64"/>
      <c r="N614" s="60"/>
      <c r="O614" s="60"/>
    </row>
    <row r="615" spans="2:15" ht="14.5" hidden="1" outlineLevel="1" thickBot="1" x14ac:dyDescent="0.3">
      <c r="B615" s="65" t="s">
        <v>5</v>
      </c>
      <c r="C615" s="66" t="s">
        <v>6</v>
      </c>
      <c r="D615" s="67" t="s">
        <v>1</v>
      </c>
      <c r="E615" s="68"/>
      <c r="F615" s="69"/>
      <c r="G615" s="69"/>
      <c r="H615" s="69"/>
      <c r="N615" s="60"/>
      <c r="O615" s="60"/>
    </row>
    <row r="616" spans="2:15" ht="13" hidden="1" outlineLevel="1" x14ac:dyDescent="0.25">
      <c r="B616" s="70" t="s">
        <v>43</v>
      </c>
      <c r="C616" s="71"/>
      <c r="D616" s="72"/>
      <c r="E616" s="73"/>
      <c r="F616" s="69"/>
      <c r="G616" s="69"/>
      <c r="H616" s="69"/>
      <c r="N616" s="60"/>
      <c r="O616" s="60"/>
    </row>
    <row r="617" spans="2:15" ht="13.5" hidden="1" outlineLevel="1" thickBot="1" x14ac:dyDescent="0.3">
      <c r="B617" s="74"/>
      <c r="C617" s="146">
        <f>C609</f>
        <v>0</v>
      </c>
      <c r="D617" s="76" t="str">
        <f>D607</f>
        <v>kg</v>
      </c>
      <c r="E617" s="98"/>
      <c r="F617" s="69"/>
      <c r="G617" s="69"/>
      <c r="H617" s="69"/>
      <c r="N617" s="60"/>
      <c r="O617" s="60"/>
    </row>
    <row r="618" spans="2:15" ht="13.5" hidden="1" outlineLevel="1" thickBot="1" x14ac:dyDescent="0.3">
      <c r="B618" s="74"/>
      <c r="C618" s="146"/>
      <c r="D618" s="76" t="str">
        <f>D607</f>
        <v>kg</v>
      </c>
      <c r="E618" s="77"/>
      <c r="F618" s="78"/>
      <c r="G618" s="78"/>
      <c r="H618" s="78"/>
      <c r="N618" s="60"/>
      <c r="O618" s="60"/>
    </row>
    <row r="619" spans="2:15" ht="13" hidden="1" outlineLevel="1" x14ac:dyDescent="0.25">
      <c r="B619" s="79" t="s">
        <v>69</v>
      </c>
      <c r="C619" s="147"/>
      <c r="D619" s="81"/>
      <c r="E619" s="77"/>
      <c r="F619" s="82"/>
      <c r="G619" s="82"/>
      <c r="H619" s="82"/>
      <c r="N619" s="60"/>
      <c r="O619" s="60"/>
    </row>
    <row r="620" spans="2:15" ht="13" hidden="1" outlineLevel="1" x14ac:dyDescent="0.25">
      <c r="B620" s="74"/>
      <c r="C620" s="148"/>
      <c r="D620" s="76" t="str">
        <f>D607</f>
        <v>kg</v>
      </c>
      <c r="E620" s="77"/>
      <c r="F620" s="82"/>
      <c r="G620" s="82"/>
      <c r="H620" s="82"/>
      <c r="N620" s="60"/>
      <c r="O620" s="60"/>
    </row>
    <row r="621" spans="2:15" ht="13" hidden="1" outlineLevel="1" x14ac:dyDescent="0.25">
      <c r="B621" s="74"/>
      <c r="C621" s="148"/>
      <c r="D621" s="76" t="str">
        <f>D607</f>
        <v>kg</v>
      </c>
      <c r="E621" s="77"/>
      <c r="F621" s="82"/>
      <c r="G621" s="82"/>
      <c r="H621" s="82"/>
      <c r="N621" s="60"/>
      <c r="O621" s="60"/>
    </row>
    <row r="622" spans="2:15" ht="13" hidden="1" outlineLevel="1" x14ac:dyDescent="0.25">
      <c r="B622" s="74"/>
      <c r="C622" s="148"/>
      <c r="D622" s="76" t="str">
        <f>D607</f>
        <v>kg</v>
      </c>
      <c r="E622" s="77"/>
      <c r="F622" s="82"/>
      <c r="G622" s="82"/>
      <c r="H622" s="82"/>
      <c r="N622" s="60"/>
      <c r="O622" s="60"/>
    </row>
    <row r="623" spans="2:15" ht="13" hidden="1" outlineLevel="1" x14ac:dyDescent="0.25">
      <c r="B623" s="74"/>
      <c r="C623" s="148"/>
      <c r="D623" s="76" t="str">
        <f>D607</f>
        <v>kg</v>
      </c>
      <c r="E623" s="77"/>
      <c r="F623" s="82"/>
      <c r="G623" s="82"/>
      <c r="H623" s="82"/>
      <c r="N623" s="60"/>
      <c r="O623" s="60"/>
    </row>
    <row r="624" spans="2:15" ht="13" hidden="1" outlineLevel="1" x14ac:dyDescent="0.25">
      <c r="B624" s="74"/>
      <c r="C624" s="148"/>
      <c r="D624" s="76" t="str">
        <f>D607</f>
        <v>kg</v>
      </c>
      <c r="E624" s="77"/>
      <c r="F624" s="82"/>
      <c r="G624" s="82"/>
      <c r="H624" s="82"/>
      <c r="N624" s="60"/>
      <c r="O624" s="60"/>
    </row>
    <row r="625" spans="2:15" ht="13" hidden="1" outlineLevel="1" x14ac:dyDescent="0.25">
      <c r="B625" s="74"/>
      <c r="C625" s="148"/>
      <c r="D625" s="76" t="str">
        <f>D607</f>
        <v>kg</v>
      </c>
      <c r="E625" s="77"/>
      <c r="F625" s="82"/>
      <c r="G625" s="82"/>
      <c r="H625" s="82"/>
      <c r="N625" s="60"/>
      <c r="O625" s="60"/>
    </row>
    <row r="626" spans="2:15" ht="13" hidden="1" outlineLevel="1" x14ac:dyDescent="0.25">
      <c r="B626" s="74"/>
      <c r="C626" s="148"/>
      <c r="D626" s="76" t="str">
        <f>D607</f>
        <v>kg</v>
      </c>
      <c r="E626" s="77"/>
      <c r="F626" s="82"/>
      <c r="G626" s="82"/>
      <c r="H626" s="82"/>
      <c r="N626" s="60"/>
      <c r="O626" s="60"/>
    </row>
    <row r="627" spans="2:15" ht="13" hidden="1" outlineLevel="1" x14ac:dyDescent="0.25">
      <c r="B627" s="74"/>
      <c r="C627" s="148"/>
      <c r="D627" s="76" t="str">
        <f>D607</f>
        <v>kg</v>
      </c>
      <c r="E627" s="77"/>
      <c r="F627" s="82"/>
      <c r="G627" s="82"/>
      <c r="H627" s="82"/>
      <c r="N627" s="60"/>
      <c r="O627" s="60"/>
    </row>
    <row r="628" spans="2:15" ht="13" hidden="1" outlineLevel="1" x14ac:dyDescent="0.25">
      <c r="B628" s="74"/>
      <c r="C628" s="148"/>
      <c r="D628" s="76" t="str">
        <f>D607</f>
        <v>kg</v>
      </c>
      <c r="E628" s="77"/>
      <c r="F628" s="82"/>
      <c r="G628" s="82"/>
      <c r="H628" s="82"/>
      <c r="N628" s="60"/>
      <c r="O628" s="60"/>
    </row>
    <row r="629" spans="2:15" ht="13" hidden="1" outlineLevel="1" x14ac:dyDescent="0.25">
      <c r="B629" s="74"/>
      <c r="C629" s="148"/>
      <c r="D629" s="76" t="str">
        <f>D607</f>
        <v>kg</v>
      </c>
      <c r="E629" s="77"/>
      <c r="F629" s="82"/>
      <c r="G629" s="82"/>
      <c r="H629" s="82"/>
      <c r="N629" s="60"/>
      <c r="O629" s="60"/>
    </row>
    <row r="630" spans="2:15" ht="13.15" hidden="1" customHeight="1" outlineLevel="1" x14ac:dyDescent="0.25">
      <c r="B630" s="79"/>
      <c r="C630" s="147"/>
      <c r="D630" s="81"/>
      <c r="E630" s="77"/>
      <c r="F630" s="82"/>
      <c r="G630" s="82"/>
      <c r="H630" s="82"/>
      <c r="K630" s="34"/>
      <c r="N630" s="60"/>
      <c r="O630" s="60"/>
    </row>
    <row r="631" spans="2:15" ht="13" hidden="1" outlineLevel="1" x14ac:dyDescent="0.25">
      <c r="B631" s="86" t="s">
        <v>7</v>
      </c>
      <c r="C631" s="149">
        <f>SUM(C616:C629)</f>
        <v>0</v>
      </c>
      <c r="D631" s="88" t="str">
        <f>D607</f>
        <v>kg</v>
      </c>
      <c r="E631" s="77"/>
      <c r="F631" s="82"/>
      <c r="G631" s="82"/>
      <c r="H631" s="82"/>
      <c r="N631" s="60"/>
      <c r="O631" s="60"/>
    </row>
    <row r="632" spans="2:15" ht="13" hidden="1" outlineLevel="1" x14ac:dyDescent="0.25">
      <c r="B632" s="79" t="s">
        <v>71</v>
      </c>
      <c r="C632" s="150"/>
      <c r="D632" s="81"/>
      <c r="E632" s="77"/>
      <c r="F632" s="82"/>
      <c r="G632" s="82"/>
      <c r="H632" s="82"/>
      <c r="N632" s="60"/>
      <c r="O632" s="60"/>
    </row>
    <row r="633" spans="2:15" ht="13" hidden="1" outlineLevel="1" x14ac:dyDescent="0.25">
      <c r="B633" s="74"/>
      <c r="C633" s="148"/>
      <c r="D633" s="76" t="str">
        <f>D607</f>
        <v>kg</v>
      </c>
      <c r="E633" s="77"/>
      <c r="F633" s="82"/>
      <c r="G633" s="82"/>
      <c r="H633" s="82"/>
    </row>
    <row r="634" spans="2:15" ht="13" hidden="1" outlineLevel="1" x14ac:dyDescent="0.25">
      <c r="B634" s="74"/>
      <c r="C634" s="148"/>
      <c r="D634" s="76" t="str">
        <f>D607</f>
        <v>kg</v>
      </c>
      <c r="E634" s="77"/>
      <c r="F634" s="82"/>
      <c r="G634" s="82"/>
      <c r="H634" s="82"/>
    </row>
    <row r="635" spans="2:15" ht="13" hidden="1" outlineLevel="1" x14ac:dyDescent="0.25">
      <c r="B635" s="74"/>
      <c r="C635" s="148"/>
      <c r="D635" s="76" t="str">
        <f>D607</f>
        <v>kg</v>
      </c>
      <c r="E635" s="77"/>
      <c r="F635" s="82"/>
      <c r="G635" s="82"/>
      <c r="H635" s="82"/>
    </row>
    <row r="636" spans="2:15" ht="13" hidden="1" outlineLevel="1" x14ac:dyDescent="0.25">
      <c r="B636" s="74"/>
      <c r="C636" s="148"/>
      <c r="D636" s="76" t="str">
        <f>D607</f>
        <v>kg</v>
      </c>
      <c r="E636" s="77"/>
      <c r="F636" s="82"/>
      <c r="G636" s="82"/>
      <c r="H636" s="82"/>
    </row>
    <row r="637" spans="2:15" ht="13" hidden="1" outlineLevel="1" x14ac:dyDescent="0.25">
      <c r="B637" s="74"/>
      <c r="C637" s="148"/>
      <c r="D637" s="76" t="str">
        <f>D607</f>
        <v>kg</v>
      </c>
      <c r="E637" s="77"/>
      <c r="F637" s="82"/>
      <c r="G637" s="82"/>
      <c r="H637" s="82"/>
    </row>
    <row r="638" spans="2:15" ht="13" hidden="1" outlineLevel="1" x14ac:dyDescent="0.25">
      <c r="B638" s="74"/>
      <c r="C638" s="148"/>
      <c r="D638" s="76" t="str">
        <f>D607</f>
        <v>kg</v>
      </c>
      <c r="E638" s="77"/>
      <c r="F638" s="82"/>
      <c r="G638" s="82"/>
      <c r="H638" s="82"/>
    </row>
    <row r="639" spans="2:15" ht="13" hidden="1" outlineLevel="1" x14ac:dyDescent="0.25">
      <c r="B639" s="74"/>
      <c r="C639" s="148"/>
      <c r="D639" s="76" t="str">
        <f>D607</f>
        <v>kg</v>
      </c>
      <c r="E639" s="77"/>
      <c r="F639" s="82"/>
      <c r="G639" s="82"/>
      <c r="H639" s="82"/>
    </row>
    <row r="640" spans="2:15" ht="13" hidden="1" outlineLevel="1" x14ac:dyDescent="0.25">
      <c r="B640" s="74"/>
      <c r="C640" s="148"/>
      <c r="D640" s="76" t="str">
        <f>D607</f>
        <v>kg</v>
      </c>
      <c r="E640" s="77"/>
      <c r="F640" s="82"/>
      <c r="G640" s="82"/>
      <c r="H640" s="82"/>
    </row>
    <row r="641" spans="2:11" ht="13" hidden="1" outlineLevel="1" x14ac:dyDescent="0.25">
      <c r="B641" s="79" t="s">
        <v>70</v>
      </c>
      <c r="C641" s="147"/>
      <c r="D641" s="81"/>
      <c r="E641" s="90"/>
      <c r="F641" s="82"/>
      <c r="G641" s="82"/>
      <c r="H641" s="82"/>
    </row>
    <row r="642" spans="2:11" ht="13" hidden="1" outlineLevel="1" x14ac:dyDescent="0.25">
      <c r="B642" s="74"/>
      <c r="C642" s="148"/>
      <c r="D642" s="76" t="str">
        <f>D607</f>
        <v>kg</v>
      </c>
      <c r="E642" s="77"/>
      <c r="F642" s="82"/>
      <c r="G642" s="82"/>
      <c r="H642" s="82"/>
    </row>
    <row r="643" spans="2:11" ht="13" hidden="1" outlineLevel="1" x14ac:dyDescent="0.25">
      <c r="B643" s="74"/>
      <c r="C643" s="148"/>
      <c r="D643" s="76" t="str">
        <f>D607</f>
        <v>kg</v>
      </c>
      <c r="E643" s="77"/>
      <c r="F643" s="82"/>
      <c r="G643" s="82"/>
      <c r="H643" s="82"/>
    </row>
    <row r="644" spans="2:11" ht="13" hidden="1" outlineLevel="1" x14ac:dyDescent="0.25">
      <c r="B644" s="74"/>
      <c r="C644" s="148"/>
      <c r="D644" s="76" t="str">
        <f>D607</f>
        <v>kg</v>
      </c>
      <c r="E644" s="77"/>
      <c r="F644" s="82"/>
      <c r="G644" s="82"/>
      <c r="H644" s="82"/>
    </row>
    <row r="645" spans="2:11" ht="13" hidden="1" outlineLevel="1" x14ac:dyDescent="0.25">
      <c r="B645" s="74"/>
      <c r="C645" s="148"/>
      <c r="D645" s="76" t="str">
        <f>D607</f>
        <v>kg</v>
      </c>
      <c r="E645" s="77"/>
      <c r="F645" s="82"/>
      <c r="G645" s="82"/>
      <c r="H645" s="82"/>
    </row>
    <row r="646" spans="2:11" ht="13" hidden="1" outlineLevel="1" x14ac:dyDescent="0.25">
      <c r="B646" s="74"/>
      <c r="C646" s="148"/>
      <c r="D646" s="76" t="str">
        <f>D607</f>
        <v>kg</v>
      </c>
      <c r="E646" s="77"/>
      <c r="F646" s="82"/>
      <c r="G646" s="82"/>
      <c r="H646" s="82"/>
    </row>
    <row r="647" spans="2:11" ht="13" hidden="1" outlineLevel="1" x14ac:dyDescent="0.25">
      <c r="B647" s="74"/>
      <c r="C647" s="148"/>
      <c r="D647" s="76" t="str">
        <f>D607</f>
        <v>kg</v>
      </c>
      <c r="E647" s="77"/>
      <c r="F647" s="82"/>
      <c r="G647" s="82"/>
      <c r="H647" s="82"/>
    </row>
    <row r="648" spans="2:11" ht="13" hidden="1" outlineLevel="1" x14ac:dyDescent="0.25">
      <c r="B648" s="74"/>
      <c r="C648" s="148"/>
      <c r="D648" s="76" t="str">
        <f>D607</f>
        <v>kg</v>
      </c>
      <c r="E648" s="77"/>
      <c r="F648" s="82"/>
      <c r="G648" s="82"/>
      <c r="H648" s="82"/>
    </row>
    <row r="649" spans="2:11" ht="13.15" hidden="1" customHeight="1" outlineLevel="1" x14ac:dyDescent="0.25">
      <c r="B649" s="79"/>
      <c r="C649" s="147"/>
      <c r="D649" s="81"/>
      <c r="E649" s="77"/>
      <c r="F649" s="82"/>
      <c r="G649" s="82"/>
      <c r="H649" s="82"/>
      <c r="K649" s="34"/>
    </row>
    <row r="650" spans="2:11" ht="13" hidden="1" outlineLevel="1" x14ac:dyDescent="0.25">
      <c r="B650" s="86" t="s">
        <v>9</v>
      </c>
      <c r="C650" s="149">
        <f>SUM(C631:C648)</f>
        <v>0</v>
      </c>
      <c r="D650" s="91" t="str">
        <f>D607</f>
        <v>kg</v>
      </c>
      <c r="E650" s="77"/>
      <c r="F650" s="82"/>
      <c r="G650" s="82"/>
      <c r="H650" s="82"/>
    </row>
    <row r="651" spans="2:11" ht="13.5" hidden="1" outlineLevel="1" thickBot="1" x14ac:dyDescent="0.3">
      <c r="B651" s="92"/>
      <c r="C651" s="93"/>
      <c r="D651" s="94"/>
      <c r="E651" s="77"/>
      <c r="F651" s="82"/>
      <c r="G651" s="82"/>
      <c r="H651" s="82"/>
    </row>
    <row r="652" spans="2:11" ht="20.5" hidden="1" outlineLevel="1" thickBot="1" x14ac:dyDescent="0.3">
      <c r="B652" s="426" t="s">
        <v>10</v>
      </c>
      <c r="C652" s="427"/>
      <c r="D652" s="428"/>
      <c r="E652" s="77"/>
      <c r="F652" s="82"/>
      <c r="G652" s="82"/>
      <c r="H652" s="82"/>
    </row>
    <row r="653" spans="2:11" ht="13" hidden="1" outlineLevel="1" x14ac:dyDescent="0.25">
      <c r="B653" s="95" t="s">
        <v>23</v>
      </c>
      <c r="C653" s="96"/>
      <c r="D653" s="151">
        <f>SUM(C617:C618)</f>
        <v>0</v>
      </c>
      <c r="E653" s="98"/>
      <c r="F653" s="82"/>
      <c r="G653" s="82"/>
      <c r="H653" s="82"/>
    </row>
    <row r="654" spans="2:11" ht="13" hidden="1" outlineLevel="1" x14ac:dyDescent="0.25">
      <c r="B654" s="99" t="s">
        <v>24</v>
      </c>
      <c r="C654" s="100"/>
      <c r="D654" s="152">
        <f>SUM(C620:C630)</f>
        <v>0</v>
      </c>
      <c r="E654" s="98"/>
      <c r="F654" s="82"/>
      <c r="G654" s="82"/>
      <c r="H654" s="82"/>
    </row>
    <row r="655" spans="2:11" ht="13" hidden="1" outlineLevel="1" x14ac:dyDescent="0.25">
      <c r="B655" s="99" t="s">
        <v>25</v>
      </c>
      <c r="C655" s="100"/>
      <c r="D655" s="152">
        <f>SUM(C633:C641)</f>
        <v>0</v>
      </c>
      <c r="E655" s="98"/>
      <c r="F655" s="82"/>
      <c r="G655" s="82"/>
      <c r="H655" s="82"/>
    </row>
    <row r="656" spans="2:11" ht="13.5" hidden="1" outlineLevel="1" thickBot="1" x14ac:dyDescent="0.3">
      <c r="B656" s="102" t="s">
        <v>26</v>
      </c>
      <c r="C656" s="103"/>
      <c r="D656" s="153">
        <f>SUM(C642:C649)</f>
        <v>0</v>
      </c>
      <c r="E656" s="98"/>
      <c r="F656" s="82"/>
      <c r="G656" s="82"/>
      <c r="H656" s="82"/>
    </row>
    <row r="657" spans="2:8" ht="19" hidden="1" outlineLevel="1" thickTop="1" thickBot="1" x14ac:dyDescent="0.3">
      <c r="B657" s="105" t="s">
        <v>11</v>
      </c>
      <c r="C657" s="106"/>
      <c r="D657" s="107" t="e">
        <f>C631/C613</f>
        <v>#DIV/0!</v>
      </c>
      <c r="E657" s="77"/>
      <c r="F657" s="110" t="s">
        <v>86</v>
      </c>
      <c r="G657" s="109" t="s">
        <v>85</v>
      </c>
      <c r="H657" s="110"/>
    </row>
    <row r="658" spans="2:8" ht="18.5" hidden="1" outlineLevel="1" thickBot="1" x14ac:dyDescent="0.3">
      <c r="B658" s="111" t="s">
        <v>12</v>
      </c>
      <c r="C658" s="112"/>
      <c r="D658" s="113" t="e">
        <f>(D653+D654+D655)/C613</f>
        <v>#DIV/0!</v>
      </c>
      <c r="E658" s="77"/>
      <c r="F658" s="154"/>
      <c r="G658" s="413"/>
      <c r="H658" s="414"/>
    </row>
    <row r="659" spans="2:8" ht="18" hidden="1" outlineLevel="1" x14ac:dyDescent="0.25">
      <c r="B659" s="111" t="s">
        <v>13</v>
      </c>
      <c r="C659" s="112"/>
      <c r="D659" s="113" t="e">
        <f>D655/C613</f>
        <v>#DIV/0!</v>
      </c>
      <c r="E659" s="90"/>
      <c r="F659" s="64" t="s">
        <v>45</v>
      </c>
      <c r="G659" s="64" t="s">
        <v>45</v>
      </c>
      <c r="H659" s="155"/>
    </row>
    <row r="660" spans="2:8" ht="18.5" hidden="1" outlineLevel="1" thickBot="1" x14ac:dyDescent="0.3">
      <c r="B660" s="114" t="s">
        <v>14</v>
      </c>
      <c r="C660" s="115"/>
      <c r="D660" s="116" t="e">
        <f>D656/C613</f>
        <v>#DIV/0!</v>
      </c>
      <c r="E660" s="90"/>
      <c r="F660" s="110"/>
      <c r="G660" s="117" t="s">
        <v>46</v>
      </c>
      <c r="H660" s="110"/>
    </row>
    <row r="661" spans="2:8" ht="18.5" hidden="1" outlineLevel="1" thickBot="1" x14ac:dyDescent="0.3">
      <c r="B661" s="114" t="s">
        <v>15</v>
      </c>
      <c r="C661" s="119"/>
      <c r="D661" s="116" t="e">
        <f>SUM(D653:D656)/C613</f>
        <v>#DIV/0!</v>
      </c>
      <c r="E661" s="90"/>
      <c r="F661" s="429"/>
      <c r="G661" s="430"/>
      <c r="H661" s="431"/>
    </row>
    <row r="662" spans="2:8" ht="18.5" hidden="1" outlineLevel="1" thickTop="1" x14ac:dyDescent="0.25">
      <c r="B662" s="120" t="s">
        <v>16</v>
      </c>
      <c r="C662" s="121"/>
      <c r="D662" s="122" t="e">
        <f>((C617*D595)+D654+C618*MAX(1,F618))/C613</f>
        <v>#DIV/0!</v>
      </c>
      <c r="E662" s="77"/>
      <c r="F662" s="64" t="s">
        <v>45</v>
      </c>
      <c r="G662" s="64"/>
      <c r="H662" s="82"/>
    </row>
    <row r="663" spans="2:8" ht="18" hidden="1" outlineLevel="1" x14ac:dyDescent="0.25">
      <c r="B663" s="123" t="s">
        <v>17</v>
      </c>
      <c r="C663" s="124"/>
      <c r="D663" s="125" t="e">
        <f>(C617*D596+D654+D655+C618*(MAX(1,F618)+G618))/C613</f>
        <v>#DIV/0!</v>
      </c>
      <c r="E663" s="77"/>
      <c r="F663" s="82"/>
      <c r="G663" s="82"/>
      <c r="H663" s="82"/>
    </row>
    <row r="664" spans="2:8" ht="18" hidden="1" customHeight="1" outlineLevel="1" x14ac:dyDescent="0.25">
      <c r="B664" s="123" t="s">
        <v>18</v>
      </c>
      <c r="C664" s="124"/>
      <c r="D664" s="125" t="e">
        <f>((C617*D597)+D655+C618*G618)/C613</f>
        <v>#DIV/0!</v>
      </c>
      <c r="E664" s="77"/>
      <c r="F664" s="415" t="s">
        <v>61</v>
      </c>
      <c r="G664" s="416"/>
      <c r="H664" s="416"/>
    </row>
    <row r="665" spans="2:8" ht="18" hidden="1" outlineLevel="1" x14ac:dyDescent="0.25">
      <c r="B665" s="126" t="s">
        <v>19</v>
      </c>
      <c r="C665" s="127"/>
      <c r="D665" s="128" t="e">
        <f>(C617*D598+D656+C618*H618)/C613</f>
        <v>#DIV/0!</v>
      </c>
      <c r="E665" s="77"/>
      <c r="F665" s="416"/>
      <c r="G665" s="416"/>
      <c r="H665" s="416"/>
    </row>
    <row r="666" spans="2:8" ht="18.5" hidden="1" outlineLevel="1" thickBot="1" x14ac:dyDescent="0.3">
      <c r="B666" s="129" t="s">
        <v>20</v>
      </c>
      <c r="C666" s="130"/>
      <c r="D666" s="131" t="e">
        <f>((C617*D599)+SUM(D654:D656)+C618*(MAX(1,F618)+G618+H618))/C613</f>
        <v>#DIV/0!</v>
      </c>
      <c r="E666" s="77"/>
      <c r="F666" s="416"/>
      <c r="G666" s="416"/>
      <c r="H666" s="416"/>
    </row>
    <row r="667" spans="2:8" ht="13" hidden="1" outlineLevel="1" thickTop="1" x14ac:dyDescent="0.25">
      <c r="B667" s="156" t="s">
        <v>76</v>
      </c>
      <c r="C667" s="424"/>
      <c r="D667" s="425"/>
      <c r="F667" s="416"/>
      <c r="G667" s="416"/>
      <c r="H667" s="416"/>
    </row>
    <row r="668" spans="2:8" hidden="1" outlineLevel="1" x14ac:dyDescent="0.25">
      <c r="B668" s="157" t="s">
        <v>58</v>
      </c>
      <c r="C668" s="422"/>
      <c r="D668" s="423"/>
      <c r="F668" s="416"/>
      <c r="G668" s="416"/>
      <c r="H668" s="416"/>
    </row>
    <row r="669" spans="2:8" ht="13" hidden="1" outlineLevel="1" thickBot="1" x14ac:dyDescent="0.3">
      <c r="B669" s="158" t="s">
        <v>59</v>
      </c>
      <c r="C669" s="420"/>
      <c r="D669" s="421"/>
      <c r="F669" s="416"/>
      <c r="G669" s="416"/>
      <c r="H669" s="416"/>
    </row>
    <row r="670" spans="2:8" hidden="1" outlineLevel="1" x14ac:dyDescent="0.25"/>
    <row r="671" spans="2:8" hidden="1" outlineLevel="1" x14ac:dyDescent="0.25"/>
    <row r="672" spans="2:8" hidden="1" outlineLevel="1" x14ac:dyDescent="0.25"/>
    <row r="673" hidden="1" outlineLevel="1" x14ac:dyDescent="0.25"/>
    <row r="674" hidden="1" outlineLevel="1" x14ac:dyDescent="0.25"/>
    <row r="675" hidden="1" outlineLevel="1" x14ac:dyDescent="0.25"/>
    <row r="676" hidden="1" outlineLevel="1" x14ac:dyDescent="0.25"/>
    <row r="677" hidden="1" outlineLevel="1" x14ac:dyDescent="0.25"/>
    <row r="678" hidden="1" outlineLevel="1" x14ac:dyDescent="0.25"/>
    <row r="679" hidden="1" outlineLevel="1" x14ac:dyDescent="0.25"/>
    <row r="680" hidden="1" outlineLevel="1" x14ac:dyDescent="0.25"/>
    <row r="681" hidden="1" outlineLevel="1" x14ac:dyDescent="0.25"/>
    <row r="682" hidden="1" outlineLevel="1" x14ac:dyDescent="0.25"/>
    <row r="683" hidden="1" outlineLevel="1" x14ac:dyDescent="0.25"/>
    <row r="684" hidden="1" outlineLevel="1" x14ac:dyDescent="0.25"/>
    <row r="685" hidden="1" outlineLevel="1" x14ac:dyDescent="0.25"/>
    <row r="686" hidden="1" outlineLevel="1" x14ac:dyDescent="0.25"/>
    <row r="687" hidden="1" outlineLevel="1" x14ac:dyDescent="0.25"/>
    <row r="688" hidden="1" outlineLevel="1" x14ac:dyDescent="0.25"/>
    <row r="689" hidden="1" outlineLevel="1" x14ac:dyDescent="0.25"/>
    <row r="690" hidden="1" outlineLevel="1" x14ac:dyDescent="0.25"/>
    <row r="691" hidden="1" outlineLevel="1" x14ac:dyDescent="0.25"/>
    <row r="692" hidden="1" outlineLevel="1" x14ac:dyDescent="0.25"/>
    <row r="693" hidden="1" outlineLevel="1" x14ac:dyDescent="0.25"/>
    <row r="694" hidden="1" outlineLevel="1" x14ac:dyDescent="0.25"/>
    <row r="695" hidden="1" outlineLevel="1" x14ac:dyDescent="0.25"/>
    <row r="696" hidden="1" outlineLevel="1" x14ac:dyDescent="0.25"/>
    <row r="697" hidden="1" outlineLevel="1" x14ac:dyDescent="0.25"/>
    <row r="698" hidden="1" outlineLevel="1" x14ac:dyDescent="0.25"/>
    <row r="699" hidden="1" outlineLevel="1" x14ac:dyDescent="0.25"/>
    <row r="700" hidden="1" outlineLevel="1" x14ac:dyDescent="0.25"/>
    <row r="701" hidden="1" outlineLevel="1" x14ac:dyDescent="0.25"/>
    <row r="702" hidden="1" outlineLevel="1" x14ac:dyDescent="0.25"/>
    <row r="703" hidden="1" outlineLevel="1" x14ac:dyDescent="0.25"/>
    <row r="704" hidden="1" outlineLevel="1" x14ac:dyDescent="0.25"/>
    <row r="705" hidden="1" outlineLevel="1" x14ac:dyDescent="0.25"/>
    <row r="706" hidden="1" outlineLevel="1" x14ac:dyDescent="0.25"/>
    <row r="707" hidden="1" outlineLevel="1" x14ac:dyDescent="0.25"/>
    <row r="708" hidden="1" outlineLevel="1" x14ac:dyDescent="0.25"/>
    <row r="709" hidden="1" outlineLevel="1" x14ac:dyDescent="0.25"/>
    <row r="710" hidden="1" outlineLevel="1" x14ac:dyDescent="0.25"/>
    <row r="711" hidden="1" outlineLevel="1" x14ac:dyDescent="0.25"/>
    <row r="712" hidden="1" outlineLevel="1" x14ac:dyDescent="0.25"/>
    <row r="713" hidden="1" outlineLevel="1" x14ac:dyDescent="0.25"/>
    <row r="714" hidden="1" outlineLevel="1" x14ac:dyDescent="0.25"/>
    <row r="715" hidden="1" outlineLevel="1" x14ac:dyDescent="0.25"/>
    <row r="716" hidden="1" outlineLevel="1" x14ac:dyDescent="0.25"/>
    <row r="717" hidden="1" outlineLevel="1" x14ac:dyDescent="0.25"/>
    <row r="718" hidden="1" outlineLevel="1" x14ac:dyDescent="0.25"/>
    <row r="719" hidden="1" outlineLevel="1" x14ac:dyDescent="0.25"/>
    <row r="720" hidden="1" outlineLevel="1" x14ac:dyDescent="0.25"/>
    <row r="721" hidden="1" outlineLevel="1" x14ac:dyDescent="0.25"/>
    <row r="722" hidden="1" outlineLevel="1" x14ac:dyDescent="0.25"/>
    <row r="723" hidden="1" outlineLevel="1" x14ac:dyDescent="0.25"/>
    <row r="724" hidden="1" outlineLevel="1" x14ac:dyDescent="0.25"/>
    <row r="725" hidden="1" outlineLevel="1" x14ac:dyDescent="0.25"/>
    <row r="726" hidden="1" outlineLevel="1" x14ac:dyDescent="0.25"/>
    <row r="727" hidden="1" outlineLevel="1" x14ac:dyDescent="0.25"/>
    <row r="728" hidden="1" outlineLevel="1" x14ac:dyDescent="0.25"/>
    <row r="729" hidden="1" outlineLevel="1" x14ac:dyDescent="0.25"/>
    <row r="730" hidden="1" outlineLevel="1" x14ac:dyDescent="0.25"/>
    <row r="731" hidden="1" outlineLevel="1" x14ac:dyDescent="0.25"/>
    <row r="732" hidden="1" outlineLevel="1" x14ac:dyDescent="0.25"/>
    <row r="733" hidden="1" outlineLevel="1" x14ac:dyDescent="0.25"/>
    <row r="734" hidden="1" outlineLevel="1" x14ac:dyDescent="0.25"/>
    <row r="735" hidden="1" outlineLevel="1" x14ac:dyDescent="0.25"/>
    <row r="736" hidden="1" outlineLevel="1" x14ac:dyDescent="0.25"/>
    <row r="737" hidden="1" outlineLevel="1" x14ac:dyDescent="0.25"/>
    <row r="738" hidden="1" outlineLevel="1" x14ac:dyDescent="0.25"/>
    <row r="739" hidden="1" outlineLevel="1" x14ac:dyDescent="0.25"/>
    <row r="740" hidden="1" outlineLevel="1" x14ac:dyDescent="0.25"/>
    <row r="741" hidden="1" outlineLevel="1" x14ac:dyDescent="0.25"/>
    <row r="742" hidden="1" outlineLevel="1" x14ac:dyDescent="0.25"/>
    <row r="743" hidden="1" outlineLevel="1" x14ac:dyDescent="0.25"/>
    <row r="744" hidden="1" outlineLevel="1" x14ac:dyDescent="0.25"/>
    <row r="745" hidden="1" outlineLevel="1" x14ac:dyDescent="0.25"/>
    <row r="746" hidden="1" outlineLevel="1" x14ac:dyDescent="0.25"/>
    <row r="747" hidden="1" outlineLevel="1" x14ac:dyDescent="0.25"/>
    <row r="748" hidden="1" outlineLevel="1" x14ac:dyDescent="0.25"/>
    <row r="749" hidden="1" outlineLevel="1" x14ac:dyDescent="0.25"/>
    <row r="750" hidden="1" outlineLevel="1" x14ac:dyDescent="0.25"/>
    <row r="751" hidden="1" outlineLevel="1" x14ac:dyDescent="0.25"/>
    <row r="752" hidden="1" outlineLevel="1" x14ac:dyDescent="0.25"/>
    <row r="753" hidden="1" outlineLevel="1" x14ac:dyDescent="0.25"/>
    <row r="754" hidden="1" outlineLevel="1" x14ac:dyDescent="0.25"/>
    <row r="755" hidden="1" outlineLevel="1" x14ac:dyDescent="0.25"/>
    <row r="756" hidden="1" outlineLevel="1" x14ac:dyDescent="0.25"/>
    <row r="757" hidden="1" outlineLevel="1" x14ac:dyDescent="0.25"/>
    <row r="758" hidden="1" outlineLevel="1" x14ac:dyDescent="0.25"/>
    <row r="759" hidden="1" outlineLevel="1" x14ac:dyDescent="0.25"/>
    <row r="760" hidden="1" outlineLevel="1" x14ac:dyDescent="0.25"/>
    <row r="761" hidden="1" outlineLevel="1" x14ac:dyDescent="0.25"/>
    <row r="762" hidden="1" outlineLevel="1" x14ac:dyDescent="0.25"/>
    <row r="763" hidden="1" outlineLevel="1" x14ac:dyDescent="0.25"/>
    <row r="764" hidden="1" outlineLevel="1" x14ac:dyDescent="0.25"/>
    <row r="765" hidden="1" outlineLevel="1" x14ac:dyDescent="0.25"/>
    <row r="766" hidden="1" outlineLevel="1" x14ac:dyDescent="0.25"/>
    <row r="767" hidden="1" outlineLevel="1" x14ac:dyDescent="0.25"/>
    <row r="768" hidden="1" outlineLevel="1" x14ac:dyDescent="0.25"/>
    <row r="769" hidden="1" outlineLevel="1" x14ac:dyDescent="0.25"/>
    <row r="770" hidden="1" outlineLevel="1" x14ac:dyDescent="0.25"/>
    <row r="771" hidden="1" outlineLevel="1" x14ac:dyDescent="0.25"/>
    <row r="772" hidden="1" outlineLevel="1" x14ac:dyDescent="0.25"/>
    <row r="773" hidden="1" outlineLevel="1" x14ac:dyDescent="0.25"/>
    <row r="774" hidden="1" outlineLevel="1" x14ac:dyDescent="0.25"/>
    <row r="775" hidden="1" outlineLevel="1" x14ac:dyDescent="0.25"/>
    <row r="776" hidden="1" outlineLevel="1" x14ac:dyDescent="0.25"/>
    <row r="777" hidden="1" outlineLevel="1" x14ac:dyDescent="0.25"/>
    <row r="778" hidden="1" outlineLevel="1" x14ac:dyDescent="0.25"/>
    <row r="779" hidden="1" outlineLevel="1" x14ac:dyDescent="0.25"/>
    <row r="780" hidden="1" outlineLevel="1" x14ac:dyDescent="0.25"/>
    <row r="781" hidden="1" outlineLevel="1" x14ac:dyDescent="0.25"/>
    <row r="782" hidden="1" outlineLevel="1" x14ac:dyDescent="0.25"/>
    <row r="783" hidden="1" outlineLevel="1" x14ac:dyDescent="0.25"/>
    <row r="784" hidden="1" outlineLevel="1" x14ac:dyDescent="0.25"/>
    <row r="785" hidden="1" outlineLevel="1" x14ac:dyDescent="0.25"/>
    <row r="786" hidden="1" outlineLevel="1" x14ac:dyDescent="0.25"/>
    <row r="787" hidden="1" outlineLevel="1" x14ac:dyDescent="0.25"/>
    <row r="788" hidden="1" outlineLevel="1" x14ac:dyDescent="0.25"/>
    <row r="789" hidden="1" outlineLevel="1" x14ac:dyDescent="0.25"/>
    <row r="790" hidden="1" outlineLevel="1" x14ac:dyDescent="0.25"/>
    <row r="791" hidden="1" outlineLevel="1" x14ac:dyDescent="0.25"/>
    <row r="792" hidden="1" outlineLevel="1" x14ac:dyDescent="0.25"/>
    <row r="793" hidden="1" outlineLevel="1" x14ac:dyDescent="0.25"/>
    <row r="794" hidden="1" outlineLevel="1" x14ac:dyDescent="0.25"/>
    <row r="795" hidden="1" outlineLevel="1" x14ac:dyDescent="0.25"/>
    <row r="796" hidden="1" outlineLevel="1" x14ac:dyDescent="0.25"/>
    <row r="797" hidden="1" outlineLevel="1" x14ac:dyDescent="0.25"/>
    <row r="798" hidden="1" outlineLevel="1" x14ac:dyDescent="0.25"/>
    <row r="799" hidden="1" outlineLevel="1" x14ac:dyDescent="0.25"/>
    <row r="800" hidden="1" outlineLevel="1" x14ac:dyDescent="0.25"/>
    <row r="801" hidden="1" outlineLevel="1" x14ac:dyDescent="0.25"/>
    <row r="802" hidden="1" outlineLevel="1" x14ac:dyDescent="0.25"/>
    <row r="803" hidden="1" outlineLevel="1" x14ac:dyDescent="0.25"/>
    <row r="804" hidden="1" outlineLevel="1" x14ac:dyDescent="0.25"/>
    <row r="805" hidden="1" outlineLevel="1" x14ac:dyDescent="0.25"/>
    <row r="806" hidden="1" outlineLevel="1" x14ac:dyDescent="0.25"/>
    <row r="807" hidden="1" outlineLevel="1" x14ac:dyDescent="0.25"/>
    <row r="808" hidden="1" outlineLevel="1" x14ac:dyDescent="0.25"/>
    <row r="809" hidden="1" outlineLevel="1" x14ac:dyDescent="0.25"/>
    <row r="810" hidden="1" outlineLevel="1" x14ac:dyDescent="0.25"/>
    <row r="811" hidden="1" outlineLevel="1" x14ac:dyDescent="0.25"/>
    <row r="812" hidden="1" outlineLevel="1" x14ac:dyDescent="0.25"/>
    <row r="813" hidden="1" outlineLevel="1" x14ac:dyDescent="0.25"/>
    <row r="814" hidden="1" outlineLevel="1" x14ac:dyDescent="0.25"/>
    <row r="815" hidden="1" outlineLevel="1" x14ac:dyDescent="0.25"/>
    <row r="816" hidden="1" outlineLevel="1" x14ac:dyDescent="0.25"/>
    <row r="817" hidden="1" outlineLevel="1" x14ac:dyDescent="0.25"/>
    <row r="818" hidden="1" outlineLevel="1" x14ac:dyDescent="0.25"/>
    <row r="819" hidden="1" outlineLevel="1" x14ac:dyDescent="0.25"/>
    <row r="820" hidden="1" outlineLevel="1" x14ac:dyDescent="0.25"/>
    <row r="821" hidden="1" outlineLevel="1" x14ac:dyDescent="0.25"/>
    <row r="822" hidden="1" outlineLevel="1" x14ac:dyDescent="0.25"/>
    <row r="823" hidden="1" outlineLevel="1" x14ac:dyDescent="0.25"/>
    <row r="824" hidden="1" outlineLevel="1" x14ac:dyDescent="0.25"/>
    <row r="825" hidden="1" outlineLevel="1" x14ac:dyDescent="0.25"/>
    <row r="826" hidden="1" outlineLevel="1" x14ac:dyDescent="0.25"/>
    <row r="827" hidden="1" outlineLevel="1" x14ac:dyDescent="0.25"/>
    <row r="828" hidden="1" outlineLevel="1" x14ac:dyDescent="0.25"/>
    <row r="829" hidden="1" outlineLevel="1" x14ac:dyDescent="0.25"/>
    <row r="830" hidden="1" outlineLevel="1" x14ac:dyDescent="0.25"/>
    <row r="831" hidden="1" outlineLevel="1" x14ac:dyDescent="0.25"/>
    <row r="832" hidden="1" outlineLevel="1" x14ac:dyDescent="0.25"/>
    <row r="833" hidden="1" outlineLevel="1" x14ac:dyDescent="0.25"/>
    <row r="834" hidden="1" outlineLevel="1" x14ac:dyDescent="0.25"/>
    <row r="835" hidden="1" outlineLevel="1" x14ac:dyDescent="0.25"/>
    <row r="836" hidden="1" outlineLevel="1" x14ac:dyDescent="0.25"/>
    <row r="837" hidden="1" outlineLevel="1" x14ac:dyDescent="0.25"/>
    <row r="838" hidden="1" outlineLevel="1" x14ac:dyDescent="0.25"/>
    <row r="839" hidden="1" outlineLevel="1" x14ac:dyDescent="0.25"/>
    <row r="840" hidden="1" outlineLevel="1" x14ac:dyDescent="0.25"/>
    <row r="841" hidden="1" outlineLevel="1" x14ac:dyDescent="0.25"/>
    <row r="842" hidden="1" outlineLevel="1" x14ac:dyDescent="0.25"/>
    <row r="843" hidden="1" outlineLevel="1" x14ac:dyDescent="0.25"/>
    <row r="844" hidden="1" outlineLevel="1" x14ac:dyDescent="0.25"/>
    <row r="845" hidden="1" outlineLevel="1" x14ac:dyDescent="0.25"/>
    <row r="846" hidden="1" outlineLevel="1" x14ac:dyDescent="0.25"/>
    <row r="847" hidden="1" outlineLevel="1" x14ac:dyDescent="0.25"/>
    <row r="848" hidden="1" outlineLevel="1" x14ac:dyDescent="0.25"/>
    <row r="849" hidden="1" outlineLevel="1" x14ac:dyDescent="0.25"/>
    <row r="850" hidden="1" outlineLevel="1" x14ac:dyDescent="0.25"/>
    <row r="851" hidden="1" outlineLevel="1" x14ac:dyDescent="0.25"/>
    <row r="852" hidden="1" outlineLevel="1" x14ac:dyDescent="0.25"/>
    <row r="853" hidden="1" outlineLevel="1" x14ac:dyDescent="0.25"/>
    <row r="854" hidden="1" outlineLevel="1" x14ac:dyDescent="0.25"/>
    <row r="855" hidden="1" outlineLevel="1" x14ac:dyDescent="0.25"/>
    <row r="856" hidden="1" outlineLevel="1" x14ac:dyDescent="0.25"/>
    <row r="857" hidden="1" outlineLevel="1" x14ac:dyDescent="0.25"/>
    <row r="858" hidden="1" outlineLevel="1" x14ac:dyDescent="0.25"/>
    <row r="859" hidden="1" outlineLevel="1" x14ac:dyDescent="0.25"/>
    <row r="860" hidden="1" outlineLevel="1" x14ac:dyDescent="0.25"/>
    <row r="861" hidden="1" outlineLevel="1" x14ac:dyDescent="0.25"/>
    <row r="862" hidden="1" outlineLevel="1" x14ac:dyDescent="0.25"/>
    <row r="863" hidden="1" outlineLevel="1" x14ac:dyDescent="0.25"/>
    <row r="864" hidden="1" outlineLevel="1" x14ac:dyDescent="0.25"/>
    <row r="865" hidden="1" outlineLevel="1" x14ac:dyDescent="0.25"/>
    <row r="866" hidden="1" outlineLevel="1" x14ac:dyDescent="0.25"/>
    <row r="867" hidden="1" outlineLevel="1" x14ac:dyDescent="0.25"/>
    <row r="868" hidden="1" outlineLevel="1" x14ac:dyDescent="0.25"/>
    <row r="869" hidden="1" outlineLevel="1" x14ac:dyDescent="0.25"/>
    <row r="870" hidden="1" outlineLevel="1" x14ac:dyDescent="0.25"/>
    <row r="871" hidden="1" outlineLevel="1" x14ac:dyDescent="0.25"/>
    <row r="872" hidden="1" outlineLevel="1" x14ac:dyDescent="0.25"/>
    <row r="873" hidden="1" outlineLevel="1" x14ac:dyDescent="0.25"/>
    <row r="874" hidden="1" outlineLevel="1" x14ac:dyDescent="0.25"/>
    <row r="875" hidden="1" outlineLevel="1" x14ac:dyDescent="0.25"/>
    <row r="876" hidden="1" outlineLevel="1" x14ac:dyDescent="0.25"/>
    <row r="877" hidden="1" outlineLevel="1" x14ac:dyDescent="0.25"/>
    <row r="878" hidden="1" outlineLevel="1" x14ac:dyDescent="0.25"/>
    <row r="879" hidden="1" outlineLevel="1" x14ac:dyDescent="0.25"/>
    <row r="880" hidden="1" outlineLevel="1" x14ac:dyDescent="0.25"/>
    <row r="881" hidden="1" outlineLevel="1" x14ac:dyDescent="0.25"/>
    <row r="882" hidden="1" outlineLevel="1" x14ac:dyDescent="0.25"/>
    <row r="883" hidden="1" outlineLevel="1" x14ac:dyDescent="0.25"/>
    <row r="884" hidden="1" outlineLevel="1" x14ac:dyDescent="0.25"/>
    <row r="885" hidden="1" outlineLevel="1" x14ac:dyDescent="0.25"/>
    <row r="886" hidden="1" outlineLevel="1" x14ac:dyDescent="0.25"/>
    <row r="887" hidden="1" outlineLevel="1" x14ac:dyDescent="0.25"/>
    <row r="888" hidden="1" outlineLevel="1" x14ac:dyDescent="0.25"/>
    <row r="889" hidden="1" outlineLevel="1" x14ac:dyDescent="0.25"/>
    <row r="890" hidden="1" outlineLevel="1" x14ac:dyDescent="0.25"/>
    <row r="891" hidden="1" outlineLevel="1" x14ac:dyDescent="0.25"/>
    <row r="892" hidden="1" outlineLevel="1" x14ac:dyDescent="0.25"/>
    <row r="893" hidden="1" outlineLevel="1" x14ac:dyDescent="0.25"/>
    <row r="894" hidden="1" outlineLevel="1" x14ac:dyDescent="0.25"/>
    <row r="895" hidden="1" outlineLevel="1" x14ac:dyDescent="0.25"/>
    <row r="896" hidden="1" outlineLevel="1" x14ac:dyDescent="0.25"/>
    <row r="897" hidden="1" outlineLevel="1" x14ac:dyDescent="0.25"/>
    <row r="898" hidden="1" outlineLevel="1" x14ac:dyDescent="0.25"/>
    <row r="899" hidden="1" outlineLevel="1" x14ac:dyDescent="0.25"/>
    <row r="900" hidden="1" outlineLevel="1" x14ac:dyDescent="0.25"/>
    <row r="901" hidden="1" outlineLevel="1" x14ac:dyDescent="0.25"/>
    <row r="902" hidden="1" outlineLevel="1" x14ac:dyDescent="0.25"/>
    <row r="903" hidden="1" outlineLevel="1" x14ac:dyDescent="0.25"/>
    <row r="904" hidden="1" outlineLevel="1" x14ac:dyDescent="0.25"/>
    <row r="905" hidden="1" outlineLevel="1" x14ac:dyDescent="0.25"/>
    <row r="906" hidden="1" outlineLevel="1" x14ac:dyDescent="0.25"/>
    <row r="907" hidden="1" outlineLevel="1" x14ac:dyDescent="0.25"/>
    <row r="908" hidden="1" outlineLevel="1" x14ac:dyDescent="0.25"/>
    <row r="909" hidden="1" outlineLevel="1" x14ac:dyDescent="0.25"/>
    <row r="910" hidden="1" outlineLevel="1" x14ac:dyDescent="0.25"/>
    <row r="911" hidden="1" outlineLevel="1" x14ac:dyDescent="0.25"/>
    <row r="912" hidden="1" outlineLevel="1" x14ac:dyDescent="0.25"/>
    <row r="913" hidden="1" outlineLevel="1" x14ac:dyDescent="0.25"/>
    <row r="914" hidden="1" outlineLevel="1" x14ac:dyDescent="0.25"/>
    <row r="915" hidden="1" outlineLevel="1" x14ac:dyDescent="0.25"/>
    <row r="916" hidden="1" outlineLevel="1" x14ac:dyDescent="0.25"/>
    <row r="917" hidden="1" outlineLevel="1" x14ac:dyDescent="0.25"/>
    <row r="918" hidden="1" outlineLevel="1" x14ac:dyDescent="0.25"/>
    <row r="919" hidden="1" outlineLevel="1" x14ac:dyDescent="0.25"/>
    <row r="920" hidden="1" outlineLevel="1" x14ac:dyDescent="0.25"/>
    <row r="921" hidden="1" outlineLevel="1" x14ac:dyDescent="0.25"/>
    <row r="922" hidden="1" outlineLevel="1" x14ac:dyDescent="0.25"/>
    <row r="923" hidden="1" outlineLevel="1" x14ac:dyDescent="0.25"/>
    <row r="924" hidden="1" outlineLevel="1" x14ac:dyDescent="0.25"/>
    <row r="925" hidden="1" outlineLevel="1" x14ac:dyDescent="0.25"/>
    <row r="926" hidden="1" outlineLevel="1" x14ac:dyDescent="0.25"/>
    <row r="927" hidden="1" outlineLevel="1" x14ac:dyDescent="0.25"/>
    <row r="928" hidden="1" outlineLevel="1" x14ac:dyDescent="0.25"/>
    <row r="929" hidden="1" outlineLevel="1" x14ac:dyDescent="0.25"/>
    <row r="930" hidden="1" outlineLevel="1" x14ac:dyDescent="0.25"/>
    <row r="931" hidden="1" outlineLevel="1" x14ac:dyDescent="0.25"/>
    <row r="932" hidden="1" outlineLevel="1" x14ac:dyDescent="0.25"/>
    <row r="933" hidden="1" outlineLevel="1" x14ac:dyDescent="0.25"/>
    <row r="934" hidden="1" outlineLevel="1" x14ac:dyDescent="0.25"/>
    <row r="935" hidden="1" outlineLevel="1" x14ac:dyDescent="0.25"/>
    <row r="936" hidden="1" outlineLevel="1" x14ac:dyDescent="0.25"/>
    <row r="937" hidden="1" outlineLevel="1" x14ac:dyDescent="0.25"/>
    <row r="938" hidden="1" outlineLevel="1" x14ac:dyDescent="0.25"/>
    <row r="939" hidden="1" outlineLevel="1" x14ac:dyDescent="0.25"/>
    <row r="940" hidden="1" outlineLevel="1" x14ac:dyDescent="0.25"/>
    <row r="941" hidden="1" outlineLevel="1" x14ac:dyDescent="0.25"/>
    <row r="942" hidden="1" outlineLevel="1" x14ac:dyDescent="0.25"/>
    <row r="943" hidden="1" outlineLevel="1" x14ac:dyDescent="0.25"/>
    <row r="944" hidden="1" outlineLevel="1" x14ac:dyDescent="0.25"/>
    <row r="945" hidden="1" outlineLevel="1" x14ac:dyDescent="0.25"/>
    <row r="946" hidden="1" outlineLevel="1" x14ac:dyDescent="0.25"/>
    <row r="947" hidden="1" outlineLevel="1" x14ac:dyDescent="0.25"/>
    <row r="948" hidden="1" outlineLevel="1" x14ac:dyDescent="0.25"/>
    <row r="949" hidden="1" outlineLevel="1" x14ac:dyDescent="0.25"/>
    <row r="950" hidden="1" outlineLevel="1" x14ac:dyDescent="0.25"/>
    <row r="951" hidden="1" outlineLevel="1" x14ac:dyDescent="0.25"/>
    <row r="952" hidden="1" outlineLevel="1" x14ac:dyDescent="0.25"/>
    <row r="953" hidden="1" outlineLevel="1" x14ac:dyDescent="0.25"/>
    <row r="954" hidden="1" outlineLevel="1" x14ac:dyDescent="0.25"/>
    <row r="955" hidden="1" outlineLevel="1" x14ac:dyDescent="0.25"/>
    <row r="956" hidden="1" outlineLevel="1" x14ac:dyDescent="0.25"/>
    <row r="957" hidden="1" outlineLevel="1" x14ac:dyDescent="0.25"/>
    <row r="958" hidden="1" outlineLevel="1" x14ac:dyDescent="0.25"/>
    <row r="959" hidden="1" outlineLevel="1" x14ac:dyDescent="0.25"/>
    <row r="960" hidden="1" outlineLevel="1" x14ac:dyDescent="0.25"/>
    <row r="961" hidden="1" outlineLevel="1" x14ac:dyDescent="0.25"/>
    <row r="962" hidden="1" outlineLevel="1" x14ac:dyDescent="0.25"/>
    <row r="963" hidden="1" outlineLevel="1" x14ac:dyDescent="0.25"/>
    <row r="964" hidden="1" outlineLevel="1" x14ac:dyDescent="0.25"/>
    <row r="965" hidden="1" outlineLevel="1" x14ac:dyDescent="0.25"/>
    <row r="966" hidden="1" outlineLevel="1" x14ac:dyDescent="0.25"/>
    <row r="967" hidden="1" outlineLevel="1" x14ac:dyDescent="0.25"/>
    <row r="968" hidden="1" outlineLevel="1" x14ac:dyDescent="0.25"/>
    <row r="969" hidden="1" outlineLevel="1" x14ac:dyDescent="0.25"/>
    <row r="970" hidden="1" outlineLevel="1" x14ac:dyDescent="0.25"/>
    <row r="971" hidden="1" outlineLevel="1" x14ac:dyDescent="0.25"/>
    <row r="972" hidden="1" outlineLevel="1" x14ac:dyDescent="0.25"/>
    <row r="973" hidden="1" outlineLevel="1" x14ac:dyDescent="0.25"/>
    <row r="974" hidden="1" outlineLevel="1" x14ac:dyDescent="0.25"/>
    <row r="975" hidden="1" outlineLevel="1" x14ac:dyDescent="0.25"/>
    <row r="976" hidden="1" outlineLevel="1" x14ac:dyDescent="0.25"/>
    <row r="977" hidden="1" outlineLevel="1" x14ac:dyDescent="0.25"/>
    <row r="978" hidden="1" outlineLevel="1" x14ac:dyDescent="0.25"/>
    <row r="979" hidden="1" outlineLevel="1" x14ac:dyDescent="0.25"/>
    <row r="980" hidden="1" outlineLevel="1" x14ac:dyDescent="0.25"/>
    <row r="981" hidden="1" outlineLevel="1" x14ac:dyDescent="0.25"/>
    <row r="982" hidden="1" outlineLevel="1" x14ac:dyDescent="0.25"/>
    <row r="983" hidden="1" outlineLevel="1" x14ac:dyDescent="0.25"/>
    <row r="984" hidden="1" outlineLevel="1" x14ac:dyDescent="0.25"/>
    <row r="985" hidden="1" outlineLevel="1" x14ac:dyDescent="0.25"/>
    <row r="986" hidden="1" outlineLevel="1" x14ac:dyDescent="0.25"/>
    <row r="987" hidden="1" outlineLevel="1" x14ac:dyDescent="0.25"/>
    <row r="988" hidden="1" outlineLevel="1" x14ac:dyDescent="0.25"/>
    <row r="989" hidden="1" outlineLevel="1" x14ac:dyDescent="0.25"/>
    <row r="990" hidden="1" outlineLevel="1" x14ac:dyDescent="0.25"/>
    <row r="991" hidden="1" outlineLevel="1" x14ac:dyDescent="0.25"/>
    <row r="992" hidden="1" outlineLevel="1" x14ac:dyDescent="0.25"/>
    <row r="993" hidden="1" outlineLevel="1" x14ac:dyDescent="0.25"/>
    <row r="994" hidden="1" outlineLevel="1" x14ac:dyDescent="0.25"/>
    <row r="995" hidden="1" outlineLevel="1" x14ac:dyDescent="0.25"/>
    <row r="996" hidden="1" outlineLevel="1" x14ac:dyDescent="0.25"/>
    <row r="997" hidden="1" outlineLevel="1" x14ac:dyDescent="0.25"/>
    <row r="998" hidden="1" outlineLevel="1" x14ac:dyDescent="0.25"/>
    <row r="999" hidden="1" outlineLevel="1" x14ac:dyDescent="0.25"/>
    <row r="1000" hidden="1" outlineLevel="1" x14ac:dyDescent="0.25"/>
    <row r="1001" collapsed="1" x14ac:dyDescent="0.25"/>
  </sheetData>
  <sheetProtection algorithmName="SHA-512" hashValue="X2JHQrty6bU6LMVrl4NS6C6gMsoX64dcinLKrOkyOJE43rjGTfnjhSBZlmmztikU9rHwumzfOp7YnIGc7yFIHQ==" saltValue="rptLCm+WDZqYfKfzILAMUw==" spinCount="100000" sheet="1" objects="1" scenarios="1" selectLockedCells="1" selectUnlockedCells="1"/>
  <mergeCells count="65">
    <mergeCell ref="N17:P22"/>
    <mergeCell ref="F664:H669"/>
    <mergeCell ref="F329:H334"/>
    <mergeCell ref="F396:H401"/>
    <mergeCell ref="F463:H468"/>
    <mergeCell ref="F530:H535"/>
    <mergeCell ref="F597:H602"/>
    <mergeCell ref="F393:H393"/>
    <mergeCell ref="F460:H460"/>
    <mergeCell ref="F527:H527"/>
    <mergeCell ref="F594:H594"/>
    <mergeCell ref="F661:H661"/>
    <mergeCell ref="G390:H390"/>
    <mergeCell ref="G457:H457"/>
    <mergeCell ref="G524:H524"/>
    <mergeCell ref="G591:H591"/>
    <mergeCell ref="G658:H658"/>
    <mergeCell ref="B518:D518"/>
    <mergeCell ref="B585:D585"/>
    <mergeCell ref="B652:D652"/>
    <mergeCell ref="B49:D49"/>
    <mergeCell ref="B116:D116"/>
    <mergeCell ref="B183:D183"/>
    <mergeCell ref="B250:D250"/>
    <mergeCell ref="B317:D317"/>
    <mergeCell ref="B384:D384"/>
    <mergeCell ref="C131:D131"/>
    <mergeCell ref="C132:D132"/>
    <mergeCell ref="C133:D133"/>
    <mergeCell ref="C198:D198"/>
    <mergeCell ref="F326:H326"/>
    <mergeCell ref="F128:H133"/>
    <mergeCell ref="C199:D199"/>
    <mergeCell ref="C200:D200"/>
    <mergeCell ref="C265:D265"/>
    <mergeCell ref="C266:D266"/>
    <mergeCell ref="C267:D267"/>
    <mergeCell ref="C332:D332"/>
    <mergeCell ref="C333:D333"/>
    <mergeCell ref="C334:D334"/>
    <mergeCell ref="C399:D399"/>
    <mergeCell ref="C400:D400"/>
    <mergeCell ref="C401:D401"/>
    <mergeCell ref="C466:D466"/>
    <mergeCell ref="C467:D467"/>
    <mergeCell ref="C468:D468"/>
    <mergeCell ref="B451:D451"/>
    <mergeCell ref="C602:D602"/>
    <mergeCell ref="C667:D667"/>
    <mergeCell ref="C668:D668"/>
    <mergeCell ref="C669:D669"/>
    <mergeCell ref="C533:D533"/>
    <mergeCell ref="C534:D534"/>
    <mergeCell ref="C535:D535"/>
    <mergeCell ref="C600:D600"/>
    <mergeCell ref="C601:D601"/>
    <mergeCell ref="G122:H122"/>
    <mergeCell ref="G189:H189"/>
    <mergeCell ref="G256:H256"/>
    <mergeCell ref="G323:H323"/>
    <mergeCell ref="F125:H125"/>
    <mergeCell ref="F192:H192"/>
    <mergeCell ref="F259:H259"/>
    <mergeCell ref="F195:H200"/>
    <mergeCell ref="F262:H267"/>
  </mergeCells>
  <dataValidations disablePrompts="1" count="3">
    <dataValidation allowBlank="1" showInputMessage="1" showErrorMessage="1" sqref="G14:H14 F15:H15 F149:H149 F82:H82 F216:H216 F350:H350 F283:H283 F417:H417 F484:H484 F551:H551 F618:H618" xr:uid="{00000000-0002-0000-0300-000000000000}"/>
    <dataValidation type="list" allowBlank="1" showInputMessage="1" showErrorMessage="1" sqref="D4 D71 D138 D205 D272 D339 D406 D473 D540 D607" xr:uid="{25A51E81-F48D-4C71-BE00-3463CDA0DF2F}">
      <formula1>Units</formula1>
    </dataValidation>
    <dataValidation type="list" allowBlank="1" showInputMessage="1" showErrorMessage="1" sqref="C2 C69 C136 C203 C270 C337 C404 C471 C538 C605" xr:uid="{ED9CE059-0CF6-4152-B2A7-59DC673CAEBA}">
      <formula1>#REF!</formula1>
    </dataValidation>
  </dataValidations>
  <pageMargins left="0.25" right="0.25" top="1" bottom="1" header="0.5" footer="0.5"/>
  <pageSetup paperSize="9" scale="64" fitToHeight="0" orientation="portrait" r:id="rId1"/>
  <headerFooter alignWithMargins="0">
    <oddHeader>&amp;CProcess Mass Intensity Calculator</oddHeader>
    <oddFooter>&amp;LThe ACS GCI Pharmaceutical Roundtable or American Chemical Society does not guarantee the accuracy of the calculations and accepts no responsibility for any consequence of their use. Comments may be sent to gcipr@acs.org. 2011 Copyright ACS GCI.</oddFooter>
  </headerFooter>
  <rowBreaks count="9" manualBreakCount="9">
    <brk id="65" max="16383" man="1"/>
    <brk id="132" max="16383" man="1"/>
    <brk id="199" max="16383" man="1"/>
    <brk id="266" max="16383" man="1"/>
    <brk id="333" max="16383" man="1"/>
    <brk id="400" max="16383" man="1"/>
    <brk id="467" max="16383" man="1"/>
    <brk id="534" max="16383" man="1"/>
    <brk id="601" max="16383" man="1"/>
  </rowBreaks>
  <drawing r:id="rId2"/>
  <legacy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396E2459-7542-417E-A069-F80FBD7FF3C1}">
          <x14:formula1>
            <xm:f>'... additional information'!$A$7:$B$7</xm:f>
          </x14:formula1>
          <xm:sqref>C601:D601 C65:D65 C132:D132 C199:D199 C266:D266 C333:D333 C400:D400 C467:D467 C534:D534 C668:D668</xm:sqref>
        </x14:dataValidation>
        <x14:dataValidation type="list" allowBlank="1" showInputMessage="1" showErrorMessage="1" xr:uid="{8A2B4CF2-37CE-4169-8CF7-7DBC4EFD9492}">
          <x14:formula1>
            <xm:f>'... additional information'!$A$3:$E$3</xm:f>
          </x14:formula1>
          <xm:sqref>C600:D600 C64:D64 C131:D131 C198:D198 C265:D265 C332:D332 C399:D399 C466:D466 C533:D533 C667:D667</xm:sqref>
        </x14:dataValidation>
        <x14:dataValidation type="list" allowBlank="1" showInputMessage="1" showErrorMessage="1" xr:uid="{717B4C07-9349-46D3-AD7F-889B7CDBABEF}">
          <x14:formula1>
            <xm:f>'... additional information'!$A$15:$J$15</xm:f>
          </x14:formula1>
          <xm:sqref>C66:D66 C133:D133 C200:D200 C267:D267 C334:D334 C401:D401 C468:D468 C535:D535 C602:D602 C669:D669</xm:sqref>
        </x14:dataValidation>
        <x14:dataValidation type="list" allowBlank="1" showInputMessage="1" showErrorMessage="1" xr:uid="{B8D6CA8F-36F2-41B4-A9AA-331933A4379C}">
          <x14:formula1>
            <xm:f>'... additional information'!$A$23:$B$23</xm:f>
          </x14:formula1>
          <xm:sqref>F591 F658 F122 F189 F256 F323 F390 F457 F524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AF309-D4E6-4A00-B9D3-91014061C53A}">
  <sheetPr>
    <tabColor rgb="FF009999"/>
    <pageSetUpPr fitToPage="1"/>
  </sheetPr>
  <dimension ref="B1:Q1001"/>
  <sheetViews>
    <sheetView showGridLines="0" zoomScale="80" zoomScaleNormal="80" zoomScaleSheetLayoutView="100" workbookViewId="0">
      <selection activeCell="S22" sqref="S22"/>
    </sheetView>
  </sheetViews>
  <sheetFormatPr defaultColWidth="9.26953125" defaultRowHeight="12.5" outlineLevelRow="1" x14ac:dyDescent="0.25"/>
  <cols>
    <col min="1" max="1" width="2.26953125" style="36" customWidth="1"/>
    <col min="2" max="2" width="64.26953125" style="139" bestFit="1" customWidth="1"/>
    <col min="3" max="3" width="17.7265625" style="36" customWidth="1"/>
    <col min="4" max="4" width="10.453125" style="36" bestFit="1" customWidth="1"/>
    <col min="5" max="5" width="10.26953125" style="36" hidden="1" customWidth="1"/>
    <col min="6" max="8" width="10.26953125" style="36" customWidth="1"/>
    <col min="9" max="12" width="10.26953125" style="36" hidden="1" customWidth="1"/>
    <col min="13" max="13" width="10.26953125" style="36" customWidth="1"/>
    <col min="14" max="16384" width="9.26953125" style="36"/>
  </cols>
  <sheetData>
    <row r="1" spans="2:14" s="26" customFormat="1" ht="18.5" thickBot="1" x14ac:dyDescent="0.3">
      <c r="B1" s="24"/>
      <c r="C1" s="25"/>
      <c r="D1" s="25"/>
      <c r="I1" s="27"/>
      <c r="J1" s="27"/>
    </row>
    <row r="2" spans="2:14" ht="21" thickTop="1" thickBot="1" x14ac:dyDescent="0.3">
      <c r="B2" s="28" t="s">
        <v>75</v>
      </c>
      <c r="C2" s="29"/>
      <c r="D2" s="30" t="s">
        <v>87</v>
      </c>
      <c r="E2" s="31"/>
      <c r="F2" s="32" t="s">
        <v>27</v>
      </c>
      <c r="G2" s="33"/>
      <c r="H2" s="33"/>
      <c r="I2" s="34"/>
      <c r="J2" s="35"/>
      <c r="K2" s="34"/>
      <c r="L2" s="35"/>
    </row>
    <row r="3" spans="2:14" ht="14.5" thickBot="1" x14ac:dyDescent="0.3">
      <c r="B3" s="37"/>
      <c r="C3" s="38" t="s">
        <v>0</v>
      </c>
      <c r="D3" s="39" t="s">
        <v>1</v>
      </c>
      <c r="E3" s="40"/>
      <c r="F3" s="41" t="s">
        <v>28</v>
      </c>
      <c r="G3" s="41" t="s">
        <v>21</v>
      </c>
      <c r="H3" s="41" t="s">
        <v>8</v>
      </c>
      <c r="I3" s="42"/>
      <c r="J3" s="42"/>
      <c r="K3" s="34"/>
    </row>
    <row r="4" spans="2:14" ht="13" x14ac:dyDescent="0.25">
      <c r="B4" s="43" t="s">
        <v>65</v>
      </c>
      <c r="C4" s="44">
        <v>0.55000000000000004</v>
      </c>
      <c r="D4" s="45" t="s">
        <v>22</v>
      </c>
      <c r="E4" s="46"/>
      <c r="F4" s="47"/>
      <c r="G4" s="47"/>
      <c r="H4" s="47"/>
      <c r="I4" s="48"/>
      <c r="J4" s="48"/>
      <c r="K4" s="34"/>
    </row>
    <row r="5" spans="2:14" ht="13" x14ac:dyDescent="0.25">
      <c r="B5" s="43" t="s">
        <v>64</v>
      </c>
      <c r="C5" s="49">
        <v>1</v>
      </c>
      <c r="D5" s="45" t="s">
        <v>3</v>
      </c>
      <c r="E5" s="46"/>
      <c r="F5" s="47"/>
      <c r="G5" s="47"/>
      <c r="H5" s="47"/>
      <c r="I5" s="50"/>
      <c r="J5" s="50"/>
    </row>
    <row r="6" spans="2:14" ht="13" x14ac:dyDescent="0.25">
      <c r="B6" s="51" t="s">
        <v>63</v>
      </c>
      <c r="C6" s="52">
        <f>C4*C5</f>
        <v>0.55000000000000004</v>
      </c>
      <c r="D6" s="45" t="str">
        <f>D4</f>
        <v>g</v>
      </c>
      <c r="E6" s="46"/>
      <c r="F6" s="47"/>
      <c r="G6" s="47"/>
      <c r="H6" s="47"/>
      <c r="I6" s="53"/>
      <c r="J6" s="53"/>
    </row>
    <row r="7" spans="2:14" ht="14" x14ac:dyDescent="0.25">
      <c r="B7" s="54" t="s">
        <v>4</v>
      </c>
      <c r="C7" s="55">
        <v>0.83599999999999997</v>
      </c>
      <c r="D7" s="56"/>
      <c r="E7" s="57"/>
      <c r="F7" s="58"/>
      <c r="G7" s="58"/>
      <c r="H7" s="58"/>
      <c r="I7" s="34"/>
      <c r="J7" s="53"/>
      <c r="L7" s="53"/>
    </row>
    <row r="8" spans="2:14" ht="13" x14ac:dyDescent="0.25">
      <c r="B8" s="43" t="s">
        <v>66</v>
      </c>
      <c r="C8" s="44">
        <v>1.63</v>
      </c>
      <c r="D8" s="45" t="str">
        <f>D4</f>
        <v>g</v>
      </c>
      <c r="E8" s="46"/>
      <c r="F8" s="47"/>
      <c r="G8" s="47"/>
      <c r="H8" s="47"/>
      <c r="I8" s="34"/>
      <c r="J8" s="53"/>
      <c r="L8" s="53"/>
    </row>
    <row r="9" spans="2:14" ht="13" x14ac:dyDescent="0.25">
      <c r="B9" s="43" t="s">
        <v>67</v>
      </c>
      <c r="C9" s="49">
        <v>1</v>
      </c>
      <c r="D9" s="45" t="s">
        <v>3</v>
      </c>
      <c r="E9" s="59"/>
      <c r="F9" s="47"/>
      <c r="G9" s="47"/>
      <c r="H9" s="47"/>
      <c r="I9" s="34"/>
      <c r="J9" s="53"/>
      <c r="L9" s="53"/>
      <c r="N9" s="60"/>
    </row>
    <row r="10" spans="2:14" ht="13.5" thickBot="1" x14ac:dyDescent="0.3">
      <c r="B10" s="51" t="s">
        <v>68</v>
      </c>
      <c r="C10" s="52">
        <f>C8*C9</f>
        <v>1.63</v>
      </c>
      <c r="D10" s="45" t="str">
        <f>D4</f>
        <v>g</v>
      </c>
      <c r="E10" s="46"/>
      <c r="F10" s="47"/>
      <c r="G10" s="47"/>
      <c r="H10" s="47"/>
      <c r="I10" s="53"/>
      <c r="J10" s="53"/>
      <c r="N10" s="60"/>
    </row>
    <row r="11" spans="2:14" ht="13.5" thickBot="1" x14ac:dyDescent="0.3">
      <c r="B11" s="61"/>
      <c r="C11" s="62"/>
      <c r="D11" s="63"/>
      <c r="F11" s="64"/>
      <c r="G11" s="64"/>
      <c r="H11" s="64"/>
      <c r="N11" s="60"/>
    </row>
    <row r="12" spans="2:14" ht="14.5" thickBot="1" x14ac:dyDescent="0.3">
      <c r="B12" s="65" t="s">
        <v>5</v>
      </c>
      <c r="C12" s="66" t="s">
        <v>6</v>
      </c>
      <c r="D12" s="67" t="s">
        <v>1</v>
      </c>
      <c r="E12" s="68"/>
      <c r="F12" s="69"/>
      <c r="G12" s="69"/>
      <c r="H12" s="69"/>
      <c r="N12" s="60"/>
    </row>
    <row r="13" spans="2:14" ht="13.5" thickBot="1" x14ac:dyDescent="0.3">
      <c r="B13" s="70" t="s">
        <v>91</v>
      </c>
      <c r="C13" s="71"/>
      <c r="D13" s="72"/>
      <c r="E13" s="73"/>
      <c r="F13" s="69"/>
      <c r="G13" s="69"/>
      <c r="H13" s="69"/>
      <c r="K13" s="34"/>
      <c r="N13" s="60"/>
    </row>
    <row r="14" spans="2:14" ht="13.5" thickBot="1" x14ac:dyDescent="0.3">
      <c r="B14" s="74" t="s">
        <v>127</v>
      </c>
      <c r="C14" s="75">
        <f>C6</f>
        <v>0.55000000000000004</v>
      </c>
      <c r="D14" s="76" t="str">
        <f>D4</f>
        <v>g</v>
      </c>
      <c r="E14" s="77"/>
      <c r="F14" s="78"/>
      <c r="G14" s="78"/>
      <c r="H14" s="78"/>
      <c r="N14" s="60"/>
    </row>
    <row r="15" spans="2:14" ht="13.5" thickBot="1" x14ac:dyDescent="0.3">
      <c r="B15" s="74"/>
      <c r="C15" s="75"/>
      <c r="D15" s="76" t="str">
        <f>D4</f>
        <v>g</v>
      </c>
      <c r="E15" s="77"/>
      <c r="F15" s="78"/>
      <c r="G15" s="78"/>
      <c r="H15" s="78"/>
      <c r="N15" s="60"/>
    </row>
    <row r="16" spans="2:14" ht="13.5" thickBot="1" x14ac:dyDescent="0.3">
      <c r="B16" s="79" t="s">
        <v>69</v>
      </c>
      <c r="C16" s="80"/>
      <c r="D16" s="81"/>
      <c r="E16" s="77"/>
      <c r="F16" s="82"/>
      <c r="G16" s="82"/>
      <c r="H16" s="82"/>
      <c r="N16" s="60"/>
    </row>
    <row r="17" spans="2:16" ht="13" x14ac:dyDescent="0.25">
      <c r="B17" s="74" t="s">
        <v>92</v>
      </c>
      <c r="C17" s="83">
        <v>1.4</v>
      </c>
      <c r="D17" s="76" t="str">
        <f>D4</f>
        <v>g</v>
      </c>
      <c r="E17" s="77"/>
      <c r="F17" s="82"/>
      <c r="G17" s="82"/>
      <c r="H17" s="82"/>
      <c r="N17" s="432" t="s">
        <v>97</v>
      </c>
      <c r="O17" s="433"/>
      <c r="P17" s="434"/>
    </row>
    <row r="18" spans="2:16" ht="13" x14ac:dyDescent="0.25">
      <c r="B18" s="74"/>
      <c r="C18" s="83"/>
      <c r="D18" s="76" t="str">
        <f>D4</f>
        <v>g</v>
      </c>
      <c r="E18" s="77"/>
      <c r="F18" s="82"/>
      <c r="G18" s="82"/>
      <c r="H18" s="82"/>
      <c r="N18" s="435"/>
      <c r="O18" s="436"/>
      <c r="P18" s="437"/>
    </row>
    <row r="19" spans="2:16" ht="13" x14ac:dyDescent="0.25">
      <c r="B19" s="74"/>
      <c r="C19" s="83"/>
      <c r="D19" s="76" t="str">
        <f>D4</f>
        <v>g</v>
      </c>
      <c r="E19" s="77"/>
      <c r="F19" s="82"/>
      <c r="G19" s="82"/>
      <c r="H19" s="82"/>
      <c r="N19" s="435"/>
      <c r="O19" s="436"/>
      <c r="P19" s="437"/>
    </row>
    <row r="20" spans="2:16" ht="13" x14ac:dyDescent="0.25">
      <c r="B20" s="74"/>
      <c r="C20" s="83"/>
      <c r="D20" s="76" t="str">
        <f>D4</f>
        <v>g</v>
      </c>
      <c r="E20" s="77"/>
      <c r="F20" s="82"/>
      <c r="G20" s="82"/>
      <c r="H20" s="82"/>
      <c r="N20" s="435"/>
      <c r="O20" s="436"/>
      <c r="P20" s="437"/>
    </row>
    <row r="21" spans="2:16" ht="13" x14ac:dyDescent="0.25">
      <c r="B21" s="74"/>
      <c r="C21" s="83"/>
      <c r="D21" s="76" t="str">
        <f>D4</f>
        <v>g</v>
      </c>
      <c r="E21" s="77"/>
      <c r="F21" s="82"/>
      <c r="G21" s="82"/>
      <c r="H21" s="82"/>
      <c r="N21" s="435"/>
      <c r="O21" s="436"/>
      <c r="P21" s="437"/>
    </row>
    <row r="22" spans="2:16" ht="13.5" thickBot="1" x14ac:dyDescent="0.3">
      <c r="B22" s="74"/>
      <c r="C22" s="83"/>
      <c r="D22" s="76" t="str">
        <f>D4</f>
        <v>g</v>
      </c>
      <c r="E22" s="77"/>
      <c r="F22" s="82"/>
      <c r="G22" s="82"/>
      <c r="H22" s="82"/>
      <c r="N22" s="453"/>
      <c r="O22" s="454"/>
      <c r="P22" s="455"/>
    </row>
    <row r="23" spans="2:16" ht="13" x14ac:dyDescent="0.25">
      <c r="B23" s="74"/>
      <c r="C23" s="83"/>
      <c r="D23" s="76" t="str">
        <f>D4</f>
        <v>g</v>
      </c>
      <c r="E23" s="77"/>
      <c r="F23" s="82"/>
      <c r="G23" s="82"/>
      <c r="H23" s="82"/>
      <c r="N23" s="60"/>
    </row>
    <row r="24" spans="2:16" ht="13" x14ac:dyDescent="0.25">
      <c r="B24" s="74"/>
      <c r="C24" s="83"/>
      <c r="D24" s="76" t="str">
        <f>D4</f>
        <v>g</v>
      </c>
      <c r="E24" s="77"/>
      <c r="F24" s="82"/>
      <c r="G24" s="82"/>
      <c r="H24" s="82"/>
      <c r="N24" s="60"/>
    </row>
    <row r="25" spans="2:16" ht="13" x14ac:dyDescent="0.25">
      <c r="B25" s="74"/>
      <c r="C25" s="83"/>
      <c r="D25" s="76" t="str">
        <f>D4</f>
        <v>g</v>
      </c>
      <c r="E25" s="77"/>
      <c r="F25" s="82"/>
      <c r="G25" s="82"/>
      <c r="H25" s="82"/>
      <c r="N25" s="60"/>
    </row>
    <row r="26" spans="2:16" ht="12.75" customHeight="1" x14ac:dyDescent="0.25">
      <c r="B26" s="74"/>
      <c r="C26" s="83"/>
      <c r="D26" s="76" t="str">
        <f>D4</f>
        <v>g</v>
      </c>
      <c r="E26" s="77"/>
      <c r="F26" s="82"/>
      <c r="G26" s="82"/>
      <c r="H26" s="82"/>
      <c r="N26" s="60"/>
    </row>
    <row r="27" spans="2:16" ht="12.75" customHeight="1" x14ac:dyDescent="0.25">
      <c r="B27" s="84"/>
      <c r="C27" s="85"/>
      <c r="D27" s="76" t="str">
        <f>D4</f>
        <v>g</v>
      </c>
      <c r="E27" s="77"/>
      <c r="F27" s="82"/>
      <c r="G27" s="82"/>
      <c r="H27" s="82"/>
      <c r="N27" s="60"/>
    </row>
    <row r="28" spans="2:16" ht="12.75" customHeight="1" x14ac:dyDescent="0.25">
      <c r="B28" s="86" t="s">
        <v>7</v>
      </c>
      <c r="C28" s="87">
        <f>SUM(C14:C27)</f>
        <v>1.95</v>
      </c>
      <c r="D28" s="88" t="str">
        <f>D4</f>
        <v>g</v>
      </c>
      <c r="E28" s="77"/>
      <c r="F28" s="82"/>
      <c r="G28" s="82"/>
      <c r="H28" s="82"/>
      <c r="K28" s="34"/>
      <c r="N28" s="60"/>
    </row>
    <row r="29" spans="2:16" ht="13" x14ac:dyDescent="0.25">
      <c r="B29" s="79" t="s">
        <v>71</v>
      </c>
      <c r="C29" s="89"/>
      <c r="D29" s="81"/>
      <c r="E29" s="77"/>
      <c r="F29" s="82"/>
      <c r="G29" s="82"/>
      <c r="H29" s="82"/>
      <c r="N29" s="60"/>
    </row>
    <row r="30" spans="2:16" ht="13" x14ac:dyDescent="0.25">
      <c r="B30" s="74" t="s">
        <v>93</v>
      </c>
      <c r="C30" s="83">
        <f>5*0.789</f>
        <v>3.9450000000000003</v>
      </c>
      <c r="D30" s="76" t="str">
        <f>D4</f>
        <v>g</v>
      </c>
      <c r="E30" s="77"/>
      <c r="F30" s="82"/>
      <c r="G30" s="82"/>
      <c r="H30" s="82"/>
      <c r="N30" s="60"/>
    </row>
    <row r="31" spans="2:16" ht="13" x14ac:dyDescent="0.25">
      <c r="B31" s="74" t="s">
        <v>94</v>
      </c>
      <c r="C31" s="83">
        <f>5*0.789</f>
        <v>3.9450000000000003</v>
      </c>
      <c r="D31" s="76" t="str">
        <f>D4</f>
        <v>g</v>
      </c>
      <c r="E31" s="77"/>
      <c r="F31" s="82"/>
      <c r="G31" s="82"/>
      <c r="H31" s="82"/>
      <c r="N31" s="60"/>
    </row>
    <row r="32" spans="2:16" ht="13" x14ac:dyDescent="0.25">
      <c r="B32" s="74" t="s">
        <v>95</v>
      </c>
      <c r="C32" s="83">
        <f>5*0.792</f>
        <v>3.96</v>
      </c>
      <c r="D32" s="76" t="str">
        <f>D4</f>
        <v>g</v>
      </c>
      <c r="E32" s="77"/>
      <c r="F32" s="82"/>
      <c r="G32" s="82"/>
      <c r="H32" s="82"/>
      <c r="N32" s="60"/>
    </row>
    <row r="33" spans="2:14" ht="13" x14ac:dyDescent="0.25">
      <c r="B33" s="74"/>
      <c r="C33" s="83"/>
      <c r="D33" s="76" t="str">
        <f>D4</f>
        <v>g</v>
      </c>
      <c r="E33" s="77"/>
      <c r="F33" s="82"/>
      <c r="G33" s="82"/>
      <c r="H33" s="82"/>
      <c r="N33" s="60"/>
    </row>
    <row r="34" spans="2:14" ht="13" x14ac:dyDescent="0.25">
      <c r="B34" s="74"/>
      <c r="C34" s="83"/>
      <c r="D34" s="76" t="str">
        <f>D4</f>
        <v>g</v>
      </c>
      <c r="E34" s="77"/>
      <c r="F34" s="82"/>
      <c r="G34" s="82"/>
      <c r="H34" s="82"/>
      <c r="N34" s="60"/>
    </row>
    <row r="35" spans="2:14" ht="13" x14ac:dyDescent="0.25">
      <c r="B35" s="74"/>
      <c r="C35" s="83"/>
      <c r="D35" s="76" t="str">
        <f>D4</f>
        <v>g</v>
      </c>
      <c r="E35" s="77"/>
      <c r="F35" s="82"/>
      <c r="G35" s="82"/>
      <c r="H35" s="82"/>
      <c r="N35" s="60"/>
    </row>
    <row r="36" spans="2:14" ht="13" x14ac:dyDescent="0.25">
      <c r="B36" s="74"/>
      <c r="C36" s="83"/>
      <c r="D36" s="76" t="str">
        <f>D4</f>
        <v>g</v>
      </c>
      <c r="E36" s="77"/>
      <c r="F36" s="82"/>
      <c r="G36" s="82"/>
      <c r="H36" s="82"/>
      <c r="N36" s="60"/>
    </row>
    <row r="37" spans="2:14" ht="13" x14ac:dyDescent="0.25">
      <c r="B37" s="74"/>
      <c r="C37" s="83"/>
      <c r="D37" s="76" t="str">
        <f>D4</f>
        <v>g</v>
      </c>
      <c r="E37" s="77"/>
      <c r="F37" s="82"/>
      <c r="G37" s="82"/>
      <c r="H37" s="82"/>
      <c r="N37" s="60"/>
    </row>
    <row r="38" spans="2:14" ht="13" x14ac:dyDescent="0.25">
      <c r="B38" s="79" t="s">
        <v>70</v>
      </c>
      <c r="C38" s="80"/>
      <c r="D38" s="81"/>
      <c r="E38" s="90"/>
      <c r="F38" s="82"/>
      <c r="G38" s="82"/>
      <c r="H38" s="82"/>
      <c r="N38" s="60"/>
    </row>
    <row r="39" spans="2:14" ht="13" x14ac:dyDescent="0.25">
      <c r="B39" s="74" t="s">
        <v>96</v>
      </c>
      <c r="C39" s="83">
        <v>5</v>
      </c>
      <c r="D39" s="76" t="str">
        <f>D4</f>
        <v>g</v>
      </c>
      <c r="E39" s="77"/>
      <c r="F39" s="82"/>
      <c r="G39" s="82"/>
      <c r="H39" s="82"/>
      <c r="N39" s="60"/>
    </row>
    <row r="40" spans="2:14" ht="13" x14ac:dyDescent="0.25">
      <c r="B40" s="74"/>
      <c r="C40" s="83"/>
      <c r="D40" s="76" t="str">
        <f>D4</f>
        <v>g</v>
      </c>
      <c r="E40" s="77"/>
      <c r="F40" s="82"/>
      <c r="G40" s="82"/>
      <c r="H40" s="82"/>
      <c r="N40" s="60"/>
    </row>
    <row r="41" spans="2:14" ht="13" x14ac:dyDescent="0.25">
      <c r="B41" s="74"/>
      <c r="C41" s="83"/>
      <c r="D41" s="76" t="str">
        <f>D4</f>
        <v>g</v>
      </c>
      <c r="E41" s="77"/>
      <c r="F41" s="82"/>
      <c r="G41" s="82"/>
      <c r="H41" s="82"/>
      <c r="N41" s="60"/>
    </row>
    <row r="42" spans="2:14" ht="13" x14ac:dyDescent="0.25">
      <c r="B42" s="74"/>
      <c r="C42" s="83"/>
      <c r="D42" s="76" t="str">
        <f>D4</f>
        <v>g</v>
      </c>
      <c r="E42" s="77"/>
      <c r="F42" s="82"/>
      <c r="G42" s="82"/>
      <c r="H42" s="82"/>
      <c r="N42" s="60"/>
    </row>
    <row r="43" spans="2:14" ht="13" x14ac:dyDescent="0.25">
      <c r="B43" s="74"/>
      <c r="C43" s="83"/>
      <c r="D43" s="76" t="str">
        <f>D4</f>
        <v>g</v>
      </c>
      <c r="E43" s="77"/>
      <c r="F43" s="82"/>
      <c r="G43" s="82"/>
      <c r="H43" s="82"/>
      <c r="N43" s="60"/>
    </row>
    <row r="44" spans="2:14" ht="13" x14ac:dyDescent="0.25">
      <c r="B44" s="74"/>
      <c r="C44" s="83"/>
      <c r="D44" s="76" t="str">
        <f>D4</f>
        <v>g</v>
      </c>
      <c r="E44" s="77"/>
      <c r="F44" s="82"/>
      <c r="G44" s="82"/>
      <c r="H44" s="82"/>
      <c r="N44" s="60"/>
    </row>
    <row r="45" spans="2:14" ht="12.75" customHeight="1" x14ac:dyDescent="0.25">
      <c r="B45" s="74"/>
      <c r="C45" s="83"/>
      <c r="D45" s="76" t="str">
        <f>D4</f>
        <v>g</v>
      </c>
      <c r="E45" s="77"/>
      <c r="F45" s="82"/>
      <c r="G45" s="82"/>
      <c r="H45" s="82"/>
      <c r="K45" s="34"/>
      <c r="N45" s="60"/>
    </row>
    <row r="46" spans="2:14" ht="12.75" customHeight="1" x14ac:dyDescent="0.25">
      <c r="B46" s="84"/>
      <c r="C46" s="85"/>
      <c r="D46" s="76" t="str">
        <f>D4</f>
        <v>g</v>
      </c>
      <c r="E46" s="77"/>
      <c r="F46" s="82"/>
      <c r="G46" s="82"/>
      <c r="H46" s="82"/>
      <c r="K46" s="34"/>
      <c r="N46" s="60"/>
    </row>
    <row r="47" spans="2:14" ht="12.75" customHeight="1" x14ac:dyDescent="0.25">
      <c r="B47" s="86" t="s">
        <v>9</v>
      </c>
      <c r="C47" s="87">
        <f>SUM(C28:C46)</f>
        <v>18.8</v>
      </c>
      <c r="D47" s="91" t="str">
        <f>D4</f>
        <v>g</v>
      </c>
      <c r="E47" s="77"/>
      <c r="F47" s="82"/>
      <c r="G47" s="82"/>
      <c r="H47" s="82"/>
      <c r="N47" s="60"/>
    </row>
    <row r="48" spans="2:14" ht="13.5" thickBot="1" x14ac:dyDescent="0.3">
      <c r="B48" s="92"/>
      <c r="C48" s="93"/>
      <c r="D48" s="94"/>
      <c r="E48" s="77"/>
      <c r="F48" s="82"/>
      <c r="G48" s="82"/>
      <c r="H48" s="82"/>
      <c r="N48" s="60"/>
    </row>
    <row r="49" spans="2:17" ht="20.5" thickBot="1" x14ac:dyDescent="0.3">
      <c r="B49" s="426" t="s">
        <v>10</v>
      </c>
      <c r="C49" s="427"/>
      <c r="D49" s="428"/>
      <c r="E49" s="77"/>
      <c r="F49" s="82"/>
      <c r="G49" s="82"/>
      <c r="H49" s="82"/>
      <c r="N49" s="60"/>
    </row>
    <row r="50" spans="2:17" ht="13" x14ac:dyDescent="0.25">
      <c r="B50" s="95" t="s">
        <v>23</v>
      </c>
      <c r="C50" s="96"/>
      <c r="D50" s="97">
        <f>SUM(C14:C15)</f>
        <v>0.55000000000000004</v>
      </c>
      <c r="E50" s="98"/>
      <c r="F50" s="82"/>
      <c r="G50" s="82"/>
      <c r="H50" s="82"/>
      <c r="N50" s="60"/>
    </row>
    <row r="51" spans="2:17" ht="13" x14ac:dyDescent="0.25">
      <c r="B51" s="99" t="s">
        <v>24</v>
      </c>
      <c r="C51" s="100"/>
      <c r="D51" s="101">
        <f>SUM(C17:C27)</f>
        <v>1.4</v>
      </c>
      <c r="E51" s="98"/>
      <c r="F51" s="82"/>
      <c r="G51" s="82"/>
      <c r="H51" s="82"/>
      <c r="N51" s="60"/>
    </row>
    <row r="52" spans="2:17" ht="13" x14ac:dyDescent="0.25">
      <c r="B52" s="99" t="s">
        <v>25</v>
      </c>
      <c r="C52" s="100"/>
      <c r="D52" s="101">
        <f>SUM(C30:C38)</f>
        <v>11.850000000000001</v>
      </c>
      <c r="E52" s="98"/>
      <c r="F52" s="82"/>
      <c r="G52" s="82"/>
      <c r="H52" s="82"/>
      <c r="N52" s="60"/>
    </row>
    <row r="53" spans="2:17" ht="13.5" thickBot="1" x14ac:dyDescent="0.3">
      <c r="B53" s="102" t="s">
        <v>26</v>
      </c>
      <c r="C53" s="103"/>
      <c r="D53" s="104">
        <f>SUM(C39:C46)</f>
        <v>5</v>
      </c>
      <c r="E53" s="98"/>
      <c r="F53" s="82"/>
      <c r="G53" s="82"/>
      <c r="H53" s="82"/>
      <c r="N53" s="60"/>
    </row>
    <row r="54" spans="2:17" ht="18.5" thickTop="1" x14ac:dyDescent="0.25">
      <c r="B54" s="105" t="s">
        <v>11</v>
      </c>
      <c r="C54" s="106"/>
      <c r="D54" s="107">
        <f>C28/C10</f>
        <v>1.196319018404908</v>
      </c>
      <c r="E54" s="77"/>
      <c r="F54" s="108"/>
      <c r="G54" s="109"/>
      <c r="H54" s="110"/>
      <c r="N54" s="60"/>
    </row>
    <row r="55" spans="2:17" ht="18" x14ac:dyDescent="0.25">
      <c r="B55" s="111" t="s">
        <v>12</v>
      </c>
      <c r="C55" s="112"/>
      <c r="D55" s="113">
        <f>(D50+D51+D52)/C10</f>
        <v>8.4662576687116573</v>
      </c>
      <c r="E55" s="77"/>
      <c r="F55" s="82"/>
      <c r="G55" s="82"/>
      <c r="H55" s="82"/>
      <c r="N55" s="60"/>
    </row>
    <row r="56" spans="2:17" ht="18" x14ac:dyDescent="0.25">
      <c r="B56" s="111" t="s">
        <v>13</v>
      </c>
      <c r="C56" s="112"/>
      <c r="D56" s="113">
        <f>D52/C10</f>
        <v>7.2699386503067496</v>
      </c>
      <c r="E56" s="90"/>
      <c r="F56" s="108"/>
      <c r="G56" s="109"/>
      <c r="H56" s="110"/>
      <c r="N56" s="60"/>
    </row>
    <row r="57" spans="2:17" ht="18" x14ac:dyDescent="0.25">
      <c r="B57" s="114" t="s">
        <v>14</v>
      </c>
      <c r="C57" s="115"/>
      <c r="D57" s="116">
        <f>D53/C10</f>
        <v>3.0674846625766872</v>
      </c>
      <c r="E57" s="90"/>
      <c r="F57" s="108"/>
      <c r="G57" s="117"/>
      <c r="H57" s="110"/>
      <c r="N57" s="60"/>
      <c r="Q57" s="118"/>
    </row>
    <row r="58" spans="2:17" ht="18.5" thickBot="1" x14ac:dyDescent="0.3">
      <c r="B58" s="114" t="s">
        <v>15</v>
      </c>
      <c r="C58" s="119"/>
      <c r="D58" s="116">
        <f>SUM(D50:D53)/C10</f>
        <v>11.533742331288344</v>
      </c>
      <c r="E58" s="90"/>
      <c r="F58" s="82"/>
      <c r="G58" s="82"/>
      <c r="H58" s="82"/>
      <c r="N58" s="60"/>
    </row>
    <row r="59" spans="2:17" ht="18.5" thickTop="1" x14ac:dyDescent="0.25">
      <c r="B59" s="120" t="s">
        <v>16</v>
      </c>
      <c r="C59" s="121"/>
      <c r="D59" s="122">
        <f>(D51+C14*MAX(1,F14)+C15*MAX(1,F15))/C10</f>
        <v>1.196319018404908</v>
      </c>
      <c r="E59" s="77"/>
      <c r="F59" s="108"/>
      <c r="G59" s="109"/>
      <c r="H59" s="110"/>
      <c r="N59" s="60"/>
    </row>
    <row r="60" spans="2:17" ht="18" x14ac:dyDescent="0.25">
      <c r="B60" s="123" t="s">
        <v>17</v>
      </c>
      <c r="C60" s="124"/>
      <c r="D60" s="125">
        <f>(D51+D52+C14*MAX(1,F14)+C15*MAX(1,F15)+SUMPRODUCT(C14:C15,G14:G15))/C10</f>
        <v>8.4662576687116591</v>
      </c>
      <c r="E60" s="77"/>
      <c r="F60" s="82"/>
      <c r="G60" s="82"/>
      <c r="H60" s="82"/>
      <c r="N60" s="60"/>
    </row>
    <row r="61" spans="2:17" ht="18" customHeight="1" x14ac:dyDescent="0.25">
      <c r="B61" s="123" t="s">
        <v>18</v>
      </c>
      <c r="C61" s="124"/>
      <c r="D61" s="125">
        <f>(D52+SUMPRODUCT(C14:C15,G14:G15))/C10</f>
        <v>7.2699386503067496</v>
      </c>
      <c r="E61" s="77"/>
      <c r="F61" s="108"/>
      <c r="G61" s="117"/>
      <c r="H61" s="110"/>
      <c r="N61" s="60"/>
    </row>
    <row r="62" spans="2:17" ht="18" x14ac:dyDescent="0.25">
      <c r="B62" s="126" t="s">
        <v>19</v>
      </c>
      <c r="C62" s="127"/>
      <c r="D62" s="128">
        <f>(D53+SUMPRODUCT(C14:C15,H14:H15))/C10</f>
        <v>3.0674846625766872</v>
      </c>
      <c r="E62" s="77"/>
      <c r="F62" s="82"/>
      <c r="G62" s="82"/>
      <c r="H62" s="82"/>
      <c r="K62" s="34"/>
      <c r="N62" s="60"/>
    </row>
    <row r="63" spans="2:17" ht="18.5" thickBot="1" x14ac:dyDescent="0.3">
      <c r="B63" s="129" t="s">
        <v>20</v>
      </c>
      <c r="C63" s="130"/>
      <c r="D63" s="131">
        <f>(SUM(D51:D53)+C14*MAX(1,F14)+C15*MAX(1,F15)+SUMPRODUCT(C14:C15,G14:G15)+SUMPRODUCT(C14:C15,H14:H15))/C10</f>
        <v>11.533742331288344</v>
      </c>
      <c r="E63" s="77"/>
      <c r="F63" s="108"/>
      <c r="G63" s="109"/>
      <c r="H63" s="110"/>
      <c r="I63" s="132"/>
      <c r="N63" s="60"/>
    </row>
    <row r="64" spans="2:17" ht="13.5" thickTop="1" x14ac:dyDescent="0.25">
      <c r="B64" s="133"/>
      <c r="C64" s="134"/>
      <c r="D64" s="134"/>
      <c r="E64" s="46"/>
      <c r="F64" s="34"/>
      <c r="G64" s="34"/>
      <c r="H64" s="34"/>
      <c r="N64" s="60"/>
    </row>
    <row r="65" spans="2:14" x14ac:dyDescent="0.25">
      <c r="B65" s="135"/>
      <c r="C65" s="136"/>
      <c r="D65" s="136"/>
      <c r="E65" s="46"/>
      <c r="F65" s="137"/>
      <c r="G65" s="137"/>
      <c r="H65" s="137"/>
      <c r="N65" s="60"/>
    </row>
    <row r="66" spans="2:14" x14ac:dyDescent="0.25">
      <c r="B66" s="135"/>
      <c r="C66" s="138"/>
      <c r="D66" s="138"/>
      <c r="E66" s="46"/>
      <c r="F66" s="137"/>
      <c r="G66" s="137"/>
      <c r="H66" s="137"/>
      <c r="N66" s="60"/>
    </row>
    <row r="67" spans="2:14" ht="13" x14ac:dyDescent="0.25">
      <c r="E67" s="46"/>
      <c r="F67" s="34"/>
      <c r="G67" s="34"/>
      <c r="H67" s="34"/>
      <c r="N67" s="60"/>
    </row>
    <row r="68" spans="2:14" ht="13.5" hidden="1" outlineLevel="1" thickBot="1" x14ac:dyDescent="0.3">
      <c r="C68" s="25" t="s">
        <v>44</v>
      </c>
      <c r="D68" s="25" t="s">
        <v>42</v>
      </c>
      <c r="E68" s="46"/>
      <c r="F68" s="34"/>
      <c r="G68" s="34"/>
      <c r="H68" s="34"/>
      <c r="N68" s="60"/>
    </row>
    <row r="69" spans="2:14" ht="21" hidden="1" outlineLevel="1" thickTop="1" thickBot="1" x14ac:dyDescent="0.3">
      <c r="B69" s="140" t="s">
        <v>73</v>
      </c>
      <c r="C69" s="29"/>
      <c r="D69" s="141"/>
      <c r="E69" s="31"/>
      <c r="F69" s="32" t="s">
        <v>27</v>
      </c>
      <c r="G69" s="33"/>
      <c r="H69" s="33"/>
      <c r="I69" s="34"/>
      <c r="N69" s="60"/>
    </row>
    <row r="70" spans="2:14" ht="14.5" hidden="1" outlineLevel="1" thickBot="1" x14ac:dyDescent="0.3">
      <c r="B70" s="37"/>
      <c r="C70" s="38" t="s">
        <v>0</v>
      </c>
      <c r="D70" s="39" t="s">
        <v>1</v>
      </c>
      <c r="E70" s="40"/>
      <c r="F70" s="41" t="s">
        <v>28</v>
      </c>
      <c r="G70" s="41" t="s">
        <v>21</v>
      </c>
      <c r="H70" s="41" t="s">
        <v>8</v>
      </c>
      <c r="K70" s="34"/>
      <c r="N70" s="60"/>
    </row>
    <row r="71" spans="2:14" ht="13" hidden="1" outlineLevel="1" x14ac:dyDescent="0.25">
      <c r="B71" s="43" t="s">
        <v>65</v>
      </c>
      <c r="C71" s="142"/>
      <c r="D71" s="45" t="s">
        <v>2</v>
      </c>
      <c r="E71" s="46"/>
      <c r="F71" s="47"/>
      <c r="G71" s="47"/>
      <c r="H71" s="47"/>
      <c r="N71" s="60"/>
    </row>
    <row r="72" spans="2:14" ht="13" hidden="1" outlineLevel="1" x14ac:dyDescent="0.25">
      <c r="B72" s="43" t="s">
        <v>64</v>
      </c>
      <c r="C72" s="143"/>
      <c r="D72" s="45" t="s">
        <v>3</v>
      </c>
      <c r="E72" s="46"/>
      <c r="F72" s="47"/>
      <c r="G72" s="47"/>
      <c r="H72" s="47"/>
      <c r="N72" s="60"/>
    </row>
    <row r="73" spans="2:14" ht="13" hidden="1" outlineLevel="1" x14ac:dyDescent="0.25">
      <c r="B73" s="51" t="s">
        <v>63</v>
      </c>
      <c r="C73" s="144">
        <f>C71*C72</f>
        <v>0</v>
      </c>
      <c r="D73" s="45" t="str">
        <f>D71</f>
        <v>kg</v>
      </c>
      <c r="E73" s="46"/>
      <c r="F73" s="47"/>
      <c r="G73" s="47"/>
      <c r="H73" s="47"/>
      <c r="N73" s="60"/>
    </row>
    <row r="74" spans="2:14" ht="14" hidden="1" outlineLevel="1" x14ac:dyDescent="0.25">
      <c r="B74" s="54" t="s">
        <v>37</v>
      </c>
      <c r="C74" s="145">
        <v>1</v>
      </c>
      <c r="D74" s="56"/>
      <c r="E74" s="57"/>
      <c r="F74" s="58"/>
      <c r="G74" s="58"/>
      <c r="H74" s="58"/>
      <c r="N74" s="60"/>
    </row>
    <row r="75" spans="2:14" ht="13" hidden="1" outlineLevel="1" x14ac:dyDescent="0.25">
      <c r="B75" s="43" t="s">
        <v>66</v>
      </c>
      <c r="C75" s="142"/>
      <c r="D75" s="45" t="str">
        <f>D71</f>
        <v>kg</v>
      </c>
      <c r="E75" s="46"/>
      <c r="F75" s="47"/>
      <c r="G75" s="47"/>
      <c r="H75" s="47"/>
      <c r="K75" s="34"/>
      <c r="N75" s="60"/>
    </row>
    <row r="76" spans="2:14" ht="13" hidden="1" outlineLevel="1" x14ac:dyDescent="0.25">
      <c r="B76" s="43" t="s">
        <v>67</v>
      </c>
      <c r="C76" s="143"/>
      <c r="D76" s="45" t="s">
        <v>3</v>
      </c>
      <c r="E76" s="59"/>
      <c r="F76" s="47"/>
      <c r="G76" s="47"/>
      <c r="H76" s="47"/>
      <c r="N76" s="60"/>
    </row>
    <row r="77" spans="2:14" ht="13.5" hidden="1" outlineLevel="1" thickBot="1" x14ac:dyDescent="0.3">
      <c r="B77" s="51" t="s">
        <v>68</v>
      </c>
      <c r="C77" s="144">
        <f>C75*C76</f>
        <v>0</v>
      </c>
      <c r="D77" s="45" t="str">
        <f>D71</f>
        <v>kg</v>
      </c>
      <c r="E77" s="46"/>
      <c r="F77" s="47"/>
      <c r="G77" s="47"/>
      <c r="H77" s="47"/>
      <c r="N77" s="60"/>
    </row>
    <row r="78" spans="2:14" ht="13.5" hidden="1" outlineLevel="1" thickBot="1" x14ac:dyDescent="0.3">
      <c r="B78" s="61"/>
      <c r="C78" s="62"/>
      <c r="D78" s="63"/>
      <c r="F78" s="64"/>
      <c r="G78" s="64"/>
      <c r="H78" s="64"/>
      <c r="N78" s="60"/>
    </row>
    <row r="79" spans="2:14" ht="14.5" hidden="1" outlineLevel="1" thickBot="1" x14ac:dyDescent="0.3">
      <c r="B79" s="65" t="s">
        <v>5</v>
      </c>
      <c r="C79" s="66" t="s">
        <v>6</v>
      </c>
      <c r="D79" s="67" t="s">
        <v>1</v>
      </c>
      <c r="E79" s="68"/>
      <c r="F79" s="69"/>
      <c r="G79" s="69"/>
      <c r="H79" s="69"/>
      <c r="N79" s="60"/>
    </row>
    <row r="80" spans="2:14" ht="13" hidden="1" outlineLevel="1" x14ac:dyDescent="0.25">
      <c r="B80" s="70" t="s">
        <v>43</v>
      </c>
      <c r="C80" s="71"/>
      <c r="D80" s="72"/>
      <c r="E80" s="73"/>
      <c r="F80" s="69"/>
      <c r="G80" s="69"/>
      <c r="H80" s="69"/>
      <c r="N80" s="60"/>
    </row>
    <row r="81" spans="2:14" ht="13.5" hidden="1" outlineLevel="1" thickBot="1" x14ac:dyDescent="0.3">
      <c r="B81" s="74"/>
      <c r="C81" s="146">
        <f>C73</f>
        <v>0</v>
      </c>
      <c r="D81" s="76" t="str">
        <f>D71</f>
        <v>kg</v>
      </c>
      <c r="E81" s="98"/>
      <c r="F81" s="69"/>
      <c r="G81" s="69"/>
      <c r="H81" s="69"/>
      <c r="N81" s="60"/>
    </row>
    <row r="82" spans="2:14" ht="13.5" hidden="1" outlineLevel="1" thickBot="1" x14ac:dyDescent="0.3">
      <c r="B82" s="74"/>
      <c r="C82" s="146"/>
      <c r="D82" s="76" t="str">
        <f>D71</f>
        <v>kg</v>
      </c>
      <c r="E82" s="77"/>
      <c r="F82" s="78"/>
      <c r="G82" s="78"/>
      <c r="H82" s="78"/>
      <c r="N82" s="60"/>
    </row>
    <row r="83" spans="2:14" ht="13" hidden="1" outlineLevel="1" x14ac:dyDescent="0.25">
      <c r="B83" s="79" t="s">
        <v>69</v>
      </c>
      <c r="C83" s="147"/>
      <c r="D83" s="81"/>
      <c r="E83" s="77"/>
      <c r="F83" s="82"/>
      <c r="G83" s="82"/>
      <c r="H83" s="82"/>
      <c r="N83" s="60"/>
    </row>
    <row r="84" spans="2:14" ht="13" hidden="1" outlineLevel="1" x14ac:dyDescent="0.25">
      <c r="B84" s="74"/>
      <c r="C84" s="148"/>
      <c r="D84" s="76" t="str">
        <f>D71</f>
        <v>kg</v>
      </c>
      <c r="E84" s="77"/>
      <c r="F84" s="82"/>
      <c r="G84" s="82"/>
      <c r="H84" s="82"/>
      <c r="N84" s="60"/>
    </row>
    <row r="85" spans="2:14" ht="13" hidden="1" outlineLevel="1" x14ac:dyDescent="0.25">
      <c r="B85" s="74"/>
      <c r="C85" s="148"/>
      <c r="D85" s="76" t="str">
        <f>D71</f>
        <v>kg</v>
      </c>
      <c r="E85" s="77"/>
      <c r="F85" s="82"/>
      <c r="G85" s="82"/>
      <c r="H85" s="82"/>
      <c r="N85" s="60"/>
    </row>
    <row r="86" spans="2:14" ht="13" hidden="1" outlineLevel="1" x14ac:dyDescent="0.25">
      <c r="B86" s="74"/>
      <c r="C86" s="148"/>
      <c r="D86" s="76" t="str">
        <f>D71</f>
        <v>kg</v>
      </c>
      <c r="E86" s="77"/>
      <c r="F86" s="82"/>
      <c r="G86" s="82"/>
      <c r="H86" s="82"/>
      <c r="N86" s="60"/>
    </row>
    <row r="87" spans="2:14" ht="13" hidden="1" outlineLevel="1" x14ac:dyDescent="0.25">
      <c r="B87" s="74"/>
      <c r="C87" s="148"/>
      <c r="D87" s="76" t="str">
        <f>D71</f>
        <v>kg</v>
      </c>
      <c r="E87" s="77"/>
      <c r="F87" s="82"/>
      <c r="G87" s="82"/>
      <c r="H87" s="82"/>
      <c r="N87" s="60"/>
    </row>
    <row r="88" spans="2:14" ht="13" hidden="1" outlineLevel="1" x14ac:dyDescent="0.25">
      <c r="B88" s="74"/>
      <c r="C88" s="148"/>
      <c r="D88" s="76" t="str">
        <f>D71</f>
        <v>kg</v>
      </c>
      <c r="E88" s="77"/>
      <c r="F88" s="82"/>
      <c r="G88" s="82"/>
      <c r="H88" s="82"/>
      <c r="N88" s="60"/>
    </row>
    <row r="89" spans="2:14" ht="13" hidden="1" outlineLevel="1" x14ac:dyDescent="0.25">
      <c r="B89" s="74"/>
      <c r="C89" s="148"/>
      <c r="D89" s="76" t="str">
        <f>D71</f>
        <v>kg</v>
      </c>
      <c r="E89" s="77"/>
      <c r="F89" s="82"/>
      <c r="G89" s="82"/>
      <c r="H89" s="82"/>
      <c r="N89" s="60"/>
    </row>
    <row r="90" spans="2:14" ht="13" hidden="1" outlineLevel="1" x14ac:dyDescent="0.25">
      <c r="B90" s="74"/>
      <c r="C90" s="148"/>
      <c r="D90" s="76" t="str">
        <f>D71</f>
        <v>kg</v>
      </c>
      <c r="E90" s="77"/>
      <c r="F90" s="82"/>
      <c r="G90" s="82"/>
      <c r="H90" s="82"/>
      <c r="N90" s="60"/>
    </row>
    <row r="91" spans="2:14" ht="13" hidden="1" outlineLevel="1" x14ac:dyDescent="0.25">
      <c r="B91" s="74"/>
      <c r="C91" s="148"/>
      <c r="D91" s="76" t="str">
        <f>D71</f>
        <v>kg</v>
      </c>
      <c r="E91" s="77"/>
      <c r="F91" s="82"/>
      <c r="G91" s="82"/>
      <c r="H91" s="82"/>
      <c r="N91" s="60"/>
    </row>
    <row r="92" spans="2:14" ht="13" hidden="1" outlineLevel="1" x14ac:dyDescent="0.25">
      <c r="B92" s="74"/>
      <c r="C92" s="148"/>
      <c r="D92" s="76" t="str">
        <f>D71</f>
        <v>kg</v>
      </c>
      <c r="E92" s="77"/>
      <c r="F92" s="82"/>
      <c r="G92" s="82"/>
      <c r="H92" s="82"/>
      <c r="N92" s="60"/>
    </row>
    <row r="93" spans="2:14" ht="13" hidden="1" outlineLevel="1" x14ac:dyDescent="0.25">
      <c r="B93" s="74"/>
      <c r="C93" s="148"/>
      <c r="D93" s="76" t="str">
        <f>D71</f>
        <v>kg</v>
      </c>
      <c r="E93" s="77"/>
      <c r="F93" s="82"/>
      <c r="G93" s="82"/>
      <c r="H93" s="82"/>
      <c r="N93" s="60"/>
    </row>
    <row r="94" spans="2:14" ht="13.15" hidden="1" customHeight="1" outlineLevel="1" x14ac:dyDescent="0.25">
      <c r="B94" s="79"/>
      <c r="C94" s="147"/>
      <c r="D94" s="81"/>
      <c r="E94" s="77"/>
      <c r="F94" s="82"/>
      <c r="G94" s="82"/>
      <c r="H94" s="82"/>
      <c r="K94" s="34"/>
      <c r="N94" s="60"/>
    </row>
    <row r="95" spans="2:14" ht="13" hidden="1" outlineLevel="1" x14ac:dyDescent="0.25">
      <c r="B95" s="86" t="s">
        <v>7</v>
      </c>
      <c r="C95" s="149">
        <f>SUM(C80:C93)</f>
        <v>0</v>
      </c>
      <c r="D95" s="88" t="str">
        <f>D71</f>
        <v>kg</v>
      </c>
      <c r="E95" s="77"/>
      <c r="F95" s="82"/>
      <c r="G95" s="82"/>
      <c r="H95" s="82"/>
      <c r="N95" s="60"/>
    </row>
    <row r="96" spans="2:14" ht="13" hidden="1" outlineLevel="1" x14ac:dyDescent="0.25">
      <c r="B96" s="79" t="s">
        <v>71</v>
      </c>
      <c r="C96" s="150"/>
      <c r="D96" s="81"/>
      <c r="E96" s="77"/>
      <c r="F96" s="82"/>
      <c r="G96" s="82"/>
      <c r="H96" s="82"/>
      <c r="I96" s="34"/>
      <c r="J96" s="53"/>
      <c r="L96" s="53"/>
      <c r="N96" s="60"/>
    </row>
    <row r="97" spans="2:14" ht="13" hidden="1" outlineLevel="1" x14ac:dyDescent="0.25">
      <c r="B97" s="74"/>
      <c r="C97" s="148"/>
      <c r="D97" s="76" t="str">
        <f>D71</f>
        <v>kg</v>
      </c>
      <c r="E97" s="77"/>
      <c r="F97" s="82"/>
      <c r="G97" s="82"/>
      <c r="H97" s="82"/>
      <c r="N97" s="60"/>
    </row>
    <row r="98" spans="2:14" ht="13" hidden="1" outlineLevel="1" x14ac:dyDescent="0.25">
      <c r="B98" s="74"/>
      <c r="C98" s="148"/>
      <c r="D98" s="76" t="str">
        <f>D71</f>
        <v>kg</v>
      </c>
      <c r="E98" s="77"/>
      <c r="F98" s="82"/>
      <c r="G98" s="82"/>
      <c r="H98" s="82"/>
      <c r="N98" s="60"/>
    </row>
    <row r="99" spans="2:14" ht="13" hidden="1" outlineLevel="1" x14ac:dyDescent="0.25">
      <c r="B99" s="74"/>
      <c r="C99" s="148"/>
      <c r="D99" s="76" t="str">
        <f>D71</f>
        <v>kg</v>
      </c>
      <c r="E99" s="77"/>
      <c r="F99" s="82"/>
      <c r="G99" s="82"/>
      <c r="H99" s="82"/>
      <c r="N99" s="60"/>
    </row>
    <row r="100" spans="2:14" ht="13" hidden="1" outlineLevel="1" x14ac:dyDescent="0.25">
      <c r="B100" s="74"/>
      <c r="C100" s="148"/>
      <c r="D100" s="76" t="str">
        <f>D71</f>
        <v>kg</v>
      </c>
      <c r="E100" s="77"/>
      <c r="F100" s="82"/>
      <c r="G100" s="82"/>
      <c r="H100" s="82"/>
      <c r="N100" s="60"/>
    </row>
    <row r="101" spans="2:14" ht="13" hidden="1" outlineLevel="1" x14ac:dyDescent="0.25">
      <c r="B101" s="74"/>
      <c r="C101" s="148"/>
      <c r="D101" s="76" t="str">
        <f>D71</f>
        <v>kg</v>
      </c>
      <c r="E101" s="77"/>
      <c r="F101" s="82"/>
      <c r="G101" s="82"/>
      <c r="H101" s="82"/>
      <c r="N101" s="60"/>
    </row>
    <row r="102" spans="2:14" ht="13" hidden="1" outlineLevel="1" x14ac:dyDescent="0.25">
      <c r="B102" s="74"/>
      <c r="C102" s="148"/>
      <c r="D102" s="76" t="str">
        <f>D71</f>
        <v>kg</v>
      </c>
      <c r="E102" s="77"/>
      <c r="F102" s="82"/>
      <c r="G102" s="82"/>
      <c r="H102" s="82"/>
      <c r="N102" s="60"/>
    </row>
    <row r="103" spans="2:14" ht="13" hidden="1" outlineLevel="1" x14ac:dyDescent="0.25">
      <c r="B103" s="74"/>
      <c r="C103" s="148"/>
      <c r="D103" s="76" t="str">
        <f>D71</f>
        <v>kg</v>
      </c>
      <c r="E103" s="77"/>
      <c r="F103" s="82"/>
      <c r="G103" s="82"/>
      <c r="H103" s="82"/>
      <c r="N103" s="60"/>
    </row>
    <row r="104" spans="2:14" ht="13" hidden="1" outlineLevel="1" x14ac:dyDescent="0.25">
      <c r="B104" s="74"/>
      <c r="C104" s="148"/>
      <c r="D104" s="76" t="str">
        <f>D71</f>
        <v>kg</v>
      </c>
      <c r="E104" s="77"/>
      <c r="F104" s="82"/>
      <c r="G104" s="82"/>
      <c r="H104" s="82"/>
      <c r="N104" s="60"/>
    </row>
    <row r="105" spans="2:14" ht="13" hidden="1" outlineLevel="1" x14ac:dyDescent="0.25">
      <c r="B105" s="79" t="s">
        <v>70</v>
      </c>
      <c r="C105" s="147"/>
      <c r="D105" s="81"/>
      <c r="E105" s="90"/>
      <c r="F105" s="82"/>
      <c r="G105" s="82"/>
      <c r="H105" s="82"/>
      <c r="N105" s="60"/>
    </row>
    <row r="106" spans="2:14" ht="13" hidden="1" outlineLevel="1" x14ac:dyDescent="0.25">
      <c r="B106" s="74"/>
      <c r="C106" s="148"/>
      <c r="D106" s="76" t="str">
        <f>D71</f>
        <v>kg</v>
      </c>
      <c r="E106" s="77"/>
      <c r="F106" s="82"/>
      <c r="G106" s="82"/>
      <c r="H106" s="82"/>
      <c r="N106" s="60"/>
    </row>
    <row r="107" spans="2:14" ht="13" hidden="1" outlineLevel="1" x14ac:dyDescent="0.25">
      <c r="B107" s="74"/>
      <c r="C107" s="148"/>
      <c r="D107" s="76" t="str">
        <f>D71</f>
        <v>kg</v>
      </c>
      <c r="E107" s="77"/>
      <c r="F107" s="82"/>
      <c r="G107" s="82"/>
      <c r="H107" s="82"/>
      <c r="N107" s="60"/>
    </row>
    <row r="108" spans="2:14" ht="13" hidden="1" outlineLevel="1" x14ac:dyDescent="0.25">
      <c r="B108" s="74"/>
      <c r="C108" s="148"/>
      <c r="D108" s="76" t="str">
        <f>D71</f>
        <v>kg</v>
      </c>
      <c r="E108" s="77"/>
      <c r="F108" s="82"/>
      <c r="G108" s="82"/>
      <c r="H108" s="82"/>
      <c r="N108" s="60"/>
    </row>
    <row r="109" spans="2:14" ht="13" hidden="1" outlineLevel="1" x14ac:dyDescent="0.25">
      <c r="B109" s="74"/>
      <c r="C109" s="148"/>
      <c r="D109" s="76" t="str">
        <f>D71</f>
        <v>kg</v>
      </c>
      <c r="E109" s="77"/>
      <c r="F109" s="82"/>
      <c r="G109" s="82"/>
      <c r="H109" s="82"/>
      <c r="N109" s="60"/>
    </row>
    <row r="110" spans="2:14" ht="13" hidden="1" outlineLevel="1" x14ac:dyDescent="0.25">
      <c r="B110" s="74"/>
      <c r="C110" s="148"/>
      <c r="D110" s="76" t="str">
        <f>D71</f>
        <v>kg</v>
      </c>
      <c r="E110" s="77"/>
      <c r="F110" s="82"/>
      <c r="G110" s="82"/>
      <c r="H110" s="82"/>
      <c r="N110" s="60"/>
    </row>
    <row r="111" spans="2:14" ht="13" hidden="1" outlineLevel="1" x14ac:dyDescent="0.25">
      <c r="B111" s="74"/>
      <c r="C111" s="148"/>
      <c r="D111" s="76" t="str">
        <f>D71</f>
        <v>kg</v>
      </c>
      <c r="E111" s="77"/>
      <c r="F111" s="82"/>
      <c r="G111" s="82"/>
      <c r="H111" s="82"/>
      <c r="N111" s="60"/>
    </row>
    <row r="112" spans="2:14" ht="13" hidden="1" outlineLevel="1" x14ac:dyDescent="0.25">
      <c r="B112" s="74"/>
      <c r="C112" s="148"/>
      <c r="D112" s="76" t="str">
        <f>D71</f>
        <v>kg</v>
      </c>
      <c r="E112" s="77"/>
      <c r="F112" s="82"/>
      <c r="G112" s="82"/>
      <c r="H112" s="82"/>
      <c r="N112" s="60"/>
    </row>
    <row r="113" spans="2:14" ht="13.15" hidden="1" customHeight="1" outlineLevel="1" x14ac:dyDescent="0.25">
      <c r="B113" s="79"/>
      <c r="C113" s="147"/>
      <c r="D113" s="81"/>
      <c r="E113" s="77"/>
      <c r="F113" s="82"/>
      <c r="G113" s="82"/>
      <c r="H113" s="82"/>
      <c r="K113" s="34"/>
      <c r="N113" s="60"/>
    </row>
    <row r="114" spans="2:14" ht="13" hidden="1" outlineLevel="1" x14ac:dyDescent="0.25">
      <c r="B114" s="86" t="s">
        <v>9</v>
      </c>
      <c r="C114" s="149">
        <f>SUM(C95:C112)</f>
        <v>0</v>
      </c>
      <c r="D114" s="91" t="str">
        <f>D71</f>
        <v>kg</v>
      </c>
      <c r="E114" s="77"/>
      <c r="F114" s="82"/>
      <c r="G114" s="82"/>
      <c r="H114" s="82"/>
      <c r="N114" s="60"/>
    </row>
    <row r="115" spans="2:14" ht="13.5" hidden="1" outlineLevel="1" thickBot="1" x14ac:dyDescent="0.3">
      <c r="B115" s="92"/>
      <c r="C115" s="93"/>
      <c r="D115" s="94"/>
      <c r="E115" s="77"/>
      <c r="F115" s="82"/>
      <c r="G115" s="82"/>
      <c r="H115" s="82"/>
      <c r="N115" s="60"/>
    </row>
    <row r="116" spans="2:14" ht="20.5" hidden="1" outlineLevel="1" thickBot="1" x14ac:dyDescent="0.3">
      <c r="B116" s="426" t="s">
        <v>10</v>
      </c>
      <c r="C116" s="427"/>
      <c r="D116" s="428"/>
      <c r="E116" s="77"/>
      <c r="F116" s="82"/>
      <c r="G116" s="82"/>
      <c r="H116" s="82"/>
      <c r="N116" s="60"/>
    </row>
    <row r="117" spans="2:14" ht="13" hidden="1" outlineLevel="1" x14ac:dyDescent="0.25">
      <c r="B117" s="95" t="s">
        <v>23</v>
      </c>
      <c r="C117" s="96"/>
      <c r="D117" s="151">
        <f>SUM(C81:C82)</f>
        <v>0</v>
      </c>
      <c r="E117" s="98"/>
      <c r="F117" s="82"/>
      <c r="G117" s="82"/>
      <c r="H117" s="82"/>
      <c r="N117" s="60"/>
    </row>
    <row r="118" spans="2:14" ht="13" hidden="1" outlineLevel="1" x14ac:dyDescent="0.25">
      <c r="B118" s="99" t="s">
        <v>24</v>
      </c>
      <c r="C118" s="100"/>
      <c r="D118" s="152">
        <f>SUM(C84:C94)</f>
        <v>0</v>
      </c>
      <c r="E118" s="98"/>
      <c r="F118" s="82"/>
      <c r="G118" s="82"/>
      <c r="H118" s="82"/>
      <c r="N118" s="60"/>
    </row>
    <row r="119" spans="2:14" ht="13" hidden="1" outlineLevel="1" x14ac:dyDescent="0.25">
      <c r="B119" s="99" t="s">
        <v>25</v>
      </c>
      <c r="C119" s="100"/>
      <c r="D119" s="152">
        <f>SUM(C97:C105)</f>
        <v>0</v>
      </c>
      <c r="E119" s="98"/>
      <c r="F119" s="82"/>
      <c r="G119" s="82"/>
      <c r="H119" s="82"/>
      <c r="N119" s="60"/>
    </row>
    <row r="120" spans="2:14" ht="13.5" hidden="1" outlineLevel="1" thickBot="1" x14ac:dyDescent="0.3">
      <c r="B120" s="102" t="s">
        <v>26</v>
      </c>
      <c r="C120" s="103"/>
      <c r="D120" s="153">
        <f>SUM(C106:C113)</f>
        <v>0</v>
      </c>
      <c r="E120" s="98"/>
      <c r="F120" s="82"/>
      <c r="G120" s="82"/>
      <c r="H120" s="82"/>
      <c r="N120" s="60"/>
    </row>
    <row r="121" spans="2:14" ht="19" hidden="1" outlineLevel="1" thickTop="1" thickBot="1" x14ac:dyDescent="0.3">
      <c r="B121" s="105" t="s">
        <v>11</v>
      </c>
      <c r="C121" s="106"/>
      <c r="D121" s="107" t="e">
        <f>C95/C77</f>
        <v>#DIV/0!</v>
      </c>
      <c r="E121" s="77"/>
      <c r="F121" s="110" t="s">
        <v>86</v>
      </c>
      <c r="G121" s="109" t="s">
        <v>85</v>
      </c>
      <c r="H121" s="110"/>
      <c r="N121" s="60"/>
    </row>
    <row r="122" spans="2:14" ht="18.5" hidden="1" outlineLevel="1" thickBot="1" x14ac:dyDescent="0.3">
      <c r="B122" s="111" t="s">
        <v>12</v>
      </c>
      <c r="C122" s="112"/>
      <c r="D122" s="113" t="e">
        <f>(D117+D118+D119)/C77</f>
        <v>#DIV/0!</v>
      </c>
      <c r="E122" s="77"/>
      <c r="F122" s="154"/>
      <c r="G122" s="413"/>
      <c r="H122" s="414"/>
      <c r="N122" s="60"/>
    </row>
    <row r="123" spans="2:14" ht="18" hidden="1" outlineLevel="1" x14ac:dyDescent="0.25">
      <c r="B123" s="111" t="s">
        <v>13</v>
      </c>
      <c r="C123" s="112"/>
      <c r="D123" s="113" t="e">
        <f>D119/C77</f>
        <v>#DIV/0!</v>
      </c>
      <c r="E123" s="90"/>
      <c r="F123" s="64" t="s">
        <v>45</v>
      </c>
      <c r="G123" s="64" t="s">
        <v>45</v>
      </c>
      <c r="H123" s="155"/>
      <c r="N123" s="60"/>
    </row>
    <row r="124" spans="2:14" ht="18.5" hidden="1" outlineLevel="1" thickBot="1" x14ac:dyDescent="0.3">
      <c r="B124" s="114" t="s">
        <v>14</v>
      </c>
      <c r="C124" s="115"/>
      <c r="D124" s="116" t="e">
        <f>D120/C77</f>
        <v>#DIV/0!</v>
      </c>
      <c r="E124" s="90"/>
      <c r="F124" s="110"/>
      <c r="G124" s="117" t="s">
        <v>46</v>
      </c>
      <c r="H124" s="110"/>
      <c r="N124" s="60"/>
    </row>
    <row r="125" spans="2:14" ht="18.5" hidden="1" outlineLevel="1" thickBot="1" x14ac:dyDescent="0.3">
      <c r="B125" s="114" t="s">
        <v>15</v>
      </c>
      <c r="C125" s="119"/>
      <c r="D125" s="116" t="e">
        <f>SUM(D117:D120)/C77</f>
        <v>#DIV/0!</v>
      </c>
      <c r="E125" s="90"/>
      <c r="F125" s="429"/>
      <c r="G125" s="430"/>
      <c r="H125" s="431"/>
      <c r="N125" s="60"/>
    </row>
    <row r="126" spans="2:14" ht="18.5" hidden="1" outlineLevel="1" thickTop="1" x14ac:dyDescent="0.25">
      <c r="B126" s="120" t="s">
        <v>16</v>
      </c>
      <c r="C126" s="121"/>
      <c r="D126" s="122" t="e">
        <f>((C81*D59)+D118+C82*MAX(1,F82))/C77</f>
        <v>#DIV/0!</v>
      </c>
      <c r="E126" s="77"/>
      <c r="F126" s="64" t="s">
        <v>45</v>
      </c>
      <c r="G126" s="64"/>
      <c r="H126" s="82"/>
      <c r="N126" s="60"/>
    </row>
    <row r="127" spans="2:14" ht="18" hidden="1" outlineLevel="1" x14ac:dyDescent="0.25">
      <c r="B127" s="123" t="s">
        <v>17</v>
      </c>
      <c r="C127" s="124"/>
      <c r="D127" s="125" t="e">
        <f>(C81*D60+D118+D119+C82*(MAX(1,F82)+G82))/C77</f>
        <v>#DIV/0!</v>
      </c>
      <c r="E127" s="77"/>
      <c r="F127" s="82"/>
      <c r="G127" s="82"/>
      <c r="H127" s="82"/>
      <c r="N127" s="60"/>
    </row>
    <row r="128" spans="2:14" ht="18" hidden="1" customHeight="1" outlineLevel="1" x14ac:dyDescent="0.25">
      <c r="B128" s="123" t="s">
        <v>18</v>
      </c>
      <c r="C128" s="124"/>
      <c r="D128" s="125" t="e">
        <f>((C81*D61)+D119+C82*G82)/C77</f>
        <v>#DIV/0!</v>
      </c>
      <c r="E128" s="77"/>
      <c r="F128" s="415" t="s">
        <v>61</v>
      </c>
      <c r="G128" s="416"/>
      <c r="H128" s="416"/>
      <c r="N128" s="60"/>
    </row>
    <row r="129" spans="2:14" ht="18" hidden="1" outlineLevel="1" x14ac:dyDescent="0.25">
      <c r="B129" s="126" t="s">
        <v>19</v>
      </c>
      <c r="C129" s="127"/>
      <c r="D129" s="128" t="e">
        <f>(C81*D62+D120+C82*H82)/C77</f>
        <v>#DIV/0!</v>
      </c>
      <c r="E129" s="77"/>
      <c r="F129" s="416"/>
      <c r="G129" s="416"/>
      <c r="H129" s="416"/>
      <c r="N129" s="60"/>
    </row>
    <row r="130" spans="2:14" ht="18.5" hidden="1" outlineLevel="1" thickBot="1" x14ac:dyDescent="0.3">
      <c r="B130" s="129" t="s">
        <v>20</v>
      </c>
      <c r="C130" s="130"/>
      <c r="D130" s="131" t="e">
        <f>((C81*D63)+SUM(D118:D120)+C82*(MAX(1,F82)+G82+H82))/C77</f>
        <v>#DIV/0!</v>
      </c>
      <c r="E130" s="77"/>
      <c r="F130" s="416"/>
      <c r="G130" s="416"/>
      <c r="H130" s="416"/>
      <c r="N130" s="60"/>
    </row>
    <row r="131" spans="2:14" ht="13" hidden="1" outlineLevel="1" thickTop="1" x14ac:dyDescent="0.25">
      <c r="B131" s="156" t="s">
        <v>76</v>
      </c>
      <c r="C131" s="424"/>
      <c r="D131" s="425"/>
      <c r="E131" s="46"/>
      <c r="F131" s="416"/>
      <c r="G131" s="416"/>
      <c r="H131" s="416"/>
      <c r="N131" s="60"/>
    </row>
    <row r="132" spans="2:14" hidden="1" outlineLevel="1" x14ac:dyDescent="0.25">
      <c r="B132" s="157" t="s">
        <v>58</v>
      </c>
      <c r="C132" s="422"/>
      <c r="D132" s="423"/>
      <c r="E132" s="46"/>
      <c r="F132" s="416"/>
      <c r="G132" s="416"/>
      <c r="H132" s="416"/>
      <c r="N132" s="60"/>
    </row>
    <row r="133" spans="2:14" ht="13" hidden="1" outlineLevel="1" thickBot="1" x14ac:dyDescent="0.3">
      <c r="B133" s="158" t="s">
        <v>59</v>
      </c>
      <c r="C133" s="420"/>
      <c r="D133" s="421"/>
      <c r="E133" s="46"/>
      <c r="F133" s="416"/>
      <c r="G133" s="416"/>
      <c r="H133" s="416"/>
      <c r="N133" s="60"/>
    </row>
    <row r="134" spans="2:14" ht="13" hidden="1" outlineLevel="1" x14ac:dyDescent="0.25">
      <c r="E134" s="46"/>
      <c r="F134" s="34"/>
      <c r="G134" s="34"/>
      <c r="H134" s="34"/>
      <c r="N134" s="60"/>
    </row>
    <row r="135" spans="2:14" ht="13.5" hidden="1" outlineLevel="1" thickBot="1" x14ac:dyDescent="0.3">
      <c r="C135" s="25" t="s">
        <v>44</v>
      </c>
      <c r="D135" s="25" t="s">
        <v>42</v>
      </c>
      <c r="E135" s="46"/>
      <c r="F135" s="34"/>
      <c r="G135" s="34"/>
      <c r="H135" s="34"/>
      <c r="N135" s="60"/>
    </row>
    <row r="136" spans="2:14" ht="21" hidden="1" outlineLevel="1" thickTop="1" thickBot="1" x14ac:dyDescent="0.3">
      <c r="B136" s="140" t="s">
        <v>73</v>
      </c>
      <c r="C136" s="29"/>
      <c r="D136" s="141"/>
      <c r="E136" s="31"/>
      <c r="F136" s="32" t="s">
        <v>27</v>
      </c>
      <c r="G136" s="33"/>
      <c r="H136" s="33"/>
      <c r="I136" s="34"/>
    </row>
    <row r="137" spans="2:14" ht="14.5" hidden="1" outlineLevel="1" thickBot="1" x14ac:dyDescent="0.3">
      <c r="B137" s="37"/>
      <c r="C137" s="38" t="s">
        <v>0</v>
      </c>
      <c r="D137" s="39" t="s">
        <v>1</v>
      </c>
      <c r="E137" s="40"/>
      <c r="F137" s="41" t="s">
        <v>28</v>
      </c>
      <c r="G137" s="41" t="s">
        <v>21</v>
      </c>
      <c r="H137" s="41" t="s">
        <v>8</v>
      </c>
    </row>
    <row r="138" spans="2:14" ht="13" hidden="1" outlineLevel="1" x14ac:dyDescent="0.25">
      <c r="B138" s="43" t="s">
        <v>65</v>
      </c>
      <c r="C138" s="142"/>
      <c r="D138" s="45" t="s">
        <v>2</v>
      </c>
      <c r="E138" s="46"/>
      <c r="F138" s="47"/>
      <c r="G138" s="47"/>
      <c r="H138" s="47"/>
      <c r="N138" s="60"/>
    </row>
    <row r="139" spans="2:14" ht="13" hidden="1" outlineLevel="1" x14ac:dyDescent="0.25">
      <c r="B139" s="43" t="s">
        <v>64</v>
      </c>
      <c r="C139" s="143"/>
      <c r="D139" s="45" t="s">
        <v>3</v>
      </c>
      <c r="E139" s="46"/>
      <c r="F139" s="47"/>
      <c r="G139" s="47"/>
      <c r="H139" s="47"/>
      <c r="N139" s="60"/>
    </row>
    <row r="140" spans="2:14" ht="13" hidden="1" outlineLevel="1" x14ac:dyDescent="0.25">
      <c r="B140" s="51" t="s">
        <v>63</v>
      </c>
      <c r="C140" s="144">
        <f>C138*C139</f>
        <v>0</v>
      </c>
      <c r="D140" s="45" t="str">
        <f>D138</f>
        <v>kg</v>
      </c>
      <c r="E140" s="46"/>
      <c r="F140" s="47"/>
      <c r="G140" s="47"/>
      <c r="H140" s="47"/>
      <c r="N140" s="60"/>
    </row>
    <row r="141" spans="2:14" ht="14" hidden="1" outlineLevel="1" x14ac:dyDescent="0.25">
      <c r="B141" s="54" t="s">
        <v>37</v>
      </c>
      <c r="C141" s="145">
        <v>1</v>
      </c>
      <c r="D141" s="56"/>
      <c r="E141" s="57"/>
      <c r="F141" s="58"/>
      <c r="G141" s="58"/>
      <c r="H141" s="58"/>
      <c r="N141" s="60"/>
    </row>
    <row r="142" spans="2:14" ht="13" hidden="1" outlineLevel="1" x14ac:dyDescent="0.25">
      <c r="B142" s="43" t="s">
        <v>66</v>
      </c>
      <c r="C142" s="142"/>
      <c r="D142" s="45" t="str">
        <f>D138</f>
        <v>kg</v>
      </c>
      <c r="E142" s="46"/>
      <c r="F142" s="47"/>
      <c r="G142" s="47"/>
      <c r="H142" s="47"/>
      <c r="N142" s="60"/>
    </row>
    <row r="143" spans="2:14" ht="13" hidden="1" outlineLevel="1" x14ac:dyDescent="0.25">
      <c r="B143" s="43" t="s">
        <v>67</v>
      </c>
      <c r="C143" s="143"/>
      <c r="D143" s="45" t="s">
        <v>3</v>
      </c>
      <c r="E143" s="59"/>
      <c r="F143" s="47"/>
      <c r="G143" s="47"/>
      <c r="H143" s="47"/>
      <c r="N143" s="60"/>
    </row>
    <row r="144" spans="2:14" ht="13.5" hidden="1" outlineLevel="1" thickBot="1" x14ac:dyDescent="0.3">
      <c r="B144" s="51" t="s">
        <v>68</v>
      </c>
      <c r="C144" s="144">
        <f>C142*C143</f>
        <v>0</v>
      </c>
      <c r="D144" s="45" t="str">
        <f>D138</f>
        <v>kg</v>
      </c>
      <c r="E144" s="46"/>
      <c r="F144" s="47"/>
      <c r="G144" s="47"/>
      <c r="H144" s="47"/>
      <c r="N144" s="60"/>
    </row>
    <row r="145" spans="2:14" ht="13.5" hidden="1" outlineLevel="1" thickBot="1" x14ac:dyDescent="0.3">
      <c r="B145" s="61"/>
      <c r="C145" s="62"/>
      <c r="D145" s="63"/>
      <c r="F145" s="64"/>
      <c r="G145" s="64"/>
      <c r="H145" s="64"/>
      <c r="N145" s="60"/>
    </row>
    <row r="146" spans="2:14" ht="14.5" hidden="1" outlineLevel="1" thickBot="1" x14ac:dyDescent="0.3">
      <c r="B146" s="65" t="s">
        <v>5</v>
      </c>
      <c r="C146" s="66" t="s">
        <v>6</v>
      </c>
      <c r="D146" s="67" t="s">
        <v>1</v>
      </c>
      <c r="E146" s="68"/>
      <c r="F146" s="69"/>
      <c r="G146" s="69"/>
      <c r="H146" s="69"/>
      <c r="N146" s="60"/>
    </row>
    <row r="147" spans="2:14" ht="13" hidden="1" outlineLevel="1" x14ac:dyDescent="0.25">
      <c r="B147" s="70" t="s">
        <v>43</v>
      </c>
      <c r="C147" s="71"/>
      <c r="D147" s="72"/>
      <c r="E147" s="73"/>
      <c r="F147" s="69"/>
      <c r="G147" s="69"/>
      <c r="H147" s="69"/>
      <c r="N147" s="60"/>
    </row>
    <row r="148" spans="2:14" ht="13.5" hidden="1" outlineLevel="1" thickBot="1" x14ac:dyDescent="0.3">
      <c r="B148" s="74"/>
      <c r="C148" s="146">
        <f>C140</f>
        <v>0</v>
      </c>
      <c r="D148" s="76" t="str">
        <f>D138</f>
        <v>kg</v>
      </c>
      <c r="E148" s="98"/>
      <c r="F148" s="69"/>
      <c r="G148" s="69"/>
      <c r="H148" s="69"/>
      <c r="N148" s="60"/>
    </row>
    <row r="149" spans="2:14" ht="13.5" hidden="1" outlineLevel="1" thickBot="1" x14ac:dyDescent="0.3">
      <c r="B149" s="74"/>
      <c r="C149" s="146"/>
      <c r="D149" s="76" t="str">
        <f>D138</f>
        <v>kg</v>
      </c>
      <c r="E149" s="77"/>
      <c r="F149" s="78"/>
      <c r="G149" s="78"/>
      <c r="H149" s="78"/>
      <c r="N149" s="60"/>
    </row>
    <row r="150" spans="2:14" ht="13" hidden="1" outlineLevel="1" x14ac:dyDescent="0.25">
      <c r="B150" s="79" t="s">
        <v>69</v>
      </c>
      <c r="C150" s="147"/>
      <c r="D150" s="81"/>
      <c r="E150" s="77"/>
      <c r="F150" s="82"/>
      <c r="G150" s="82"/>
      <c r="H150" s="82"/>
      <c r="N150" s="60"/>
    </row>
    <row r="151" spans="2:14" ht="13" hidden="1" outlineLevel="1" x14ac:dyDescent="0.25">
      <c r="B151" s="74"/>
      <c r="C151" s="148"/>
      <c r="D151" s="76" t="str">
        <f>D138</f>
        <v>kg</v>
      </c>
      <c r="E151" s="77"/>
      <c r="F151" s="82"/>
      <c r="G151" s="82"/>
      <c r="H151" s="82"/>
      <c r="N151" s="60"/>
    </row>
    <row r="152" spans="2:14" ht="13" hidden="1" outlineLevel="1" x14ac:dyDescent="0.25">
      <c r="B152" s="74"/>
      <c r="C152" s="148"/>
      <c r="D152" s="76" t="str">
        <f>D138</f>
        <v>kg</v>
      </c>
      <c r="E152" s="77"/>
      <c r="F152" s="82"/>
      <c r="G152" s="82"/>
      <c r="H152" s="82"/>
      <c r="N152" s="60"/>
    </row>
    <row r="153" spans="2:14" ht="13" hidden="1" outlineLevel="1" x14ac:dyDescent="0.25">
      <c r="B153" s="74"/>
      <c r="C153" s="148"/>
      <c r="D153" s="76" t="str">
        <f>D138</f>
        <v>kg</v>
      </c>
      <c r="E153" s="77"/>
      <c r="F153" s="82"/>
      <c r="G153" s="82"/>
      <c r="H153" s="82"/>
      <c r="N153" s="60"/>
    </row>
    <row r="154" spans="2:14" ht="13" hidden="1" outlineLevel="1" x14ac:dyDescent="0.25">
      <c r="B154" s="74"/>
      <c r="C154" s="148"/>
      <c r="D154" s="76" t="str">
        <f>D138</f>
        <v>kg</v>
      </c>
      <c r="E154" s="77"/>
      <c r="F154" s="82"/>
      <c r="G154" s="82"/>
      <c r="H154" s="82"/>
      <c r="N154" s="60"/>
    </row>
    <row r="155" spans="2:14" ht="13" hidden="1" outlineLevel="1" x14ac:dyDescent="0.25">
      <c r="B155" s="74"/>
      <c r="C155" s="148"/>
      <c r="D155" s="76" t="str">
        <f>D138</f>
        <v>kg</v>
      </c>
      <c r="E155" s="77"/>
      <c r="F155" s="82"/>
      <c r="G155" s="82"/>
      <c r="H155" s="82"/>
      <c r="N155" s="60"/>
    </row>
    <row r="156" spans="2:14" ht="13" hidden="1" outlineLevel="1" x14ac:dyDescent="0.25">
      <c r="B156" s="74"/>
      <c r="C156" s="148"/>
      <c r="D156" s="76" t="str">
        <f>D138</f>
        <v>kg</v>
      </c>
      <c r="E156" s="77"/>
      <c r="F156" s="82"/>
      <c r="G156" s="82"/>
      <c r="H156" s="82"/>
      <c r="N156" s="60"/>
    </row>
    <row r="157" spans="2:14" ht="13" hidden="1" outlineLevel="1" x14ac:dyDescent="0.25">
      <c r="B157" s="74"/>
      <c r="C157" s="148"/>
      <c r="D157" s="76" t="str">
        <f>D138</f>
        <v>kg</v>
      </c>
      <c r="E157" s="77"/>
      <c r="F157" s="82"/>
      <c r="G157" s="82"/>
      <c r="H157" s="82"/>
      <c r="N157" s="60"/>
    </row>
    <row r="158" spans="2:14" ht="13" hidden="1" outlineLevel="1" x14ac:dyDescent="0.25">
      <c r="B158" s="74"/>
      <c r="C158" s="148"/>
      <c r="D158" s="76" t="str">
        <f>D138</f>
        <v>kg</v>
      </c>
      <c r="E158" s="77"/>
      <c r="F158" s="82"/>
      <c r="G158" s="82"/>
      <c r="H158" s="82"/>
      <c r="N158" s="60"/>
    </row>
    <row r="159" spans="2:14" ht="13" hidden="1" outlineLevel="1" x14ac:dyDescent="0.25">
      <c r="B159" s="74"/>
      <c r="C159" s="148"/>
      <c r="D159" s="76" t="str">
        <f>D138</f>
        <v>kg</v>
      </c>
      <c r="E159" s="77"/>
      <c r="F159" s="82"/>
      <c r="G159" s="82"/>
      <c r="H159" s="82"/>
      <c r="N159" s="60"/>
    </row>
    <row r="160" spans="2:14" ht="13" hidden="1" outlineLevel="1" x14ac:dyDescent="0.25">
      <c r="B160" s="74"/>
      <c r="C160" s="148"/>
      <c r="D160" s="76" t="str">
        <f>D138</f>
        <v>kg</v>
      </c>
      <c r="E160" s="77"/>
      <c r="F160" s="82"/>
      <c r="G160" s="82"/>
      <c r="H160" s="82"/>
      <c r="N160" s="60"/>
    </row>
    <row r="161" spans="2:14" ht="13.15" hidden="1" customHeight="1" outlineLevel="1" x14ac:dyDescent="0.25">
      <c r="B161" s="79"/>
      <c r="C161" s="147"/>
      <c r="D161" s="81"/>
      <c r="E161" s="77"/>
      <c r="F161" s="82"/>
      <c r="G161" s="82"/>
      <c r="H161" s="82"/>
      <c r="K161" s="34"/>
      <c r="N161" s="60"/>
    </row>
    <row r="162" spans="2:14" ht="13" hidden="1" outlineLevel="1" x14ac:dyDescent="0.25">
      <c r="B162" s="86" t="s">
        <v>7</v>
      </c>
      <c r="C162" s="149">
        <f>SUM(C147:C160)</f>
        <v>0</v>
      </c>
      <c r="D162" s="88" t="str">
        <f>D138</f>
        <v>kg</v>
      </c>
      <c r="E162" s="77"/>
      <c r="F162" s="82"/>
      <c r="G162" s="82"/>
      <c r="H162" s="82"/>
      <c r="N162" s="60"/>
    </row>
    <row r="163" spans="2:14" ht="13" hidden="1" outlineLevel="1" x14ac:dyDescent="0.25">
      <c r="B163" s="79" t="s">
        <v>71</v>
      </c>
      <c r="C163" s="150"/>
      <c r="D163" s="81"/>
      <c r="E163" s="77"/>
      <c r="F163" s="82"/>
      <c r="G163" s="82"/>
      <c r="H163" s="82"/>
      <c r="N163" s="60"/>
    </row>
    <row r="164" spans="2:14" ht="13" hidden="1" outlineLevel="1" x14ac:dyDescent="0.25">
      <c r="B164" s="74"/>
      <c r="C164" s="148"/>
      <c r="D164" s="76" t="str">
        <f>D138</f>
        <v>kg</v>
      </c>
      <c r="E164" s="77"/>
      <c r="F164" s="82"/>
      <c r="G164" s="82"/>
      <c r="H164" s="82"/>
      <c r="N164" s="60"/>
    </row>
    <row r="165" spans="2:14" ht="13" hidden="1" outlineLevel="1" x14ac:dyDescent="0.25">
      <c r="B165" s="74"/>
      <c r="C165" s="148"/>
      <c r="D165" s="76" t="str">
        <f>D138</f>
        <v>kg</v>
      </c>
      <c r="E165" s="77"/>
      <c r="F165" s="82"/>
      <c r="G165" s="82"/>
      <c r="H165" s="82"/>
      <c r="N165" s="60"/>
    </row>
    <row r="166" spans="2:14" ht="13" hidden="1" outlineLevel="1" x14ac:dyDescent="0.25">
      <c r="B166" s="74"/>
      <c r="C166" s="148"/>
      <c r="D166" s="76" t="str">
        <f>D138</f>
        <v>kg</v>
      </c>
      <c r="E166" s="77"/>
      <c r="F166" s="82"/>
      <c r="G166" s="82"/>
      <c r="H166" s="82"/>
      <c r="N166" s="60"/>
    </row>
    <row r="167" spans="2:14" ht="13" hidden="1" outlineLevel="1" x14ac:dyDescent="0.25">
      <c r="B167" s="74"/>
      <c r="C167" s="148"/>
      <c r="D167" s="76" t="str">
        <f>D138</f>
        <v>kg</v>
      </c>
      <c r="E167" s="77"/>
      <c r="F167" s="82"/>
      <c r="G167" s="82"/>
      <c r="H167" s="82"/>
      <c r="N167" s="60"/>
    </row>
    <row r="168" spans="2:14" ht="13" hidden="1" outlineLevel="1" x14ac:dyDescent="0.25">
      <c r="B168" s="74"/>
      <c r="C168" s="148"/>
      <c r="D168" s="76" t="str">
        <f>D138</f>
        <v>kg</v>
      </c>
      <c r="E168" s="77"/>
      <c r="F168" s="82"/>
      <c r="G168" s="82"/>
      <c r="H168" s="82"/>
      <c r="N168" s="60"/>
    </row>
    <row r="169" spans="2:14" ht="13" hidden="1" outlineLevel="1" x14ac:dyDescent="0.25">
      <c r="B169" s="74"/>
      <c r="C169" s="148"/>
      <c r="D169" s="76" t="str">
        <f>D138</f>
        <v>kg</v>
      </c>
      <c r="E169" s="77"/>
      <c r="F169" s="82"/>
      <c r="G169" s="82"/>
      <c r="H169" s="82"/>
      <c r="N169" s="60"/>
    </row>
    <row r="170" spans="2:14" ht="13" hidden="1" outlineLevel="1" x14ac:dyDescent="0.25">
      <c r="B170" s="74"/>
      <c r="C170" s="148"/>
      <c r="D170" s="76" t="str">
        <f>D138</f>
        <v>kg</v>
      </c>
      <c r="E170" s="77"/>
      <c r="F170" s="82"/>
      <c r="G170" s="82"/>
      <c r="H170" s="82"/>
      <c r="N170" s="60"/>
    </row>
    <row r="171" spans="2:14" ht="13" hidden="1" outlineLevel="1" x14ac:dyDescent="0.25">
      <c r="B171" s="74"/>
      <c r="C171" s="148"/>
      <c r="D171" s="76" t="str">
        <f>D138</f>
        <v>kg</v>
      </c>
      <c r="E171" s="77"/>
      <c r="F171" s="82"/>
      <c r="G171" s="82"/>
      <c r="H171" s="82"/>
      <c r="N171" s="60"/>
    </row>
    <row r="172" spans="2:14" ht="13" hidden="1" outlineLevel="1" x14ac:dyDescent="0.25">
      <c r="B172" s="79" t="s">
        <v>70</v>
      </c>
      <c r="C172" s="147"/>
      <c r="D172" s="81"/>
      <c r="E172" s="90"/>
      <c r="F172" s="82"/>
      <c r="G172" s="82"/>
      <c r="H172" s="82"/>
      <c r="N172" s="60"/>
    </row>
    <row r="173" spans="2:14" ht="13" hidden="1" outlineLevel="1" x14ac:dyDescent="0.25">
      <c r="B173" s="74"/>
      <c r="C173" s="148"/>
      <c r="D173" s="76" t="str">
        <f>D138</f>
        <v>kg</v>
      </c>
      <c r="E173" s="77"/>
      <c r="F173" s="82"/>
      <c r="G173" s="82"/>
      <c r="H173" s="82"/>
      <c r="N173" s="60"/>
    </row>
    <row r="174" spans="2:14" ht="13" hidden="1" outlineLevel="1" x14ac:dyDescent="0.25">
      <c r="B174" s="74"/>
      <c r="C174" s="148"/>
      <c r="D174" s="76" t="str">
        <f>D138</f>
        <v>kg</v>
      </c>
      <c r="E174" s="77"/>
      <c r="F174" s="82"/>
      <c r="G174" s="82"/>
      <c r="H174" s="82"/>
      <c r="N174" s="60"/>
    </row>
    <row r="175" spans="2:14" ht="13" hidden="1" outlineLevel="1" x14ac:dyDescent="0.25">
      <c r="B175" s="74"/>
      <c r="C175" s="148"/>
      <c r="D175" s="76" t="str">
        <f>D138</f>
        <v>kg</v>
      </c>
      <c r="E175" s="77"/>
      <c r="F175" s="82"/>
      <c r="G175" s="82"/>
      <c r="H175" s="82"/>
      <c r="N175" s="60"/>
    </row>
    <row r="176" spans="2:14" ht="13" hidden="1" outlineLevel="1" x14ac:dyDescent="0.25">
      <c r="B176" s="74"/>
      <c r="C176" s="148"/>
      <c r="D176" s="76" t="str">
        <f>D138</f>
        <v>kg</v>
      </c>
      <c r="E176" s="77"/>
      <c r="F176" s="82"/>
      <c r="G176" s="82"/>
      <c r="H176" s="82"/>
      <c r="N176" s="60"/>
    </row>
    <row r="177" spans="2:14" ht="13" hidden="1" outlineLevel="1" x14ac:dyDescent="0.25">
      <c r="B177" s="74"/>
      <c r="C177" s="148"/>
      <c r="D177" s="76" t="str">
        <f>D138</f>
        <v>kg</v>
      </c>
      <c r="E177" s="77"/>
      <c r="F177" s="82"/>
      <c r="G177" s="82"/>
      <c r="H177" s="82"/>
      <c r="N177" s="60"/>
    </row>
    <row r="178" spans="2:14" ht="13" hidden="1" outlineLevel="1" x14ac:dyDescent="0.25">
      <c r="B178" s="74"/>
      <c r="C178" s="148"/>
      <c r="D178" s="76" t="str">
        <f>D138</f>
        <v>kg</v>
      </c>
      <c r="E178" s="77"/>
      <c r="F178" s="82"/>
      <c r="G178" s="82"/>
      <c r="H178" s="82"/>
      <c r="N178" s="60"/>
    </row>
    <row r="179" spans="2:14" ht="13" hidden="1" outlineLevel="1" x14ac:dyDescent="0.25">
      <c r="B179" s="74"/>
      <c r="C179" s="148"/>
      <c r="D179" s="76" t="str">
        <f>D138</f>
        <v>kg</v>
      </c>
      <c r="E179" s="77"/>
      <c r="F179" s="82"/>
      <c r="G179" s="82"/>
      <c r="H179" s="82"/>
      <c r="N179" s="60"/>
    </row>
    <row r="180" spans="2:14" ht="13.15" hidden="1" customHeight="1" outlineLevel="1" x14ac:dyDescent="0.25">
      <c r="B180" s="79"/>
      <c r="C180" s="147"/>
      <c r="D180" s="81"/>
      <c r="E180" s="77"/>
      <c r="F180" s="82"/>
      <c r="G180" s="82"/>
      <c r="H180" s="82"/>
      <c r="K180" s="34"/>
      <c r="N180" s="60"/>
    </row>
    <row r="181" spans="2:14" ht="13" hidden="1" outlineLevel="1" x14ac:dyDescent="0.25">
      <c r="B181" s="86" t="s">
        <v>9</v>
      </c>
      <c r="C181" s="149">
        <f>SUM(C162:C179)</f>
        <v>0</v>
      </c>
      <c r="D181" s="91" t="str">
        <f>D138</f>
        <v>kg</v>
      </c>
      <c r="E181" s="77"/>
      <c r="F181" s="82"/>
      <c r="G181" s="82"/>
      <c r="H181" s="82"/>
      <c r="N181" s="60"/>
    </row>
    <row r="182" spans="2:14" ht="13.5" hidden="1" outlineLevel="1" thickBot="1" x14ac:dyDescent="0.3">
      <c r="B182" s="92"/>
      <c r="C182" s="93"/>
      <c r="D182" s="94"/>
      <c r="E182" s="77"/>
      <c r="F182" s="82"/>
      <c r="G182" s="82"/>
      <c r="H182" s="82"/>
      <c r="N182" s="60"/>
    </row>
    <row r="183" spans="2:14" ht="20.5" hidden="1" outlineLevel="1" thickBot="1" x14ac:dyDescent="0.3">
      <c r="B183" s="426" t="s">
        <v>10</v>
      </c>
      <c r="C183" s="427"/>
      <c r="D183" s="428"/>
      <c r="E183" s="77"/>
      <c r="F183" s="82"/>
      <c r="G183" s="82"/>
      <c r="H183" s="82"/>
      <c r="N183" s="60"/>
    </row>
    <row r="184" spans="2:14" ht="13" hidden="1" outlineLevel="1" x14ac:dyDescent="0.25">
      <c r="B184" s="95" t="s">
        <v>23</v>
      </c>
      <c r="C184" s="96"/>
      <c r="D184" s="151">
        <f>SUM(C148:C149)</f>
        <v>0</v>
      </c>
      <c r="E184" s="98"/>
      <c r="F184" s="82"/>
      <c r="G184" s="82"/>
      <c r="H184" s="82"/>
      <c r="N184" s="60"/>
    </row>
    <row r="185" spans="2:14" ht="13" hidden="1" outlineLevel="1" x14ac:dyDescent="0.25">
      <c r="B185" s="99" t="s">
        <v>24</v>
      </c>
      <c r="C185" s="100"/>
      <c r="D185" s="152">
        <f>SUM(C151:C161)</f>
        <v>0</v>
      </c>
      <c r="E185" s="98"/>
      <c r="F185" s="82"/>
      <c r="G185" s="82"/>
      <c r="H185" s="82"/>
      <c r="N185" s="60"/>
    </row>
    <row r="186" spans="2:14" ht="13" hidden="1" outlineLevel="1" x14ac:dyDescent="0.25">
      <c r="B186" s="99" t="s">
        <v>25</v>
      </c>
      <c r="C186" s="100"/>
      <c r="D186" s="152">
        <f>SUM(C164:C172)</f>
        <v>0</v>
      </c>
      <c r="E186" s="98"/>
      <c r="F186" s="82"/>
      <c r="G186" s="82"/>
      <c r="H186" s="82"/>
      <c r="N186" s="60"/>
    </row>
    <row r="187" spans="2:14" ht="13.5" hidden="1" outlineLevel="1" thickBot="1" x14ac:dyDescent="0.3">
      <c r="B187" s="102" t="s">
        <v>26</v>
      </c>
      <c r="C187" s="103"/>
      <c r="D187" s="153">
        <f>SUM(C173:C180)</f>
        <v>0</v>
      </c>
      <c r="E187" s="98"/>
      <c r="F187" s="82"/>
      <c r="G187" s="82"/>
      <c r="H187" s="82"/>
      <c r="N187" s="60"/>
    </row>
    <row r="188" spans="2:14" ht="19" hidden="1" outlineLevel="1" thickTop="1" thickBot="1" x14ac:dyDescent="0.3">
      <c r="B188" s="105" t="s">
        <v>11</v>
      </c>
      <c r="C188" s="106"/>
      <c r="D188" s="107" t="e">
        <f>C162/C144</f>
        <v>#DIV/0!</v>
      </c>
      <c r="E188" s="77"/>
      <c r="F188" s="110" t="s">
        <v>86</v>
      </c>
      <c r="G188" s="109" t="s">
        <v>85</v>
      </c>
      <c r="H188" s="110"/>
      <c r="N188" s="60"/>
    </row>
    <row r="189" spans="2:14" ht="18.5" hidden="1" outlineLevel="1" thickBot="1" x14ac:dyDescent="0.3">
      <c r="B189" s="111" t="s">
        <v>12</v>
      </c>
      <c r="C189" s="112"/>
      <c r="D189" s="113" t="e">
        <f>(D184+D185+D186)/C144</f>
        <v>#DIV/0!</v>
      </c>
      <c r="E189" s="77"/>
      <c r="F189" s="154"/>
      <c r="G189" s="413"/>
      <c r="H189" s="414"/>
      <c r="N189" s="60"/>
    </row>
    <row r="190" spans="2:14" ht="18" hidden="1" customHeight="1" outlineLevel="1" x14ac:dyDescent="0.25">
      <c r="B190" s="111" t="s">
        <v>13</v>
      </c>
      <c r="C190" s="112"/>
      <c r="D190" s="113" t="e">
        <f>D186/C144</f>
        <v>#DIV/0!</v>
      </c>
      <c r="E190" s="90"/>
      <c r="F190" s="64" t="s">
        <v>45</v>
      </c>
      <c r="G190" s="64" t="s">
        <v>45</v>
      </c>
      <c r="H190" s="155"/>
      <c r="N190" s="60"/>
    </row>
    <row r="191" spans="2:14" ht="18" hidden="1" customHeight="1" outlineLevel="1" thickBot="1" x14ac:dyDescent="0.3">
      <c r="B191" s="114" t="s">
        <v>14</v>
      </c>
      <c r="C191" s="115"/>
      <c r="D191" s="116" t="e">
        <f>D187/C144</f>
        <v>#DIV/0!</v>
      </c>
      <c r="E191" s="90"/>
      <c r="F191" s="110"/>
      <c r="G191" s="117" t="s">
        <v>46</v>
      </c>
      <c r="H191" s="110"/>
      <c r="N191" s="60"/>
    </row>
    <row r="192" spans="2:14" ht="18.5" hidden="1" outlineLevel="1" thickBot="1" x14ac:dyDescent="0.3">
      <c r="B192" s="114" t="s">
        <v>15</v>
      </c>
      <c r="C192" s="119"/>
      <c r="D192" s="116" t="e">
        <f>SUM(D184:D187)/C144</f>
        <v>#DIV/0!</v>
      </c>
      <c r="E192" s="90"/>
      <c r="F192" s="429"/>
      <c r="G192" s="430"/>
      <c r="H192" s="431"/>
      <c r="N192" s="60"/>
    </row>
    <row r="193" spans="2:14" ht="18.5" hidden="1" outlineLevel="1" thickTop="1" x14ac:dyDescent="0.25">
      <c r="B193" s="120" t="s">
        <v>16</v>
      </c>
      <c r="C193" s="121"/>
      <c r="D193" s="122" t="e">
        <f>((C148*D126)+D185+C149*MAX(1,F149))/C144</f>
        <v>#DIV/0!</v>
      </c>
      <c r="E193" s="77"/>
      <c r="F193" s="64" t="s">
        <v>45</v>
      </c>
      <c r="G193" s="64"/>
      <c r="H193" s="82"/>
      <c r="N193" s="60"/>
    </row>
    <row r="194" spans="2:14" ht="18" hidden="1" outlineLevel="1" x14ac:dyDescent="0.25">
      <c r="B194" s="123" t="s">
        <v>17</v>
      </c>
      <c r="C194" s="124"/>
      <c r="D194" s="125" t="e">
        <f>(C148*D127+D185+D186+C149*(MAX(1,F149)+G149))/C144</f>
        <v>#DIV/0!</v>
      </c>
      <c r="E194" s="77"/>
      <c r="F194" s="82"/>
      <c r="G194" s="82"/>
      <c r="H194" s="82"/>
      <c r="N194" s="60"/>
    </row>
    <row r="195" spans="2:14" ht="18" hidden="1" customHeight="1" outlineLevel="1" x14ac:dyDescent="0.25">
      <c r="B195" s="123" t="s">
        <v>18</v>
      </c>
      <c r="C195" s="124"/>
      <c r="D195" s="125" t="e">
        <f>((C148*D128)+D186+C149*G149)/C144</f>
        <v>#DIV/0!</v>
      </c>
      <c r="E195" s="77"/>
      <c r="F195" s="415" t="s">
        <v>61</v>
      </c>
      <c r="G195" s="416"/>
      <c r="H195" s="416"/>
      <c r="N195" s="60"/>
    </row>
    <row r="196" spans="2:14" ht="18" hidden="1" outlineLevel="1" x14ac:dyDescent="0.25">
      <c r="B196" s="126" t="s">
        <v>19</v>
      </c>
      <c r="C196" s="127"/>
      <c r="D196" s="128" t="e">
        <f>(C148*D129+D187+C149*H149)/C144</f>
        <v>#DIV/0!</v>
      </c>
      <c r="E196" s="77"/>
      <c r="F196" s="416"/>
      <c r="G196" s="416"/>
      <c r="H196" s="416"/>
      <c r="N196" s="60"/>
    </row>
    <row r="197" spans="2:14" ht="18.5" hidden="1" outlineLevel="1" thickBot="1" x14ac:dyDescent="0.3">
      <c r="B197" s="129" t="s">
        <v>20</v>
      </c>
      <c r="C197" s="130"/>
      <c r="D197" s="131" t="e">
        <f>((C148*D130)+SUM(D185:D187)+C149*(MAX(1,F149)+G149+H149))/C144</f>
        <v>#DIV/0!</v>
      </c>
      <c r="E197" s="77"/>
      <c r="F197" s="416"/>
      <c r="G197" s="416"/>
      <c r="H197" s="416"/>
      <c r="N197" s="60"/>
    </row>
    <row r="198" spans="2:14" ht="13" hidden="1" outlineLevel="1" thickTop="1" x14ac:dyDescent="0.25">
      <c r="B198" s="156" t="s">
        <v>76</v>
      </c>
      <c r="C198" s="424"/>
      <c r="D198" s="425"/>
      <c r="E198" s="46"/>
      <c r="F198" s="416"/>
      <c r="G198" s="416"/>
      <c r="H198" s="416"/>
      <c r="N198" s="60"/>
    </row>
    <row r="199" spans="2:14" hidden="1" outlineLevel="1" x14ac:dyDescent="0.25">
      <c r="B199" s="157" t="s">
        <v>58</v>
      </c>
      <c r="C199" s="422"/>
      <c r="D199" s="423"/>
      <c r="E199" s="46"/>
      <c r="F199" s="416"/>
      <c r="G199" s="416"/>
      <c r="H199" s="416"/>
      <c r="N199" s="60"/>
    </row>
    <row r="200" spans="2:14" ht="13" hidden="1" outlineLevel="1" thickBot="1" x14ac:dyDescent="0.3">
      <c r="B200" s="158" t="s">
        <v>59</v>
      </c>
      <c r="C200" s="420"/>
      <c r="D200" s="421"/>
      <c r="E200" s="46"/>
      <c r="F200" s="416"/>
      <c r="G200" s="416"/>
      <c r="H200" s="416"/>
      <c r="N200" s="60"/>
    </row>
    <row r="201" spans="2:14" ht="13" hidden="1" outlineLevel="1" x14ac:dyDescent="0.25">
      <c r="E201" s="46"/>
      <c r="F201" s="34"/>
      <c r="G201" s="34"/>
      <c r="H201" s="34"/>
      <c r="N201" s="60"/>
    </row>
    <row r="202" spans="2:14" ht="13.5" hidden="1" outlineLevel="1" thickBot="1" x14ac:dyDescent="0.3">
      <c r="C202" s="25" t="s">
        <v>44</v>
      </c>
      <c r="D202" s="25" t="s">
        <v>42</v>
      </c>
      <c r="E202" s="46"/>
      <c r="F202" s="34"/>
      <c r="G202" s="34"/>
      <c r="H202" s="34"/>
      <c r="N202" s="60"/>
    </row>
    <row r="203" spans="2:14" ht="23.25" hidden="1" customHeight="1" outlineLevel="1" thickTop="1" thickBot="1" x14ac:dyDescent="0.3">
      <c r="B203" s="140" t="s">
        <v>73</v>
      </c>
      <c r="C203" s="29"/>
      <c r="D203" s="141"/>
      <c r="E203" s="31"/>
      <c r="F203" s="32" t="s">
        <v>27</v>
      </c>
      <c r="G203" s="33"/>
      <c r="H203" s="33"/>
      <c r="I203" s="34"/>
    </row>
    <row r="204" spans="2:14" ht="14.5" hidden="1" outlineLevel="1" thickBot="1" x14ac:dyDescent="0.3">
      <c r="B204" s="37"/>
      <c r="C204" s="38" t="s">
        <v>0</v>
      </c>
      <c r="D204" s="39" t="s">
        <v>1</v>
      </c>
      <c r="E204" s="40"/>
      <c r="F204" s="41" t="s">
        <v>28</v>
      </c>
      <c r="G204" s="41" t="s">
        <v>21</v>
      </c>
      <c r="H204" s="41" t="s">
        <v>8</v>
      </c>
    </row>
    <row r="205" spans="2:14" ht="13" hidden="1" outlineLevel="1" x14ac:dyDescent="0.25">
      <c r="B205" s="43" t="s">
        <v>65</v>
      </c>
      <c r="C205" s="142"/>
      <c r="D205" s="45" t="s">
        <v>2</v>
      </c>
      <c r="E205" s="46"/>
      <c r="F205" s="47"/>
      <c r="G205" s="47"/>
      <c r="H205" s="47"/>
      <c r="N205" s="60"/>
    </row>
    <row r="206" spans="2:14" ht="13" hidden="1" outlineLevel="1" x14ac:dyDescent="0.25">
      <c r="B206" s="43" t="s">
        <v>64</v>
      </c>
      <c r="C206" s="143"/>
      <c r="D206" s="45" t="s">
        <v>3</v>
      </c>
      <c r="E206" s="46"/>
      <c r="F206" s="47"/>
      <c r="G206" s="47"/>
      <c r="H206" s="47"/>
      <c r="N206" s="60"/>
    </row>
    <row r="207" spans="2:14" ht="13" hidden="1" outlineLevel="1" x14ac:dyDescent="0.25">
      <c r="B207" s="51" t="s">
        <v>63</v>
      </c>
      <c r="C207" s="144">
        <f>C205*C206</f>
        <v>0</v>
      </c>
      <c r="D207" s="45" t="str">
        <f>D205</f>
        <v>kg</v>
      </c>
      <c r="E207" s="46"/>
      <c r="F207" s="47"/>
      <c r="G207" s="47"/>
      <c r="H207" s="47"/>
      <c r="N207" s="60"/>
    </row>
    <row r="208" spans="2:14" ht="14" hidden="1" outlineLevel="1" x14ac:dyDescent="0.25">
      <c r="B208" s="54" t="s">
        <v>37</v>
      </c>
      <c r="C208" s="145">
        <v>1</v>
      </c>
      <c r="D208" s="56"/>
      <c r="E208" s="57"/>
      <c r="F208" s="58"/>
      <c r="G208" s="58"/>
      <c r="H208" s="58"/>
      <c r="N208" s="60"/>
    </row>
    <row r="209" spans="2:14" ht="13" hidden="1" outlineLevel="1" x14ac:dyDescent="0.25">
      <c r="B209" s="43" t="s">
        <v>66</v>
      </c>
      <c r="C209" s="142"/>
      <c r="D209" s="45" t="str">
        <f>D205</f>
        <v>kg</v>
      </c>
      <c r="E209" s="46"/>
      <c r="F209" s="47"/>
      <c r="G209" s="47"/>
      <c r="H209" s="47"/>
      <c r="N209" s="60"/>
    </row>
    <row r="210" spans="2:14" ht="13" hidden="1" outlineLevel="1" x14ac:dyDescent="0.25">
      <c r="B210" s="43" t="s">
        <v>67</v>
      </c>
      <c r="C210" s="143"/>
      <c r="D210" s="45" t="s">
        <v>3</v>
      </c>
      <c r="E210" s="59"/>
      <c r="F210" s="47"/>
      <c r="G210" s="47"/>
      <c r="H210" s="47"/>
      <c r="N210" s="60"/>
    </row>
    <row r="211" spans="2:14" ht="13.5" hidden="1" outlineLevel="1" thickBot="1" x14ac:dyDescent="0.3">
      <c r="B211" s="51" t="s">
        <v>68</v>
      </c>
      <c r="C211" s="144">
        <f>C209*C210</f>
        <v>0</v>
      </c>
      <c r="D211" s="45" t="str">
        <f>D205</f>
        <v>kg</v>
      </c>
      <c r="E211" s="46"/>
      <c r="F211" s="47"/>
      <c r="G211" s="47"/>
      <c r="H211" s="47"/>
      <c r="N211" s="60"/>
    </row>
    <row r="212" spans="2:14" ht="13.5" hidden="1" outlineLevel="1" thickBot="1" x14ac:dyDescent="0.3">
      <c r="B212" s="61"/>
      <c r="C212" s="62"/>
      <c r="D212" s="63"/>
      <c r="F212" s="64"/>
      <c r="G212" s="64"/>
      <c r="H212" s="64"/>
      <c r="N212" s="60"/>
    </row>
    <row r="213" spans="2:14" ht="14.5" hidden="1" outlineLevel="1" thickBot="1" x14ac:dyDescent="0.3">
      <c r="B213" s="65" t="s">
        <v>5</v>
      </c>
      <c r="C213" s="66" t="s">
        <v>6</v>
      </c>
      <c r="D213" s="67" t="s">
        <v>1</v>
      </c>
      <c r="E213" s="68"/>
      <c r="F213" s="69"/>
      <c r="G213" s="69"/>
      <c r="H213" s="69"/>
      <c r="N213" s="60"/>
    </row>
    <row r="214" spans="2:14" ht="13" hidden="1" outlineLevel="1" x14ac:dyDescent="0.25">
      <c r="B214" s="70" t="s">
        <v>43</v>
      </c>
      <c r="C214" s="71"/>
      <c r="D214" s="72"/>
      <c r="E214" s="73"/>
      <c r="F214" s="69"/>
      <c r="G214" s="69"/>
      <c r="H214" s="69"/>
      <c r="N214" s="60"/>
    </row>
    <row r="215" spans="2:14" ht="13.5" hidden="1" outlineLevel="1" thickBot="1" x14ac:dyDescent="0.3">
      <c r="B215" s="74"/>
      <c r="C215" s="146">
        <f>C207</f>
        <v>0</v>
      </c>
      <c r="D215" s="76" t="str">
        <f>D205</f>
        <v>kg</v>
      </c>
      <c r="E215" s="98"/>
      <c r="F215" s="69"/>
      <c r="G215" s="69"/>
      <c r="H215" s="69"/>
      <c r="N215" s="60"/>
    </row>
    <row r="216" spans="2:14" ht="13.5" hidden="1" outlineLevel="1" thickBot="1" x14ac:dyDescent="0.3">
      <c r="B216" s="74"/>
      <c r="C216" s="146"/>
      <c r="D216" s="76" t="str">
        <f>D205</f>
        <v>kg</v>
      </c>
      <c r="E216" s="77"/>
      <c r="F216" s="78"/>
      <c r="G216" s="78"/>
      <c r="H216" s="78"/>
      <c r="N216" s="60"/>
    </row>
    <row r="217" spans="2:14" ht="13" hidden="1" outlineLevel="1" x14ac:dyDescent="0.25">
      <c r="B217" s="79" t="s">
        <v>69</v>
      </c>
      <c r="C217" s="147"/>
      <c r="D217" s="81"/>
      <c r="E217" s="77"/>
      <c r="F217" s="82"/>
      <c r="G217" s="82"/>
      <c r="H217" s="82"/>
      <c r="N217" s="60"/>
    </row>
    <row r="218" spans="2:14" ht="13" hidden="1" outlineLevel="1" x14ac:dyDescent="0.25">
      <c r="B218" s="74"/>
      <c r="C218" s="148"/>
      <c r="D218" s="76" t="str">
        <f>D205</f>
        <v>kg</v>
      </c>
      <c r="E218" s="77"/>
      <c r="F218" s="82"/>
      <c r="G218" s="82"/>
      <c r="H218" s="82"/>
      <c r="N218" s="60"/>
    </row>
    <row r="219" spans="2:14" ht="13" hidden="1" outlineLevel="1" x14ac:dyDescent="0.25">
      <c r="B219" s="74"/>
      <c r="C219" s="148"/>
      <c r="D219" s="76" t="str">
        <f>D205</f>
        <v>kg</v>
      </c>
      <c r="E219" s="77"/>
      <c r="F219" s="82"/>
      <c r="G219" s="82"/>
      <c r="H219" s="82"/>
      <c r="N219" s="60"/>
    </row>
    <row r="220" spans="2:14" ht="13" hidden="1" outlineLevel="1" x14ac:dyDescent="0.25">
      <c r="B220" s="74"/>
      <c r="C220" s="148"/>
      <c r="D220" s="76" t="str">
        <f>D205</f>
        <v>kg</v>
      </c>
      <c r="E220" s="77"/>
      <c r="F220" s="82"/>
      <c r="G220" s="82"/>
      <c r="H220" s="82"/>
      <c r="N220" s="60"/>
    </row>
    <row r="221" spans="2:14" ht="13" hidden="1" outlineLevel="1" x14ac:dyDescent="0.25">
      <c r="B221" s="74"/>
      <c r="C221" s="148"/>
      <c r="D221" s="76" t="str">
        <f>D205</f>
        <v>kg</v>
      </c>
      <c r="E221" s="77"/>
      <c r="F221" s="82"/>
      <c r="G221" s="82"/>
      <c r="H221" s="82"/>
      <c r="N221" s="60"/>
    </row>
    <row r="222" spans="2:14" ht="13" hidden="1" outlineLevel="1" x14ac:dyDescent="0.25">
      <c r="B222" s="74"/>
      <c r="C222" s="148"/>
      <c r="D222" s="76" t="str">
        <f>D205</f>
        <v>kg</v>
      </c>
      <c r="E222" s="77"/>
      <c r="F222" s="82"/>
      <c r="G222" s="82"/>
      <c r="H222" s="82"/>
      <c r="N222" s="60"/>
    </row>
    <row r="223" spans="2:14" ht="13" hidden="1" outlineLevel="1" x14ac:dyDescent="0.25">
      <c r="B223" s="74"/>
      <c r="C223" s="148"/>
      <c r="D223" s="76" t="str">
        <f>D205</f>
        <v>kg</v>
      </c>
      <c r="E223" s="77"/>
      <c r="F223" s="82"/>
      <c r="G223" s="82"/>
      <c r="H223" s="82"/>
      <c r="N223" s="60"/>
    </row>
    <row r="224" spans="2:14" ht="13" hidden="1" outlineLevel="1" x14ac:dyDescent="0.25">
      <c r="B224" s="74"/>
      <c r="C224" s="148"/>
      <c r="D224" s="76" t="str">
        <f>D205</f>
        <v>kg</v>
      </c>
      <c r="E224" s="77"/>
      <c r="F224" s="82"/>
      <c r="G224" s="82"/>
      <c r="H224" s="82"/>
      <c r="N224" s="60"/>
    </row>
    <row r="225" spans="2:14" ht="13" hidden="1" outlineLevel="1" x14ac:dyDescent="0.25">
      <c r="B225" s="74"/>
      <c r="C225" s="148"/>
      <c r="D225" s="76" t="str">
        <f>D205</f>
        <v>kg</v>
      </c>
      <c r="E225" s="77"/>
      <c r="F225" s="82"/>
      <c r="G225" s="82"/>
      <c r="H225" s="82"/>
      <c r="J225" s="159"/>
      <c r="N225" s="60"/>
    </row>
    <row r="226" spans="2:14" ht="13" hidden="1" outlineLevel="1" x14ac:dyDescent="0.25">
      <c r="B226" s="74"/>
      <c r="C226" s="148"/>
      <c r="D226" s="76" t="str">
        <f>D205</f>
        <v>kg</v>
      </c>
      <c r="E226" s="77"/>
      <c r="F226" s="82"/>
      <c r="G226" s="82"/>
      <c r="H226" s="82"/>
      <c r="N226" s="60"/>
    </row>
    <row r="227" spans="2:14" ht="13" hidden="1" outlineLevel="1" x14ac:dyDescent="0.25">
      <c r="B227" s="74"/>
      <c r="C227" s="148"/>
      <c r="D227" s="76" t="str">
        <f>D205</f>
        <v>kg</v>
      </c>
      <c r="E227" s="77"/>
      <c r="F227" s="82"/>
      <c r="G227" s="82"/>
      <c r="H227" s="82"/>
      <c r="N227" s="60"/>
    </row>
    <row r="228" spans="2:14" ht="13.15" hidden="1" customHeight="1" outlineLevel="1" x14ac:dyDescent="0.25">
      <c r="B228" s="79"/>
      <c r="C228" s="147"/>
      <c r="D228" s="81"/>
      <c r="E228" s="77"/>
      <c r="F228" s="82"/>
      <c r="G228" s="82"/>
      <c r="H228" s="82"/>
      <c r="K228" s="34"/>
      <c r="N228" s="60"/>
    </row>
    <row r="229" spans="2:14" ht="13" hidden="1" outlineLevel="1" x14ac:dyDescent="0.25">
      <c r="B229" s="86" t="s">
        <v>7</v>
      </c>
      <c r="C229" s="149">
        <f>SUM(C214:C227)</f>
        <v>0</v>
      </c>
      <c r="D229" s="88" t="str">
        <f>D205</f>
        <v>kg</v>
      </c>
      <c r="E229" s="77"/>
      <c r="F229" s="82"/>
      <c r="G229" s="82"/>
      <c r="H229" s="82"/>
      <c r="N229" s="60"/>
    </row>
    <row r="230" spans="2:14" ht="13" hidden="1" outlineLevel="1" x14ac:dyDescent="0.25">
      <c r="B230" s="79" t="s">
        <v>71</v>
      </c>
      <c r="C230" s="150"/>
      <c r="D230" s="81"/>
      <c r="E230" s="77"/>
      <c r="F230" s="82"/>
      <c r="G230" s="82"/>
      <c r="H230" s="82"/>
      <c r="N230" s="60"/>
    </row>
    <row r="231" spans="2:14" ht="13" hidden="1" outlineLevel="1" x14ac:dyDescent="0.25">
      <c r="B231" s="74"/>
      <c r="C231" s="148"/>
      <c r="D231" s="76" t="str">
        <f>D205</f>
        <v>kg</v>
      </c>
      <c r="E231" s="77"/>
      <c r="F231" s="82"/>
      <c r="G231" s="82"/>
      <c r="H231" s="82"/>
      <c r="J231" s="159"/>
      <c r="N231" s="60"/>
    </row>
    <row r="232" spans="2:14" ht="13" hidden="1" outlineLevel="1" x14ac:dyDescent="0.25">
      <c r="B232" s="74"/>
      <c r="C232" s="148"/>
      <c r="D232" s="76" t="str">
        <f>D205</f>
        <v>kg</v>
      </c>
      <c r="E232" s="77"/>
      <c r="F232" s="82"/>
      <c r="G232" s="82"/>
      <c r="H232" s="82"/>
      <c r="N232" s="60"/>
    </row>
    <row r="233" spans="2:14" ht="13" hidden="1" outlineLevel="1" x14ac:dyDescent="0.25">
      <c r="B233" s="74"/>
      <c r="C233" s="148"/>
      <c r="D233" s="76" t="str">
        <f>D205</f>
        <v>kg</v>
      </c>
      <c r="E233" s="77"/>
      <c r="F233" s="82"/>
      <c r="G233" s="82"/>
      <c r="H233" s="82"/>
      <c r="N233" s="60"/>
    </row>
    <row r="234" spans="2:14" ht="13" hidden="1" outlineLevel="1" x14ac:dyDescent="0.25">
      <c r="B234" s="74"/>
      <c r="C234" s="148"/>
      <c r="D234" s="76" t="str">
        <f>D205</f>
        <v>kg</v>
      </c>
      <c r="E234" s="77"/>
      <c r="F234" s="82"/>
      <c r="G234" s="82"/>
      <c r="H234" s="82"/>
      <c r="N234" s="60"/>
    </row>
    <row r="235" spans="2:14" ht="13" hidden="1" outlineLevel="1" x14ac:dyDescent="0.25">
      <c r="B235" s="74"/>
      <c r="C235" s="148"/>
      <c r="D235" s="76" t="str">
        <f>D205</f>
        <v>kg</v>
      </c>
      <c r="E235" s="77"/>
      <c r="F235" s="82"/>
      <c r="G235" s="82"/>
      <c r="H235" s="82"/>
      <c r="N235" s="60"/>
    </row>
    <row r="236" spans="2:14" ht="13" hidden="1" outlineLevel="1" x14ac:dyDescent="0.25">
      <c r="B236" s="74"/>
      <c r="C236" s="148"/>
      <c r="D236" s="76" t="str">
        <f>D205</f>
        <v>kg</v>
      </c>
      <c r="E236" s="77"/>
      <c r="F236" s="82"/>
      <c r="G236" s="82"/>
      <c r="H236" s="82"/>
      <c r="N236" s="60"/>
    </row>
    <row r="237" spans="2:14" ht="13" hidden="1" outlineLevel="1" x14ac:dyDescent="0.25">
      <c r="B237" s="74"/>
      <c r="C237" s="148"/>
      <c r="D237" s="76" t="str">
        <f>D205</f>
        <v>kg</v>
      </c>
      <c r="E237" s="77"/>
      <c r="F237" s="82"/>
      <c r="G237" s="82"/>
      <c r="H237" s="82"/>
      <c r="N237" s="60"/>
    </row>
    <row r="238" spans="2:14" ht="13" hidden="1" outlineLevel="1" x14ac:dyDescent="0.25">
      <c r="B238" s="74"/>
      <c r="C238" s="148"/>
      <c r="D238" s="76" t="str">
        <f>D205</f>
        <v>kg</v>
      </c>
      <c r="E238" s="77"/>
      <c r="F238" s="82"/>
      <c r="G238" s="82"/>
      <c r="H238" s="82"/>
      <c r="N238" s="60"/>
    </row>
    <row r="239" spans="2:14" ht="13" hidden="1" outlineLevel="1" x14ac:dyDescent="0.25">
      <c r="B239" s="79" t="s">
        <v>70</v>
      </c>
      <c r="C239" s="147"/>
      <c r="D239" s="81"/>
      <c r="E239" s="90"/>
      <c r="F239" s="82"/>
      <c r="G239" s="82"/>
      <c r="H239" s="82"/>
      <c r="N239" s="60"/>
    </row>
    <row r="240" spans="2:14" ht="13" hidden="1" outlineLevel="1" x14ac:dyDescent="0.25">
      <c r="B240" s="74"/>
      <c r="C240" s="148"/>
      <c r="D240" s="76" t="str">
        <f>D205</f>
        <v>kg</v>
      </c>
      <c r="E240" s="77"/>
      <c r="F240" s="82"/>
      <c r="G240" s="82"/>
      <c r="H240" s="82"/>
      <c r="N240" s="60"/>
    </row>
    <row r="241" spans="2:14" ht="13" hidden="1" outlineLevel="1" x14ac:dyDescent="0.25">
      <c r="B241" s="74"/>
      <c r="C241" s="148"/>
      <c r="D241" s="76" t="str">
        <f>D205</f>
        <v>kg</v>
      </c>
      <c r="E241" s="77"/>
      <c r="F241" s="82"/>
      <c r="G241" s="82"/>
      <c r="H241" s="82"/>
      <c r="N241" s="60"/>
    </row>
    <row r="242" spans="2:14" ht="13" hidden="1" outlineLevel="1" x14ac:dyDescent="0.25">
      <c r="B242" s="74"/>
      <c r="C242" s="148"/>
      <c r="D242" s="76" t="str">
        <f>D205</f>
        <v>kg</v>
      </c>
      <c r="E242" s="77"/>
      <c r="F242" s="82"/>
      <c r="G242" s="82"/>
      <c r="H242" s="82"/>
      <c r="N242" s="60"/>
    </row>
    <row r="243" spans="2:14" ht="13" hidden="1" outlineLevel="1" x14ac:dyDescent="0.25">
      <c r="B243" s="74"/>
      <c r="C243" s="148"/>
      <c r="D243" s="76" t="str">
        <f>D205</f>
        <v>kg</v>
      </c>
      <c r="E243" s="77"/>
      <c r="F243" s="82"/>
      <c r="G243" s="82"/>
      <c r="H243" s="82"/>
      <c r="N243" s="60"/>
    </row>
    <row r="244" spans="2:14" ht="13" hidden="1" outlineLevel="1" x14ac:dyDescent="0.25">
      <c r="B244" s="74"/>
      <c r="C244" s="148"/>
      <c r="D244" s="76" t="str">
        <f>D205</f>
        <v>kg</v>
      </c>
      <c r="E244" s="77"/>
      <c r="F244" s="82"/>
      <c r="G244" s="82"/>
      <c r="H244" s="82"/>
      <c r="N244" s="60"/>
    </row>
    <row r="245" spans="2:14" ht="13" hidden="1" outlineLevel="1" x14ac:dyDescent="0.25">
      <c r="B245" s="74"/>
      <c r="C245" s="148"/>
      <c r="D245" s="76" t="str">
        <f>D205</f>
        <v>kg</v>
      </c>
      <c r="E245" s="77"/>
      <c r="F245" s="82"/>
      <c r="G245" s="82"/>
      <c r="H245" s="82"/>
      <c r="N245" s="60"/>
    </row>
    <row r="246" spans="2:14" ht="13" hidden="1" outlineLevel="1" x14ac:dyDescent="0.25">
      <c r="B246" s="74"/>
      <c r="C246" s="148"/>
      <c r="D246" s="76" t="str">
        <f>D205</f>
        <v>kg</v>
      </c>
      <c r="E246" s="77"/>
      <c r="F246" s="82"/>
      <c r="G246" s="82"/>
      <c r="H246" s="82"/>
      <c r="N246" s="60"/>
    </row>
    <row r="247" spans="2:14" ht="13.15" hidden="1" customHeight="1" outlineLevel="1" x14ac:dyDescent="0.25">
      <c r="B247" s="79"/>
      <c r="C247" s="147"/>
      <c r="D247" s="81"/>
      <c r="E247" s="77"/>
      <c r="F247" s="82"/>
      <c r="G247" s="82"/>
      <c r="H247" s="82"/>
      <c r="K247" s="34"/>
      <c r="N247" s="60"/>
    </row>
    <row r="248" spans="2:14" ht="13" hidden="1" outlineLevel="1" x14ac:dyDescent="0.25">
      <c r="B248" s="86" t="s">
        <v>9</v>
      </c>
      <c r="C248" s="149">
        <f>SUM(C229:C246)</f>
        <v>0</v>
      </c>
      <c r="D248" s="91" t="str">
        <f>D205</f>
        <v>kg</v>
      </c>
      <c r="E248" s="77"/>
      <c r="F248" s="82"/>
      <c r="G248" s="82"/>
      <c r="H248" s="82"/>
      <c r="N248" s="60"/>
    </row>
    <row r="249" spans="2:14" ht="13.5" hidden="1" outlineLevel="1" thickBot="1" x14ac:dyDescent="0.3">
      <c r="B249" s="92"/>
      <c r="C249" s="93"/>
      <c r="D249" s="94"/>
      <c r="E249" s="77"/>
      <c r="F249" s="82"/>
      <c r="G249" s="82"/>
      <c r="H249" s="82"/>
      <c r="N249" s="60"/>
    </row>
    <row r="250" spans="2:14" ht="20.5" hidden="1" outlineLevel="1" thickBot="1" x14ac:dyDescent="0.3">
      <c r="B250" s="426" t="s">
        <v>10</v>
      </c>
      <c r="C250" s="427"/>
      <c r="D250" s="428"/>
      <c r="E250" s="77"/>
      <c r="F250" s="82"/>
      <c r="G250" s="82"/>
      <c r="H250" s="82"/>
      <c r="N250" s="60"/>
    </row>
    <row r="251" spans="2:14" ht="13" hidden="1" outlineLevel="1" x14ac:dyDescent="0.25">
      <c r="B251" s="95" t="s">
        <v>23</v>
      </c>
      <c r="C251" s="96"/>
      <c r="D251" s="151">
        <f>SUM(C215:C216)</f>
        <v>0</v>
      </c>
      <c r="E251" s="98"/>
      <c r="F251" s="82"/>
      <c r="G251" s="82"/>
      <c r="H251" s="82"/>
      <c r="N251" s="60"/>
    </row>
    <row r="252" spans="2:14" ht="13" hidden="1" outlineLevel="1" x14ac:dyDescent="0.25">
      <c r="B252" s="99" t="s">
        <v>24</v>
      </c>
      <c r="C252" s="100"/>
      <c r="D252" s="152">
        <f>SUM(C218:C228)</f>
        <v>0</v>
      </c>
      <c r="E252" s="98"/>
      <c r="F252" s="82"/>
      <c r="G252" s="82"/>
      <c r="H252" s="82"/>
      <c r="N252" s="60"/>
    </row>
    <row r="253" spans="2:14" ht="13" hidden="1" outlineLevel="1" x14ac:dyDescent="0.25">
      <c r="B253" s="99" t="s">
        <v>25</v>
      </c>
      <c r="C253" s="100"/>
      <c r="D253" s="152">
        <f>SUM(C231:C239)</f>
        <v>0</v>
      </c>
      <c r="E253" s="98"/>
      <c r="F253" s="82"/>
      <c r="G253" s="82"/>
      <c r="H253" s="82"/>
      <c r="N253" s="60"/>
    </row>
    <row r="254" spans="2:14" ht="13.5" hidden="1" outlineLevel="1" thickBot="1" x14ac:dyDescent="0.3">
      <c r="B254" s="102" t="s">
        <v>26</v>
      </c>
      <c r="C254" s="103"/>
      <c r="D254" s="153">
        <f>SUM(C240:C247)</f>
        <v>0</v>
      </c>
      <c r="E254" s="98"/>
      <c r="F254" s="82"/>
      <c r="G254" s="82"/>
      <c r="H254" s="82"/>
      <c r="N254" s="60"/>
    </row>
    <row r="255" spans="2:14" ht="19" hidden="1" outlineLevel="1" thickTop="1" thickBot="1" x14ac:dyDescent="0.3">
      <c r="B255" s="105" t="s">
        <v>11</v>
      </c>
      <c r="C255" s="106"/>
      <c r="D255" s="107" t="e">
        <f>C229/C211</f>
        <v>#DIV/0!</v>
      </c>
      <c r="E255" s="77"/>
      <c r="F255" s="110" t="s">
        <v>86</v>
      </c>
      <c r="G255" s="109" t="s">
        <v>85</v>
      </c>
      <c r="H255" s="110"/>
      <c r="N255" s="60"/>
    </row>
    <row r="256" spans="2:14" ht="18.5" hidden="1" outlineLevel="1" thickBot="1" x14ac:dyDescent="0.3">
      <c r="B256" s="111" t="s">
        <v>12</v>
      </c>
      <c r="C256" s="112"/>
      <c r="D256" s="113" t="e">
        <f>(D251+D252+D253)/C211</f>
        <v>#DIV/0!</v>
      </c>
      <c r="E256" s="77"/>
      <c r="F256" s="154"/>
      <c r="G256" s="413"/>
      <c r="H256" s="414"/>
      <c r="N256" s="60"/>
    </row>
    <row r="257" spans="2:14" ht="18" hidden="1" outlineLevel="1" x14ac:dyDescent="0.25">
      <c r="B257" s="111" t="s">
        <v>13</v>
      </c>
      <c r="C257" s="112"/>
      <c r="D257" s="113" t="e">
        <f>D253/C211</f>
        <v>#DIV/0!</v>
      </c>
      <c r="E257" s="90"/>
      <c r="F257" s="64" t="s">
        <v>45</v>
      </c>
      <c r="G257" s="64" t="s">
        <v>45</v>
      </c>
      <c r="H257" s="155"/>
      <c r="N257" s="60"/>
    </row>
    <row r="258" spans="2:14" ht="18.5" hidden="1" outlineLevel="1" thickBot="1" x14ac:dyDescent="0.3">
      <c r="B258" s="114" t="s">
        <v>14</v>
      </c>
      <c r="C258" s="115"/>
      <c r="D258" s="116" t="e">
        <f>D254/C211</f>
        <v>#DIV/0!</v>
      </c>
      <c r="E258" s="90"/>
      <c r="F258" s="110"/>
      <c r="G258" s="117" t="s">
        <v>46</v>
      </c>
      <c r="H258" s="110"/>
      <c r="N258" s="60"/>
    </row>
    <row r="259" spans="2:14" ht="18.5" hidden="1" outlineLevel="1" thickBot="1" x14ac:dyDescent="0.3">
      <c r="B259" s="114" t="s">
        <v>15</v>
      </c>
      <c r="C259" s="119"/>
      <c r="D259" s="116" t="e">
        <f>SUM(D251:D254)/C211</f>
        <v>#DIV/0!</v>
      </c>
      <c r="E259" s="90"/>
      <c r="F259" s="429"/>
      <c r="G259" s="430"/>
      <c r="H259" s="431"/>
      <c r="N259" s="60"/>
    </row>
    <row r="260" spans="2:14" ht="18.5" hidden="1" outlineLevel="1" thickTop="1" x14ac:dyDescent="0.25">
      <c r="B260" s="120" t="s">
        <v>16</v>
      </c>
      <c r="C260" s="121"/>
      <c r="D260" s="122" t="e">
        <f>((C215*D193)+D252+C216*MAX(1,F216))/C211</f>
        <v>#DIV/0!</v>
      </c>
      <c r="E260" s="77"/>
      <c r="F260" s="64" t="s">
        <v>45</v>
      </c>
      <c r="G260" s="64"/>
      <c r="H260" s="82"/>
      <c r="N260" s="60"/>
    </row>
    <row r="261" spans="2:14" ht="18" hidden="1" outlineLevel="1" x14ac:dyDescent="0.25">
      <c r="B261" s="123" t="s">
        <v>17</v>
      </c>
      <c r="C261" s="124"/>
      <c r="D261" s="125" t="e">
        <f>(C215*D194+D252+D253+C216*(MAX(1,F216)+G216))/C211</f>
        <v>#DIV/0!</v>
      </c>
      <c r="E261" s="77"/>
      <c r="F261" s="82"/>
      <c r="G261" s="82"/>
      <c r="H261" s="82"/>
      <c r="N261" s="60"/>
    </row>
    <row r="262" spans="2:14" ht="18" hidden="1" customHeight="1" outlineLevel="1" x14ac:dyDescent="0.25">
      <c r="B262" s="123" t="s">
        <v>18</v>
      </c>
      <c r="C262" s="124"/>
      <c r="D262" s="125" t="e">
        <f>((C215*D195)+D253+C216*G216)/C211</f>
        <v>#DIV/0!</v>
      </c>
      <c r="E262" s="77"/>
      <c r="F262" s="415" t="s">
        <v>61</v>
      </c>
      <c r="G262" s="416"/>
      <c r="H262" s="416"/>
      <c r="N262" s="60"/>
    </row>
    <row r="263" spans="2:14" ht="18" hidden="1" outlineLevel="1" x14ac:dyDescent="0.25">
      <c r="B263" s="126" t="s">
        <v>19</v>
      </c>
      <c r="C263" s="127"/>
      <c r="D263" s="128" t="e">
        <f>(C215*D196+D254+C216*H216)/C211</f>
        <v>#DIV/0!</v>
      </c>
      <c r="E263" s="77"/>
      <c r="F263" s="416"/>
      <c r="G263" s="416"/>
      <c r="H263" s="416"/>
      <c r="N263" s="60"/>
    </row>
    <row r="264" spans="2:14" ht="18.5" hidden="1" outlineLevel="1" thickBot="1" x14ac:dyDescent="0.3">
      <c r="B264" s="129" t="s">
        <v>20</v>
      </c>
      <c r="C264" s="130"/>
      <c r="D264" s="131" t="e">
        <f>((C215*D197)+SUM(D252:D254)+C216*(MAX(1,F216)+G216+H216))/C211</f>
        <v>#DIV/0!</v>
      </c>
      <c r="E264" s="77"/>
      <c r="F264" s="416"/>
      <c r="G264" s="416"/>
      <c r="H264" s="416"/>
      <c r="N264" s="60"/>
    </row>
    <row r="265" spans="2:14" ht="13" hidden="1" outlineLevel="1" thickTop="1" x14ac:dyDescent="0.25">
      <c r="B265" s="156" t="s">
        <v>76</v>
      </c>
      <c r="C265" s="424"/>
      <c r="D265" s="425"/>
      <c r="E265" s="46"/>
      <c r="F265" s="416"/>
      <c r="G265" s="416"/>
      <c r="H265" s="416"/>
      <c r="N265" s="60"/>
    </row>
    <row r="266" spans="2:14" hidden="1" outlineLevel="1" x14ac:dyDescent="0.25">
      <c r="B266" s="157" t="s">
        <v>58</v>
      </c>
      <c r="C266" s="422"/>
      <c r="D266" s="423"/>
      <c r="E266" s="46"/>
      <c r="F266" s="416"/>
      <c r="G266" s="416"/>
      <c r="H266" s="416"/>
      <c r="N266" s="60"/>
    </row>
    <row r="267" spans="2:14" ht="13" hidden="1" outlineLevel="1" thickBot="1" x14ac:dyDescent="0.3">
      <c r="B267" s="158" t="s">
        <v>59</v>
      </c>
      <c r="C267" s="420"/>
      <c r="D267" s="421"/>
      <c r="E267" s="46"/>
      <c r="F267" s="416"/>
      <c r="G267" s="416"/>
      <c r="H267" s="416"/>
      <c r="N267" s="60"/>
    </row>
    <row r="268" spans="2:14" ht="13" hidden="1" outlineLevel="1" x14ac:dyDescent="0.25">
      <c r="E268" s="46"/>
      <c r="F268" s="34"/>
      <c r="G268" s="34"/>
      <c r="H268" s="34"/>
      <c r="N268" s="60"/>
    </row>
    <row r="269" spans="2:14" ht="13.5" hidden="1" outlineLevel="1" thickBot="1" x14ac:dyDescent="0.3">
      <c r="C269" s="25" t="s">
        <v>44</v>
      </c>
      <c r="D269" s="25" t="s">
        <v>42</v>
      </c>
      <c r="E269" s="46"/>
      <c r="F269" s="34"/>
      <c r="G269" s="34"/>
      <c r="H269" s="34"/>
      <c r="N269" s="60"/>
    </row>
    <row r="270" spans="2:14" ht="21" hidden="1" outlineLevel="1" thickTop="1" thickBot="1" x14ac:dyDescent="0.3">
      <c r="B270" s="140" t="s">
        <v>73</v>
      </c>
      <c r="C270" s="29"/>
      <c r="D270" s="141"/>
      <c r="E270" s="31"/>
      <c r="F270" s="32" t="s">
        <v>27</v>
      </c>
      <c r="G270" s="33"/>
      <c r="H270" s="33"/>
      <c r="I270" s="34"/>
    </row>
    <row r="271" spans="2:14" ht="14.5" hidden="1" outlineLevel="1" thickBot="1" x14ac:dyDescent="0.3">
      <c r="B271" s="37"/>
      <c r="C271" s="38" t="s">
        <v>0</v>
      </c>
      <c r="D271" s="39" t="s">
        <v>1</v>
      </c>
      <c r="E271" s="40"/>
      <c r="F271" s="41" t="s">
        <v>28</v>
      </c>
      <c r="G271" s="41" t="s">
        <v>21</v>
      </c>
      <c r="H271" s="41" t="s">
        <v>8</v>
      </c>
    </row>
    <row r="272" spans="2:14" ht="13" hidden="1" outlineLevel="1" x14ac:dyDescent="0.25">
      <c r="B272" s="43" t="s">
        <v>65</v>
      </c>
      <c r="C272" s="142"/>
      <c r="D272" s="45" t="s">
        <v>2</v>
      </c>
      <c r="E272" s="46"/>
      <c r="F272" s="47"/>
      <c r="G272" s="47"/>
      <c r="H272" s="47"/>
      <c r="N272" s="60"/>
    </row>
    <row r="273" spans="2:14" ht="13" hidden="1" outlineLevel="1" x14ac:dyDescent="0.25">
      <c r="B273" s="43" t="s">
        <v>64</v>
      </c>
      <c r="C273" s="143"/>
      <c r="D273" s="45" t="s">
        <v>3</v>
      </c>
      <c r="E273" s="46"/>
      <c r="F273" s="47"/>
      <c r="G273" s="47"/>
      <c r="H273" s="47"/>
      <c r="N273" s="60"/>
    </row>
    <row r="274" spans="2:14" ht="13" hidden="1" outlineLevel="1" x14ac:dyDescent="0.25">
      <c r="B274" s="51" t="s">
        <v>63</v>
      </c>
      <c r="C274" s="144">
        <f>C272*C273</f>
        <v>0</v>
      </c>
      <c r="D274" s="45" t="str">
        <f>D272</f>
        <v>kg</v>
      </c>
      <c r="E274" s="46"/>
      <c r="F274" s="47"/>
      <c r="G274" s="47"/>
      <c r="H274" s="47"/>
      <c r="N274" s="60"/>
    </row>
    <row r="275" spans="2:14" ht="14" hidden="1" outlineLevel="1" x14ac:dyDescent="0.25">
      <c r="B275" s="54" t="s">
        <v>37</v>
      </c>
      <c r="C275" s="145">
        <v>1</v>
      </c>
      <c r="D275" s="56"/>
      <c r="E275" s="57"/>
      <c r="F275" s="58"/>
      <c r="G275" s="58"/>
      <c r="H275" s="58"/>
      <c r="N275" s="60"/>
    </row>
    <row r="276" spans="2:14" ht="13" hidden="1" outlineLevel="1" x14ac:dyDescent="0.25">
      <c r="B276" s="43" t="s">
        <v>66</v>
      </c>
      <c r="C276" s="142"/>
      <c r="D276" s="45" t="str">
        <f>D272</f>
        <v>kg</v>
      </c>
      <c r="E276" s="46"/>
      <c r="F276" s="47"/>
      <c r="G276" s="47"/>
      <c r="H276" s="47"/>
      <c r="J276" s="159"/>
      <c r="N276" s="60"/>
    </row>
    <row r="277" spans="2:14" ht="13" hidden="1" outlineLevel="1" x14ac:dyDescent="0.25">
      <c r="B277" s="43" t="s">
        <v>67</v>
      </c>
      <c r="C277" s="143"/>
      <c r="D277" s="45" t="s">
        <v>3</v>
      </c>
      <c r="E277" s="59"/>
      <c r="F277" s="47"/>
      <c r="G277" s="47"/>
      <c r="H277" s="47"/>
      <c r="N277" s="60"/>
    </row>
    <row r="278" spans="2:14" ht="13.5" hidden="1" outlineLevel="1" thickBot="1" x14ac:dyDescent="0.3">
      <c r="B278" s="51" t="s">
        <v>68</v>
      </c>
      <c r="C278" s="144">
        <f>C276*C277</f>
        <v>0</v>
      </c>
      <c r="D278" s="45" t="str">
        <f>D272</f>
        <v>kg</v>
      </c>
      <c r="E278" s="46"/>
      <c r="F278" s="47"/>
      <c r="G278" s="47"/>
      <c r="H278" s="47"/>
      <c r="N278" s="60"/>
    </row>
    <row r="279" spans="2:14" ht="13.5" hidden="1" outlineLevel="1" thickBot="1" x14ac:dyDescent="0.3">
      <c r="B279" s="61"/>
      <c r="C279" s="62"/>
      <c r="D279" s="63"/>
      <c r="F279" s="64"/>
      <c r="G279" s="64"/>
      <c r="H279" s="64"/>
      <c r="N279" s="60"/>
    </row>
    <row r="280" spans="2:14" ht="14.5" hidden="1" outlineLevel="1" thickBot="1" x14ac:dyDescent="0.3">
      <c r="B280" s="65" t="s">
        <v>5</v>
      </c>
      <c r="C280" s="66" t="s">
        <v>6</v>
      </c>
      <c r="D280" s="67" t="s">
        <v>1</v>
      </c>
      <c r="E280" s="68"/>
      <c r="F280" s="69"/>
      <c r="G280" s="69"/>
      <c r="H280" s="69"/>
      <c r="N280" s="60"/>
    </row>
    <row r="281" spans="2:14" ht="13" hidden="1" outlineLevel="1" x14ac:dyDescent="0.25">
      <c r="B281" s="70" t="s">
        <v>43</v>
      </c>
      <c r="C281" s="71"/>
      <c r="D281" s="72"/>
      <c r="E281" s="73"/>
      <c r="F281" s="69"/>
      <c r="G281" s="69"/>
      <c r="H281" s="69"/>
      <c r="N281" s="60"/>
    </row>
    <row r="282" spans="2:14" ht="13.5" hidden="1" outlineLevel="1" thickBot="1" x14ac:dyDescent="0.3">
      <c r="B282" s="74"/>
      <c r="C282" s="146">
        <f>C274</f>
        <v>0</v>
      </c>
      <c r="D282" s="76" t="str">
        <f>D272</f>
        <v>kg</v>
      </c>
      <c r="E282" s="98"/>
      <c r="F282" s="69"/>
      <c r="G282" s="69"/>
      <c r="H282" s="69"/>
      <c r="N282" s="60"/>
    </row>
    <row r="283" spans="2:14" ht="13.5" hidden="1" outlineLevel="1" thickBot="1" x14ac:dyDescent="0.3">
      <c r="B283" s="74"/>
      <c r="C283" s="146"/>
      <c r="D283" s="76" t="str">
        <f>D272</f>
        <v>kg</v>
      </c>
      <c r="E283" s="77"/>
      <c r="F283" s="78"/>
      <c r="G283" s="78"/>
      <c r="H283" s="78"/>
      <c r="N283" s="60"/>
    </row>
    <row r="284" spans="2:14" ht="13" hidden="1" outlineLevel="1" x14ac:dyDescent="0.25">
      <c r="B284" s="79" t="s">
        <v>69</v>
      </c>
      <c r="C284" s="147"/>
      <c r="D284" s="81"/>
      <c r="E284" s="77"/>
      <c r="F284" s="82"/>
      <c r="G284" s="82"/>
      <c r="H284" s="82"/>
      <c r="N284" s="60"/>
    </row>
    <row r="285" spans="2:14" ht="13" hidden="1" outlineLevel="1" x14ac:dyDescent="0.25">
      <c r="B285" s="74"/>
      <c r="C285" s="148"/>
      <c r="D285" s="76" t="str">
        <f>D272</f>
        <v>kg</v>
      </c>
      <c r="E285" s="77"/>
      <c r="F285" s="82"/>
      <c r="G285" s="82"/>
      <c r="H285" s="82"/>
      <c r="N285" s="60"/>
    </row>
    <row r="286" spans="2:14" ht="13" hidden="1" outlineLevel="1" x14ac:dyDescent="0.25">
      <c r="B286" s="74"/>
      <c r="C286" s="148"/>
      <c r="D286" s="76" t="str">
        <f>D272</f>
        <v>kg</v>
      </c>
      <c r="E286" s="77"/>
      <c r="F286" s="82"/>
      <c r="G286" s="82"/>
      <c r="H286" s="82"/>
      <c r="N286" s="60"/>
    </row>
    <row r="287" spans="2:14" ht="13" hidden="1" outlineLevel="1" x14ac:dyDescent="0.25">
      <c r="B287" s="74"/>
      <c r="C287" s="148"/>
      <c r="D287" s="76" t="str">
        <f>D272</f>
        <v>kg</v>
      </c>
      <c r="E287" s="77"/>
      <c r="F287" s="82"/>
      <c r="G287" s="82"/>
      <c r="H287" s="82"/>
      <c r="N287" s="60"/>
    </row>
    <row r="288" spans="2:14" ht="13" hidden="1" outlineLevel="1" x14ac:dyDescent="0.25">
      <c r="B288" s="74"/>
      <c r="C288" s="148"/>
      <c r="D288" s="76" t="str">
        <f>D272</f>
        <v>kg</v>
      </c>
      <c r="E288" s="77"/>
      <c r="F288" s="82"/>
      <c r="G288" s="82"/>
      <c r="H288" s="82"/>
      <c r="N288" s="60"/>
    </row>
    <row r="289" spans="2:14" ht="13" hidden="1" outlineLevel="1" x14ac:dyDescent="0.25">
      <c r="B289" s="74"/>
      <c r="C289" s="148"/>
      <c r="D289" s="76" t="str">
        <f>D272</f>
        <v>kg</v>
      </c>
      <c r="E289" s="77"/>
      <c r="F289" s="82"/>
      <c r="G289" s="82"/>
      <c r="H289" s="82"/>
      <c r="N289" s="60"/>
    </row>
    <row r="290" spans="2:14" ht="13" hidden="1" outlineLevel="1" x14ac:dyDescent="0.25">
      <c r="B290" s="74"/>
      <c r="C290" s="148"/>
      <c r="D290" s="76" t="str">
        <f>D272</f>
        <v>kg</v>
      </c>
      <c r="E290" s="77"/>
      <c r="F290" s="82"/>
      <c r="G290" s="82"/>
      <c r="H290" s="82"/>
      <c r="N290" s="60"/>
    </row>
    <row r="291" spans="2:14" ht="13" hidden="1" outlineLevel="1" x14ac:dyDescent="0.25">
      <c r="B291" s="74"/>
      <c r="C291" s="148"/>
      <c r="D291" s="76" t="str">
        <f>D272</f>
        <v>kg</v>
      </c>
      <c r="E291" s="77"/>
      <c r="F291" s="82"/>
      <c r="G291" s="82"/>
      <c r="H291" s="82"/>
      <c r="N291" s="60"/>
    </row>
    <row r="292" spans="2:14" ht="13" hidden="1" outlineLevel="1" x14ac:dyDescent="0.25">
      <c r="B292" s="74"/>
      <c r="C292" s="148"/>
      <c r="D292" s="76" t="str">
        <f>D272</f>
        <v>kg</v>
      </c>
      <c r="E292" s="77"/>
      <c r="F292" s="82"/>
      <c r="G292" s="82"/>
      <c r="H292" s="82"/>
      <c r="N292" s="60"/>
    </row>
    <row r="293" spans="2:14" ht="13" hidden="1" outlineLevel="1" x14ac:dyDescent="0.25">
      <c r="B293" s="74"/>
      <c r="C293" s="148"/>
      <c r="D293" s="76" t="str">
        <f>D272</f>
        <v>kg</v>
      </c>
      <c r="E293" s="77"/>
      <c r="F293" s="82"/>
      <c r="G293" s="82"/>
      <c r="H293" s="82"/>
      <c r="N293" s="60"/>
    </row>
    <row r="294" spans="2:14" ht="13" hidden="1" outlineLevel="1" x14ac:dyDescent="0.25">
      <c r="B294" s="74"/>
      <c r="C294" s="148"/>
      <c r="D294" s="76" t="str">
        <f>D272</f>
        <v>kg</v>
      </c>
      <c r="E294" s="77"/>
      <c r="F294" s="82"/>
      <c r="G294" s="82"/>
      <c r="H294" s="82"/>
      <c r="N294" s="60"/>
    </row>
    <row r="295" spans="2:14" ht="13.15" hidden="1" customHeight="1" outlineLevel="1" x14ac:dyDescent="0.25">
      <c r="B295" s="79"/>
      <c r="C295" s="147"/>
      <c r="D295" s="81"/>
      <c r="E295" s="77"/>
      <c r="F295" s="82"/>
      <c r="G295" s="82"/>
      <c r="H295" s="82"/>
      <c r="K295" s="34"/>
      <c r="N295" s="60"/>
    </row>
    <row r="296" spans="2:14" ht="13" hidden="1" outlineLevel="1" x14ac:dyDescent="0.25">
      <c r="B296" s="86" t="s">
        <v>7</v>
      </c>
      <c r="C296" s="149">
        <f>SUM(C281:C294)</f>
        <v>0</v>
      </c>
      <c r="D296" s="88" t="str">
        <f>D272</f>
        <v>kg</v>
      </c>
      <c r="E296" s="77"/>
      <c r="F296" s="82"/>
      <c r="G296" s="82"/>
      <c r="H296" s="82"/>
      <c r="N296" s="60"/>
    </row>
    <row r="297" spans="2:14" ht="13" hidden="1" outlineLevel="1" x14ac:dyDescent="0.25">
      <c r="B297" s="79" t="s">
        <v>71</v>
      </c>
      <c r="C297" s="150"/>
      <c r="D297" s="81"/>
      <c r="E297" s="77"/>
      <c r="F297" s="82"/>
      <c r="G297" s="82"/>
      <c r="H297" s="82"/>
      <c r="N297" s="60"/>
    </row>
    <row r="298" spans="2:14" ht="13" hidden="1" outlineLevel="1" x14ac:dyDescent="0.25">
      <c r="B298" s="74"/>
      <c r="C298" s="148"/>
      <c r="D298" s="76" t="str">
        <f>D272</f>
        <v>kg</v>
      </c>
      <c r="E298" s="77"/>
      <c r="F298" s="82"/>
      <c r="G298" s="82"/>
      <c r="H298" s="82"/>
      <c r="N298" s="60"/>
    </row>
    <row r="299" spans="2:14" ht="13" hidden="1" outlineLevel="1" x14ac:dyDescent="0.25">
      <c r="B299" s="74"/>
      <c r="C299" s="148"/>
      <c r="D299" s="76" t="str">
        <f>D272</f>
        <v>kg</v>
      </c>
      <c r="E299" s="77"/>
      <c r="F299" s="82"/>
      <c r="G299" s="82"/>
      <c r="H299" s="82"/>
      <c r="N299" s="60"/>
    </row>
    <row r="300" spans="2:14" ht="13" hidden="1" outlineLevel="1" x14ac:dyDescent="0.25">
      <c r="B300" s="74"/>
      <c r="C300" s="148"/>
      <c r="D300" s="76" t="str">
        <f>D272</f>
        <v>kg</v>
      </c>
      <c r="E300" s="77"/>
      <c r="F300" s="82"/>
      <c r="G300" s="82"/>
      <c r="H300" s="82"/>
      <c r="N300" s="60"/>
    </row>
    <row r="301" spans="2:14" ht="13" hidden="1" outlineLevel="1" x14ac:dyDescent="0.25">
      <c r="B301" s="74"/>
      <c r="C301" s="148"/>
      <c r="D301" s="76" t="str">
        <f>D272</f>
        <v>kg</v>
      </c>
      <c r="E301" s="77"/>
      <c r="F301" s="82"/>
      <c r="G301" s="82"/>
      <c r="H301" s="82"/>
      <c r="N301" s="60"/>
    </row>
    <row r="302" spans="2:14" ht="13" hidden="1" outlineLevel="1" x14ac:dyDescent="0.25">
      <c r="B302" s="74"/>
      <c r="C302" s="148"/>
      <c r="D302" s="76" t="str">
        <f>D272</f>
        <v>kg</v>
      </c>
      <c r="E302" s="77"/>
      <c r="F302" s="82"/>
      <c r="G302" s="82"/>
      <c r="H302" s="82"/>
      <c r="N302" s="60"/>
    </row>
    <row r="303" spans="2:14" ht="13" hidden="1" outlineLevel="1" x14ac:dyDescent="0.25">
      <c r="B303" s="74"/>
      <c r="C303" s="148"/>
      <c r="D303" s="76" t="str">
        <f>D272</f>
        <v>kg</v>
      </c>
      <c r="E303" s="77"/>
      <c r="F303" s="82"/>
      <c r="G303" s="82"/>
      <c r="H303" s="82"/>
      <c r="N303" s="60"/>
    </row>
    <row r="304" spans="2:14" ht="13" hidden="1" outlineLevel="1" x14ac:dyDescent="0.25">
      <c r="B304" s="74"/>
      <c r="C304" s="148"/>
      <c r="D304" s="76" t="str">
        <f>D272</f>
        <v>kg</v>
      </c>
      <c r="E304" s="77"/>
      <c r="F304" s="82"/>
      <c r="G304" s="82"/>
      <c r="H304" s="82"/>
      <c r="N304" s="60"/>
    </row>
    <row r="305" spans="2:14" ht="13" hidden="1" outlineLevel="1" x14ac:dyDescent="0.25">
      <c r="B305" s="74"/>
      <c r="C305" s="148"/>
      <c r="D305" s="76" t="str">
        <f>D272</f>
        <v>kg</v>
      </c>
      <c r="E305" s="77"/>
      <c r="F305" s="82"/>
      <c r="G305" s="82"/>
      <c r="H305" s="82"/>
      <c r="N305" s="60"/>
    </row>
    <row r="306" spans="2:14" ht="13" hidden="1" outlineLevel="1" x14ac:dyDescent="0.25">
      <c r="B306" s="79" t="s">
        <v>70</v>
      </c>
      <c r="C306" s="147"/>
      <c r="D306" s="81"/>
      <c r="E306" s="90"/>
      <c r="F306" s="82"/>
      <c r="G306" s="82"/>
      <c r="H306" s="82"/>
      <c r="N306" s="60"/>
    </row>
    <row r="307" spans="2:14" ht="13" hidden="1" outlineLevel="1" x14ac:dyDescent="0.25">
      <c r="B307" s="74"/>
      <c r="C307" s="148"/>
      <c r="D307" s="76" t="str">
        <f>D272</f>
        <v>kg</v>
      </c>
      <c r="E307" s="77"/>
      <c r="F307" s="82"/>
      <c r="G307" s="82"/>
      <c r="H307" s="82"/>
      <c r="N307" s="60"/>
    </row>
    <row r="308" spans="2:14" ht="13" hidden="1" outlineLevel="1" x14ac:dyDescent="0.25">
      <c r="B308" s="74"/>
      <c r="C308" s="148"/>
      <c r="D308" s="76" t="str">
        <f>D272</f>
        <v>kg</v>
      </c>
      <c r="E308" s="77"/>
      <c r="F308" s="82"/>
      <c r="G308" s="82"/>
      <c r="H308" s="82"/>
      <c r="N308" s="60"/>
    </row>
    <row r="309" spans="2:14" ht="13" hidden="1" outlineLevel="1" x14ac:dyDescent="0.25">
      <c r="B309" s="74"/>
      <c r="C309" s="148"/>
      <c r="D309" s="76" t="str">
        <f>D272</f>
        <v>kg</v>
      </c>
      <c r="E309" s="77"/>
      <c r="F309" s="82"/>
      <c r="G309" s="82"/>
      <c r="H309" s="82"/>
      <c r="N309" s="60"/>
    </row>
    <row r="310" spans="2:14" ht="13" hidden="1" outlineLevel="1" x14ac:dyDescent="0.25">
      <c r="B310" s="74"/>
      <c r="C310" s="148"/>
      <c r="D310" s="76" t="str">
        <f>D272</f>
        <v>kg</v>
      </c>
      <c r="E310" s="77"/>
      <c r="F310" s="82"/>
      <c r="G310" s="82"/>
      <c r="H310" s="82"/>
      <c r="N310" s="60"/>
    </row>
    <row r="311" spans="2:14" ht="13" hidden="1" outlineLevel="1" x14ac:dyDescent="0.25">
      <c r="B311" s="74"/>
      <c r="C311" s="148"/>
      <c r="D311" s="76" t="str">
        <f>D272</f>
        <v>kg</v>
      </c>
      <c r="E311" s="77"/>
      <c r="F311" s="82"/>
      <c r="G311" s="82"/>
      <c r="H311" s="82"/>
      <c r="N311" s="60"/>
    </row>
    <row r="312" spans="2:14" ht="13" hidden="1" outlineLevel="1" x14ac:dyDescent="0.25">
      <c r="B312" s="74"/>
      <c r="C312" s="148"/>
      <c r="D312" s="76" t="str">
        <f>D272</f>
        <v>kg</v>
      </c>
      <c r="E312" s="77"/>
      <c r="F312" s="82"/>
      <c r="G312" s="82"/>
      <c r="H312" s="82"/>
      <c r="N312" s="60"/>
    </row>
    <row r="313" spans="2:14" ht="13" hidden="1" outlineLevel="1" x14ac:dyDescent="0.25">
      <c r="B313" s="74"/>
      <c r="C313" s="148"/>
      <c r="D313" s="76" t="str">
        <f>D272</f>
        <v>kg</v>
      </c>
      <c r="E313" s="77"/>
      <c r="F313" s="82"/>
      <c r="G313" s="82"/>
      <c r="H313" s="82"/>
      <c r="N313" s="60"/>
    </row>
    <row r="314" spans="2:14" ht="13.15" hidden="1" customHeight="1" outlineLevel="1" x14ac:dyDescent="0.25">
      <c r="B314" s="79"/>
      <c r="C314" s="147"/>
      <c r="D314" s="81"/>
      <c r="E314" s="77"/>
      <c r="F314" s="82"/>
      <c r="G314" s="82"/>
      <c r="H314" s="82"/>
      <c r="K314" s="34"/>
      <c r="N314" s="60"/>
    </row>
    <row r="315" spans="2:14" ht="13" hidden="1" outlineLevel="1" x14ac:dyDescent="0.25">
      <c r="B315" s="86" t="s">
        <v>9</v>
      </c>
      <c r="C315" s="149">
        <f>SUM(C296:C313)</f>
        <v>0</v>
      </c>
      <c r="D315" s="91" t="str">
        <f>D272</f>
        <v>kg</v>
      </c>
      <c r="E315" s="77"/>
      <c r="F315" s="82"/>
      <c r="G315" s="82"/>
      <c r="H315" s="82"/>
      <c r="N315" s="60"/>
    </row>
    <row r="316" spans="2:14" ht="13.5" hidden="1" outlineLevel="1" thickBot="1" x14ac:dyDescent="0.3">
      <c r="B316" s="92"/>
      <c r="C316" s="93"/>
      <c r="D316" s="94"/>
      <c r="E316" s="77"/>
      <c r="F316" s="82"/>
      <c r="G316" s="82"/>
      <c r="H316" s="82"/>
      <c r="N316" s="60"/>
    </row>
    <row r="317" spans="2:14" ht="20.5" hidden="1" outlineLevel="1" thickBot="1" x14ac:dyDescent="0.3">
      <c r="B317" s="426" t="s">
        <v>10</v>
      </c>
      <c r="C317" s="427"/>
      <c r="D317" s="428"/>
      <c r="E317" s="77"/>
      <c r="F317" s="82"/>
      <c r="G317" s="82"/>
      <c r="H317" s="82"/>
      <c r="N317" s="60"/>
    </row>
    <row r="318" spans="2:14" ht="13" hidden="1" outlineLevel="1" x14ac:dyDescent="0.25">
      <c r="B318" s="95" t="s">
        <v>23</v>
      </c>
      <c r="C318" s="96"/>
      <c r="D318" s="151">
        <f>SUM(C282:C283)</f>
        <v>0</v>
      </c>
      <c r="E318" s="98"/>
      <c r="F318" s="82"/>
      <c r="G318" s="82"/>
      <c r="H318" s="82"/>
      <c r="N318" s="60"/>
    </row>
    <row r="319" spans="2:14" ht="13" hidden="1" outlineLevel="1" x14ac:dyDescent="0.25">
      <c r="B319" s="99" t="s">
        <v>24</v>
      </c>
      <c r="C319" s="100"/>
      <c r="D319" s="152">
        <f>SUM(C285:C295)</f>
        <v>0</v>
      </c>
      <c r="E319" s="98"/>
      <c r="F319" s="82"/>
      <c r="G319" s="82"/>
      <c r="H319" s="82"/>
      <c r="N319" s="60"/>
    </row>
    <row r="320" spans="2:14" ht="13" hidden="1" outlineLevel="1" x14ac:dyDescent="0.25">
      <c r="B320" s="99" t="s">
        <v>25</v>
      </c>
      <c r="C320" s="100"/>
      <c r="D320" s="152">
        <f>SUM(C298:C306)</f>
        <v>0</v>
      </c>
      <c r="E320" s="98"/>
      <c r="F320" s="82"/>
      <c r="G320" s="82"/>
      <c r="H320" s="82"/>
      <c r="N320" s="60"/>
    </row>
    <row r="321" spans="2:14" ht="13.5" hidden="1" outlineLevel="1" thickBot="1" x14ac:dyDescent="0.3">
      <c r="B321" s="102" t="s">
        <v>26</v>
      </c>
      <c r="C321" s="103"/>
      <c r="D321" s="153">
        <f>SUM(C307:C314)</f>
        <v>0</v>
      </c>
      <c r="E321" s="98"/>
      <c r="F321" s="82"/>
      <c r="G321" s="82"/>
      <c r="H321" s="82"/>
      <c r="N321" s="60"/>
    </row>
    <row r="322" spans="2:14" ht="19" hidden="1" outlineLevel="1" thickTop="1" thickBot="1" x14ac:dyDescent="0.3">
      <c r="B322" s="105" t="s">
        <v>11</v>
      </c>
      <c r="C322" s="106"/>
      <c r="D322" s="107" t="e">
        <f>C296/C278</f>
        <v>#DIV/0!</v>
      </c>
      <c r="E322" s="77"/>
      <c r="F322" s="110" t="s">
        <v>86</v>
      </c>
      <c r="G322" s="109" t="s">
        <v>85</v>
      </c>
      <c r="H322" s="110"/>
      <c r="N322" s="60"/>
    </row>
    <row r="323" spans="2:14" ht="18.5" hidden="1" outlineLevel="1" thickBot="1" x14ac:dyDescent="0.3">
      <c r="B323" s="111" t="s">
        <v>12</v>
      </c>
      <c r="C323" s="112"/>
      <c r="D323" s="113" t="e">
        <f>(D318+D319+D320)/C278</f>
        <v>#DIV/0!</v>
      </c>
      <c r="E323" s="77"/>
      <c r="F323" s="154"/>
      <c r="G323" s="413"/>
      <c r="H323" s="414"/>
      <c r="N323" s="60"/>
    </row>
    <row r="324" spans="2:14" ht="18" hidden="1" outlineLevel="1" x14ac:dyDescent="0.25">
      <c r="B324" s="111" t="s">
        <v>13</v>
      </c>
      <c r="C324" s="112"/>
      <c r="D324" s="113" t="e">
        <f>D320/C278</f>
        <v>#DIV/0!</v>
      </c>
      <c r="E324" s="90"/>
      <c r="F324" s="64" t="s">
        <v>45</v>
      </c>
      <c r="G324" s="64" t="s">
        <v>45</v>
      </c>
      <c r="H324" s="155"/>
      <c r="N324" s="60"/>
    </row>
    <row r="325" spans="2:14" ht="18.5" hidden="1" outlineLevel="1" thickBot="1" x14ac:dyDescent="0.3">
      <c r="B325" s="114" t="s">
        <v>14</v>
      </c>
      <c r="C325" s="115"/>
      <c r="D325" s="116" t="e">
        <f>D321/C278</f>
        <v>#DIV/0!</v>
      </c>
      <c r="E325" s="90"/>
      <c r="F325" s="110"/>
      <c r="G325" s="117" t="s">
        <v>46</v>
      </c>
      <c r="H325" s="110"/>
      <c r="N325" s="60"/>
    </row>
    <row r="326" spans="2:14" ht="18.5" hidden="1" outlineLevel="1" thickBot="1" x14ac:dyDescent="0.3">
      <c r="B326" s="114" t="s">
        <v>15</v>
      </c>
      <c r="C326" s="119"/>
      <c r="D326" s="116" t="e">
        <f>SUM(D318:D321)/C278</f>
        <v>#DIV/0!</v>
      </c>
      <c r="E326" s="90"/>
      <c r="F326" s="429"/>
      <c r="G326" s="430"/>
      <c r="H326" s="431"/>
      <c r="N326" s="60"/>
    </row>
    <row r="327" spans="2:14" ht="18.5" hidden="1" outlineLevel="1" thickTop="1" x14ac:dyDescent="0.25">
      <c r="B327" s="120" t="s">
        <v>16</v>
      </c>
      <c r="C327" s="121"/>
      <c r="D327" s="122" t="e">
        <f>((C282*D260)+D319+C283*MAX(1,F283))/C278</f>
        <v>#DIV/0!</v>
      </c>
      <c r="E327" s="77"/>
      <c r="F327" s="64" t="s">
        <v>45</v>
      </c>
      <c r="G327" s="64"/>
      <c r="H327" s="82"/>
      <c r="N327" s="60"/>
    </row>
    <row r="328" spans="2:14" ht="18" hidden="1" outlineLevel="1" x14ac:dyDescent="0.25">
      <c r="B328" s="123" t="s">
        <v>17</v>
      </c>
      <c r="C328" s="124"/>
      <c r="D328" s="125" t="e">
        <f>(C282*D261+D319+D320+C283*(MAX(1,F283)+G283))/C278</f>
        <v>#DIV/0!</v>
      </c>
      <c r="E328" s="77"/>
      <c r="F328" s="82"/>
      <c r="G328" s="82"/>
      <c r="H328" s="82"/>
      <c r="N328" s="60"/>
    </row>
    <row r="329" spans="2:14" ht="18" hidden="1" customHeight="1" outlineLevel="1" x14ac:dyDescent="0.25">
      <c r="B329" s="123" t="s">
        <v>18</v>
      </c>
      <c r="C329" s="124"/>
      <c r="D329" s="125" t="e">
        <f>((C282*D262)+D320+C283*G283)/C278</f>
        <v>#DIV/0!</v>
      </c>
      <c r="E329" s="77"/>
      <c r="F329" s="415" t="s">
        <v>61</v>
      </c>
      <c r="G329" s="416"/>
      <c r="H329" s="416"/>
      <c r="N329" s="60"/>
    </row>
    <row r="330" spans="2:14" ht="18" hidden="1" outlineLevel="1" x14ac:dyDescent="0.25">
      <c r="B330" s="126" t="s">
        <v>19</v>
      </c>
      <c r="C330" s="127"/>
      <c r="D330" s="128" t="e">
        <f>(C282*D263+D321+C283*H283)/C278</f>
        <v>#DIV/0!</v>
      </c>
      <c r="E330" s="77"/>
      <c r="F330" s="416"/>
      <c r="G330" s="416"/>
      <c r="H330" s="416"/>
      <c r="N330" s="60"/>
    </row>
    <row r="331" spans="2:14" ht="18.5" hidden="1" outlineLevel="1" thickBot="1" x14ac:dyDescent="0.3">
      <c r="B331" s="129" t="s">
        <v>20</v>
      </c>
      <c r="C331" s="130"/>
      <c r="D331" s="131" t="e">
        <f>((C282*D264)+SUM(D319:D321)+C283*(MAX(1,F283)+G283+H283))/C278</f>
        <v>#DIV/0!</v>
      </c>
      <c r="E331" s="77"/>
      <c r="F331" s="416"/>
      <c r="G331" s="416"/>
      <c r="H331" s="416"/>
      <c r="N331" s="60"/>
    </row>
    <row r="332" spans="2:14" ht="13" hidden="1" outlineLevel="1" thickTop="1" x14ac:dyDescent="0.25">
      <c r="B332" s="156" t="s">
        <v>76</v>
      </c>
      <c r="C332" s="424"/>
      <c r="D332" s="425"/>
      <c r="E332" s="46"/>
      <c r="F332" s="416"/>
      <c r="G332" s="416"/>
      <c r="H332" s="416"/>
      <c r="N332" s="60"/>
    </row>
    <row r="333" spans="2:14" hidden="1" outlineLevel="1" x14ac:dyDescent="0.25">
      <c r="B333" s="157" t="s">
        <v>58</v>
      </c>
      <c r="C333" s="422"/>
      <c r="D333" s="423"/>
      <c r="E333" s="46"/>
      <c r="F333" s="416"/>
      <c r="G333" s="416"/>
      <c r="H333" s="416"/>
      <c r="N333" s="60"/>
    </row>
    <row r="334" spans="2:14" ht="13" hidden="1" outlineLevel="1" thickBot="1" x14ac:dyDescent="0.3">
      <c r="B334" s="158" t="s">
        <v>59</v>
      </c>
      <c r="C334" s="420"/>
      <c r="D334" s="421"/>
      <c r="E334" s="46"/>
      <c r="F334" s="416"/>
      <c r="G334" s="416"/>
      <c r="H334" s="416"/>
      <c r="N334" s="60"/>
    </row>
    <row r="335" spans="2:14" ht="13" hidden="1" outlineLevel="1" x14ac:dyDescent="0.25">
      <c r="E335" s="46"/>
      <c r="F335" s="34"/>
      <c r="G335" s="34"/>
      <c r="H335" s="34"/>
      <c r="N335" s="60"/>
    </row>
    <row r="336" spans="2:14" ht="13.5" hidden="1" outlineLevel="1" thickBot="1" x14ac:dyDescent="0.3">
      <c r="C336" s="25" t="s">
        <v>44</v>
      </c>
      <c r="D336" s="25" t="s">
        <v>42</v>
      </c>
      <c r="E336" s="46"/>
      <c r="F336" s="34"/>
      <c r="G336" s="34"/>
      <c r="H336" s="34"/>
      <c r="N336" s="60"/>
    </row>
    <row r="337" spans="2:14" ht="21" hidden="1" outlineLevel="1" thickTop="1" thickBot="1" x14ac:dyDescent="0.3">
      <c r="B337" s="140" t="s">
        <v>73</v>
      </c>
      <c r="C337" s="29"/>
      <c r="D337" s="141"/>
      <c r="E337" s="31"/>
      <c r="F337" s="32" t="s">
        <v>27</v>
      </c>
      <c r="G337" s="33"/>
      <c r="H337" s="33"/>
      <c r="I337" s="34"/>
    </row>
    <row r="338" spans="2:14" ht="14.5" hidden="1" outlineLevel="1" thickBot="1" x14ac:dyDescent="0.3">
      <c r="B338" s="37"/>
      <c r="C338" s="38" t="s">
        <v>0</v>
      </c>
      <c r="D338" s="39" t="s">
        <v>1</v>
      </c>
      <c r="E338" s="40"/>
      <c r="F338" s="41" t="s">
        <v>28</v>
      </c>
      <c r="G338" s="41" t="s">
        <v>21</v>
      </c>
      <c r="H338" s="41" t="s">
        <v>8</v>
      </c>
    </row>
    <row r="339" spans="2:14" ht="13" hidden="1" outlineLevel="1" x14ac:dyDescent="0.25">
      <c r="B339" s="43" t="s">
        <v>65</v>
      </c>
      <c r="C339" s="142"/>
      <c r="D339" s="45" t="s">
        <v>2</v>
      </c>
      <c r="E339" s="46"/>
      <c r="F339" s="47"/>
      <c r="G339" s="47"/>
      <c r="H339" s="47"/>
      <c r="N339" s="60"/>
    </row>
    <row r="340" spans="2:14" ht="13" hidden="1" outlineLevel="1" x14ac:dyDescent="0.25">
      <c r="B340" s="43" t="s">
        <v>64</v>
      </c>
      <c r="C340" s="143"/>
      <c r="D340" s="45" t="s">
        <v>3</v>
      </c>
      <c r="E340" s="46"/>
      <c r="F340" s="47"/>
      <c r="G340" s="47"/>
      <c r="H340" s="47"/>
      <c r="J340" s="159"/>
      <c r="N340" s="60"/>
    </row>
    <row r="341" spans="2:14" ht="13" hidden="1" outlineLevel="1" x14ac:dyDescent="0.25">
      <c r="B341" s="51" t="s">
        <v>63</v>
      </c>
      <c r="C341" s="144">
        <f>C339*C340</f>
        <v>0</v>
      </c>
      <c r="D341" s="45" t="str">
        <f>D339</f>
        <v>kg</v>
      </c>
      <c r="E341" s="46"/>
      <c r="F341" s="47"/>
      <c r="G341" s="47"/>
      <c r="H341" s="47"/>
      <c r="N341" s="60"/>
    </row>
    <row r="342" spans="2:14" ht="14" hidden="1" outlineLevel="1" x14ac:dyDescent="0.25">
      <c r="B342" s="54" t="s">
        <v>37</v>
      </c>
      <c r="C342" s="145">
        <v>1</v>
      </c>
      <c r="D342" s="56"/>
      <c r="E342" s="57"/>
      <c r="F342" s="58"/>
      <c r="G342" s="58"/>
      <c r="H342" s="58"/>
      <c r="N342" s="60"/>
    </row>
    <row r="343" spans="2:14" ht="13" hidden="1" outlineLevel="1" x14ac:dyDescent="0.25">
      <c r="B343" s="43" t="s">
        <v>66</v>
      </c>
      <c r="C343" s="142"/>
      <c r="D343" s="45" t="str">
        <f>D339</f>
        <v>kg</v>
      </c>
      <c r="E343" s="46"/>
      <c r="F343" s="47"/>
      <c r="G343" s="47"/>
      <c r="H343" s="47"/>
      <c r="N343" s="60"/>
    </row>
    <row r="344" spans="2:14" ht="13" hidden="1" outlineLevel="1" x14ac:dyDescent="0.25">
      <c r="B344" s="43" t="s">
        <v>67</v>
      </c>
      <c r="C344" s="143"/>
      <c r="D344" s="45" t="s">
        <v>3</v>
      </c>
      <c r="E344" s="59"/>
      <c r="F344" s="47"/>
      <c r="G344" s="47"/>
      <c r="H344" s="47"/>
      <c r="N344" s="60"/>
    </row>
    <row r="345" spans="2:14" ht="13.5" hidden="1" outlineLevel="1" thickBot="1" x14ac:dyDescent="0.3">
      <c r="B345" s="51" t="s">
        <v>68</v>
      </c>
      <c r="C345" s="144">
        <f>C343*C344</f>
        <v>0</v>
      </c>
      <c r="D345" s="45" t="str">
        <f>D339</f>
        <v>kg</v>
      </c>
      <c r="E345" s="46"/>
      <c r="F345" s="47"/>
      <c r="G345" s="47"/>
      <c r="H345" s="47"/>
      <c r="N345" s="60"/>
    </row>
    <row r="346" spans="2:14" ht="13.5" hidden="1" outlineLevel="1" thickBot="1" x14ac:dyDescent="0.3">
      <c r="B346" s="61"/>
      <c r="C346" s="62"/>
      <c r="D346" s="63"/>
      <c r="F346" s="64"/>
      <c r="G346" s="64"/>
      <c r="H346" s="64"/>
      <c r="N346" s="60"/>
    </row>
    <row r="347" spans="2:14" ht="14.5" hidden="1" outlineLevel="1" thickBot="1" x14ac:dyDescent="0.3">
      <c r="B347" s="65" t="s">
        <v>5</v>
      </c>
      <c r="C347" s="66" t="s">
        <v>6</v>
      </c>
      <c r="D347" s="67" t="s">
        <v>1</v>
      </c>
      <c r="E347" s="68"/>
      <c r="F347" s="69"/>
      <c r="G347" s="69"/>
      <c r="H347" s="69"/>
      <c r="N347" s="60"/>
    </row>
    <row r="348" spans="2:14" ht="13" hidden="1" outlineLevel="1" x14ac:dyDescent="0.25">
      <c r="B348" s="70" t="s">
        <v>43</v>
      </c>
      <c r="C348" s="71"/>
      <c r="D348" s="72"/>
      <c r="E348" s="73"/>
      <c r="F348" s="69"/>
      <c r="G348" s="69"/>
      <c r="H348" s="69"/>
      <c r="N348" s="60"/>
    </row>
    <row r="349" spans="2:14" ht="13.5" hidden="1" outlineLevel="1" thickBot="1" x14ac:dyDescent="0.3">
      <c r="B349" s="74"/>
      <c r="C349" s="146">
        <f>C341</f>
        <v>0</v>
      </c>
      <c r="D349" s="76" t="str">
        <f>D339</f>
        <v>kg</v>
      </c>
      <c r="E349" s="98"/>
      <c r="F349" s="69"/>
      <c r="G349" s="69"/>
      <c r="H349" s="69"/>
      <c r="N349" s="60"/>
    </row>
    <row r="350" spans="2:14" ht="13.5" hidden="1" outlineLevel="1" thickBot="1" x14ac:dyDescent="0.3">
      <c r="B350" s="74"/>
      <c r="C350" s="146"/>
      <c r="D350" s="76" t="str">
        <f>D339</f>
        <v>kg</v>
      </c>
      <c r="E350" s="77"/>
      <c r="F350" s="78"/>
      <c r="G350" s="78"/>
      <c r="H350" s="78"/>
      <c r="N350" s="60"/>
    </row>
    <row r="351" spans="2:14" ht="13" hidden="1" outlineLevel="1" x14ac:dyDescent="0.25">
      <c r="B351" s="79" t="s">
        <v>69</v>
      </c>
      <c r="C351" s="147"/>
      <c r="D351" s="81"/>
      <c r="E351" s="77"/>
      <c r="F351" s="82"/>
      <c r="G351" s="82"/>
      <c r="H351" s="82"/>
      <c r="N351" s="60"/>
    </row>
    <row r="352" spans="2:14" ht="13" hidden="1" outlineLevel="1" x14ac:dyDescent="0.25">
      <c r="B352" s="74"/>
      <c r="C352" s="148"/>
      <c r="D352" s="76" t="str">
        <f>D339</f>
        <v>kg</v>
      </c>
      <c r="E352" s="77"/>
      <c r="F352" s="82"/>
      <c r="G352" s="82"/>
      <c r="H352" s="82"/>
      <c r="N352" s="60"/>
    </row>
    <row r="353" spans="2:14" ht="13" hidden="1" outlineLevel="1" x14ac:dyDescent="0.25">
      <c r="B353" s="74"/>
      <c r="C353" s="148"/>
      <c r="D353" s="76" t="str">
        <f>D339</f>
        <v>kg</v>
      </c>
      <c r="E353" s="77"/>
      <c r="F353" s="82"/>
      <c r="G353" s="82"/>
      <c r="H353" s="82"/>
      <c r="N353" s="60"/>
    </row>
    <row r="354" spans="2:14" ht="13" hidden="1" outlineLevel="1" x14ac:dyDescent="0.25">
      <c r="B354" s="74"/>
      <c r="C354" s="148"/>
      <c r="D354" s="76" t="str">
        <f>D339</f>
        <v>kg</v>
      </c>
      <c r="E354" s="77"/>
      <c r="F354" s="82"/>
      <c r="G354" s="82"/>
      <c r="H354" s="82"/>
      <c r="N354" s="60"/>
    </row>
    <row r="355" spans="2:14" ht="13" hidden="1" outlineLevel="1" x14ac:dyDescent="0.25">
      <c r="B355" s="74"/>
      <c r="C355" s="148"/>
      <c r="D355" s="76" t="str">
        <f>D339</f>
        <v>kg</v>
      </c>
      <c r="E355" s="77"/>
      <c r="F355" s="82"/>
      <c r="G355" s="82"/>
      <c r="H355" s="82"/>
      <c r="N355" s="60"/>
    </row>
    <row r="356" spans="2:14" ht="13" hidden="1" outlineLevel="1" x14ac:dyDescent="0.25">
      <c r="B356" s="74"/>
      <c r="C356" s="148"/>
      <c r="D356" s="76" t="str">
        <f>D339</f>
        <v>kg</v>
      </c>
      <c r="E356" s="77"/>
      <c r="F356" s="82"/>
      <c r="G356" s="82"/>
      <c r="H356" s="82"/>
      <c r="N356" s="60"/>
    </row>
    <row r="357" spans="2:14" ht="13" hidden="1" outlineLevel="1" x14ac:dyDescent="0.25">
      <c r="B357" s="74"/>
      <c r="C357" s="148"/>
      <c r="D357" s="76" t="str">
        <f>D339</f>
        <v>kg</v>
      </c>
      <c r="E357" s="77"/>
      <c r="F357" s="82"/>
      <c r="G357" s="82"/>
      <c r="H357" s="82"/>
      <c r="N357" s="60"/>
    </row>
    <row r="358" spans="2:14" ht="13" hidden="1" outlineLevel="1" x14ac:dyDescent="0.25">
      <c r="B358" s="74"/>
      <c r="C358" s="148"/>
      <c r="D358" s="76" t="str">
        <f>D339</f>
        <v>kg</v>
      </c>
      <c r="E358" s="77"/>
      <c r="F358" s="82"/>
      <c r="G358" s="82"/>
      <c r="H358" s="82"/>
      <c r="N358" s="60"/>
    </row>
    <row r="359" spans="2:14" ht="13" hidden="1" outlineLevel="1" x14ac:dyDescent="0.25">
      <c r="B359" s="74"/>
      <c r="C359" s="148"/>
      <c r="D359" s="76" t="str">
        <f>D339</f>
        <v>kg</v>
      </c>
      <c r="E359" s="77"/>
      <c r="F359" s="82"/>
      <c r="G359" s="82"/>
      <c r="H359" s="82"/>
      <c r="N359" s="60"/>
    </row>
    <row r="360" spans="2:14" ht="13" hidden="1" outlineLevel="1" x14ac:dyDescent="0.25">
      <c r="B360" s="74"/>
      <c r="C360" s="148"/>
      <c r="D360" s="76" t="str">
        <f>D339</f>
        <v>kg</v>
      </c>
      <c r="E360" s="77"/>
      <c r="F360" s="82"/>
      <c r="G360" s="82"/>
      <c r="H360" s="82"/>
      <c r="N360" s="60"/>
    </row>
    <row r="361" spans="2:14" ht="13" hidden="1" outlineLevel="1" x14ac:dyDescent="0.25">
      <c r="B361" s="74"/>
      <c r="C361" s="148"/>
      <c r="D361" s="76" t="str">
        <f>D339</f>
        <v>kg</v>
      </c>
      <c r="E361" s="77"/>
      <c r="F361" s="82"/>
      <c r="G361" s="82"/>
      <c r="H361" s="82"/>
      <c r="N361" s="60"/>
    </row>
    <row r="362" spans="2:14" ht="13.15" hidden="1" customHeight="1" outlineLevel="1" x14ac:dyDescent="0.25">
      <c r="B362" s="79"/>
      <c r="C362" s="147"/>
      <c r="D362" s="81"/>
      <c r="E362" s="77"/>
      <c r="F362" s="82"/>
      <c r="G362" s="82"/>
      <c r="H362" s="82"/>
      <c r="K362" s="34"/>
      <c r="N362" s="60"/>
    </row>
    <row r="363" spans="2:14" ht="13" hidden="1" outlineLevel="1" x14ac:dyDescent="0.25">
      <c r="B363" s="86" t="s">
        <v>7</v>
      </c>
      <c r="C363" s="149">
        <f>SUM(C348:C361)</f>
        <v>0</v>
      </c>
      <c r="D363" s="88" t="str">
        <f>D339</f>
        <v>kg</v>
      </c>
      <c r="E363" s="77"/>
      <c r="F363" s="82"/>
      <c r="G363" s="82"/>
      <c r="H363" s="82"/>
      <c r="N363" s="60"/>
    </row>
    <row r="364" spans="2:14" ht="13" hidden="1" outlineLevel="1" x14ac:dyDescent="0.25">
      <c r="B364" s="79" t="s">
        <v>71</v>
      </c>
      <c r="C364" s="150"/>
      <c r="D364" s="81"/>
      <c r="E364" s="77"/>
      <c r="F364" s="82"/>
      <c r="G364" s="82"/>
      <c r="H364" s="82"/>
      <c r="N364" s="60"/>
    </row>
    <row r="365" spans="2:14" ht="13" hidden="1" outlineLevel="1" x14ac:dyDescent="0.25">
      <c r="B365" s="74"/>
      <c r="C365" s="148"/>
      <c r="D365" s="76" t="str">
        <f>D339</f>
        <v>kg</v>
      </c>
      <c r="E365" s="77"/>
      <c r="F365" s="82"/>
      <c r="G365" s="82"/>
      <c r="H365" s="82"/>
      <c r="N365" s="60"/>
    </row>
    <row r="366" spans="2:14" ht="13" hidden="1" outlineLevel="1" x14ac:dyDescent="0.25">
      <c r="B366" s="74"/>
      <c r="C366" s="148"/>
      <c r="D366" s="76" t="str">
        <f>D339</f>
        <v>kg</v>
      </c>
      <c r="E366" s="77"/>
      <c r="F366" s="82"/>
      <c r="G366" s="82"/>
      <c r="H366" s="82"/>
      <c r="N366" s="60"/>
    </row>
    <row r="367" spans="2:14" ht="13" hidden="1" outlineLevel="1" x14ac:dyDescent="0.25">
      <c r="B367" s="74"/>
      <c r="C367" s="148"/>
      <c r="D367" s="76" t="str">
        <f>D339</f>
        <v>kg</v>
      </c>
      <c r="E367" s="77"/>
      <c r="F367" s="82"/>
      <c r="G367" s="82"/>
      <c r="H367" s="82"/>
      <c r="N367" s="60"/>
    </row>
    <row r="368" spans="2:14" ht="13" hidden="1" outlineLevel="1" x14ac:dyDescent="0.25">
      <c r="B368" s="74"/>
      <c r="C368" s="148"/>
      <c r="D368" s="76" t="str">
        <f>D339</f>
        <v>kg</v>
      </c>
      <c r="E368" s="77"/>
      <c r="F368" s="82"/>
      <c r="G368" s="82"/>
      <c r="H368" s="82"/>
      <c r="N368" s="60"/>
    </row>
    <row r="369" spans="2:14" ht="13" hidden="1" outlineLevel="1" x14ac:dyDescent="0.25">
      <c r="B369" s="74"/>
      <c r="C369" s="148"/>
      <c r="D369" s="76" t="str">
        <f>D339</f>
        <v>kg</v>
      </c>
      <c r="E369" s="77"/>
      <c r="F369" s="82"/>
      <c r="G369" s="82"/>
      <c r="H369" s="82"/>
      <c r="N369" s="60"/>
    </row>
    <row r="370" spans="2:14" ht="13" hidden="1" outlineLevel="1" x14ac:dyDescent="0.25">
      <c r="B370" s="74"/>
      <c r="C370" s="148"/>
      <c r="D370" s="76" t="str">
        <f>D339</f>
        <v>kg</v>
      </c>
      <c r="E370" s="77"/>
      <c r="F370" s="82"/>
      <c r="G370" s="82"/>
      <c r="H370" s="82"/>
      <c r="N370" s="60"/>
    </row>
    <row r="371" spans="2:14" ht="13" hidden="1" outlineLevel="1" x14ac:dyDescent="0.25">
      <c r="B371" s="74"/>
      <c r="C371" s="148"/>
      <c r="D371" s="76" t="str">
        <f>D339</f>
        <v>kg</v>
      </c>
      <c r="E371" s="77"/>
      <c r="F371" s="82"/>
      <c r="G371" s="82"/>
      <c r="H371" s="82"/>
      <c r="N371" s="60"/>
    </row>
    <row r="372" spans="2:14" ht="13" hidden="1" outlineLevel="1" x14ac:dyDescent="0.25">
      <c r="B372" s="74"/>
      <c r="C372" s="148"/>
      <c r="D372" s="76" t="str">
        <f>D339</f>
        <v>kg</v>
      </c>
      <c r="E372" s="77"/>
      <c r="F372" s="82"/>
      <c r="G372" s="82"/>
      <c r="H372" s="82"/>
      <c r="N372" s="60"/>
    </row>
    <row r="373" spans="2:14" ht="13" hidden="1" outlineLevel="1" x14ac:dyDescent="0.25">
      <c r="B373" s="79" t="s">
        <v>70</v>
      </c>
      <c r="C373" s="147"/>
      <c r="D373" s="81"/>
      <c r="E373" s="90"/>
      <c r="F373" s="82"/>
      <c r="G373" s="82"/>
      <c r="H373" s="82"/>
      <c r="N373" s="60"/>
    </row>
    <row r="374" spans="2:14" ht="13" hidden="1" outlineLevel="1" x14ac:dyDescent="0.25">
      <c r="B374" s="74"/>
      <c r="C374" s="148"/>
      <c r="D374" s="76" t="str">
        <f>D339</f>
        <v>kg</v>
      </c>
      <c r="E374" s="77"/>
      <c r="F374" s="82"/>
      <c r="G374" s="82"/>
      <c r="H374" s="82"/>
      <c r="N374" s="60"/>
    </row>
    <row r="375" spans="2:14" ht="13" hidden="1" outlineLevel="1" x14ac:dyDescent="0.25">
      <c r="B375" s="74"/>
      <c r="C375" s="148"/>
      <c r="D375" s="76" t="str">
        <f>D339</f>
        <v>kg</v>
      </c>
      <c r="E375" s="77"/>
      <c r="F375" s="82"/>
      <c r="G375" s="82"/>
      <c r="H375" s="82"/>
      <c r="N375" s="60"/>
    </row>
    <row r="376" spans="2:14" ht="13" hidden="1" outlineLevel="1" x14ac:dyDescent="0.25">
      <c r="B376" s="74"/>
      <c r="C376" s="148"/>
      <c r="D376" s="76" t="str">
        <f>D339</f>
        <v>kg</v>
      </c>
      <c r="E376" s="77"/>
      <c r="F376" s="82"/>
      <c r="G376" s="82"/>
      <c r="H376" s="82"/>
      <c r="N376" s="60"/>
    </row>
    <row r="377" spans="2:14" ht="13" hidden="1" outlineLevel="1" x14ac:dyDescent="0.25">
      <c r="B377" s="74"/>
      <c r="C377" s="148"/>
      <c r="D377" s="76" t="str">
        <f>D339</f>
        <v>kg</v>
      </c>
      <c r="E377" s="77"/>
      <c r="F377" s="82"/>
      <c r="G377" s="82"/>
      <c r="H377" s="82"/>
      <c r="N377" s="60"/>
    </row>
    <row r="378" spans="2:14" ht="13" hidden="1" outlineLevel="1" x14ac:dyDescent="0.25">
      <c r="B378" s="74"/>
      <c r="C378" s="148"/>
      <c r="D378" s="76" t="str">
        <f>D339</f>
        <v>kg</v>
      </c>
      <c r="E378" s="77"/>
      <c r="F378" s="82"/>
      <c r="G378" s="82"/>
      <c r="H378" s="82"/>
      <c r="N378" s="60"/>
    </row>
    <row r="379" spans="2:14" ht="14.25" hidden="1" customHeight="1" outlineLevel="1" x14ac:dyDescent="0.25">
      <c r="B379" s="74"/>
      <c r="C379" s="148"/>
      <c r="D379" s="76" t="str">
        <f>D339</f>
        <v>kg</v>
      </c>
      <c r="E379" s="77"/>
      <c r="F379" s="82"/>
      <c r="G379" s="82"/>
      <c r="H379" s="82"/>
      <c r="N379" s="60"/>
    </row>
    <row r="380" spans="2:14" ht="13" hidden="1" outlineLevel="1" x14ac:dyDescent="0.25">
      <c r="B380" s="74"/>
      <c r="C380" s="148"/>
      <c r="D380" s="76" t="str">
        <f>D339</f>
        <v>kg</v>
      </c>
      <c r="E380" s="77"/>
      <c r="F380" s="82"/>
      <c r="G380" s="82"/>
      <c r="H380" s="82"/>
      <c r="N380" s="60"/>
    </row>
    <row r="381" spans="2:14" ht="13.15" hidden="1" customHeight="1" outlineLevel="1" x14ac:dyDescent="0.25">
      <c r="B381" s="79"/>
      <c r="C381" s="147"/>
      <c r="D381" s="81"/>
      <c r="E381" s="77"/>
      <c r="F381" s="82"/>
      <c r="G381" s="82"/>
      <c r="H381" s="82"/>
      <c r="K381" s="34"/>
      <c r="N381" s="60"/>
    </row>
    <row r="382" spans="2:14" ht="13" hidden="1" outlineLevel="1" x14ac:dyDescent="0.25">
      <c r="B382" s="86" t="s">
        <v>9</v>
      </c>
      <c r="C382" s="149">
        <f>SUM(C363:C380)</f>
        <v>0</v>
      </c>
      <c r="D382" s="91" t="str">
        <f>D339</f>
        <v>kg</v>
      </c>
      <c r="E382" s="77"/>
      <c r="F382" s="82"/>
      <c r="G382" s="82"/>
      <c r="H382" s="82"/>
      <c r="N382" s="60"/>
    </row>
    <row r="383" spans="2:14" ht="13.5" hidden="1" outlineLevel="1" thickBot="1" x14ac:dyDescent="0.3">
      <c r="B383" s="92"/>
      <c r="C383" s="93"/>
      <c r="D383" s="94"/>
      <c r="E383" s="77"/>
      <c r="F383" s="82"/>
      <c r="G383" s="82"/>
      <c r="H383" s="82"/>
      <c r="N383" s="60"/>
    </row>
    <row r="384" spans="2:14" ht="20.5" hidden="1" outlineLevel="1" thickBot="1" x14ac:dyDescent="0.3">
      <c r="B384" s="426" t="s">
        <v>10</v>
      </c>
      <c r="C384" s="427"/>
      <c r="D384" s="428"/>
      <c r="E384" s="77"/>
      <c r="F384" s="82"/>
      <c r="G384" s="82"/>
      <c r="H384" s="82"/>
      <c r="N384" s="60"/>
    </row>
    <row r="385" spans="2:14" ht="13" hidden="1" outlineLevel="1" x14ac:dyDescent="0.25">
      <c r="B385" s="95" t="s">
        <v>23</v>
      </c>
      <c r="C385" s="96"/>
      <c r="D385" s="151">
        <f>SUM(C349:C350)</f>
        <v>0</v>
      </c>
      <c r="E385" s="98"/>
      <c r="F385" s="82"/>
      <c r="G385" s="82"/>
      <c r="H385" s="82"/>
      <c r="N385" s="60"/>
    </row>
    <row r="386" spans="2:14" ht="13" hidden="1" outlineLevel="1" x14ac:dyDescent="0.25">
      <c r="B386" s="99" t="s">
        <v>24</v>
      </c>
      <c r="C386" s="100"/>
      <c r="D386" s="152">
        <f>SUM(C352:C362)</f>
        <v>0</v>
      </c>
      <c r="E386" s="98"/>
      <c r="F386" s="82"/>
      <c r="G386" s="82"/>
      <c r="H386" s="82"/>
      <c r="N386" s="60"/>
    </row>
    <row r="387" spans="2:14" ht="13" hidden="1" outlineLevel="1" x14ac:dyDescent="0.25">
      <c r="B387" s="99" t="s">
        <v>25</v>
      </c>
      <c r="C387" s="100"/>
      <c r="D387" s="152">
        <f>SUM(C365:C373)</f>
        <v>0</v>
      </c>
      <c r="E387" s="98"/>
      <c r="F387" s="82"/>
      <c r="G387" s="82"/>
      <c r="H387" s="82"/>
      <c r="N387" s="60"/>
    </row>
    <row r="388" spans="2:14" ht="13.5" hidden="1" outlineLevel="1" thickBot="1" x14ac:dyDescent="0.3">
      <c r="B388" s="102" t="s">
        <v>26</v>
      </c>
      <c r="C388" s="103"/>
      <c r="D388" s="153">
        <f>SUM(C374:C381)</f>
        <v>0</v>
      </c>
      <c r="E388" s="98"/>
      <c r="F388" s="82"/>
      <c r="G388" s="82"/>
      <c r="H388" s="82"/>
      <c r="N388" s="60"/>
    </row>
    <row r="389" spans="2:14" ht="19" hidden="1" outlineLevel="1" thickTop="1" thickBot="1" x14ac:dyDescent="0.3">
      <c r="B389" s="105" t="s">
        <v>11</v>
      </c>
      <c r="C389" s="106"/>
      <c r="D389" s="107" t="e">
        <f>C363/C345</f>
        <v>#DIV/0!</v>
      </c>
      <c r="E389" s="77"/>
      <c r="F389" s="110" t="s">
        <v>86</v>
      </c>
      <c r="G389" s="109" t="s">
        <v>85</v>
      </c>
      <c r="H389" s="110"/>
      <c r="N389" s="60"/>
    </row>
    <row r="390" spans="2:14" ht="18.5" hidden="1" outlineLevel="1" thickBot="1" x14ac:dyDescent="0.3">
      <c r="B390" s="111" t="s">
        <v>12</v>
      </c>
      <c r="C390" s="112"/>
      <c r="D390" s="113" t="e">
        <f>(D385+D386+D387)/C345</f>
        <v>#DIV/0!</v>
      </c>
      <c r="E390" s="77"/>
      <c r="F390" s="154"/>
      <c r="G390" s="413"/>
      <c r="H390" s="414"/>
      <c r="N390" s="60"/>
    </row>
    <row r="391" spans="2:14" ht="18" hidden="1" outlineLevel="1" x14ac:dyDescent="0.25">
      <c r="B391" s="111" t="s">
        <v>13</v>
      </c>
      <c r="C391" s="112"/>
      <c r="D391" s="113" t="e">
        <f>D387/C345</f>
        <v>#DIV/0!</v>
      </c>
      <c r="E391" s="90"/>
      <c r="F391" s="64" t="s">
        <v>45</v>
      </c>
      <c r="G391" s="64" t="s">
        <v>45</v>
      </c>
      <c r="H391" s="155"/>
      <c r="N391" s="60"/>
    </row>
    <row r="392" spans="2:14" ht="18.5" hidden="1" outlineLevel="1" thickBot="1" x14ac:dyDescent="0.3">
      <c r="B392" s="114" t="s">
        <v>14</v>
      </c>
      <c r="C392" s="115"/>
      <c r="D392" s="116" t="e">
        <f>D388/C345</f>
        <v>#DIV/0!</v>
      </c>
      <c r="E392" s="90"/>
      <c r="F392" s="110"/>
      <c r="G392" s="117" t="s">
        <v>46</v>
      </c>
      <c r="H392" s="110"/>
      <c r="N392" s="60"/>
    </row>
    <row r="393" spans="2:14" ht="18.5" hidden="1" outlineLevel="1" thickBot="1" x14ac:dyDescent="0.3">
      <c r="B393" s="114" t="s">
        <v>15</v>
      </c>
      <c r="C393" s="119"/>
      <c r="D393" s="116" t="e">
        <f>SUM(D385:D388)/C345</f>
        <v>#DIV/0!</v>
      </c>
      <c r="E393" s="90"/>
      <c r="F393" s="429"/>
      <c r="G393" s="430"/>
      <c r="H393" s="431"/>
      <c r="N393" s="60"/>
    </row>
    <row r="394" spans="2:14" ht="18.5" hidden="1" outlineLevel="1" thickTop="1" x14ac:dyDescent="0.25">
      <c r="B394" s="120" t="s">
        <v>16</v>
      </c>
      <c r="C394" s="121"/>
      <c r="D394" s="122" t="e">
        <f>((C349*D327)+D386+C350*MAX(1,F350))/C345</f>
        <v>#DIV/0!</v>
      </c>
      <c r="E394" s="77"/>
      <c r="F394" s="64" t="s">
        <v>45</v>
      </c>
      <c r="G394" s="64"/>
      <c r="H394" s="82"/>
      <c r="N394" s="60"/>
    </row>
    <row r="395" spans="2:14" ht="18" hidden="1" outlineLevel="1" x14ac:dyDescent="0.25">
      <c r="B395" s="123" t="s">
        <v>17</v>
      </c>
      <c r="C395" s="124"/>
      <c r="D395" s="125" t="e">
        <f>(C349*D328+D386+D387+C350*(MAX(1,F350)+G350))/C345</f>
        <v>#DIV/0!</v>
      </c>
      <c r="E395" s="77"/>
      <c r="F395" s="82"/>
      <c r="G395" s="82"/>
      <c r="H395" s="82"/>
      <c r="N395" s="60"/>
    </row>
    <row r="396" spans="2:14" ht="18" hidden="1" customHeight="1" outlineLevel="1" x14ac:dyDescent="0.25">
      <c r="B396" s="123" t="s">
        <v>18</v>
      </c>
      <c r="C396" s="124"/>
      <c r="D396" s="125" t="e">
        <f>((C349*D329)+D387+C350*G350)/C345</f>
        <v>#DIV/0!</v>
      </c>
      <c r="E396" s="77"/>
      <c r="F396" s="415" t="s">
        <v>61</v>
      </c>
      <c r="G396" s="416"/>
      <c r="H396" s="416"/>
      <c r="N396" s="60"/>
    </row>
    <row r="397" spans="2:14" ht="18" hidden="1" outlineLevel="1" x14ac:dyDescent="0.25">
      <c r="B397" s="126" t="s">
        <v>19</v>
      </c>
      <c r="C397" s="127"/>
      <c r="D397" s="128" t="e">
        <f>(C349*D330+D388+C350*H350)/C345</f>
        <v>#DIV/0!</v>
      </c>
      <c r="E397" s="77"/>
      <c r="F397" s="416"/>
      <c r="G397" s="416"/>
      <c r="H397" s="416"/>
      <c r="N397" s="60"/>
    </row>
    <row r="398" spans="2:14" ht="18.5" hidden="1" outlineLevel="1" thickBot="1" x14ac:dyDescent="0.3">
      <c r="B398" s="129" t="s">
        <v>20</v>
      </c>
      <c r="C398" s="130"/>
      <c r="D398" s="131" t="e">
        <f>((C349*D331)+SUM(D386:D388)+C350*(MAX(1,F350)+G350+H350))/C345</f>
        <v>#DIV/0!</v>
      </c>
      <c r="E398" s="77"/>
      <c r="F398" s="416"/>
      <c r="G398" s="416"/>
      <c r="H398" s="416"/>
      <c r="N398" s="60"/>
    </row>
    <row r="399" spans="2:14" ht="13" hidden="1" outlineLevel="1" thickTop="1" x14ac:dyDescent="0.25">
      <c r="B399" s="156" t="s">
        <v>76</v>
      </c>
      <c r="C399" s="424"/>
      <c r="D399" s="425"/>
      <c r="E399" s="46"/>
      <c r="F399" s="416"/>
      <c r="G399" s="416"/>
      <c r="H399" s="416"/>
      <c r="N399" s="60"/>
    </row>
    <row r="400" spans="2:14" hidden="1" outlineLevel="1" x14ac:dyDescent="0.25">
      <c r="B400" s="157" t="s">
        <v>58</v>
      </c>
      <c r="C400" s="422"/>
      <c r="D400" s="423"/>
      <c r="E400" s="46"/>
      <c r="F400" s="416"/>
      <c r="G400" s="416"/>
      <c r="H400" s="416"/>
      <c r="N400" s="60"/>
    </row>
    <row r="401" spans="2:14" ht="13" hidden="1" outlineLevel="1" thickBot="1" x14ac:dyDescent="0.3">
      <c r="B401" s="158" t="s">
        <v>59</v>
      </c>
      <c r="C401" s="420"/>
      <c r="D401" s="421"/>
      <c r="E401" s="46"/>
      <c r="F401" s="416"/>
      <c r="G401" s="416"/>
      <c r="H401" s="416"/>
      <c r="N401" s="60"/>
    </row>
    <row r="402" spans="2:14" ht="13" hidden="1" outlineLevel="1" x14ac:dyDescent="0.25">
      <c r="E402" s="46"/>
      <c r="F402" s="34"/>
      <c r="G402" s="34"/>
      <c r="H402" s="34"/>
      <c r="N402" s="60"/>
    </row>
    <row r="403" spans="2:14" ht="13.5" hidden="1" outlineLevel="1" thickBot="1" x14ac:dyDescent="0.3">
      <c r="C403" s="25" t="s">
        <v>44</v>
      </c>
      <c r="D403" s="25" t="s">
        <v>42</v>
      </c>
      <c r="E403" s="46"/>
      <c r="F403" s="34"/>
      <c r="G403" s="34"/>
      <c r="H403" s="34"/>
      <c r="N403" s="60"/>
    </row>
    <row r="404" spans="2:14" ht="21" hidden="1" outlineLevel="1" thickTop="1" thickBot="1" x14ac:dyDescent="0.3">
      <c r="B404" s="140" t="s">
        <v>73</v>
      </c>
      <c r="C404" s="29"/>
      <c r="D404" s="141"/>
      <c r="E404" s="31"/>
      <c r="F404" s="32" t="s">
        <v>27</v>
      </c>
      <c r="G404" s="33"/>
      <c r="H404" s="33"/>
      <c r="I404" s="34"/>
    </row>
    <row r="405" spans="2:14" ht="14.65" hidden="1" customHeight="1" outlineLevel="1" thickBot="1" x14ac:dyDescent="0.3">
      <c r="B405" s="37"/>
      <c r="C405" s="38" t="s">
        <v>0</v>
      </c>
      <c r="D405" s="39" t="s">
        <v>1</v>
      </c>
      <c r="E405" s="40"/>
      <c r="F405" s="41" t="s">
        <v>28</v>
      </c>
      <c r="G405" s="41" t="s">
        <v>21</v>
      </c>
      <c r="H405" s="41" t="s">
        <v>8</v>
      </c>
    </row>
    <row r="406" spans="2:14" ht="13" hidden="1" outlineLevel="1" x14ac:dyDescent="0.25">
      <c r="B406" s="43" t="s">
        <v>65</v>
      </c>
      <c r="C406" s="142"/>
      <c r="D406" s="45" t="s">
        <v>2</v>
      </c>
      <c r="E406" s="46"/>
      <c r="F406" s="47"/>
      <c r="G406" s="47"/>
      <c r="H406" s="47"/>
      <c r="N406" s="60"/>
    </row>
    <row r="407" spans="2:14" ht="13" hidden="1" outlineLevel="1" x14ac:dyDescent="0.25">
      <c r="B407" s="43" t="s">
        <v>64</v>
      </c>
      <c r="C407" s="143"/>
      <c r="D407" s="45" t="s">
        <v>3</v>
      </c>
      <c r="E407" s="46"/>
      <c r="F407" s="47"/>
      <c r="G407" s="47"/>
      <c r="H407" s="47"/>
      <c r="N407" s="60"/>
    </row>
    <row r="408" spans="2:14" ht="13" hidden="1" outlineLevel="1" x14ac:dyDescent="0.25">
      <c r="B408" s="51" t="s">
        <v>63</v>
      </c>
      <c r="C408" s="144">
        <f>C406*C407</f>
        <v>0</v>
      </c>
      <c r="D408" s="45" t="str">
        <f>D406</f>
        <v>kg</v>
      </c>
      <c r="E408" s="46"/>
      <c r="F408" s="47"/>
      <c r="G408" s="47"/>
      <c r="H408" s="47"/>
      <c r="N408" s="60"/>
    </row>
    <row r="409" spans="2:14" ht="14" hidden="1" outlineLevel="1" x14ac:dyDescent="0.25">
      <c r="B409" s="54" t="s">
        <v>37</v>
      </c>
      <c r="C409" s="145">
        <v>1</v>
      </c>
      <c r="D409" s="56"/>
      <c r="E409" s="57"/>
      <c r="F409" s="58"/>
      <c r="G409" s="58"/>
      <c r="H409" s="58"/>
      <c r="N409" s="60"/>
    </row>
    <row r="410" spans="2:14" ht="13" hidden="1" outlineLevel="1" x14ac:dyDescent="0.25">
      <c r="B410" s="43" t="s">
        <v>66</v>
      </c>
      <c r="C410" s="142"/>
      <c r="D410" s="45" t="str">
        <f>D406</f>
        <v>kg</v>
      </c>
      <c r="E410" s="46"/>
      <c r="F410" s="47"/>
      <c r="G410" s="47"/>
      <c r="H410" s="47"/>
      <c r="N410" s="60"/>
    </row>
    <row r="411" spans="2:14" ht="13" hidden="1" outlineLevel="1" x14ac:dyDescent="0.25">
      <c r="B411" s="43" t="s">
        <v>67</v>
      </c>
      <c r="C411" s="143"/>
      <c r="D411" s="45" t="s">
        <v>3</v>
      </c>
      <c r="E411" s="59"/>
      <c r="F411" s="47"/>
      <c r="G411" s="47"/>
      <c r="H411" s="47"/>
      <c r="N411" s="60"/>
    </row>
    <row r="412" spans="2:14" ht="13.5" hidden="1" outlineLevel="1" thickBot="1" x14ac:dyDescent="0.3">
      <c r="B412" s="51" t="s">
        <v>68</v>
      </c>
      <c r="C412" s="144">
        <f>C410*C411</f>
        <v>0</v>
      </c>
      <c r="D412" s="45" t="str">
        <f>D406</f>
        <v>kg</v>
      </c>
      <c r="E412" s="46"/>
      <c r="F412" s="47"/>
      <c r="G412" s="47"/>
      <c r="H412" s="47"/>
      <c r="N412" s="60"/>
    </row>
    <row r="413" spans="2:14" ht="13.5" hidden="1" outlineLevel="1" thickBot="1" x14ac:dyDescent="0.3">
      <c r="B413" s="61"/>
      <c r="C413" s="62"/>
      <c r="D413" s="63"/>
      <c r="F413" s="64"/>
      <c r="G413" s="64"/>
      <c r="H413" s="64"/>
      <c r="N413" s="60"/>
    </row>
    <row r="414" spans="2:14" ht="14.5" hidden="1" outlineLevel="1" thickBot="1" x14ac:dyDescent="0.3">
      <c r="B414" s="65" t="s">
        <v>5</v>
      </c>
      <c r="C414" s="66" t="s">
        <v>6</v>
      </c>
      <c r="D414" s="67" t="s">
        <v>1</v>
      </c>
      <c r="E414" s="68"/>
      <c r="F414" s="69"/>
      <c r="G414" s="69"/>
      <c r="H414" s="69"/>
      <c r="N414" s="60"/>
    </row>
    <row r="415" spans="2:14" ht="13" hidden="1" outlineLevel="1" x14ac:dyDescent="0.25">
      <c r="B415" s="70" t="s">
        <v>43</v>
      </c>
      <c r="C415" s="71"/>
      <c r="D415" s="72"/>
      <c r="E415" s="73"/>
      <c r="F415" s="69"/>
      <c r="G415" s="69"/>
      <c r="H415" s="69"/>
      <c r="N415" s="60"/>
    </row>
    <row r="416" spans="2:14" ht="13.5" hidden="1" outlineLevel="1" thickBot="1" x14ac:dyDescent="0.3">
      <c r="B416" s="74"/>
      <c r="C416" s="146">
        <f>C408</f>
        <v>0</v>
      </c>
      <c r="D416" s="76" t="str">
        <f>D406</f>
        <v>kg</v>
      </c>
      <c r="E416" s="98"/>
      <c r="F416" s="69"/>
      <c r="G416" s="69"/>
      <c r="H416" s="69"/>
      <c r="N416" s="60"/>
    </row>
    <row r="417" spans="2:14" ht="13.5" hidden="1" outlineLevel="1" thickBot="1" x14ac:dyDescent="0.3">
      <c r="B417" s="74"/>
      <c r="C417" s="146"/>
      <c r="D417" s="76" t="str">
        <f>D406</f>
        <v>kg</v>
      </c>
      <c r="E417" s="77"/>
      <c r="F417" s="78"/>
      <c r="G417" s="78"/>
      <c r="H417" s="78"/>
      <c r="N417" s="60"/>
    </row>
    <row r="418" spans="2:14" ht="13" hidden="1" outlineLevel="1" x14ac:dyDescent="0.25">
      <c r="B418" s="79" t="s">
        <v>69</v>
      </c>
      <c r="C418" s="147"/>
      <c r="D418" s="81"/>
      <c r="E418" s="77"/>
      <c r="F418" s="82"/>
      <c r="G418" s="82"/>
      <c r="H418" s="82"/>
      <c r="N418" s="60"/>
    </row>
    <row r="419" spans="2:14" ht="13" hidden="1" outlineLevel="1" x14ac:dyDescent="0.25">
      <c r="B419" s="74"/>
      <c r="C419" s="148"/>
      <c r="D419" s="76" t="str">
        <f>D406</f>
        <v>kg</v>
      </c>
      <c r="E419" s="77"/>
      <c r="F419" s="82"/>
      <c r="G419" s="82"/>
      <c r="H419" s="82"/>
      <c r="N419" s="60"/>
    </row>
    <row r="420" spans="2:14" ht="13" hidden="1" outlineLevel="1" x14ac:dyDescent="0.25">
      <c r="B420" s="74"/>
      <c r="C420" s="148"/>
      <c r="D420" s="76" t="str">
        <f>D406</f>
        <v>kg</v>
      </c>
      <c r="E420" s="77"/>
      <c r="F420" s="82"/>
      <c r="G420" s="82"/>
      <c r="H420" s="82"/>
      <c r="N420" s="60"/>
    </row>
    <row r="421" spans="2:14" ht="13" hidden="1" outlineLevel="1" x14ac:dyDescent="0.25">
      <c r="B421" s="74"/>
      <c r="C421" s="148"/>
      <c r="D421" s="76" t="str">
        <f>D406</f>
        <v>kg</v>
      </c>
      <c r="E421" s="77"/>
      <c r="F421" s="82"/>
      <c r="G421" s="82"/>
      <c r="H421" s="82"/>
      <c r="N421" s="60"/>
    </row>
    <row r="422" spans="2:14" ht="13" hidden="1" outlineLevel="1" x14ac:dyDescent="0.25">
      <c r="B422" s="74"/>
      <c r="C422" s="148"/>
      <c r="D422" s="76" t="str">
        <f>D406</f>
        <v>kg</v>
      </c>
      <c r="E422" s="77"/>
      <c r="F422" s="82"/>
      <c r="G422" s="82"/>
      <c r="H422" s="82"/>
      <c r="N422" s="60"/>
    </row>
    <row r="423" spans="2:14" ht="13" hidden="1" outlineLevel="1" x14ac:dyDescent="0.25">
      <c r="B423" s="74"/>
      <c r="C423" s="148"/>
      <c r="D423" s="76" t="str">
        <f>D406</f>
        <v>kg</v>
      </c>
      <c r="E423" s="77"/>
      <c r="F423" s="82"/>
      <c r="G423" s="82"/>
      <c r="H423" s="82"/>
      <c r="N423" s="60"/>
    </row>
    <row r="424" spans="2:14" ht="13" hidden="1" outlineLevel="1" x14ac:dyDescent="0.25">
      <c r="B424" s="74"/>
      <c r="C424" s="148"/>
      <c r="D424" s="76" t="str">
        <f>D406</f>
        <v>kg</v>
      </c>
      <c r="E424" s="77"/>
      <c r="F424" s="82"/>
      <c r="G424" s="82"/>
      <c r="H424" s="82"/>
      <c r="N424" s="60"/>
    </row>
    <row r="425" spans="2:14" ht="13" hidden="1" outlineLevel="1" x14ac:dyDescent="0.25">
      <c r="B425" s="74"/>
      <c r="C425" s="148"/>
      <c r="D425" s="76" t="str">
        <f>D406</f>
        <v>kg</v>
      </c>
      <c r="E425" s="77"/>
      <c r="F425" s="82"/>
      <c r="G425" s="82"/>
      <c r="H425" s="82"/>
      <c r="N425" s="60"/>
    </row>
    <row r="426" spans="2:14" ht="13" hidden="1" outlineLevel="1" x14ac:dyDescent="0.25">
      <c r="B426" s="74"/>
      <c r="C426" s="148"/>
      <c r="D426" s="76" t="str">
        <f>D406</f>
        <v>kg</v>
      </c>
      <c r="E426" s="77"/>
      <c r="F426" s="82"/>
      <c r="G426" s="82"/>
      <c r="H426" s="82"/>
      <c r="N426" s="60"/>
    </row>
    <row r="427" spans="2:14" ht="13" hidden="1" outlineLevel="1" x14ac:dyDescent="0.25">
      <c r="B427" s="74"/>
      <c r="C427" s="148"/>
      <c r="D427" s="76" t="str">
        <f>D406</f>
        <v>kg</v>
      </c>
      <c r="E427" s="77"/>
      <c r="F427" s="82"/>
      <c r="G427" s="82"/>
      <c r="H427" s="82"/>
      <c r="N427" s="60"/>
    </row>
    <row r="428" spans="2:14" ht="13" hidden="1" outlineLevel="1" x14ac:dyDescent="0.25">
      <c r="B428" s="74"/>
      <c r="C428" s="148"/>
      <c r="D428" s="76" t="str">
        <f>D406</f>
        <v>kg</v>
      </c>
      <c r="E428" s="77"/>
      <c r="F428" s="82"/>
      <c r="G428" s="82"/>
      <c r="H428" s="82"/>
      <c r="N428" s="60"/>
    </row>
    <row r="429" spans="2:14" ht="13.15" hidden="1" customHeight="1" outlineLevel="1" x14ac:dyDescent="0.25">
      <c r="B429" s="79"/>
      <c r="C429" s="147"/>
      <c r="D429" s="81"/>
      <c r="E429" s="77"/>
      <c r="F429" s="82"/>
      <c r="G429" s="82"/>
      <c r="H429" s="82"/>
      <c r="K429" s="34"/>
      <c r="N429" s="60"/>
    </row>
    <row r="430" spans="2:14" ht="13" hidden="1" outlineLevel="1" x14ac:dyDescent="0.25">
      <c r="B430" s="86" t="s">
        <v>7</v>
      </c>
      <c r="C430" s="149">
        <f>SUM(C415:C428)</f>
        <v>0</v>
      </c>
      <c r="D430" s="88" t="str">
        <f>D406</f>
        <v>kg</v>
      </c>
      <c r="E430" s="77"/>
      <c r="F430" s="82"/>
      <c r="G430" s="82"/>
      <c r="H430" s="82"/>
      <c r="N430" s="60"/>
    </row>
    <row r="431" spans="2:14" ht="13" hidden="1" outlineLevel="1" x14ac:dyDescent="0.25">
      <c r="B431" s="79" t="s">
        <v>71</v>
      </c>
      <c r="C431" s="150"/>
      <c r="D431" s="81"/>
      <c r="E431" s="77"/>
      <c r="F431" s="82"/>
      <c r="G431" s="82"/>
      <c r="H431" s="82"/>
      <c r="N431" s="60"/>
    </row>
    <row r="432" spans="2:14" ht="13" hidden="1" outlineLevel="1" x14ac:dyDescent="0.25">
      <c r="B432" s="74"/>
      <c r="C432" s="148"/>
      <c r="D432" s="76" t="str">
        <f>D406</f>
        <v>kg</v>
      </c>
      <c r="E432" s="77"/>
      <c r="F432" s="82"/>
      <c r="G432" s="82"/>
      <c r="H432" s="82"/>
      <c r="N432" s="60"/>
    </row>
    <row r="433" spans="2:14" ht="13" hidden="1" outlineLevel="1" x14ac:dyDescent="0.25">
      <c r="B433" s="74"/>
      <c r="C433" s="148"/>
      <c r="D433" s="76" t="str">
        <f>D406</f>
        <v>kg</v>
      </c>
      <c r="E433" s="77"/>
      <c r="F433" s="82"/>
      <c r="G433" s="82"/>
      <c r="H433" s="82"/>
      <c r="N433" s="60"/>
    </row>
    <row r="434" spans="2:14" ht="13" hidden="1" outlineLevel="1" x14ac:dyDescent="0.25">
      <c r="B434" s="74"/>
      <c r="C434" s="148"/>
      <c r="D434" s="76" t="str">
        <f>D406</f>
        <v>kg</v>
      </c>
      <c r="E434" s="77"/>
      <c r="F434" s="82"/>
      <c r="G434" s="82"/>
      <c r="H434" s="82"/>
      <c r="N434" s="60"/>
    </row>
    <row r="435" spans="2:14" ht="13" hidden="1" outlineLevel="1" x14ac:dyDescent="0.25">
      <c r="B435" s="74"/>
      <c r="C435" s="148"/>
      <c r="D435" s="76" t="str">
        <f>D406</f>
        <v>kg</v>
      </c>
      <c r="E435" s="77"/>
      <c r="F435" s="82"/>
      <c r="G435" s="82"/>
      <c r="H435" s="82"/>
      <c r="N435" s="60"/>
    </row>
    <row r="436" spans="2:14" ht="13" hidden="1" outlineLevel="1" x14ac:dyDescent="0.25">
      <c r="B436" s="74"/>
      <c r="C436" s="148"/>
      <c r="D436" s="76" t="str">
        <f>D406</f>
        <v>kg</v>
      </c>
      <c r="E436" s="77"/>
      <c r="F436" s="82"/>
      <c r="G436" s="82"/>
      <c r="H436" s="82"/>
      <c r="N436" s="60"/>
    </row>
    <row r="437" spans="2:14" ht="13" hidden="1" outlineLevel="1" x14ac:dyDescent="0.25">
      <c r="B437" s="74"/>
      <c r="C437" s="148"/>
      <c r="D437" s="76" t="str">
        <f>D406</f>
        <v>kg</v>
      </c>
      <c r="E437" s="77"/>
      <c r="F437" s="82"/>
      <c r="G437" s="82"/>
      <c r="H437" s="82"/>
      <c r="N437" s="60"/>
    </row>
    <row r="438" spans="2:14" ht="13" hidden="1" outlineLevel="1" x14ac:dyDescent="0.25">
      <c r="B438" s="74"/>
      <c r="C438" s="148"/>
      <c r="D438" s="76" t="str">
        <f>D406</f>
        <v>kg</v>
      </c>
      <c r="E438" s="77"/>
      <c r="F438" s="82"/>
      <c r="G438" s="82"/>
      <c r="H438" s="82"/>
      <c r="N438" s="60"/>
    </row>
    <row r="439" spans="2:14" ht="13" hidden="1" outlineLevel="1" x14ac:dyDescent="0.25">
      <c r="B439" s="74"/>
      <c r="C439" s="148"/>
      <c r="D439" s="76" t="str">
        <f>D406</f>
        <v>kg</v>
      </c>
      <c r="E439" s="77"/>
      <c r="F439" s="82"/>
      <c r="G439" s="82"/>
      <c r="H439" s="82"/>
      <c r="N439" s="60"/>
    </row>
    <row r="440" spans="2:14" ht="13" hidden="1" outlineLevel="1" x14ac:dyDescent="0.25">
      <c r="B440" s="79" t="s">
        <v>70</v>
      </c>
      <c r="C440" s="147"/>
      <c r="D440" s="81"/>
      <c r="E440" s="90"/>
      <c r="F440" s="82"/>
      <c r="G440" s="82"/>
      <c r="H440" s="82"/>
      <c r="N440" s="60"/>
    </row>
    <row r="441" spans="2:14" ht="13" hidden="1" outlineLevel="1" x14ac:dyDescent="0.25">
      <c r="B441" s="74"/>
      <c r="C441" s="148"/>
      <c r="D441" s="76" t="str">
        <f>D406</f>
        <v>kg</v>
      </c>
      <c r="E441" s="77"/>
      <c r="F441" s="82"/>
      <c r="G441" s="82"/>
      <c r="H441" s="82"/>
      <c r="N441" s="60"/>
    </row>
    <row r="442" spans="2:14" ht="13" hidden="1" outlineLevel="1" x14ac:dyDescent="0.25">
      <c r="B442" s="74"/>
      <c r="C442" s="148"/>
      <c r="D442" s="76" t="str">
        <f>D406</f>
        <v>kg</v>
      </c>
      <c r="E442" s="77"/>
      <c r="F442" s="82"/>
      <c r="G442" s="82"/>
      <c r="H442" s="82"/>
      <c r="N442" s="60"/>
    </row>
    <row r="443" spans="2:14" ht="13" hidden="1" outlineLevel="1" x14ac:dyDescent="0.25">
      <c r="B443" s="74"/>
      <c r="C443" s="148"/>
      <c r="D443" s="76" t="str">
        <f>D406</f>
        <v>kg</v>
      </c>
      <c r="E443" s="77"/>
      <c r="F443" s="82"/>
      <c r="G443" s="82"/>
      <c r="H443" s="82"/>
      <c r="N443" s="60"/>
    </row>
    <row r="444" spans="2:14" ht="13" hidden="1" outlineLevel="1" x14ac:dyDescent="0.25">
      <c r="B444" s="74"/>
      <c r="C444" s="148"/>
      <c r="D444" s="76" t="str">
        <f>D406</f>
        <v>kg</v>
      </c>
      <c r="E444" s="77"/>
      <c r="F444" s="82"/>
      <c r="G444" s="82"/>
      <c r="H444" s="82"/>
      <c r="N444" s="60"/>
    </row>
    <row r="445" spans="2:14" ht="13" hidden="1" outlineLevel="1" x14ac:dyDescent="0.25">
      <c r="B445" s="74"/>
      <c r="C445" s="148"/>
      <c r="D445" s="76" t="str">
        <f>D406</f>
        <v>kg</v>
      </c>
      <c r="E445" s="77"/>
      <c r="F445" s="82"/>
      <c r="G445" s="82"/>
      <c r="H445" s="82"/>
      <c r="N445" s="60"/>
    </row>
    <row r="446" spans="2:14" ht="14.25" hidden="1" customHeight="1" outlineLevel="1" x14ac:dyDescent="0.25">
      <c r="B446" s="74"/>
      <c r="C446" s="148"/>
      <c r="D446" s="76" t="str">
        <f>D406</f>
        <v>kg</v>
      </c>
      <c r="E446" s="77"/>
      <c r="F446" s="82"/>
      <c r="G446" s="82"/>
      <c r="H446" s="82"/>
      <c r="N446" s="60"/>
    </row>
    <row r="447" spans="2:14" ht="13" hidden="1" outlineLevel="1" x14ac:dyDescent="0.25">
      <c r="B447" s="74"/>
      <c r="C447" s="148"/>
      <c r="D447" s="76" t="str">
        <f>D406</f>
        <v>kg</v>
      </c>
      <c r="E447" s="77"/>
      <c r="F447" s="82"/>
      <c r="G447" s="82"/>
      <c r="H447" s="82"/>
      <c r="N447" s="60"/>
    </row>
    <row r="448" spans="2:14" ht="13.15" hidden="1" customHeight="1" outlineLevel="1" x14ac:dyDescent="0.25">
      <c r="B448" s="79"/>
      <c r="C448" s="147"/>
      <c r="D448" s="81"/>
      <c r="E448" s="77"/>
      <c r="F448" s="82"/>
      <c r="G448" s="82"/>
      <c r="H448" s="82"/>
      <c r="K448" s="34"/>
      <c r="N448" s="60"/>
    </row>
    <row r="449" spans="2:14" ht="13" hidden="1" outlineLevel="1" x14ac:dyDescent="0.25">
      <c r="B449" s="86" t="s">
        <v>9</v>
      </c>
      <c r="C449" s="149">
        <f>SUM(C430:C447)</f>
        <v>0</v>
      </c>
      <c r="D449" s="91" t="str">
        <f>D406</f>
        <v>kg</v>
      </c>
      <c r="E449" s="77"/>
      <c r="F449" s="82"/>
      <c r="G449" s="82"/>
      <c r="H449" s="82"/>
      <c r="N449" s="60"/>
    </row>
    <row r="450" spans="2:14" ht="13.5" hidden="1" outlineLevel="1" thickBot="1" x14ac:dyDescent="0.3">
      <c r="B450" s="92"/>
      <c r="C450" s="93"/>
      <c r="D450" s="94"/>
      <c r="E450" s="77"/>
      <c r="F450" s="82"/>
      <c r="G450" s="82"/>
      <c r="H450" s="82"/>
      <c r="N450" s="60"/>
    </row>
    <row r="451" spans="2:14" ht="20.5" hidden="1" outlineLevel="1" thickBot="1" x14ac:dyDescent="0.3">
      <c r="B451" s="426" t="s">
        <v>10</v>
      </c>
      <c r="C451" s="427"/>
      <c r="D451" s="428"/>
      <c r="E451" s="77"/>
      <c r="F451" s="82"/>
      <c r="G451" s="82"/>
      <c r="H451" s="82"/>
      <c r="N451" s="60"/>
    </row>
    <row r="452" spans="2:14" ht="13" hidden="1" outlineLevel="1" x14ac:dyDescent="0.25">
      <c r="B452" s="95" t="s">
        <v>23</v>
      </c>
      <c r="C452" s="96"/>
      <c r="D452" s="151">
        <f>SUM(C416:C417)</f>
        <v>0</v>
      </c>
      <c r="E452" s="98"/>
      <c r="F452" s="82"/>
      <c r="G452" s="82"/>
      <c r="H452" s="82"/>
      <c r="N452" s="60"/>
    </row>
    <row r="453" spans="2:14" ht="13" hidden="1" outlineLevel="1" x14ac:dyDescent="0.25">
      <c r="B453" s="99" t="s">
        <v>24</v>
      </c>
      <c r="C453" s="100"/>
      <c r="D453" s="152">
        <f>SUM(C419:C429)</f>
        <v>0</v>
      </c>
      <c r="E453" s="98"/>
      <c r="F453" s="82"/>
      <c r="G453" s="82"/>
      <c r="H453" s="82"/>
      <c r="N453" s="60"/>
    </row>
    <row r="454" spans="2:14" ht="13" hidden="1" outlineLevel="1" x14ac:dyDescent="0.25">
      <c r="B454" s="99" t="s">
        <v>25</v>
      </c>
      <c r="C454" s="100"/>
      <c r="D454" s="152">
        <f>SUM(C432:C440)</f>
        <v>0</v>
      </c>
      <c r="E454" s="98"/>
      <c r="F454" s="82"/>
      <c r="G454" s="82"/>
      <c r="H454" s="82"/>
      <c r="N454" s="60"/>
    </row>
    <row r="455" spans="2:14" ht="13.5" hidden="1" outlineLevel="1" thickBot="1" x14ac:dyDescent="0.3">
      <c r="B455" s="102" t="s">
        <v>26</v>
      </c>
      <c r="C455" s="103"/>
      <c r="D455" s="153">
        <f>SUM(C441:C448)</f>
        <v>0</v>
      </c>
      <c r="E455" s="98"/>
      <c r="F455" s="82"/>
      <c r="G455" s="82"/>
      <c r="H455" s="82"/>
      <c r="N455" s="60"/>
    </row>
    <row r="456" spans="2:14" ht="19" hidden="1" outlineLevel="1" thickTop="1" thickBot="1" x14ac:dyDescent="0.3">
      <c r="B456" s="105" t="s">
        <v>11</v>
      </c>
      <c r="C456" s="106"/>
      <c r="D456" s="107" t="e">
        <f>C430/C412</f>
        <v>#DIV/0!</v>
      </c>
      <c r="E456" s="77"/>
      <c r="F456" s="110" t="s">
        <v>86</v>
      </c>
      <c r="G456" s="109" t="s">
        <v>85</v>
      </c>
      <c r="H456" s="110"/>
      <c r="N456" s="60"/>
    </row>
    <row r="457" spans="2:14" ht="18.5" hidden="1" outlineLevel="1" thickBot="1" x14ac:dyDescent="0.3">
      <c r="B457" s="111" t="s">
        <v>12</v>
      </c>
      <c r="C457" s="112"/>
      <c r="D457" s="113" t="e">
        <f>(D452+D453+D454)/C412</f>
        <v>#DIV/0!</v>
      </c>
      <c r="E457" s="77"/>
      <c r="F457" s="154"/>
      <c r="G457" s="413"/>
      <c r="H457" s="414"/>
      <c r="N457" s="60"/>
    </row>
    <row r="458" spans="2:14" ht="18" hidden="1" outlineLevel="1" x14ac:dyDescent="0.25">
      <c r="B458" s="111" t="s">
        <v>13</v>
      </c>
      <c r="C458" s="112"/>
      <c r="D458" s="113" t="e">
        <f>D454/C412</f>
        <v>#DIV/0!</v>
      </c>
      <c r="E458" s="90"/>
      <c r="F458" s="64" t="s">
        <v>45</v>
      </c>
      <c r="G458" s="64" t="s">
        <v>45</v>
      </c>
      <c r="H458" s="155"/>
      <c r="N458" s="60"/>
    </row>
    <row r="459" spans="2:14" ht="18.5" hidden="1" outlineLevel="1" thickBot="1" x14ac:dyDescent="0.3">
      <c r="B459" s="114" t="s">
        <v>14</v>
      </c>
      <c r="C459" s="115"/>
      <c r="D459" s="116" t="e">
        <f>D455/C412</f>
        <v>#DIV/0!</v>
      </c>
      <c r="E459" s="90"/>
      <c r="F459" s="110"/>
      <c r="G459" s="117" t="s">
        <v>46</v>
      </c>
      <c r="H459" s="110"/>
      <c r="N459" s="60"/>
    </row>
    <row r="460" spans="2:14" ht="18.5" hidden="1" outlineLevel="1" thickBot="1" x14ac:dyDescent="0.3">
      <c r="B460" s="114" t="s">
        <v>15</v>
      </c>
      <c r="C460" s="119"/>
      <c r="D460" s="116" t="e">
        <f>SUM(D452:D455)/C412</f>
        <v>#DIV/0!</v>
      </c>
      <c r="E460" s="90"/>
      <c r="F460" s="429"/>
      <c r="G460" s="430"/>
      <c r="H460" s="431"/>
      <c r="N460" s="60"/>
    </row>
    <row r="461" spans="2:14" ht="18.5" hidden="1" outlineLevel="1" thickTop="1" x14ac:dyDescent="0.25">
      <c r="B461" s="120" t="s">
        <v>16</v>
      </c>
      <c r="C461" s="121"/>
      <c r="D461" s="122" t="e">
        <f>((C416*D394)+D453+C417*MAX(1,F417))/C412</f>
        <v>#DIV/0!</v>
      </c>
      <c r="E461" s="77"/>
      <c r="F461" s="64" t="s">
        <v>45</v>
      </c>
      <c r="G461" s="64"/>
      <c r="H461" s="82"/>
      <c r="N461" s="60"/>
    </row>
    <row r="462" spans="2:14" ht="18" hidden="1" outlineLevel="1" x14ac:dyDescent="0.25">
      <c r="B462" s="123" t="s">
        <v>17</v>
      </c>
      <c r="C462" s="124"/>
      <c r="D462" s="125" t="e">
        <f>(C416*D395+D453+D454+C417*(MAX(1,F417)+G417))/C412</f>
        <v>#DIV/0!</v>
      </c>
      <c r="E462" s="77"/>
      <c r="F462" s="82"/>
      <c r="G462" s="82"/>
      <c r="H462" s="82"/>
      <c r="N462" s="60"/>
    </row>
    <row r="463" spans="2:14" ht="18" hidden="1" customHeight="1" outlineLevel="1" x14ac:dyDescent="0.25">
      <c r="B463" s="123" t="s">
        <v>18</v>
      </c>
      <c r="C463" s="124"/>
      <c r="D463" s="125" t="e">
        <f>((C416*D396)+D454+C417*G417)/C412</f>
        <v>#DIV/0!</v>
      </c>
      <c r="E463" s="77"/>
      <c r="F463" s="415" t="s">
        <v>61</v>
      </c>
      <c r="G463" s="416"/>
      <c r="H463" s="416"/>
      <c r="N463" s="60"/>
    </row>
    <row r="464" spans="2:14" ht="18" hidden="1" outlineLevel="1" x14ac:dyDescent="0.25">
      <c r="B464" s="126" t="s">
        <v>19</v>
      </c>
      <c r="C464" s="127"/>
      <c r="D464" s="128" t="e">
        <f>(C416*D397+D455+C417*H417)/C412</f>
        <v>#DIV/0!</v>
      </c>
      <c r="E464" s="77"/>
      <c r="F464" s="416"/>
      <c r="G464" s="416"/>
      <c r="H464" s="416"/>
      <c r="N464" s="60"/>
    </row>
    <row r="465" spans="2:14" ht="18.5" hidden="1" outlineLevel="1" thickBot="1" x14ac:dyDescent="0.3">
      <c r="B465" s="129" t="s">
        <v>20</v>
      </c>
      <c r="C465" s="130"/>
      <c r="D465" s="131" t="e">
        <f>((C416*D398)+SUM(D453:D455)+C417*(MAX(1,F417)+G417+H417))/C412</f>
        <v>#DIV/0!</v>
      </c>
      <c r="E465" s="77"/>
      <c r="F465" s="416"/>
      <c r="G465" s="416"/>
      <c r="H465" s="416"/>
      <c r="N465" s="60"/>
    </row>
    <row r="466" spans="2:14" ht="13" hidden="1" outlineLevel="1" thickTop="1" x14ac:dyDescent="0.25">
      <c r="B466" s="156" t="s">
        <v>76</v>
      </c>
      <c r="C466" s="424"/>
      <c r="D466" s="425"/>
      <c r="F466" s="416"/>
      <c r="G466" s="416"/>
      <c r="H466" s="416"/>
      <c r="N466" s="60"/>
    </row>
    <row r="467" spans="2:14" hidden="1" outlineLevel="1" x14ac:dyDescent="0.25">
      <c r="B467" s="157" t="s">
        <v>58</v>
      </c>
      <c r="C467" s="422"/>
      <c r="D467" s="423"/>
      <c r="F467" s="416"/>
      <c r="G467" s="416"/>
      <c r="H467" s="416"/>
      <c r="N467" s="60"/>
    </row>
    <row r="468" spans="2:14" ht="13" hidden="1" outlineLevel="1" thickBot="1" x14ac:dyDescent="0.3">
      <c r="B468" s="158" t="s">
        <v>59</v>
      </c>
      <c r="C468" s="420"/>
      <c r="D468" s="421"/>
      <c r="F468" s="416"/>
      <c r="G468" s="416"/>
      <c r="H468" s="416"/>
      <c r="N468" s="60"/>
    </row>
    <row r="469" spans="2:14" ht="13" hidden="1" outlineLevel="1" x14ac:dyDescent="0.25">
      <c r="F469" s="34"/>
      <c r="G469" s="34"/>
      <c r="H469" s="34"/>
      <c r="N469" s="60"/>
    </row>
    <row r="470" spans="2:14" ht="13.5" hidden="1" outlineLevel="1" thickBot="1" x14ac:dyDescent="0.3">
      <c r="C470" s="25" t="s">
        <v>44</v>
      </c>
      <c r="D470" s="25" t="s">
        <v>42</v>
      </c>
      <c r="F470" s="34"/>
      <c r="G470" s="34"/>
      <c r="H470" s="34"/>
      <c r="N470" s="60"/>
    </row>
    <row r="471" spans="2:14" ht="21" hidden="1" outlineLevel="1" thickTop="1" thickBot="1" x14ac:dyDescent="0.3">
      <c r="B471" s="140" t="s">
        <v>73</v>
      </c>
      <c r="C471" s="29"/>
      <c r="D471" s="141"/>
      <c r="E471" s="31"/>
      <c r="F471" s="32" t="s">
        <v>27</v>
      </c>
      <c r="G471" s="33"/>
      <c r="H471" s="33"/>
    </row>
    <row r="472" spans="2:14" ht="14.5" hidden="1" outlineLevel="1" thickBot="1" x14ac:dyDescent="0.3">
      <c r="B472" s="37"/>
      <c r="C472" s="38" t="s">
        <v>0</v>
      </c>
      <c r="D472" s="39" t="s">
        <v>1</v>
      </c>
      <c r="E472" s="40"/>
      <c r="F472" s="41" t="s">
        <v>28</v>
      </c>
      <c r="G472" s="41" t="s">
        <v>21</v>
      </c>
      <c r="H472" s="41" t="s">
        <v>8</v>
      </c>
    </row>
    <row r="473" spans="2:14" ht="13" hidden="1" outlineLevel="1" x14ac:dyDescent="0.25">
      <c r="B473" s="43" t="s">
        <v>65</v>
      </c>
      <c r="C473" s="142"/>
      <c r="D473" s="45" t="s">
        <v>2</v>
      </c>
      <c r="E473" s="46"/>
      <c r="F473" s="47"/>
      <c r="G473" s="47"/>
      <c r="H473" s="47"/>
      <c r="N473" s="60"/>
    </row>
    <row r="474" spans="2:14" ht="13" hidden="1" outlineLevel="1" x14ac:dyDescent="0.25">
      <c r="B474" s="43" t="s">
        <v>64</v>
      </c>
      <c r="C474" s="143"/>
      <c r="D474" s="45" t="s">
        <v>3</v>
      </c>
      <c r="E474" s="46"/>
      <c r="F474" s="47"/>
      <c r="G474" s="47"/>
      <c r="H474" s="47"/>
      <c r="N474" s="60"/>
    </row>
    <row r="475" spans="2:14" ht="13" hidden="1" outlineLevel="1" x14ac:dyDescent="0.25">
      <c r="B475" s="51" t="s">
        <v>63</v>
      </c>
      <c r="C475" s="144">
        <f>C473*C474</f>
        <v>0</v>
      </c>
      <c r="D475" s="45" t="str">
        <f>D473</f>
        <v>kg</v>
      </c>
      <c r="E475" s="46"/>
      <c r="F475" s="47"/>
      <c r="G475" s="47"/>
      <c r="H475" s="47"/>
      <c r="N475" s="60"/>
    </row>
    <row r="476" spans="2:14" ht="14" hidden="1" outlineLevel="1" x14ac:dyDescent="0.25">
      <c r="B476" s="54" t="s">
        <v>37</v>
      </c>
      <c r="C476" s="145">
        <v>1</v>
      </c>
      <c r="D476" s="56"/>
      <c r="E476" s="57"/>
      <c r="F476" s="58"/>
      <c r="G476" s="58"/>
      <c r="H476" s="58"/>
      <c r="N476" s="60"/>
    </row>
    <row r="477" spans="2:14" ht="13" hidden="1" outlineLevel="1" x14ac:dyDescent="0.25">
      <c r="B477" s="43" t="s">
        <v>66</v>
      </c>
      <c r="C477" s="142"/>
      <c r="D477" s="45" t="str">
        <f>D473</f>
        <v>kg</v>
      </c>
      <c r="E477" s="46"/>
      <c r="F477" s="47"/>
      <c r="G477" s="47"/>
      <c r="H477" s="47"/>
      <c r="N477" s="60"/>
    </row>
    <row r="478" spans="2:14" ht="13" hidden="1" outlineLevel="1" x14ac:dyDescent="0.25">
      <c r="B478" s="43" t="s">
        <v>67</v>
      </c>
      <c r="C478" s="143"/>
      <c r="D478" s="45" t="s">
        <v>3</v>
      </c>
      <c r="E478" s="59"/>
      <c r="F478" s="47"/>
      <c r="G478" s="47"/>
      <c r="H478" s="47"/>
      <c r="N478" s="60"/>
    </row>
    <row r="479" spans="2:14" ht="13.5" hidden="1" outlineLevel="1" thickBot="1" x14ac:dyDescent="0.3">
      <c r="B479" s="51" t="s">
        <v>68</v>
      </c>
      <c r="C479" s="144">
        <f>C477*C478</f>
        <v>0</v>
      </c>
      <c r="D479" s="45" t="str">
        <f>D473</f>
        <v>kg</v>
      </c>
      <c r="E479" s="46"/>
      <c r="F479" s="47"/>
      <c r="G479" s="47"/>
      <c r="H479" s="47"/>
      <c r="N479" s="60"/>
    </row>
    <row r="480" spans="2:14" ht="13.5" hidden="1" outlineLevel="1" thickBot="1" x14ac:dyDescent="0.3">
      <c r="B480" s="61"/>
      <c r="C480" s="62"/>
      <c r="D480" s="63"/>
      <c r="F480" s="64"/>
      <c r="G480" s="64"/>
      <c r="H480" s="64"/>
      <c r="N480" s="60"/>
    </row>
    <row r="481" spans="2:14" ht="14.5" hidden="1" outlineLevel="1" thickBot="1" x14ac:dyDescent="0.3">
      <c r="B481" s="65" t="s">
        <v>5</v>
      </c>
      <c r="C481" s="66" t="s">
        <v>6</v>
      </c>
      <c r="D481" s="67" t="s">
        <v>1</v>
      </c>
      <c r="E481" s="68"/>
      <c r="F481" s="69"/>
      <c r="G481" s="69"/>
      <c r="H481" s="69"/>
      <c r="N481" s="60"/>
    </row>
    <row r="482" spans="2:14" ht="13" hidden="1" outlineLevel="1" x14ac:dyDescent="0.25">
      <c r="B482" s="70" t="s">
        <v>43</v>
      </c>
      <c r="C482" s="71"/>
      <c r="D482" s="72"/>
      <c r="E482" s="73"/>
      <c r="F482" s="69"/>
      <c r="G482" s="69"/>
      <c r="H482" s="69"/>
      <c r="N482" s="60"/>
    </row>
    <row r="483" spans="2:14" ht="13.5" hidden="1" outlineLevel="1" thickBot="1" x14ac:dyDescent="0.3">
      <c r="B483" s="74"/>
      <c r="C483" s="146">
        <f>C475</f>
        <v>0</v>
      </c>
      <c r="D483" s="76" t="str">
        <f>D$473</f>
        <v>kg</v>
      </c>
      <c r="E483" s="98"/>
      <c r="F483" s="69"/>
      <c r="G483" s="69"/>
      <c r="H483" s="69"/>
      <c r="N483" s="60"/>
    </row>
    <row r="484" spans="2:14" ht="13.5" hidden="1" outlineLevel="1" thickBot="1" x14ac:dyDescent="0.3">
      <c r="B484" s="74"/>
      <c r="C484" s="146"/>
      <c r="D484" s="76" t="str">
        <f>D$473</f>
        <v>kg</v>
      </c>
      <c r="E484" s="77"/>
      <c r="F484" s="78"/>
      <c r="G484" s="78"/>
      <c r="H484" s="78"/>
      <c r="N484" s="60"/>
    </row>
    <row r="485" spans="2:14" ht="13" hidden="1" outlineLevel="1" x14ac:dyDescent="0.25">
      <c r="B485" s="79" t="s">
        <v>69</v>
      </c>
      <c r="C485" s="147"/>
      <c r="D485" s="81"/>
      <c r="E485" s="77"/>
      <c r="F485" s="82"/>
      <c r="G485" s="82"/>
      <c r="H485" s="82"/>
      <c r="N485" s="60"/>
    </row>
    <row r="486" spans="2:14" ht="13" hidden="1" outlineLevel="1" x14ac:dyDescent="0.25">
      <c r="B486" s="74"/>
      <c r="C486" s="148"/>
      <c r="D486" s="76" t="str">
        <f t="shared" ref="D486:D491" si="0">D$473</f>
        <v>kg</v>
      </c>
      <c r="E486" s="77"/>
      <c r="F486" s="82"/>
      <c r="G486" s="82"/>
      <c r="H486" s="82"/>
      <c r="N486" s="60"/>
    </row>
    <row r="487" spans="2:14" ht="13" hidden="1" outlineLevel="1" x14ac:dyDescent="0.25">
      <c r="B487" s="74"/>
      <c r="C487" s="148"/>
      <c r="D487" s="76" t="str">
        <f t="shared" si="0"/>
        <v>kg</v>
      </c>
      <c r="E487" s="77"/>
      <c r="F487" s="82"/>
      <c r="G487" s="82"/>
      <c r="H487" s="82"/>
      <c r="N487" s="60"/>
    </row>
    <row r="488" spans="2:14" ht="13" hidden="1" outlineLevel="1" x14ac:dyDescent="0.25">
      <c r="B488" s="74"/>
      <c r="C488" s="148"/>
      <c r="D488" s="76" t="str">
        <f t="shared" si="0"/>
        <v>kg</v>
      </c>
      <c r="E488" s="77"/>
      <c r="F488" s="82"/>
      <c r="G488" s="82"/>
      <c r="H488" s="82"/>
      <c r="N488" s="60"/>
    </row>
    <row r="489" spans="2:14" ht="13" hidden="1" outlineLevel="1" x14ac:dyDescent="0.25">
      <c r="B489" s="74"/>
      <c r="C489" s="148"/>
      <c r="D489" s="76" t="str">
        <f t="shared" si="0"/>
        <v>kg</v>
      </c>
      <c r="E489" s="77"/>
      <c r="F489" s="82"/>
      <c r="G489" s="82"/>
      <c r="H489" s="82"/>
      <c r="N489" s="60"/>
    </row>
    <row r="490" spans="2:14" ht="13" hidden="1" outlineLevel="1" x14ac:dyDescent="0.25">
      <c r="B490" s="74"/>
      <c r="C490" s="148"/>
      <c r="D490" s="76" t="str">
        <f t="shared" si="0"/>
        <v>kg</v>
      </c>
      <c r="E490" s="77"/>
      <c r="F490" s="82"/>
      <c r="G490" s="82"/>
      <c r="H490" s="82"/>
      <c r="N490" s="60"/>
    </row>
    <row r="491" spans="2:14" ht="13" hidden="1" outlineLevel="1" x14ac:dyDescent="0.25">
      <c r="B491" s="74"/>
      <c r="C491" s="148"/>
      <c r="D491" s="76" t="str">
        <f t="shared" si="0"/>
        <v>kg</v>
      </c>
      <c r="E491" s="77"/>
      <c r="F491" s="82"/>
      <c r="G491" s="82"/>
      <c r="H491" s="82"/>
      <c r="N491" s="60"/>
    </row>
    <row r="492" spans="2:14" ht="13" hidden="1" outlineLevel="1" x14ac:dyDescent="0.25">
      <c r="B492" s="74"/>
      <c r="C492" s="148"/>
      <c r="D492" s="76" t="str">
        <f t="shared" ref="D492:D495" si="1">D$473</f>
        <v>kg</v>
      </c>
      <c r="E492" s="77"/>
      <c r="F492" s="82"/>
      <c r="G492" s="82"/>
      <c r="H492" s="82"/>
      <c r="N492" s="60"/>
    </row>
    <row r="493" spans="2:14" ht="13" hidden="1" outlineLevel="1" x14ac:dyDescent="0.25">
      <c r="B493" s="74"/>
      <c r="C493" s="148"/>
      <c r="D493" s="76" t="str">
        <f t="shared" si="1"/>
        <v>kg</v>
      </c>
      <c r="E493" s="77"/>
      <c r="F493" s="82"/>
      <c r="G493" s="82"/>
      <c r="H493" s="82"/>
      <c r="N493" s="60"/>
    </row>
    <row r="494" spans="2:14" ht="13" hidden="1" outlineLevel="1" x14ac:dyDescent="0.25">
      <c r="B494" s="74"/>
      <c r="C494" s="148"/>
      <c r="D494" s="76" t="str">
        <f t="shared" si="1"/>
        <v>kg</v>
      </c>
      <c r="E494" s="77"/>
      <c r="F494" s="82"/>
      <c r="G494" s="82"/>
      <c r="H494" s="82"/>
      <c r="N494" s="60"/>
    </row>
    <row r="495" spans="2:14" ht="13" hidden="1" outlineLevel="1" x14ac:dyDescent="0.25">
      <c r="B495" s="74"/>
      <c r="C495" s="148"/>
      <c r="D495" s="76" t="str">
        <f t="shared" si="1"/>
        <v>kg</v>
      </c>
      <c r="E495" s="77"/>
      <c r="F495" s="82"/>
      <c r="G495" s="82"/>
      <c r="H495" s="82"/>
      <c r="N495" s="60"/>
    </row>
    <row r="496" spans="2:14" ht="13.15" hidden="1" customHeight="1" outlineLevel="1" x14ac:dyDescent="0.25">
      <c r="B496" s="79"/>
      <c r="C496" s="147"/>
      <c r="D496" s="81"/>
      <c r="E496" s="77"/>
      <c r="F496" s="82"/>
      <c r="G496" s="82"/>
      <c r="H496" s="82"/>
      <c r="K496" s="34"/>
      <c r="N496" s="60"/>
    </row>
    <row r="497" spans="2:14" ht="13" hidden="1" outlineLevel="1" x14ac:dyDescent="0.25">
      <c r="B497" s="86" t="s">
        <v>7</v>
      </c>
      <c r="C497" s="149">
        <f>SUM(C482:C495)</f>
        <v>0</v>
      </c>
      <c r="D497" s="88" t="str">
        <f>D$473</f>
        <v>kg</v>
      </c>
      <c r="E497" s="77"/>
      <c r="F497" s="82"/>
      <c r="G497" s="82"/>
      <c r="H497" s="82"/>
      <c r="N497" s="60"/>
    </row>
    <row r="498" spans="2:14" ht="13" hidden="1" outlineLevel="1" x14ac:dyDescent="0.25">
      <c r="B498" s="79" t="s">
        <v>71</v>
      </c>
      <c r="C498" s="150"/>
      <c r="D498" s="81"/>
      <c r="E498" s="77"/>
      <c r="F498" s="82"/>
      <c r="G498" s="82"/>
      <c r="H498" s="82"/>
      <c r="N498" s="60"/>
    </row>
    <row r="499" spans="2:14" ht="13" hidden="1" outlineLevel="1" x14ac:dyDescent="0.25">
      <c r="B499" s="74"/>
      <c r="C499" s="148"/>
      <c r="D499" s="76" t="str">
        <f t="shared" ref="D499:D506" si="2">D$473</f>
        <v>kg</v>
      </c>
      <c r="E499" s="77"/>
      <c r="F499" s="82"/>
      <c r="G499" s="82"/>
      <c r="H499" s="82"/>
      <c r="N499" s="60"/>
    </row>
    <row r="500" spans="2:14" ht="13" hidden="1" outlineLevel="1" x14ac:dyDescent="0.25">
      <c r="B500" s="74"/>
      <c r="C500" s="148"/>
      <c r="D500" s="76" t="str">
        <f t="shared" si="2"/>
        <v>kg</v>
      </c>
      <c r="E500" s="77"/>
      <c r="F500" s="82"/>
      <c r="G500" s="82"/>
      <c r="H500" s="82"/>
      <c r="N500" s="60"/>
    </row>
    <row r="501" spans="2:14" ht="13" hidden="1" outlineLevel="1" x14ac:dyDescent="0.25">
      <c r="B501" s="74"/>
      <c r="C501" s="148"/>
      <c r="D501" s="76" t="str">
        <f>D$473</f>
        <v>kg</v>
      </c>
      <c r="E501" s="77"/>
      <c r="F501" s="82"/>
      <c r="G501" s="82"/>
      <c r="H501" s="82"/>
      <c r="N501" s="60"/>
    </row>
    <row r="502" spans="2:14" ht="13" hidden="1" outlineLevel="1" x14ac:dyDescent="0.25">
      <c r="B502" s="74"/>
      <c r="C502" s="148"/>
      <c r="D502" s="76" t="str">
        <f>D$473</f>
        <v>kg</v>
      </c>
      <c r="E502" s="77"/>
      <c r="F502" s="82"/>
      <c r="G502" s="82"/>
      <c r="H502" s="82"/>
      <c r="N502" s="60"/>
    </row>
    <row r="503" spans="2:14" ht="13" hidden="1" outlineLevel="1" x14ac:dyDescent="0.25">
      <c r="B503" s="74"/>
      <c r="C503" s="148"/>
      <c r="D503" s="76" t="str">
        <f t="shared" si="2"/>
        <v>kg</v>
      </c>
      <c r="E503" s="77"/>
      <c r="F503" s="82"/>
      <c r="G503" s="82"/>
      <c r="H503" s="82"/>
      <c r="N503" s="60"/>
    </row>
    <row r="504" spans="2:14" ht="13" hidden="1" outlineLevel="1" x14ac:dyDescent="0.25">
      <c r="B504" s="74"/>
      <c r="C504" s="148"/>
      <c r="D504" s="76" t="str">
        <f t="shared" si="2"/>
        <v>kg</v>
      </c>
      <c r="E504" s="77"/>
      <c r="F504" s="82"/>
      <c r="G504" s="82"/>
      <c r="H504" s="82"/>
      <c r="N504" s="60"/>
    </row>
    <row r="505" spans="2:14" ht="13" hidden="1" outlineLevel="1" x14ac:dyDescent="0.25">
      <c r="B505" s="74"/>
      <c r="C505" s="148"/>
      <c r="D505" s="76" t="str">
        <f t="shared" si="2"/>
        <v>kg</v>
      </c>
      <c r="E505" s="77"/>
      <c r="F505" s="82"/>
      <c r="G505" s="82"/>
      <c r="H505" s="82"/>
      <c r="N505" s="60"/>
    </row>
    <row r="506" spans="2:14" ht="13" hidden="1" outlineLevel="1" x14ac:dyDescent="0.25">
      <c r="B506" s="74"/>
      <c r="C506" s="148"/>
      <c r="D506" s="76" t="str">
        <f t="shared" si="2"/>
        <v>kg</v>
      </c>
      <c r="E506" s="77"/>
      <c r="F506" s="82"/>
      <c r="G506" s="82"/>
      <c r="H506" s="82"/>
      <c r="N506" s="60"/>
    </row>
    <row r="507" spans="2:14" ht="13" hidden="1" outlineLevel="1" x14ac:dyDescent="0.25">
      <c r="B507" s="79" t="s">
        <v>70</v>
      </c>
      <c r="C507" s="147"/>
      <c r="D507" s="81"/>
      <c r="E507" s="90"/>
      <c r="F507" s="82"/>
      <c r="G507" s="82"/>
      <c r="H507" s="82"/>
      <c r="N507" s="60"/>
    </row>
    <row r="508" spans="2:14" ht="13" hidden="1" outlineLevel="1" x14ac:dyDescent="0.25">
      <c r="B508" s="74"/>
      <c r="C508" s="148"/>
      <c r="D508" s="76" t="str">
        <f t="shared" ref="D508:D514" si="3">D$473</f>
        <v>kg</v>
      </c>
      <c r="E508" s="77"/>
      <c r="F508" s="82"/>
      <c r="G508" s="82"/>
      <c r="H508" s="82"/>
      <c r="N508" s="60"/>
    </row>
    <row r="509" spans="2:14" ht="13" hidden="1" outlineLevel="1" x14ac:dyDescent="0.25">
      <c r="B509" s="74"/>
      <c r="C509" s="148"/>
      <c r="D509" s="76" t="str">
        <f>D$473</f>
        <v>kg</v>
      </c>
      <c r="E509" s="77"/>
      <c r="F509" s="82"/>
      <c r="G509" s="82"/>
      <c r="H509" s="82"/>
      <c r="N509" s="60"/>
    </row>
    <row r="510" spans="2:14" ht="13" hidden="1" outlineLevel="1" x14ac:dyDescent="0.25">
      <c r="B510" s="74"/>
      <c r="C510" s="148"/>
      <c r="D510" s="76" t="str">
        <f>D$473</f>
        <v>kg</v>
      </c>
      <c r="E510" s="77"/>
      <c r="F510" s="82"/>
      <c r="G510" s="82"/>
      <c r="H510" s="82"/>
      <c r="N510" s="60"/>
    </row>
    <row r="511" spans="2:14" ht="13" hidden="1" outlineLevel="1" x14ac:dyDescent="0.25">
      <c r="B511" s="74"/>
      <c r="C511" s="148"/>
      <c r="D511" s="76" t="str">
        <f>D$473</f>
        <v>kg</v>
      </c>
      <c r="E511" s="77"/>
      <c r="F511" s="82"/>
      <c r="G511" s="82"/>
      <c r="H511" s="82"/>
      <c r="N511" s="60"/>
    </row>
    <row r="512" spans="2:14" ht="13" hidden="1" outlineLevel="1" x14ac:dyDescent="0.25">
      <c r="B512" s="74"/>
      <c r="C512" s="148"/>
      <c r="D512" s="76" t="str">
        <f t="shared" si="3"/>
        <v>kg</v>
      </c>
      <c r="E512" s="77"/>
      <c r="F512" s="82"/>
      <c r="G512" s="82"/>
      <c r="H512" s="82"/>
      <c r="N512" s="60"/>
    </row>
    <row r="513" spans="2:14" ht="13" hidden="1" outlineLevel="1" x14ac:dyDescent="0.25">
      <c r="B513" s="74"/>
      <c r="C513" s="148"/>
      <c r="D513" s="76" t="str">
        <f t="shared" si="3"/>
        <v>kg</v>
      </c>
      <c r="E513" s="77"/>
      <c r="F513" s="82"/>
      <c r="G513" s="82"/>
      <c r="H513" s="82"/>
      <c r="N513" s="60"/>
    </row>
    <row r="514" spans="2:14" ht="13" hidden="1" outlineLevel="1" x14ac:dyDescent="0.25">
      <c r="B514" s="74"/>
      <c r="C514" s="148"/>
      <c r="D514" s="76" t="str">
        <f t="shared" si="3"/>
        <v>kg</v>
      </c>
      <c r="E514" s="77"/>
      <c r="F514" s="82"/>
      <c r="G514" s="82"/>
      <c r="H514" s="82"/>
      <c r="N514" s="60"/>
    </row>
    <row r="515" spans="2:14" ht="13.15" hidden="1" customHeight="1" outlineLevel="1" x14ac:dyDescent="0.25">
      <c r="B515" s="79"/>
      <c r="C515" s="147"/>
      <c r="D515" s="81"/>
      <c r="E515" s="77"/>
      <c r="F515" s="82"/>
      <c r="G515" s="82"/>
      <c r="H515" s="82"/>
      <c r="K515" s="34"/>
      <c r="N515" s="60"/>
    </row>
    <row r="516" spans="2:14" ht="13" hidden="1" outlineLevel="1" x14ac:dyDescent="0.25">
      <c r="B516" s="86" t="s">
        <v>9</v>
      </c>
      <c r="C516" s="149">
        <f>SUM(C497:C514)</f>
        <v>0</v>
      </c>
      <c r="D516" s="91" t="str">
        <f>D$473</f>
        <v>kg</v>
      </c>
      <c r="E516" s="77"/>
      <c r="F516" s="82"/>
      <c r="G516" s="82"/>
      <c r="H516" s="82"/>
      <c r="N516" s="60"/>
    </row>
    <row r="517" spans="2:14" ht="13.5" hidden="1" outlineLevel="1" thickBot="1" x14ac:dyDescent="0.3">
      <c r="B517" s="92"/>
      <c r="C517" s="93"/>
      <c r="D517" s="94"/>
      <c r="E517" s="77"/>
      <c r="F517" s="82"/>
      <c r="G517" s="82"/>
      <c r="H517" s="82"/>
      <c r="N517" s="60"/>
    </row>
    <row r="518" spans="2:14" ht="21.65" hidden="1" customHeight="1" outlineLevel="1" thickBot="1" x14ac:dyDescent="0.3">
      <c r="B518" s="426" t="s">
        <v>10</v>
      </c>
      <c r="C518" s="427"/>
      <c r="D518" s="428"/>
      <c r="E518" s="77"/>
      <c r="F518" s="82"/>
      <c r="G518" s="82"/>
      <c r="H518" s="82"/>
      <c r="N518" s="60"/>
    </row>
    <row r="519" spans="2:14" ht="13" hidden="1" outlineLevel="1" x14ac:dyDescent="0.25">
      <c r="B519" s="95" t="s">
        <v>23</v>
      </c>
      <c r="C519" s="96"/>
      <c r="D519" s="151">
        <f>SUM(C483:C484)</f>
        <v>0</v>
      </c>
      <c r="E519" s="98"/>
      <c r="F519" s="82"/>
      <c r="G519" s="82"/>
      <c r="H519" s="82"/>
      <c r="N519" s="60"/>
    </row>
    <row r="520" spans="2:14" ht="13" hidden="1" outlineLevel="1" x14ac:dyDescent="0.25">
      <c r="B520" s="99" t="s">
        <v>24</v>
      </c>
      <c r="C520" s="100"/>
      <c r="D520" s="152">
        <f>SUM(C486:C496)</f>
        <v>0</v>
      </c>
      <c r="E520" s="98"/>
      <c r="F520" s="82"/>
      <c r="G520" s="82"/>
      <c r="H520" s="82"/>
      <c r="N520" s="60"/>
    </row>
    <row r="521" spans="2:14" ht="13" hidden="1" outlineLevel="1" x14ac:dyDescent="0.25">
      <c r="B521" s="99" t="s">
        <v>25</v>
      </c>
      <c r="C521" s="100"/>
      <c r="D521" s="152">
        <f>SUM(C499:C507)</f>
        <v>0</v>
      </c>
      <c r="E521" s="98"/>
      <c r="F521" s="82"/>
      <c r="G521" s="82"/>
      <c r="H521" s="82"/>
      <c r="N521" s="60"/>
    </row>
    <row r="522" spans="2:14" ht="15" hidden="1" customHeight="1" outlineLevel="1" thickBot="1" x14ac:dyDescent="0.3">
      <c r="B522" s="102" t="s">
        <v>26</v>
      </c>
      <c r="C522" s="103"/>
      <c r="D522" s="153">
        <f>SUM(C508:C515)</f>
        <v>0</v>
      </c>
      <c r="E522" s="98"/>
      <c r="F522" s="82"/>
      <c r="G522" s="82"/>
      <c r="H522" s="82"/>
      <c r="N522" s="60"/>
    </row>
    <row r="523" spans="2:14" ht="19" hidden="1" outlineLevel="1" thickTop="1" thickBot="1" x14ac:dyDescent="0.3">
      <c r="B523" s="105" t="s">
        <v>11</v>
      </c>
      <c r="C523" s="106"/>
      <c r="D523" s="107" t="e">
        <f>C497/C479</f>
        <v>#DIV/0!</v>
      </c>
      <c r="E523" s="77"/>
      <c r="F523" s="110" t="s">
        <v>86</v>
      </c>
      <c r="G523" s="109" t="s">
        <v>85</v>
      </c>
      <c r="H523" s="110"/>
      <c r="N523" s="60"/>
    </row>
    <row r="524" spans="2:14" ht="18.5" hidden="1" outlineLevel="1" thickBot="1" x14ac:dyDescent="0.3">
      <c r="B524" s="111" t="s">
        <v>12</v>
      </c>
      <c r="C524" s="112"/>
      <c r="D524" s="113" t="e">
        <f>(D519+D520+D521)/C479</f>
        <v>#DIV/0!</v>
      </c>
      <c r="E524" s="77"/>
      <c r="F524" s="154"/>
      <c r="G524" s="413"/>
      <c r="H524" s="414"/>
      <c r="N524" s="60"/>
    </row>
    <row r="525" spans="2:14" ht="18" hidden="1" outlineLevel="1" x14ac:dyDescent="0.25">
      <c r="B525" s="111" t="s">
        <v>13</v>
      </c>
      <c r="C525" s="112"/>
      <c r="D525" s="113" t="e">
        <f>D521/C479</f>
        <v>#DIV/0!</v>
      </c>
      <c r="E525" s="90"/>
      <c r="F525" s="64" t="s">
        <v>45</v>
      </c>
      <c r="G525" s="64" t="s">
        <v>45</v>
      </c>
      <c r="H525" s="155"/>
      <c r="N525" s="60"/>
    </row>
    <row r="526" spans="2:14" ht="18.5" hidden="1" outlineLevel="1" thickBot="1" x14ac:dyDescent="0.3">
      <c r="B526" s="114" t="s">
        <v>14</v>
      </c>
      <c r="C526" s="115"/>
      <c r="D526" s="116" t="e">
        <f>D522/C479</f>
        <v>#DIV/0!</v>
      </c>
      <c r="E526" s="90"/>
      <c r="F526" s="110"/>
      <c r="G526" s="117" t="s">
        <v>46</v>
      </c>
      <c r="H526" s="110"/>
      <c r="N526" s="60"/>
    </row>
    <row r="527" spans="2:14" ht="18.5" hidden="1" outlineLevel="1" thickBot="1" x14ac:dyDescent="0.3">
      <c r="B527" s="114" t="s">
        <v>15</v>
      </c>
      <c r="C527" s="119"/>
      <c r="D527" s="116" t="e">
        <f>SUM(D519:D522)/C479</f>
        <v>#DIV/0!</v>
      </c>
      <c r="E527" s="90"/>
      <c r="F527" s="429"/>
      <c r="G527" s="430"/>
      <c r="H527" s="431"/>
      <c r="N527" s="60"/>
    </row>
    <row r="528" spans="2:14" ht="18.5" hidden="1" outlineLevel="1" thickTop="1" x14ac:dyDescent="0.25">
      <c r="B528" s="120" t="s">
        <v>16</v>
      </c>
      <c r="C528" s="121"/>
      <c r="D528" s="122" t="e">
        <f>((C483*D461)+D520+C484*MAX(1,F484))/C479</f>
        <v>#DIV/0!</v>
      </c>
      <c r="E528" s="77"/>
      <c r="F528" s="64" t="s">
        <v>45</v>
      </c>
      <c r="G528" s="64"/>
      <c r="H528" s="82"/>
      <c r="N528" s="60"/>
    </row>
    <row r="529" spans="2:14" ht="18" hidden="1" outlineLevel="1" x14ac:dyDescent="0.25">
      <c r="B529" s="123" t="s">
        <v>17</v>
      </c>
      <c r="C529" s="124"/>
      <c r="D529" s="125" t="e">
        <f>(C483*D462+D520+D521+C484*(MAX(1,F484)+G484))/C479</f>
        <v>#DIV/0!</v>
      </c>
      <c r="E529" s="77"/>
      <c r="F529" s="82"/>
      <c r="G529" s="82"/>
      <c r="H529" s="82"/>
      <c r="N529" s="60"/>
    </row>
    <row r="530" spans="2:14" ht="18" hidden="1" customHeight="1" outlineLevel="1" x14ac:dyDescent="0.25">
      <c r="B530" s="123" t="s">
        <v>18</v>
      </c>
      <c r="C530" s="124"/>
      <c r="D530" s="125" t="e">
        <f>((C483*D463)+D521+C484*G484)/C479</f>
        <v>#DIV/0!</v>
      </c>
      <c r="E530" s="77"/>
      <c r="F530" s="415" t="s">
        <v>61</v>
      </c>
      <c r="G530" s="416"/>
      <c r="H530" s="416"/>
      <c r="N530" s="60"/>
    </row>
    <row r="531" spans="2:14" ht="18" hidden="1" outlineLevel="1" x14ac:dyDescent="0.25">
      <c r="B531" s="126" t="s">
        <v>19</v>
      </c>
      <c r="C531" s="127"/>
      <c r="D531" s="128" t="e">
        <f>(C483*D464+D522+C484*H484)/C479</f>
        <v>#DIV/0!</v>
      </c>
      <c r="E531" s="77"/>
      <c r="F531" s="416"/>
      <c r="G531" s="416"/>
      <c r="H531" s="416"/>
      <c r="N531" s="60"/>
    </row>
    <row r="532" spans="2:14" ht="18.5" hidden="1" outlineLevel="1" thickBot="1" x14ac:dyDescent="0.3">
      <c r="B532" s="129" t="s">
        <v>20</v>
      </c>
      <c r="C532" s="130"/>
      <c r="D532" s="131" t="e">
        <f>((C483*D465)+SUM(D520:D522)+C484*(MAX(1,F484)+G484+H484))/C479</f>
        <v>#DIV/0!</v>
      </c>
      <c r="E532" s="77"/>
      <c r="F532" s="416"/>
      <c r="G532" s="416"/>
      <c r="H532" s="416"/>
      <c r="N532" s="60"/>
    </row>
    <row r="533" spans="2:14" ht="13" hidden="1" outlineLevel="1" thickTop="1" x14ac:dyDescent="0.25">
      <c r="B533" s="156" t="s">
        <v>76</v>
      </c>
      <c r="C533" s="424"/>
      <c r="D533" s="425"/>
      <c r="F533" s="416"/>
      <c r="G533" s="416"/>
      <c r="H533" s="416"/>
      <c r="N533" s="60"/>
    </row>
    <row r="534" spans="2:14" hidden="1" outlineLevel="1" x14ac:dyDescent="0.25">
      <c r="B534" s="157" t="s">
        <v>58</v>
      </c>
      <c r="C534" s="422"/>
      <c r="D534" s="423"/>
      <c r="F534" s="416"/>
      <c r="G534" s="416"/>
      <c r="H534" s="416"/>
      <c r="N534" s="60"/>
    </row>
    <row r="535" spans="2:14" ht="13" hidden="1" outlineLevel="1" thickBot="1" x14ac:dyDescent="0.3">
      <c r="B535" s="158" t="s">
        <v>59</v>
      </c>
      <c r="C535" s="420"/>
      <c r="D535" s="421"/>
      <c r="F535" s="416"/>
      <c r="G535" s="416"/>
      <c r="H535" s="416"/>
      <c r="N535" s="60"/>
    </row>
    <row r="536" spans="2:14" ht="13" hidden="1" outlineLevel="1" x14ac:dyDescent="0.25">
      <c r="F536" s="34"/>
      <c r="G536" s="34"/>
      <c r="H536" s="34"/>
      <c r="N536" s="60"/>
    </row>
    <row r="537" spans="2:14" ht="13.5" hidden="1" outlineLevel="1" thickBot="1" x14ac:dyDescent="0.3">
      <c r="C537" s="25" t="s">
        <v>44</v>
      </c>
      <c r="D537" s="25" t="s">
        <v>42</v>
      </c>
      <c r="F537" s="34"/>
      <c r="G537" s="34"/>
      <c r="H537" s="34"/>
      <c r="N537" s="60"/>
    </row>
    <row r="538" spans="2:14" ht="21" hidden="1" outlineLevel="1" thickTop="1" thickBot="1" x14ac:dyDescent="0.3">
      <c r="B538" s="140" t="s">
        <v>73</v>
      </c>
      <c r="C538" s="29"/>
      <c r="D538" s="141"/>
      <c r="E538" s="31"/>
      <c r="F538" s="32" t="s">
        <v>27</v>
      </c>
      <c r="G538" s="33"/>
      <c r="H538" s="33"/>
    </row>
    <row r="539" spans="2:14" ht="14.5" hidden="1" outlineLevel="1" thickBot="1" x14ac:dyDescent="0.3">
      <c r="B539" s="37"/>
      <c r="C539" s="38" t="s">
        <v>0</v>
      </c>
      <c r="D539" s="39" t="s">
        <v>1</v>
      </c>
      <c r="E539" s="40"/>
      <c r="F539" s="41" t="s">
        <v>28</v>
      </c>
      <c r="G539" s="41" t="s">
        <v>21</v>
      </c>
      <c r="H539" s="41" t="s">
        <v>8</v>
      </c>
    </row>
    <row r="540" spans="2:14" ht="13" hidden="1" outlineLevel="1" x14ac:dyDescent="0.25">
      <c r="B540" s="43" t="s">
        <v>65</v>
      </c>
      <c r="C540" s="142"/>
      <c r="D540" s="45" t="s">
        <v>2</v>
      </c>
      <c r="E540" s="46"/>
      <c r="F540" s="47"/>
      <c r="G540" s="47"/>
      <c r="H540" s="47"/>
      <c r="N540" s="60"/>
    </row>
    <row r="541" spans="2:14" ht="13" hidden="1" outlineLevel="1" x14ac:dyDescent="0.25">
      <c r="B541" s="43" t="s">
        <v>64</v>
      </c>
      <c r="C541" s="143"/>
      <c r="D541" s="45" t="s">
        <v>3</v>
      </c>
      <c r="E541" s="46"/>
      <c r="F541" s="47"/>
      <c r="G541" s="47"/>
      <c r="H541" s="47"/>
      <c r="N541" s="60"/>
    </row>
    <row r="542" spans="2:14" ht="13" hidden="1" outlineLevel="1" x14ac:dyDescent="0.25">
      <c r="B542" s="51" t="s">
        <v>63</v>
      </c>
      <c r="C542" s="144">
        <f>C540*C541</f>
        <v>0</v>
      </c>
      <c r="D542" s="45" t="str">
        <f>D540</f>
        <v>kg</v>
      </c>
      <c r="E542" s="46"/>
      <c r="F542" s="47"/>
      <c r="G542" s="47"/>
      <c r="H542" s="47"/>
      <c r="N542" s="60"/>
    </row>
    <row r="543" spans="2:14" ht="14" hidden="1" outlineLevel="1" x14ac:dyDescent="0.25">
      <c r="B543" s="54" t="s">
        <v>37</v>
      </c>
      <c r="C543" s="145">
        <v>1</v>
      </c>
      <c r="D543" s="56"/>
      <c r="E543" s="57"/>
      <c r="F543" s="58"/>
      <c r="G543" s="58"/>
      <c r="H543" s="58"/>
      <c r="N543" s="60"/>
    </row>
    <row r="544" spans="2:14" ht="13" hidden="1" outlineLevel="1" x14ac:dyDescent="0.25">
      <c r="B544" s="43" t="s">
        <v>66</v>
      </c>
      <c r="C544" s="142"/>
      <c r="D544" s="45" t="str">
        <f>D540</f>
        <v>kg</v>
      </c>
      <c r="E544" s="46"/>
      <c r="F544" s="47"/>
      <c r="G544" s="47"/>
      <c r="H544" s="47"/>
      <c r="N544" s="60"/>
    </row>
    <row r="545" spans="2:14" ht="13" hidden="1" outlineLevel="1" x14ac:dyDescent="0.25">
      <c r="B545" s="43" t="s">
        <v>67</v>
      </c>
      <c r="C545" s="143"/>
      <c r="D545" s="45" t="s">
        <v>3</v>
      </c>
      <c r="E545" s="59"/>
      <c r="F545" s="47"/>
      <c r="G545" s="47"/>
      <c r="H545" s="47"/>
      <c r="N545" s="60"/>
    </row>
    <row r="546" spans="2:14" ht="13.5" hidden="1" outlineLevel="1" thickBot="1" x14ac:dyDescent="0.3">
      <c r="B546" s="51" t="s">
        <v>68</v>
      </c>
      <c r="C546" s="144">
        <f>C544*C545</f>
        <v>0</v>
      </c>
      <c r="D546" s="45" t="str">
        <f>D540</f>
        <v>kg</v>
      </c>
      <c r="E546" s="46"/>
      <c r="F546" s="47"/>
      <c r="G546" s="47"/>
      <c r="H546" s="47"/>
      <c r="N546" s="60"/>
    </row>
    <row r="547" spans="2:14" ht="13.5" hidden="1" outlineLevel="1" thickBot="1" x14ac:dyDescent="0.3">
      <c r="B547" s="61"/>
      <c r="C547" s="62"/>
      <c r="D547" s="63"/>
      <c r="F547" s="64"/>
      <c r="G547" s="64"/>
      <c r="H547" s="64"/>
      <c r="N547" s="60"/>
    </row>
    <row r="548" spans="2:14" ht="14.5" hidden="1" outlineLevel="1" thickBot="1" x14ac:dyDescent="0.3">
      <c r="B548" s="65" t="s">
        <v>5</v>
      </c>
      <c r="C548" s="66" t="s">
        <v>6</v>
      </c>
      <c r="D548" s="67" t="s">
        <v>1</v>
      </c>
      <c r="E548" s="68"/>
      <c r="F548" s="69"/>
      <c r="G548" s="69"/>
      <c r="H548" s="69"/>
      <c r="N548" s="60"/>
    </row>
    <row r="549" spans="2:14" ht="13" hidden="1" outlineLevel="1" x14ac:dyDescent="0.25">
      <c r="B549" s="70" t="s">
        <v>43</v>
      </c>
      <c r="C549" s="71"/>
      <c r="D549" s="72"/>
      <c r="E549" s="73"/>
      <c r="F549" s="69"/>
      <c r="G549" s="69"/>
      <c r="H549" s="69"/>
      <c r="N549" s="60"/>
    </row>
    <row r="550" spans="2:14" ht="13.5" hidden="1" outlineLevel="1" thickBot="1" x14ac:dyDescent="0.3">
      <c r="B550" s="74"/>
      <c r="C550" s="146">
        <f>C542</f>
        <v>0</v>
      </c>
      <c r="D550" s="76" t="str">
        <f>D540</f>
        <v>kg</v>
      </c>
      <c r="E550" s="98"/>
      <c r="F550" s="69"/>
      <c r="G550" s="69"/>
      <c r="H550" s="69"/>
      <c r="N550" s="60"/>
    </row>
    <row r="551" spans="2:14" ht="13.5" hidden="1" outlineLevel="1" thickBot="1" x14ac:dyDescent="0.3">
      <c r="B551" s="74"/>
      <c r="C551" s="146"/>
      <c r="D551" s="76" t="str">
        <f>D540</f>
        <v>kg</v>
      </c>
      <c r="E551" s="77"/>
      <c r="F551" s="78"/>
      <c r="G551" s="78"/>
      <c r="H551" s="78"/>
      <c r="N551" s="60"/>
    </row>
    <row r="552" spans="2:14" ht="13" hidden="1" outlineLevel="1" x14ac:dyDescent="0.25">
      <c r="B552" s="79" t="s">
        <v>69</v>
      </c>
      <c r="C552" s="147"/>
      <c r="D552" s="81"/>
      <c r="E552" s="77"/>
      <c r="F552" s="82"/>
      <c r="G552" s="82"/>
      <c r="H552" s="82"/>
      <c r="N552" s="60"/>
    </row>
    <row r="553" spans="2:14" ht="13" hidden="1" outlineLevel="1" x14ac:dyDescent="0.25">
      <c r="B553" s="74"/>
      <c r="C553" s="148"/>
      <c r="D553" s="76" t="str">
        <f>D540</f>
        <v>kg</v>
      </c>
      <c r="E553" s="77"/>
      <c r="F553" s="82"/>
      <c r="G553" s="82"/>
      <c r="H553" s="82"/>
      <c r="N553" s="60"/>
    </row>
    <row r="554" spans="2:14" ht="13" hidden="1" outlineLevel="1" x14ac:dyDescent="0.25">
      <c r="B554" s="74"/>
      <c r="C554" s="148"/>
      <c r="D554" s="76" t="str">
        <f>D540</f>
        <v>kg</v>
      </c>
      <c r="E554" s="77"/>
      <c r="F554" s="82"/>
      <c r="G554" s="82"/>
      <c r="H554" s="82"/>
      <c r="N554" s="60"/>
    </row>
    <row r="555" spans="2:14" ht="13" hidden="1" outlineLevel="1" x14ac:dyDescent="0.25">
      <c r="B555" s="74"/>
      <c r="C555" s="148"/>
      <c r="D555" s="76" t="str">
        <f>D540</f>
        <v>kg</v>
      </c>
      <c r="E555" s="77"/>
      <c r="F555" s="82"/>
      <c r="G555" s="82"/>
      <c r="H555" s="82"/>
      <c r="N555" s="60"/>
    </row>
    <row r="556" spans="2:14" ht="13" hidden="1" outlineLevel="1" x14ac:dyDescent="0.25">
      <c r="B556" s="74"/>
      <c r="C556" s="148"/>
      <c r="D556" s="76" t="str">
        <f>D540</f>
        <v>kg</v>
      </c>
      <c r="E556" s="77"/>
      <c r="F556" s="82"/>
      <c r="G556" s="82"/>
      <c r="H556" s="82"/>
      <c r="N556" s="60"/>
    </row>
    <row r="557" spans="2:14" ht="13" hidden="1" outlineLevel="1" x14ac:dyDescent="0.25">
      <c r="B557" s="74"/>
      <c r="C557" s="148"/>
      <c r="D557" s="76" t="str">
        <f>D540</f>
        <v>kg</v>
      </c>
      <c r="E557" s="77"/>
      <c r="F557" s="82"/>
      <c r="G557" s="82"/>
      <c r="H557" s="82"/>
      <c r="N557" s="60"/>
    </row>
    <row r="558" spans="2:14" ht="13" hidden="1" outlineLevel="1" x14ac:dyDescent="0.25">
      <c r="B558" s="74"/>
      <c r="C558" s="148"/>
      <c r="D558" s="76" t="str">
        <f>D540</f>
        <v>kg</v>
      </c>
      <c r="E558" s="77"/>
      <c r="F558" s="82"/>
      <c r="G558" s="82"/>
      <c r="H558" s="82"/>
      <c r="N558" s="60"/>
    </row>
    <row r="559" spans="2:14" ht="13" hidden="1" outlineLevel="1" x14ac:dyDescent="0.25">
      <c r="B559" s="74"/>
      <c r="C559" s="148"/>
      <c r="D559" s="76" t="str">
        <f>D540</f>
        <v>kg</v>
      </c>
      <c r="E559" s="77"/>
      <c r="F559" s="82"/>
      <c r="G559" s="82"/>
      <c r="H559" s="82"/>
      <c r="N559" s="60"/>
    </row>
    <row r="560" spans="2:14" ht="13" hidden="1" outlineLevel="1" x14ac:dyDescent="0.25">
      <c r="B560" s="74"/>
      <c r="C560" s="148"/>
      <c r="D560" s="76" t="str">
        <f>D540</f>
        <v>kg</v>
      </c>
      <c r="E560" s="77"/>
      <c r="F560" s="82"/>
      <c r="G560" s="82"/>
      <c r="H560" s="82"/>
      <c r="N560" s="60"/>
    </row>
    <row r="561" spans="2:14" ht="13" hidden="1" outlineLevel="1" x14ac:dyDescent="0.25">
      <c r="B561" s="74"/>
      <c r="C561" s="148"/>
      <c r="D561" s="76" t="str">
        <f>D540</f>
        <v>kg</v>
      </c>
      <c r="E561" s="77"/>
      <c r="F561" s="82"/>
      <c r="G561" s="82"/>
      <c r="H561" s="82"/>
      <c r="N561" s="60"/>
    </row>
    <row r="562" spans="2:14" ht="13" hidden="1" outlineLevel="1" x14ac:dyDescent="0.25">
      <c r="B562" s="74"/>
      <c r="C562" s="148"/>
      <c r="D562" s="76" t="str">
        <f>D540</f>
        <v>kg</v>
      </c>
      <c r="E562" s="77"/>
      <c r="F562" s="82"/>
      <c r="G562" s="82"/>
      <c r="H562" s="82"/>
      <c r="N562" s="60"/>
    </row>
    <row r="563" spans="2:14" ht="13.15" hidden="1" customHeight="1" outlineLevel="1" x14ac:dyDescent="0.25">
      <c r="B563" s="79"/>
      <c r="C563" s="147"/>
      <c r="D563" s="81"/>
      <c r="E563" s="77"/>
      <c r="F563" s="82"/>
      <c r="G563" s="82"/>
      <c r="H563" s="82"/>
      <c r="K563" s="34"/>
      <c r="N563" s="60"/>
    </row>
    <row r="564" spans="2:14" ht="13" hidden="1" outlineLevel="1" x14ac:dyDescent="0.25">
      <c r="B564" s="86" t="s">
        <v>7</v>
      </c>
      <c r="C564" s="149">
        <f>SUM(C549:C562)</f>
        <v>0</v>
      </c>
      <c r="D564" s="88" t="str">
        <f>D540</f>
        <v>kg</v>
      </c>
      <c r="E564" s="77"/>
      <c r="F564" s="82"/>
      <c r="G564" s="82"/>
      <c r="H564" s="82"/>
      <c r="N564" s="60"/>
    </row>
    <row r="565" spans="2:14" ht="13" hidden="1" outlineLevel="1" x14ac:dyDescent="0.25">
      <c r="B565" s="79" t="s">
        <v>71</v>
      </c>
      <c r="C565" s="150"/>
      <c r="D565" s="81"/>
      <c r="E565" s="77"/>
      <c r="F565" s="82"/>
      <c r="G565" s="82"/>
      <c r="H565" s="82"/>
      <c r="N565" s="60"/>
    </row>
    <row r="566" spans="2:14" ht="13" hidden="1" outlineLevel="1" x14ac:dyDescent="0.25">
      <c r="B566" s="74"/>
      <c r="C566" s="148"/>
      <c r="D566" s="76" t="str">
        <f>D540</f>
        <v>kg</v>
      </c>
      <c r="E566" s="77"/>
      <c r="F566" s="82"/>
      <c r="G566" s="82"/>
      <c r="H566" s="82"/>
      <c r="N566" s="60"/>
    </row>
    <row r="567" spans="2:14" ht="13" hidden="1" outlineLevel="1" x14ac:dyDescent="0.25">
      <c r="B567" s="74"/>
      <c r="C567" s="148"/>
      <c r="D567" s="76" t="str">
        <f>D540</f>
        <v>kg</v>
      </c>
      <c r="E567" s="77"/>
      <c r="F567" s="82"/>
      <c r="G567" s="82"/>
      <c r="H567" s="82"/>
      <c r="N567" s="60"/>
    </row>
    <row r="568" spans="2:14" ht="13" hidden="1" outlineLevel="1" x14ac:dyDescent="0.25">
      <c r="B568" s="74"/>
      <c r="C568" s="148"/>
      <c r="D568" s="76" t="str">
        <f>D540</f>
        <v>kg</v>
      </c>
      <c r="E568" s="77"/>
      <c r="F568" s="82"/>
      <c r="G568" s="82"/>
      <c r="H568" s="82"/>
      <c r="N568" s="60"/>
    </row>
    <row r="569" spans="2:14" ht="13" hidden="1" outlineLevel="1" x14ac:dyDescent="0.25">
      <c r="B569" s="74"/>
      <c r="C569" s="148"/>
      <c r="D569" s="76" t="str">
        <f>D540</f>
        <v>kg</v>
      </c>
      <c r="E569" s="77"/>
      <c r="F569" s="82"/>
      <c r="G569" s="82"/>
      <c r="H569" s="82"/>
      <c r="N569" s="60"/>
    </row>
    <row r="570" spans="2:14" ht="13" hidden="1" outlineLevel="1" x14ac:dyDescent="0.25">
      <c r="B570" s="74"/>
      <c r="C570" s="148"/>
      <c r="D570" s="76" t="str">
        <f>D540</f>
        <v>kg</v>
      </c>
      <c r="E570" s="77"/>
      <c r="F570" s="82"/>
      <c r="G570" s="82"/>
      <c r="H570" s="82"/>
      <c r="N570" s="60"/>
    </row>
    <row r="571" spans="2:14" ht="13" hidden="1" outlineLevel="1" x14ac:dyDescent="0.25">
      <c r="B571" s="74"/>
      <c r="C571" s="148"/>
      <c r="D571" s="76" t="str">
        <f>D540</f>
        <v>kg</v>
      </c>
      <c r="E571" s="77"/>
      <c r="F571" s="82"/>
      <c r="G571" s="82"/>
      <c r="H571" s="82"/>
      <c r="N571" s="60"/>
    </row>
    <row r="572" spans="2:14" ht="13" hidden="1" outlineLevel="1" x14ac:dyDescent="0.25">
      <c r="B572" s="74"/>
      <c r="C572" s="148"/>
      <c r="D572" s="76" t="str">
        <f>D540</f>
        <v>kg</v>
      </c>
      <c r="E572" s="77"/>
      <c r="F572" s="82"/>
      <c r="G572" s="82"/>
      <c r="H572" s="82"/>
      <c r="N572" s="60"/>
    </row>
    <row r="573" spans="2:14" ht="13" hidden="1" outlineLevel="1" x14ac:dyDescent="0.25">
      <c r="B573" s="74"/>
      <c r="C573" s="148"/>
      <c r="D573" s="76" t="str">
        <f>D540</f>
        <v>kg</v>
      </c>
      <c r="E573" s="77"/>
      <c r="F573" s="82"/>
      <c r="G573" s="82"/>
      <c r="H573" s="82"/>
      <c r="N573" s="60"/>
    </row>
    <row r="574" spans="2:14" ht="13" hidden="1" outlineLevel="1" x14ac:dyDescent="0.25">
      <c r="B574" s="79" t="s">
        <v>70</v>
      </c>
      <c r="C574" s="147"/>
      <c r="D574" s="81"/>
      <c r="E574" s="90"/>
      <c r="F574" s="82"/>
      <c r="G574" s="82"/>
      <c r="H574" s="82"/>
      <c r="N574" s="60"/>
    </row>
    <row r="575" spans="2:14" ht="13" hidden="1" outlineLevel="1" x14ac:dyDescent="0.25">
      <c r="B575" s="74"/>
      <c r="C575" s="148"/>
      <c r="D575" s="76" t="str">
        <f>D540</f>
        <v>kg</v>
      </c>
      <c r="E575" s="77"/>
      <c r="F575" s="82"/>
      <c r="G575" s="82"/>
      <c r="H575" s="82"/>
      <c r="N575" s="60"/>
    </row>
    <row r="576" spans="2:14" ht="13" hidden="1" outlineLevel="1" x14ac:dyDescent="0.25">
      <c r="B576" s="74"/>
      <c r="C576" s="148"/>
      <c r="D576" s="76" t="str">
        <f>D540</f>
        <v>kg</v>
      </c>
      <c r="E576" s="77"/>
      <c r="F576" s="82"/>
      <c r="G576" s="82"/>
      <c r="H576" s="82"/>
      <c r="N576" s="60"/>
    </row>
    <row r="577" spans="2:14" ht="13" hidden="1" outlineLevel="1" x14ac:dyDescent="0.25">
      <c r="B577" s="74"/>
      <c r="C577" s="148"/>
      <c r="D577" s="76" t="str">
        <f>D540</f>
        <v>kg</v>
      </c>
      <c r="E577" s="77"/>
      <c r="F577" s="82"/>
      <c r="G577" s="82"/>
      <c r="H577" s="82"/>
      <c r="N577" s="60"/>
    </row>
    <row r="578" spans="2:14" ht="13" hidden="1" outlineLevel="1" x14ac:dyDescent="0.25">
      <c r="B578" s="74"/>
      <c r="C578" s="148"/>
      <c r="D578" s="76" t="str">
        <f>D540</f>
        <v>kg</v>
      </c>
      <c r="E578" s="77"/>
      <c r="F578" s="82"/>
      <c r="G578" s="82"/>
      <c r="H578" s="82"/>
      <c r="N578" s="60"/>
    </row>
    <row r="579" spans="2:14" ht="13" hidden="1" outlineLevel="1" x14ac:dyDescent="0.25">
      <c r="B579" s="74"/>
      <c r="C579" s="148"/>
      <c r="D579" s="76" t="str">
        <f>D540</f>
        <v>kg</v>
      </c>
      <c r="E579" s="77"/>
      <c r="F579" s="82"/>
      <c r="G579" s="82"/>
      <c r="H579" s="82"/>
      <c r="N579" s="60"/>
    </row>
    <row r="580" spans="2:14" ht="13" hidden="1" outlineLevel="1" x14ac:dyDescent="0.25">
      <c r="B580" s="74"/>
      <c r="C580" s="148"/>
      <c r="D580" s="76" t="str">
        <f>D540</f>
        <v>kg</v>
      </c>
      <c r="E580" s="77"/>
      <c r="F580" s="82"/>
      <c r="G580" s="82"/>
      <c r="H580" s="82"/>
      <c r="N580" s="60"/>
    </row>
    <row r="581" spans="2:14" ht="13" hidden="1" outlineLevel="1" x14ac:dyDescent="0.25">
      <c r="B581" s="74"/>
      <c r="C581" s="148"/>
      <c r="D581" s="76" t="str">
        <f>D540</f>
        <v>kg</v>
      </c>
      <c r="E581" s="77"/>
      <c r="F581" s="82"/>
      <c r="G581" s="82"/>
      <c r="H581" s="82"/>
      <c r="N581" s="60"/>
    </row>
    <row r="582" spans="2:14" ht="13.15" hidden="1" customHeight="1" outlineLevel="1" x14ac:dyDescent="0.25">
      <c r="B582" s="79"/>
      <c r="C582" s="147"/>
      <c r="D582" s="81"/>
      <c r="E582" s="77"/>
      <c r="F582" s="82"/>
      <c r="G582" s="82"/>
      <c r="H582" s="82"/>
      <c r="K582" s="34"/>
      <c r="N582" s="60"/>
    </row>
    <row r="583" spans="2:14" ht="13" hidden="1" outlineLevel="1" x14ac:dyDescent="0.25">
      <c r="B583" s="86" t="s">
        <v>9</v>
      </c>
      <c r="C583" s="149">
        <f>SUM(C564:C581)</f>
        <v>0</v>
      </c>
      <c r="D583" s="91" t="str">
        <f>D540</f>
        <v>kg</v>
      </c>
      <c r="E583" s="77"/>
      <c r="F583" s="82"/>
      <c r="G583" s="82"/>
      <c r="H583" s="82"/>
      <c r="N583" s="60"/>
    </row>
    <row r="584" spans="2:14" ht="13.5" hidden="1" outlineLevel="1" thickBot="1" x14ac:dyDescent="0.3">
      <c r="B584" s="92"/>
      <c r="C584" s="93"/>
      <c r="D584" s="94"/>
      <c r="E584" s="77"/>
      <c r="F584" s="82"/>
      <c r="G584" s="82"/>
      <c r="H584" s="82"/>
      <c r="N584" s="60"/>
    </row>
    <row r="585" spans="2:14" ht="20.5" hidden="1" outlineLevel="1" thickBot="1" x14ac:dyDescent="0.3">
      <c r="B585" s="426" t="s">
        <v>10</v>
      </c>
      <c r="C585" s="427"/>
      <c r="D585" s="428"/>
      <c r="E585" s="77"/>
      <c r="F585" s="82"/>
      <c r="G585" s="82"/>
      <c r="H585" s="82"/>
      <c r="N585" s="60"/>
    </row>
    <row r="586" spans="2:14" ht="13" hidden="1" outlineLevel="1" x14ac:dyDescent="0.25">
      <c r="B586" s="95" t="s">
        <v>23</v>
      </c>
      <c r="C586" s="96"/>
      <c r="D586" s="151">
        <f>SUM(C550:C551)</f>
        <v>0</v>
      </c>
      <c r="E586" s="98"/>
      <c r="F586" s="82"/>
      <c r="G586" s="82"/>
      <c r="H586" s="82"/>
      <c r="N586" s="60"/>
    </row>
    <row r="587" spans="2:14" ht="13" hidden="1" outlineLevel="1" x14ac:dyDescent="0.25">
      <c r="B587" s="99" t="s">
        <v>24</v>
      </c>
      <c r="C587" s="100"/>
      <c r="D587" s="152">
        <f>SUM(C553:C563)</f>
        <v>0</v>
      </c>
      <c r="E587" s="98"/>
      <c r="F587" s="82"/>
      <c r="G587" s="82"/>
      <c r="H587" s="82"/>
      <c r="N587" s="60"/>
    </row>
    <row r="588" spans="2:14" ht="13" hidden="1" outlineLevel="1" x14ac:dyDescent="0.25">
      <c r="B588" s="99" t="s">
        <v>25</v>
      </c>
      <c r="C588" s="100"/>
      <c r="D588" s="152">
        <f>SUM(C566:C574)</f>
        <v>0</v>
      </c>
      <c r="E588" s="98"/>
      <c r="F588" s="82"/>
      <c r="G588" s="82"/>
      <c r="H588" s="82"/>
      <c r="N588" s="60"/>
    </row>
    <row r="589" spans="2:14" ht="13.5" hidden="1" outlineLevel="1" thickBot="1" x14ac:dyDescent="0.3">
      <c r="B589" s="102" t="s">
        <v>26</v>
      </c>
      <c r="C589" s="103"/>
      <c r="D589" s="153">
        <f>SUM(C575:C582)</f>
        <v>0</v>
      </c>
      <c r="E589" s="98"/>
      <c r="F589" s="82"/>
      <c r="G589" s="82"/>
      <c r="H589" s="82"/>
      <c r="N589" s="60"/>
    </row>
    <row r="590" spans="2:14" ht="19" hidden="1" outlineLevel="1" thickTop="1" thickBot="1" x14ac:dyDescent="0.3">
      <c r="B590" s="105" t="s">
        <v>11</v>
      </c>
      <c r="C590" s="106"/>
      <c r="D590" s="107" t="e">
        <f>C564/C546</f>
        <v>#DIV/0!</v>
      </c>
      <c r="E590" s="77"/>
      <c r="F590" s="110" t="s">
        <v>86</v>
      </c>
      <c r="G590" s="109" t="s">
        <v>85</v>
      </c>
      <c r="H590" s="110"/>
      <c r="N590" s="60"/>
    </row>
    <row r="591" spans="2:14" ht="18.5" hidden="1" outlineLevel="1" thickBot="1" x14ac:dyDescent="0.3">
      <c r="B591" s="111" t="s">
        <v>12</v>
      </c>
      <c r="C591" s="112"/>
      <c r="D591" s="113" t="e">
        <f>(D586+D587+D588)/C546</f>
        <v>#DIV/0!</v>
      </c>
      <c r="E591" s="77"/>
      <c r="F591" s="154"/>
      <c r="G591" s="413"/>
      <c r="H591" s="414"/>
      <c r="N591" s="60"/>
    </row>
    <row r="592" spans="2:14" ht="18" hidden="1" outlineLevel="1" x14ac:dyDescent="0.25">
      <c r="B592" s="111" t="s">
        <v>13</v>
      </c>
      <c r="C592" s="112"/>
      <c r="D592" s="113" t="e">
        <f>D588/C546</f>
        <v>#DIV/0!</v>
      </c>
      <c r="E592" s="90"/>
      <c r="F592" s="64" t="s">
        <v>45</v>
      </c>
      <c r="G592" s="64" t="s">
        <v>45</v>
      </c>
      <c r="H592" s="155"/>
      <c r="N592" s="60"/>
    </row>
    <row r="593" spans="2:14" ht="18.5" hidden="1" outlineLevel="1" thickBot="1" x14ac:dyDescent="0.3">
      <c r="B593" s="114" t="s">
        <v>14</v>
      </c>
      <c r="C593" s="115"/>
      <c r="D593" s="116" t="e">
        <f>D589/C546</f>
        <v>#DIV/0!</v>
      </c>
      <c r="E593" s="90"/>
      <c r="F593" s="110"/>
      <c r="G593" s="117" t="s">
        <v>46</v>
      </c>
      <c r="H593" s="110"/>
      <c r="N593" s="60"/>
    </row>
    <row r="594" spans="2:14" ht="18.5" hidden="1" outlineLevel="1" thickBot="1" x14ac:dyDescent="0.3">
      <c r="B594" s="114" t="s">
        <v>15</v>
      </c>
      <c r="C594" s="119"/>
      <c r="D594" s="116" t="e">
        <f>SUM(D586:D589)/C546</f>
        <v>#DIV/0!</v>
      </c>
      <c r="E594" s="90"/>
      <c r="F594" s="429"/>
      <c r="G594" s="430"/>
      <c r="H594" s="431"/>
      <c r="N594" s="60"/>
    </row>
    <row r="595" spans="2:14" ht="18.5" hidden="1" outlineLevel="1" thickTop="1" x14ac:dyDescent="0.25">
      <c r="B595" s="120" t="s">
        <v>16</v>
      </c>
      <c r="C595" s="121"/>
      <c r="D595" s="122" t="e">
        <f>((C550*D528)+D587+C551*MAX(1,F551))/C546</f>
        <v>#DIV/0!</v>
      </c>
      <c r="E595" s="77"/>
      <c r="F595" s="64" t="s">
        <v>45</v>
      </c>
      <c r="G595" s="64"/>
      <c r="H595" s="82"/>
      <c r="N595" s="60"/>
    </row>
    <row r="596" spans="2:14" ht="18" hidden="1" outlineLevel="1" x14ac:dyDescent="0.25">
      <c r="B596" s="123" t="s">
        <v>17</v>
      </c>
      <c r="C596" s="124"/>
      <c r="D596" s="125" t="e">
        <f>(C550*D529+D587+D588+C551*(MAX(1,F551)+G551))/C546</f>
        <v>#DIV/0!</v>
      </c>
      <c r="E596" s="77"/>
      <c r="F596" s="82"/>
      <c r="G596" s="82"/>
      <c r="H596" s="82"/>
      <c r="N596" s="60"/>
    </row>
    <row r="597" spans="2:14" ht="18" hidden="1" customHeight="1" outlineLevel="1" x14ac:dyDescent="0.25">
      <c r="B597" s="123" t="s">
        <v>18</v>
      </c>
      <c r="C597" s="124"/>
      <c r="D597" s="125" t="e">
        <f>((C550*D530)+D588+C551*G551)/C546</f>
        <v>#DIV/0!</v>
      </c>
      <c r="E597" s="77"/>
      <c r="F597" s="415" t="s">
        <v>61</v>
      </c>
      <c r="G597" s="416"/>
      <c r="H597" s="416"/>
      <c r="N597" s="60"/>
    </row>
    <row r="598" spans="2:14" ht="18" hidden="1" outlineLevel="1" x14ac:dyDescent="0.25">
      <c r="B598" s="126" t="s">
        <v>19</v>
      </c>
      <c r="C598" s="127"/>
      <c r="D598" s="128" t="e">
        <f>(C550*D531+D589+C551*H551)/C546</f>
        <v>#DIV/0!</v>
      </c>
      <c r="E598" s="77"/>
      <c r="F598" s="416"/>
      <c r="G598" s="416"/>
      <c r="H598" s="416"/>
      <c r="N598" s="60"/>
    </row>
    <row r="599" spans="2:14" ht="18.5" hidden="1" outlineLevel="1" thickBot="1" x14ac:dyDescent="0.3">
      <c r="B599" s="129" t="s">
        <v>20</v>
      </c>
      <c r="C599" s="130"/>
      <c r="D599" s="131" t="e">
        <f>((C550*D532)+SUM(D587:D589)+C551*(MAX(1,F551)+G551+H551))/C546</f>
        <v>#DIV/0!</v>
      </c>
      <c r="E599" s="77"/>
      <c r="F599" s="416"/>
      <c r="G599" s="416"/>
      <c r="H599" s="416"/>
      <c r="N599" s="60"/>
    </row>
    <row r="600" spans="2:14" ht="13" hidden="1" outlineLevel="1" thickTop="1" x14ac:dyDescent="0.25">
      <c r="B600" s="156" t="s">
        <v>76</v>
      </c>
      <c r="C600" s="424"/>
      <c r="D600" s="425"/>
      <c r="F600" s="416"/>
      <c r="G600" s="416"/>
      <c r="H600" s="416"/>
      <c r="N600" s="60"/>
    </row>
    <row r="601" spans="2:14" hidden="1" outlineLevel="1" x14ac:dyDescent="0.25">
      <c r="B601" s="157" t="s">
        <v>58</v>
      </c>
      <c r="C601" s="422"/>
      <c r="D601" s="423"/>
      <c r="F601" s="416"/>
      <c r="G601" s="416"/>
      <c r="H601" s="416"/>
      <c r="N601" s="60"/>
    </row>
    <row r="602" spans="2:14" ht="13" hidden="1" outlineLevel="1" thickBot="1" x14ac:dyDescent="0.3">
      <c r="B602" s="158" t="s">
        <v>59</v>
      </c>
      <c r="C602" s="420"/>
      <c r="D602" s="421"/>
      <c r="F602" s="416"/>
      <c r="G602" s="416"/>
      <c r="H602" s="416"/>
      <c r="N602" s="60"/>
    </row>
    <row r="603" spans="2:14" hidden="1" outlineLevel="1" x14ac:dyDescent="0.25">
      <c r="N603" s="60"/>
    </row>
    <row r="604" spans="2:14" ht="13" hidden="1" outlineLevel="1" thickBot="1" x14ac:dyDescent="0.3">
      <c r="C604" s="25" t="s">
        <v>44</v>
      </c>
      <c r="D604" s="25" t="s">
        <v>42</v>
      </c>
      <c r="N604" s="60"/>
    </row>
    <row r="605" spans="2:14" ht="21" hidden="1" outlineLevel="1" thickTop="1" thickBot="1" x14ac:dyDescent="0.3">
      <c r="B605" s="140" t="s">
        <v>73</v>
      </c>
      <c r="C605" s="29"/>
      <c r="D605" s="141"/>
      <c r="E605" s="31"/>
      <c r="F605" s="32" t="s">
        <v>27</v>
      </c>
      <c r="G605" s="33"/>
      <c r="H605" s="33"/>
    </row>
    <row r="606" spans="2:14" ht="14.5" hidden="1" outlineLevel="1" thickBot="1" x14ac:dyDescent="0.3">
      <c r="B606" s="37"/>
      <c r="C606" s="38" t="s">
        <v>0</v>
      </c>
      <c r="D606" s="39" t="s">
        <v>1</v>
      </c>
      <c r="E606" s="40"/>
      <c r="F606" s="41" t="s">
        <v>28</v>
      </c>
      <c r="G606" s="41" t="s">
        <v>21</v>
      </c>
      <c r="H606" s="41" t="s">
        <v>8</v>
      </c>
    </row>
    <row r="607" spans="2:14" ht="13" hidden="1" outlineLevel="1" x14ac:dyDescent="0.25">
      <c r="B607" s="43" t="s">
        <v>65</v>
      </c>
      <c r="C607" s="142"/>
      <c r="D607" s="45" t="s">
        <v>2</v>
      </c>
      <c r="E607" s="46"/>
      <c r="F607" s="47"/>
      <c r="G607" s="47"/>
      <c r="H607" s="47"/>
      <c r="N607" s="60"/>
    </row>
    <row r="608" spans="2:14" ht="13" hidden="1" outlineLevel="1" x14ac:dyDescent="0.25">
      <c r="B608" s="43" t="s">
        <v>64</v>
      </c>
      <c r="C608" s="143"/>
      <c r="D608" s="45" t="s">
        <v>3</v>
      </c>
      <c r="E608" s="46"/>
      <c r="F608" s="47"/>
      <c r="G608" s="47"/>
      <c r="H608" s="47"/>
      <c r="N608" s="60"/>
    </row>
    <row r="609" spans="2:14" ht="13" hidden="1" outlineLevel="1" x14ac:dyDescent="0.25">
      <c r="B609" s="51" t="s">
        <v>63</v>
      </c>
      <c r="C609" s="144">
        <f>C607*C608</f>
        <v>0</v>
      </c>
      <c r="D609" s="45" t="str">
        <f>D607</f>
        <v>kg</v>
      </c>
      <c r="E609" s="46"/>
      <c r="F609" s="47"/>
      <c r="G609" s="47"/>
      <c r="H609" s="47"/>
      <c r="N609" s="60"/>
    </row>
    <row r="610" spans="2:14" ht="14" hidden="1" outlineLevel="1" x14ac:dyDescent="0.25">
      <c r="B610" s="54" t="s">
        <v>37</v>
      </c>
      <c r="C610" s="145">
        <v>1</v>
      </c>
      <c r="D610" s="56"/>
      <c r="E610" s="57"/>
      <c r="F610" s="58"/>
      <c r="G610" s="58"/>
      <c r="H610" s="58"/>
      <c r="N610" s="60"/>
    </row>
    <row r="611" spans="2:14" ht="13" hidden="1" outlineLevel="1" x14ac:dyDescent="0.25">
      <c r="B611" s="43" t="s">
        <v>66</v>
      </c>
      <c r="C611" s="142"/>
      <c r="D611" s="45" t="str">
        <f>D607</f>
        <v>kg</v>
      </c>
      <c r="E611" s="46"/>
      <c r="F611" s="47"/>
      <c r="G611" s="47"/>
      <c r="H611" s="47"/>
      <c r="N611" s="60"/>
    </row>
    <row r="612" spans="2:14" ht="13" hidden="1" outlineLevel="1" x14ac:dyDescent="0.25">
      <c r="B612" s="43" t="s">
        <v>67</v>
      </c>
      <c r="C612" s="143"/>
      <c r="D612" s="45" t="s">
        <v>3</v>
      </c>
      <c r="E612" s="59"/>
      <c r="F612" s="47"/>
      <c r="G612" s="47"/>
      <c r="H612" s="47"/>
      <c r="N612" s="60"/>
    </row>
    <row r="613" spans="2:14" ht="13.5" hidden="1" outlineLevel="1" thickBot="1" x14ac:dyDescent="0.3">
      <c r="B613" s="51" t="s">
        <v>68</v>
      </c>
      <c r="C613" s="144">
        <f>C611*C612</f>
        <v>0</v>
      </c>
      <c r="D613" s="45" t="str">
        <f>D607</f>
        <v>kg</v>
      </c>
      <c r="E613" s="46"/>
      <c r="F613" s="47"/>
      <c r="G613" s="47"/>
      <c r="H613" s="47"/>
      <c r="N613" s="60"/>
    </row>
    <row r="614" spans="2:14" ht="13.5" hidden="1" outlineLevel="1" thickBot="1" x14ac:dyDescent="0.3">
      <c r="B614" s="61"/>
      <c r="C614" s="62"/>
      <c r="D614" s="63"/>
      <c r="F614" s="64"/>
      <c r="G614" s="64"/>
      <c r="H614" s="64"/>
      <c r="N614" s="60"/>
    </row>
    <row r="615" spans="2:14" ht="14.5" hidden="1" outlineLevel="1" thickBot="1" x14ac:dyDescent="0.3">
      <c r="B615" s="65" t="s">
        <v>5</v>
      </c>
      <c r="C615" s="66" t="s">
        <v>6</v>
      </c>
      <c r="D615" s="67" t="s">
        <v>1</v>
      </c>
      <c r="E615" s="68"/>
      <c r="F615" s="69"/>
      <c r="G615" s="69"/>
      <c r="H615" s="69"/>
      <c r="N615" s="60"/>
    </row>
    <row r="616" spans="2:14" ht="13" hidden="1" outlineLevel="1" x14ac:dyDescent="0.25">
      <c r="B616" s="70" t="s">
        <v>43</v>
      </c>
      <c r="C616" s="71"/>
      <c r="D616" s="72"/>
      <c r="E616" s="73"/>
      <c r="F616" s="69"/>
      <c r="G616" s="69"/>
      <c r="H616" s="69"/>
      <c r="N616" s="60"/>
    </row>
    <row r="617" spans="2:14" ht="13.5" hidden="1" outlineLevel="1" thickBot="1" x14ac:dyDescent="0.3">
      <c r="B617" s="74"/>
      <c r="C617" s="146">
        <f>C609</f>
        <v>0</v>
      </c>
      <c r="D617" s="76" t="str">
        <f>D607</f>
        <v>kg</v>
      </c>
      <c r="E617" s="98"/>
      <c r="F617" s="69"/>
      <c r="G617" s="69"/>
      <c r="H617" s="69"/>
      <c r="N617" s="60"/>
    </row>
    <row r="618" spans="2:14" ht="13.5" hidden="1" outlineLevel="1" thickBot="1" x14ac:dyDescent="0.3">
      <c r="B618" s="74"/>
      <c r="C618" s="146"/>
      <c r="D618" s="76" t="str">
        <f>D607</f>
        <v>kg</v>
      </c>
      <c r="E618" s="77"/>
      <c r="F618" s="78"/>
      <c r="G618" s="78"/>
      <c r="H618" s="78"/>
      <c r="N618" s="60"/>
    </row>
    <row r="619" spans="2:14" ht="13" hidden="1" outlineLevel="1" x14ac:dyDescent="0.25">
      <c r="B619" s="79" t="s">
        <v>69</v>
      </c>
      <c r="C619" s="147"/>
      <c r="D619" s="81"/>
      <c r="E619" s="77"/>
      <c r="F619" s="82"/>
      <c r="G619" s="82"/>
      <c r="H619" s="82"/>
      <c r="N619" s="60"/>
    </row>
    <row r="620" spans="2:14" ht="13" hidden="1" outlineLevel="1" x14ac:dyDescent="0.25">
      <c r="B620" s="74"/>
      <c r="C620" s="148"/>
      <c r="D620" s="76" t="str">
        <f>D607</f>
        <v>kg</v>
      </c>
      <c r="E620" s="77"/>
      <c r="F620" s="82"/>
      <c r="G620" s="82"/>
      <c r="H620" s="82"/>
      <c r="N620" s="60"/>
    </row>
    <row r="621" spans="2:14" ht="13" hidden="1" outlineLevel="1" x14ac:dyDescent="0.25">
      <c r="B621" s="74"/>
      <c r="C621" s="148"/>
      <c r="D621" s="76" t="str">
        <f>D607</f>
        <v>kg</v>
      </c>
      <c r="E621" s="77"/>
      <c r="F621" s="82"/>
      <c r="G621" s="82"/>
      <c r="H621" s="82"/>
      <c r="N621" s="60"/>
    </row>
    <row r="622" spans="2:14" ht="13" hidden="1" outlineLevel="1" x14ac:dyDescent="0.25">
      <c r="B622" s="74"/>
      <c r="C622" s="148"/>
      <c r="D622" s="76" t="str">
        <f>D607</f>
        <v>kg</v>
      </c>
      <c r="E622" s="77"/>
      <c r="F622" s="82"/>
      <c r="G622" s="82"/>
      <c r="H622" s="82"/>
      <c r="N622" s="60"/>
    </row>
    <row r="623" spans="2:14" ht="13" hidden="1" outlineLevel="1" x14ac:dyDescent="0.25">
      <c r="B623" s="74"/>
      <c r="C623" s="148"/>
      <c r="D623" s="76" t="str">
        <f>D607</f>
        <v>kg</v>
      </c>
      <c r="E623" s="77"/>
      <c r="F623" s="82"/>
      <c r="G623" s="82"/>
      <c r="H623" s="82"/>
      <c r="N623" s="60"/>
    </row>
    <row r="624" spans="2:14" ht="13" hidden="1" outlineLevel="1" x14ac:dyDescent="0.25">
      <c r="B624" s="74"/>
      <c r="C624" s="148"/>
      <c r="D624" s="76" t="str">
        <f>D607</f>
        <v>kg</v>
      </c>
      <c r="E624" s="77"/>
      <c r="F624" s="82"/>
      <c r="G624" s="82"/>
      <c r="H624" s="82"/>
      <c r="N624" s="60"/>
    </row>
    <row r="625" spans="2:14" ht="13" hidden="1" outlineLevel="1" x14ac:dyDescent="0.25">
      <c r="B625" s="74"/>
      <c r="C625" s="148"/>
      <c r="D625" s="76" t="str">
        <f>D607</f>
        <v>kg</v>
      </c>
      <c r="E625" s="77"/>
      <c r="F625" s="82"/>
      <c r="G625" s="82"/>
      <c r="H625" s="82"/>
      <c r="N625" s="60"/>
    </row>
    <row r="626" spans="2:14" ht="13" hidden="1" outlineLevel="1" x14ac:dyDescent="0.25">
      <c r="B626" s="74"/>
      <c r="C626" s="148"/>
      <c r="D626" s="76" t="str">
        <f>D607</f>
        <v>kg</v>
      </c>
      <c r="E626" s="77"/>
      <c r="F626" s="82"/>
      <c r="G626" s="82"/>
      <c r="H626" s="82"/>
      <c r="N626" s="60"/>
    </row>
    <row r="627" spans="2:14" ht="13" hidden="1" outlineLevel="1" x14ac:dyDescent="0.25">
      <c r="B627" s="74"/>
      <c r="C627" s="148"/>
      <c r="D627" s="76" t="str">
        <f>D607</f>
        <v>kg</v>
      </c>
      <c r="E627" s="77"/>
      <c r="F627" s="82"/>
      <c r="G627" s="82"/>
      <c r="H627" s="82"/>
      <c r="N627" s="60"/>
    </row>
    <row r="628" spans="2:14" ht="13" hidden="1" outlineLevel="1" x14ac:dyDescent="0.25">
      <c r="B628" s="74"/>
      <c r="C628" s="148"/>
      <c r="D628" s="76" t="str">
        <f>D607</f>
        <v>kg</v>
      </c>
      <c r="E628" s="77"/>
      <c r="F628" s="82"/>
      <c r="G628" s="82"/>
      <c r="H628" s="82"/>
      <c r="N628" s="60"/>
    </row>
    <row r="629" spans="2:14" ht="13" hidden="1" outlineLevel="1" x14ac:dyDescent="0.25">
      <c r="B629" s="74"/>
      <c r="C629" s="148"/>
      <c r="D629" s="76" t="str">
        <f>D607</f>
        <v>kg</v>
      </c>
      <c r="E629" s="77"/>
      <c r="F629" s="82"/>
      <c r="G629" s="82"/>
      <c r="H629" s="82"/>
      <c r="N629" s="60"/>
    </row>
    <row r="630" spans="2:14" ht="13.15" hidden="1" customHeight="1" outlineLevel="1" x14ac:dyDescent="0.25">
      <c r="B630" s="79"/>
      <c r="C630" s="147"/>
      <c r="D630" s="81"/>
      <c r="E630" s="77"/>
      <c r="F630" s="82"/>
      <c r="G630" s="82"/>
      <c r="H630" s="82"/>
      <c r="K630" s="34"/>
      <c r="N630" s="60"/>
    </row>
    <row r="631" spans="2:14" ht="13" hidden="1" outlineLevel="1" x14ac:dyDescent="0.25">
      <c r="B631" s="86" t="s">
        <v>7</v>
      </c>
      <c r="C631" s="149">
        <f>SUM(C616:C629)</f>
        <v>0</v>
      </c>
      <c r="D631" s="88" t="str">
        <f>D607</f>
        <v>kg</v>
      </c>
      <c r="E631" s="77"/>
      <c r="F631" s="82"/>
      <c r="G631" s="82"/>
      <c r="H631" s="82"/>
      <c r="N631" s="60"/>
    </row>
    <row r="632" spans="2:14" ht="13" hidden="1" outlineLevel="1" x14ac:dyDescent="0.25">
      <c r="B632" s="79" t="s">
        <v>71</v>
      </c>
      <c r="C632" s="150"/>
      <c r="D632" s="81"/>
      <c r="E632" s="77"/>
      <c r="F632" s="82"/>
      <c r="G632" s="82"/>
      <c r="H632" s="82"/>
      <c r="N632" s="60"/>
    </row>
    <row r="633" spans="2:14" ht="13" hidden="1" outlineLevel="1" x14ac:dyDescent="0.25">
      <c r="B633" s="74"/>
      <c r="C633" s="148"/>
      <c r="D633" s="76" t="str">
        <f>D607</f>
        <v>kg</v>
      </c>
      <c r="E633" s="77"/>
      <c r="F633" s="82"/>
      <c r="G633" s="82"/>
      <c r="H633" s="82"/>
    </row>
    <row r="634" spans="2:14" ht="13" hidden="1" outlineLevel="1" x14ac:dyDescent="0.25">
      <c r="B634" s="74"/>
      <c r="C634" s="148"/>
      <c r="D634" s="76" t="str">
        <f>D607</f>
        <v>kg</v>
      </c>
      <c r="E634" s="77"/>
      <c r="F634" s="82"/>
      <c r="G634" s="82"/>
      <c r="H634" s="82"/>
    </row>
    <row r="635" spans="2:14" ht="13" hidden="1" outlineLevel="1" x14ac:dyDescent="0.25">
      <c r="B635" s="74"/>
      <c r="C635" s="148"/>
      <c r="D635" s="76" t="str">
        <f>D607</f>
        <v>kg</v>
      </c>
      <c r="E635" s="77"/>
      <c r="F635" s="82"/>
      <c r="G635" s="82"/>
      <c r="H635" s="82"/>
    </row>
    <row r="636" spans="2:14" ht="13" hidden="1" outlineLevel="1" x14ac:dyDescent="0.25">
      <c r="B636" s="74"/>
      <c r="C636" s="148"/>
      <c r="D636" s="76" t="str">
        <f>D607</f>
        <v>kg</v>
      </c>
      <c r="E636" s="77"/>
      <c r="F636" s="82"/>
      <c r="G636" s="82"/>
      <c r="H636" s="82"/>
    </row>
    <row r="637" spans="2:14" ht="13" hidden="1" outlineLevel="1" x14ac:dyDescent="0.25">
      <c r="B637" s="74"/>
      <c r="C637" s="148"/>
      <c r="D637" s="76" t="str">
        <f>D607</f>
        <v>kg</v>
      </c>
      <c r="E637" s="77"/>
      <c r="F637" s="82"/>
      <c r="G637" s="82"/>
      <c r="H637" s="82"/>
    </row>
    <row r="638" spans="2:14" ht="13" hidden="1" outlineLevel="1" x14ac:dyDescent="0.25">
      <c r="B638" s="74"/>
      <c r="C638" s="148"/>
      <c r="D638" s="76" t="str">
        <f>D607</f>
        <v>kg</v>
      </c>
      <c r="E638" s="77"/>
      <c r="F638" s="82"/>
      <c r="G638" s="82"/>
      <c r="H638" s="82"/>
    </row>
    <row r="639" spans="2:14" ht="13" hidden="1" outlineLevel="1" x14ac:dyDescent="0.25">
      <c r="B639" s="74"/>
      <c r="C639" s="148"/>
      <c r="D639" s="76" t="str">
        <f>D607</f>
        <v>kg</v>
      </c>
      <c r="E639" s="77"/>
      <c r="F639" s="82"/>
      <c r="G639" s="82"/>
      <c r="H639" s="82"/>
    </row>
    <row r="640" spans="2:14" ht="13" hidden="1" outlineLevel="1" x14ac:dyDescent="0.25">
      <c r="B640" s="74"/>
      <c r="C640" s="148"/>
      <c r="D640" s="76" t="str">
        <f>D607</f>
        <v>kg</v>
      </c>
      <c r="E640" s="77"/>
      <c r="F640" s="82"/>
      <c r="G640" s="82"/>
      <c r="H640" s="82"/>
    </row>
    <row r="641" spans="2:11" ht="13" hidden="1" outlineLevel="1" x14ac:dyDescent="0.25">
      <c r="B641" s="79" t="s">
        <v>70</v>
      </c>
      <c r="C641" s="147"/>
      <c r="D641" s="81"/>
      <c r="E641" s="90"/>
      <c r="F641" s="82"/>
      <c r="G641" s="82"/>
      <c r="H641" s="82"/>
    </row>
    <row r="642" spans="2:11" ht="13" hidden="1" outlineLevel="1" x14ac:dyDescent="0.25">
      <c r="B642" s="74"/>
      <c r="C642" s="148"/>
      <c r="D642" s="76" t="str">
        <f>D607</f>
        <v>kg</v>
      </c>
      <c r="E642" s="77"/>
      <c r="F642" s="82"/>
      <c r="G642" s="82"/>
      <c r="H642" s="82"/>
    </row>
    <row r="643" spans="2:11" ht="13" hidden="1" outlineLevel="1" x14ac:dyDescent="0.25">
      <c r="B643" s="74"/>
      <c r="C643" s="148"/>
      <c r="D643" s="76" t="str">
        <f>D607</f>
        <v>kg</v>
      </c>
      <c r="E643" s="77"/>
      <c r="F643" s="82"/>
      <c r="G643" s="82"/>
      <c r="H643" s="82"/>
    </row>
    <row r="644" spans="2:11" ht="13" hidden="1" outlineLevel="1" x14ac:dyDescent="0.25">
      <c r="B644" s="74"/>
      <c r="C644" s="148"/>
      <c r="D644" s="76" t="str">
        <f>D607</f>
        <v>kg</v>
      </c>
      <c r="E644" s="77"/>
      <c r="F644" s="82"/>
      <c r="G644" s="82"/>
      <c r="H644" s="82"/>
    </row>
    <row r="645" spans="2:11" ht="13" hidden="1" outlineLevel="1" x14ac:dyDescent="0.25">
      <c r="B645" s="74"/>
      <c r="C645" s="148"/>
      <c r="D645" s="76" t="str">
        <f>D607</f>
        <v>kg</v>
      </c>
      <c r="E645" s="77"/>
      <c r="F645" s="82"/>
      <c r="G645" s="82"/>
      <c r="H645" s="82"/>
    </row>
    <row r="646" spans="2:11" ht="13" hidden="1" outlineLevel="1" x14ac:dyDescent="0.25">
      <c r="B646" s="74"/>
      <c r="C646" s="148"/>
      <c r="D646" s="76" t="str">
        <f>D607</f>
        <v>kg</v>
      </c>
      <c r="E646" s="77"/>
      <c r="F646" s="82"/>
      <c r="G646" s="82"/>
      <c r="H646" s="82"/>
    </row>
    <row r="647" spans="2:11" ht="13" hidden="1" outlineLevel="1" x14ac:dyDescent="0.25">
      <c r="B647" s="74"/>
      <c r="C647" s="148"/>
      <c r="D647" s="76" t="str">
        <f>D607</f>
        <v>kg</v>
      </c>
      <c r="E647" s="77"/>
      <c r="F647" s="82"/>
      <c r="G647" s="82"/>
      <c r="H647" s="82"/>
    </row>
    <row r="648" spans="2:11" ht="13" hidden="1" outlineLevel="1" x14ac:dyDescent="0.25">
      <c r="B648" s="74"/>
      <c r="C648" s="148"/>
      <c r="D648" s="76" t="str">
        <f>D607</f>
        <v>kg</v>
      </c>
      <c r="E648" s="77"/>
      <c r="F648" s="82"/>
      <c r="G648" s="82"/>
      <c r="H648" s="82"/>
    </row>
    <row r="649" spans="2:11" ht="13.15" hidden="1" customHeight="1" outlineLevel="1" x14ac:dyDescent="0.25">
      <c r="B649" s="79"/>
      <c r="C649" s="147"/>
      <c r="D649" s="81"/>
      <c r="E649" s="77"/>
      <c r="F649" s="82"/>
      <c r="G649" s="82"/>
      <c r="H649" s="82"/>
      <c r="K649" s="34"/>
    </row>
    <row r="650" spans="2:11" ht="13" hidden="1" outlineLevel="1" x14ac:dyDescent="0.25">
      <c r="B650" s="86" t="s">
        <v>9</v>
      </c>
      <c r="C650" s="149">
        <f>SUM(C631:C648)</f>
        <v>0</v>
      </c>
      <c r="D650" s="91" t="str">
        <f>D607</f>
        <v>kg</v>
      </c>
      <c r="E650" s="77"/>
      <c r="F650" s="82"/>
      <c r="G650" s="82"/>
      <c r="H650" s="82"/>
    </row>
    <row r="651" spans="2:11" ht="13.5" hidden="1" outlineLevel="1" thickBot="1" x14ac:dyDescent="0.3">
      <c r="B651" s="92"/>
      <c r="C651" s="93"/>
      <c r="D651" s="94"/>
      <c r="E651" s="77"/>
      <c r="F651" s="82"/>
      <c r="G651" s="82"/>
      <c r="H651" s="82"/>
    </row>
    <row r="652" spans="2:11" ht="20.5" hidden="1" outlineLevel="1" thickBot="1" x14ac:dyDescent="0.3">
      <c r="B652" s="426" t="s">
        <v>10</v>
      </c>
      <c r="C652" s="427"/>
      <c r="D652" s="428"/>
      <c r="E652" s="77"/>
      <c r="F652" s="82"/>
      <c r="G652" s="82"/>
      <c r="H652" s="82"/>
    </row>
    <row r="653" spans="2:11" ht="13" hidden="1" outlineLevel="1" x14ac:dyDescent="0.25">
      <c r="B653" s="95" t="s">
        <v>23</v>
      </c>
      <c r="C653" s="96"/>
      <c r="D653" s="151">
        <f>SUM(C617:C618)</f>
        <v>0</v>
      </c>
      <c r="E653" s="98"/>
      <c r="F653" s="82"/>
      <c r="G653" s="82"/>
      <c r="H653" s="82"/>
    </row>
    <row r="654" spans="2:11" ht="13" hidden="1" outlineLevel="1" x14ac:dyDescent="0.25">
      <c r="B654" s="99" t="s">
        <v>24</v>
      </c>
      <c r="C654" s="100"/>
      <c r="D654" s="152">
        <f>SUM(C620:C630)</f>
        <v>0</v>
      </c>
      <c r="E654" s="98"/>
      <c r="F654" s="82"/>
      <c r="G654" s="82"/>
      <c r="H654" s="82"/>
    </row>
    <row r="655" spans="2:11" ht="13" hidden="1" outlineLevel="1" x14ac:dyDescent="0.25">
      <c r="B655" s="99" t="s">
        <v>25</v>
      </c>
      <c r="C655" s="100"/>
      <c r="D655" s="152">
        <f>SUM(C633:C641)</f>
        <v>0</v>
      </c>
      <c r="E655" s="98"/>
      <c r="F655" s="82"/>
      <c r="G655" s="82"/>
      <c r="H655" s="82"/>
    </row>
    <row r="656" spans="2:11" ht="13.5" hidden="1" outlineLevel="1" thickBot="1" x14ac:dyDescent="0.3">
      <c r="B656" s="102" t="s">
        <v>26</v>
      </c>
      <c r="C656" s="103"/>
      <c r="D656" s="153">
        <f>SUM(C642:C649)</f>
        <v>0</v>
      </c>
      <c r="E656" s="98"/>
      <c r="F656" s="82"/>
      <c r="G656" s="82"/>
      <c r="H656" s="82"/>
    </row>
    <row r="657" spans="2:8" ht="19" hidden="1" outlineLevel="1" thickTop="1" thickBot="1" x14ac:dyDescent="0.3">
      <c r="B657" s="105" t="s">
        <v>11</v>
      </c>
      <c r="C657" s="106"/>
      <c r="D657" s="107" t="e">
        <f>C631/C613</f>
        <v>#DIV/0!</v>
      </c>
      <c r="E657" s="77"/>
      <c r="F657" s="110" t="s">
        <v>86</v>
      </c>
      <c r="G657" s="109" t="s">
        <v>85</v>
      </c>
      <c r="H657" s="110"/>
    </row>
    <row r="658" spans="2:8" ht="18.5" hidden="1" outlineLevel="1" thickBot="1" x14ac:dyDescent="0.3">
      <c r="B658" s="111" t="s">
        <v>12</v>
      </c>
      <c r="C658" s="112"/>
      <c r="D658" s="113" t="e">
        <f>(D653+D654+D655)/C613</f>
        <v>#DIV/0!</v>
      </c>
      <c r="E658" s="77"/>
      <c r="F658" s="154"/>
      <c r="G658" s="413"/>
      <c r="H658" s="414"/>
    </row>
    <row r="659" spans="2:8" ht="18" hidden="1" outlineLevel="1" x14ac:dyDescent="0.25">
      <c r="B659" s="111" t="s">
        <v>13</v>
      </c>
      <c r="C659" s="112"/>
      <c r="D659" s="113" t="e">
        <f>D655/C613</f>
        <v>#DIV/0!</v>
      </c>
      <c r="E659" s="90"/>
      <c r="F659" s="64" t="s">
        <v>45</v>
      </c>
      <c r="G659" s="64" t="s">
        <v>45</v>
      </c>
      <c r="H659" s="155"/>
    </row>
    <row r="660" spans="2:8" ht="18.5" hidden="1" outlineLevel="1" thickBot="1" x14ac:dyDescent="0.3">
      <c r="B660" s="114" t="s">
        <v>14</v>
      </c>
      <c r="C660" s="115"/>
      <c r="D660" s="116" t="e">
        <f>D656/C613</f>
        <v>#DIV/0!</v>
      </c>
      <c r="E660" s="90"/>
      <c r="F660" s="110"/>
      <c r="G660" s="117" t="s">
        <v>46</v>
      </c>
      <c r="H660" s="110"/>
    </row>
    <row r="661" spans="2:8" ht="18.5" hidden="1" outlineLevel="1" thickBot="1" x14ac:dyDescent="0.3">
      <c r="B661" s="114" t="s">
        <v>15</v>
      </c>
      <c r="C661" s="119"/>
      <c r="D661" s="116" t="e">
        <f>SUM(D653:D656)/C613</f>
        <v>#DIV/0!</v>
      </c>
      <c r="E661" s="90"/>
      <c r="F661" s="429"/>
      <c r="G661" s="430"/>
      <c r="H661" s="431"/>
    </row>
    <row r="662" spans="2:8" ht="18.5" hidden="1" outlineLevel="1" thickTop="1" x14ac:dyDescent="0.25">
      <c r="B662" s="120" t="s">
        <v>16</v>
      </c>
      <c r="C662" s="121"/>
      <c r="D662" s="122" t="e">
        <f>((C617*D595)+D654+C618*MAX(1,F618))/C613</f>
        <v>#DIV/0!</v>
      </c>
      <c r="E662" s="77"/>
      <c r="F662" s="64" t="s">
        <v>45</v>
      </c>
      <c r="G662" s="64"/>
      <c r="H662" s="82"/>
    </row>
    <row r="663" spans="2:8" ht="18" hidden="1" outlineLevel="1" x14ac:dyDescent="0.25">
      <c r="B663" s="123" t="s">
        <v>17</v>
      </c>
      <c r="C663" s="124"/>
      <c r="D663" s="125" t="e">
        <f>(C617*D596+D654+D655+C618*(MAX(1,F618)+G618))/C613</f>
        <v>#DIV/0!</v>
      </c>
      <c r="E663" s="77"/>
      <c r="F663" s="82"/>
      <c r="G663" s="82"/>
      <c r="H663" s="82"/>
    </row>
    <row r="664" spans="2:8" ht="18" hidden="1" customHeight="1" outlineLevel="1" x14ac:dyDescent="0.25">
      <c r="B664" s="123" t="s">
        <v>18</v>
      </c>
      <c r="C664" s="124"/>
      <c r="D664" s="125" t="e">
        <f>((C617*D597)+D655+C618*G618)/C613</f>
        <v>#DIV/0!</v>
      </c>
      <c r="E664" s="77"/>
      <c r="F664" s="415" t="s">
        <v>61</v>
      </c>
      <c r="G664" s="416"/>
      <c r="H664" s="416"/>
    </row>
    <row r="665" spans="2:8" ht="18" hidden="1" outlineLevel="1" x14ac:dyDescent="0.25">
      <c r="B665" s="126" t="s">
        <v>19</v>
      </c>
      <c r="C665" s="127"/>
      <c r="D665" s="128" t="e">
        <f>(C617*D598+D656+C618*H618)/C613</f>
        <v>#DIV/0!</v>
      </c>
      <c r="E665" s="77"/>
      <c r="F665" s="416"/>
      <c r="G665" s="416"/>
      <c r="H665" s="416"/>
    </row>
    <row r="666" spans="2:8" ht="18.5" hidden="1" outlineLevel="1" thickBot="1" x14ac:dyDescent="0.3">
      <c r="B666" s="129" t="s">
        <v>20</v>
      </c>
      <c r="C666" s="130"/>
      <c r="D666" s="131" t="e">
        <f>((C617*D599)+SUM(D654:D656)+C618*(MAX(1,F618)+G618+H618))/C613</f>
        <v>#DIV/0!</v>
      </c>
      <c r="E666" s="77"/>
      <c r="F666" s="416"/>
      <c r="G666" s="416"/>
      <c r="H666" s="416"/>
    </row>
    <row r="667" spans="2:8" ht="13" hidden="1" outlineLevel="1" thickTop="1" x14ac:dyDescent="0.25">
      <c r="B667" s="156" t="s">
        <v>76</v>
      </c>
      <c r="C667" s="424"/>
      <c r="D667" s="425"/>
      <c r="F667" s="416"/>
      <c r="G667" s="416"/>
      <c r="H667" s="416"/>
    </row>
    <row r="668" spans="2:8" hidden="1" outlineLevel="1" x14ac:dyDescent="0.25">
      <c r="B668" s="157" t="s">
        <v>58</v>
      </c>
      <c r="C668" s="422"/>
      <c r="D668" s="423"/>
      <c r="F668" s="416"/>
      <c r="G668" s="416"/>
      <c r="H668" s="416"/>
    </row>
    <row r="669" spans="2:8" ht="13" hidden="1" outlineLevel="1" thickBot="1" x14ac:dyDescent="0.3">
      <c r="B669" s="158" t="s">
        <v>59</v>
      </c>
      <c r="C669" s="420"/>
      <c r="D669" s="421"/>
      <c r="F669" s="416"/>
      <c r="G669" s="416"/>
      <c r="H669" s="416"/>
    </row>
    <row r="670" spans="2:8" hidden="1" outlineLevel="1" x14ac:dyDescent="0.25"/>
    <row r="671" spans="2:8" hidden="1" outlineLevel="1" x14ac:dyDescent="0.25"/>
    <row r="672" spans="2:8" hidden="1" outlineLevel="1" x14ac:dyDescent="0.25"/>
    <row r="673" hidden="1" outlineLevel="1" x14ac:dyDescent="0.25"/>
    <row r="674" hidden="1" outlineLevel="1" x14ac:dyDescent="0.25"/>
    <row r="675" hidden="1" outlineLevel="1" x14ac:dyDescent="0.25"/>
    <row r="676" hidden="1" outlineLevel="1" x14ac:dyDescent="0.25"/>
    <row r="677" hidden="1" outlineLevel="1" x14ac:dyDescent="0.25"/>
    <row r="678" hidden="1" outlineLevel="1" x14ac:dyDescent="0.25"/>
    <row r="679" hidden="1" outlineLevel="1" x14ac:dyDescent="0.25"/>
    <row r="680" hidden="1" outlineLevel="1" x14ac:dyDescent="0.25"/>
    <row r="681" hidden="1" outlineLevel="1" x14ac:dyDescent="0.25"/>
    <row r="682" hidden="1" outlineLevel="1" x14ac:dyDescent="0.25"/>
    <row r="683" hidden="1" outlineLevel="1" x14ac:dyDescent="0.25"/>
    <row r="684" hidden="1" outlineLevel="1" x14ac:dyDescent="0.25"/>
    <row r="685" hidden="1" outlineLevel="1" x14ac:dyDescent="0.25"/>
    <row r="686" hidden="1" outlineLevel="1" x14ac:dyDescent="0.25"/>
    <row r="687" hidden="1" outlineLevel="1" x14ac:dyDescent="0.25"/>
    <row r="688" hidden="1" outlineLevel="1" x14ac:dyDescent="0.25"/>
    <row r="689" hidden="1" outlineLevel="1" x14ac:dyDescent="0.25"/>
    <row r="690" hidden="1" outlineLevel="1" x14ac:dyDescent="0.25"/>
    <row r="691" hidden="1" outlineLevel="1" x14ac:dyDescent="0.25"/>
    <row r="692" hidden="1" outlineLevel="1" x14ac:dyDescent="0.25"/>
    <row r="693" hidden="1" outlineLevel="1" x14ac:dyDescent="0.25"/>
    <row r="694" hidden="1" outlineLevel="1" x14ac:dyDescent="0.25"/>
    <row r="695" hidden="1" outlineLevel="1" x14ac:dyDescent="0.25"/>
    <row r="696" hidden="1" outlineLevel="1" x14ac:dyDescent="0.25"/>
    <row r="697" hidden="1" outlineLevel="1" x14ac:dyDescent="0.25"/>
    <row r="698" hidden="1" outlineLevel="1" x14ac:dyDescent="0.25"/>
    <row r="699" hidden="1" outlineLevel="1" x14ac:dyDescent="0.25"/>
    <row r="700" hidden="1" outlineLevel="1" x14ac:dyDescent="0.25"/>
    <row r="701" hidden="1" outlineLevel="1" x14ac:dyDescent="0.25"/>
    <row r="702" hidden="1" outlineLevel="1" x14ac:dyDescent="0.25"/>
    <row r="703" hidden="1" outlineLevel="1" x14ac:dyDescent="0.25"/>
    <row r="704" hidden="1" outlineLevel="1" x14ac:dyDescent="0.25"/>
    <row r="705" hidden="1" outlineLevel="1" x14ac:dyDescent="0.25"/>
    <row r="706" hidden="1" outlineLevel="1" x14ac:dyDescent="0.25"/>
    <row r="707" hidden="1" outlineLevel="1" x14ac:dyDescent="0.25"/>
    <row r="708" hidden="1" outlineLevel="1" x14ac:dyDescent="0.25"/>
    <row r="709" hidden="1" outlineLevel="1" x14ac:dyDescent="0.25"/>
    <row r="710" hidden="1" outlineLevel="1" x14ac:dyDescent="0.25"/>
    <row r="711" hidden="1" outlineLevel="1" x14ac:dyDescent="0.25"/>
    <row r="712" hidden="1" outlineLevel="1" x14ac:dyDescent="0.25"/>
    <row r="713" hidden="1" outlineLevel="1" x14ac:dyDescent="0.25"/>
    <row r="714" hidden="1" outlineLevel="1" x14ac:dyDescent="0.25"/>
    <row r="715" hidden="1" outlineLevel="1" x14ac:dyDescent="0.25"/>
    <row r="716" hidden="1" outlineLevel="1" x14ac:dyDescent="0.25"/>
    <row r="717" hidden="1" outlineLevel="1" x14ac:dyDescent="0.25"/>
    <row r="718" hidden="1" outlineLevel="1" x14ac:dyDescent="0.25"/>
    <row r="719" hidden="1" outlineLevel="1" x14ac:dyDescent="0.25"/>
    <row r="720" hidden="1" outlineLevel="1" x14ac:dyDescent="0.25"/>
    <row r="721" hidden="1" outlineLevel="1" x14ac:dyDescent="0.25"/>
    <row r="722" hidden="1" outlineLevel="1" x14ac:dyDescent="0.25"/>
    <row r="723" hidden="1" outlineLevel="1" x14ac:dyDescent="0.25"/>
    <row r="724" hidden="1" outlineLevel="1" x14ac:dyDescent="0.25"/>
    <row r="725" hidden="1" outlineLevel="1" x14ac:dyDescent="0.25"/>
    <row r="726" hidden="1" outlineLevel="1" x14ac:dyDescent="0.25"/>
    <row r="727" hidden="1" outlineLevel="1" x14ac:dyDescent="0.25"/>
    <row r="728" hidden="1" outlineLevel="1" x14ac:dyDescent="0.25"/>
    <row r="729" hidden="1" outlineLevel="1" x14ac:dyDescent="0.25"/>
    <row r="730" hidden="1" outlineLevel="1" x14ac:dyDescent="0.25"/>
    <row r="731" hidden="1" outlineLevel="1" x14ac:dyDescent="0.25"/>
    <row r="732" hidden="1" outlineLevel="1" x14ac:dyDescent="0.25"/>
    <row r="733" hidden="1" outlineLevel="1" x14ac:dyDescent="0.25"/>
    <row r="734" hidden="1" outlineLevel="1" x14ac:dyDescent="0.25"/>
    <row r="735" hidden="1" outlineLevel="1" x14ac:dyDescent="0.25"/>
    <row r="736" hidden="1" outlineLevel="1" x14ac:dyDescent="0.25"/>
    <row r="737" hidden="1" outlineLevel="1" x14ac:dyDescent="0.25"/>
    <row r="738" hidden="1" outlineLevel="1" x14ac:dyDescent="0.25"/>
    <row r="739" hidden="1" outlineLevel="1" x14ac:dyDescent="0.25"/>
    <row r="740" hidden="1" outlineLevel="1" x14ac:dyDescent="0.25"/>
    <row r="741" hidden="1" outlineLevel="1" x14ac:dyDescent="0.25"/>
    <row r="742" hidden="1" outlineLevel="1" x14ac:dyDescent="0.25"/>
    <row r="743" hidden="1" outlineLevel="1" x14ac:dyDescent="0.25"/>
    <row r="744" hidden="1" outlineLevel="1" x14ac:dyDescent="0.25"/>
    <row r="745" hidden="1" outlineLevel="1" x14ac:dyDescent="0.25"/>
    <row r="746" hidden="1" outlineLevel="1" x14ac:dyDescent="0.25"/>
    <row r="747" hidden="1" outlineLevel="1" x14ac:dyDescent="0.25"/>
    <row r="748" hidden="1" outlineLevel="1" x14ac:dyDescent="0.25"/>
    <row r="749" hidden="1" outlineLevel="1" x14ac:dyDescent="0.25"/>
    <row r="750" hidden="1" outlineLevel="1" x14ac:dyDescent="0.25"/>
    <row r="751" hidden="1" outlineLevel="1" x14ac:dyDescent="0.25"/>
    <row r="752" hidden="1" outlineLevel="1" x14ac:dyDescent="0.25"/>
    <row r="753" hidden="1" outlineLevel="1" x14ac:dyDescent="0.25"/>
    <row r="754" hidden="1" outlineLevel="1" x14ac:dyDescent="0.25"/>
    <row r="755" hidden="1" outlineLevel="1" x14ac:dyDescent="0.25"/>
    <row r="756" hidden="1" outlineLevel="1" x14ac:dyDescent="0.25"/>
    <row r="757" hidden="1" outlineLevel="1" x14ac:dyDescent="0.25"/>
    <row r="758" hidden="1" outlineLevel="1" x14ac:dyDescent="0.25"/>
    <row r="759" hidden="1" outlineLevel="1" x14ac:dyDescent="0.25"/>
    <row r="760" hidden="1" outlineLevel="1" x14ac:dyDescent="0.25"/>
    <row r="761" hidden="1" outlineLevel="1" x14ac:dyDescent="0.25"/>
    <row r="762" hidden="1" outlineLevel="1" x14ac:dyDescent="0.25"/>
    <row r="763" hidden="1" outlineLevel="1" x14ac:dyDescent="0.25"/>
    <row r="764" hidden="1" outlineLevel="1" x14ac:dyDescent="0.25"/>
    <row r="765" hidden="1" outlineLevel="1" x14ac:dyDescent="0.25"/>
    <row r="766" hidden="1" outlineLevel="1" x14ac:dyDescent="0.25"/>
    <row r="767" hidden="1" outlineLevel="1" x14ac:dyDescent="0.25"/>
    <row r="768" hidden="1" outlineLevel="1" x14ac:dyDescent="0.25"/>
    <row r="769" hidden="1" outlineLevel="1" x14ac:dyDescent="0.25"/>
    <row r="770" hidden="1" outlineLevel="1" x14ac:dyDescent="0.25"/>
    <row r="771" hidden="1" outlineLevel="1" x14ac:dyDescent="0.25"/>
    <row r="772" hidden="1" outlineLevel="1" x14ac:dyDescent="0.25"/>
    <row r="773" hidden="1" outlineLevel="1" x14ac:dyDescent="0.25"/>
    <row r="774" hidden="1" outlineLevel="1" x14ac:dyDescent="0.25"/>
    <row r="775" hidden="1" outlineLevel="1" x14ac:dyDescent="0.25"/>
    <row r="776" hidden="1" outlineLevel="1" x14ac:dyDescent="0.25"/>
    <row r="777" hidden="1" outlineLevel="1" x14ac:dyDescent="0.25"/>
    <row r="778" hidden="1" outlineLevel="1" x14ac:dyDescent="0.25"/>
    <row r="779" hidden="1" outlineLevel="1" x14ac:dyDescent="0.25"/>
    <row r="780" hidden="1" outlineLevel="1" x14ac:dyDescent="0.25"/>
    <row r="781" hidden="1" outlineLevel="1" x14ac:dyDescent="0.25"/>
    <row r="782" hidden="1" outlineLevel="1" x14ac:dyDescent="0.25"/>
    <row r="783" hidden="1" outlineLevel="1" x14ac:dyDescent="0.25"/>
    <row r="784" hidden="1" outlineLevel="1" x14ac:dyDescent="0.25"/>
    <row r="785" hidden="1" outlineLevel="1" x14ac:dyDescent="0.25"/>
    <row r="786" hidden="1" outlineLevel="1" x14ac:dyDescent="0.25"/>
    <row r="787" hidden="1" outlineLevel="1" x14ac:dyDescent="0.25"/>
    <row r="788" hidden="1" outlineLevel="1" x14ac:dyDescent="0.25"/>
    <row r="789" hidden="1" outlineLevel="1" x14ac:dyDescent="0.25"/>
    <row r="790" hidden="1" outlineLevel="1" x14ac:dyDescent="0.25"/>
    <row r="791" hidden="1" outlineLevel="1" x14ac:dyDescent="0.25"/>
    <row r="792" hidden="1" outlineLevel="1" x14ac:dyDescent="0.25"/>
    <row r="793" hidden="1" outlineLevel="1" x14ac:dyDescent="0.25"/>
    <row r="794" hidden="1" outlineLevel="1" x14ac:dyDescent="0.25"/>
    <row r="795" hidden="1" outlineLevel="1" x14ac:dyDescent="0.25"/>
    <row r="796" hidden="1" outlineLevel="1" x14ac:dyDescent="0.25"/>
    <row r="797" hidden="1" outlineLevel="1" x14ac:dyDescent="0.25"/>
    <row r="798" hidden="1" outlineLevel="1" x14ac:dyDescent="0.25"/>
    <row r="799" hidden="1" outlineLevel="1" x14ac:dyDescent="0.25"/>
    <row r="800" hidden="1" outlineLevel="1" x14ac:dyDescent="0.25"/>
    <row r="801" hidden="1" outlineLevel="1" x14ac:dyDescent="0.25"/>
    <row r="802" hidden="1" outlineLevel="1" x14ac:dyDescent="0.25"/>
    <row r="803" hidden="1" outlineLevel="1" x14ac:dyDescent="0.25"/>
    <row r="804" hidden="1" outlineLevel="1" x14ac:dyDescent="0.25"/>
    <row r="805" hidden="1" outlineLevel="1" x14ac:dyDescent="0.25"/>
    <row r="806" hidden="1" outlineLevel="1" x14ac:dyDescent="0.25"/>
    <row r="807" hidden="1" outlineLevel="1" x14ac:dyDescent="0.25"/>
    <row r="808" hidden="1" outlineLevel="1" x14ac:dyDescent="0.25"/>
    <row r="809" hidden="1" outlineLevel="1" x14ac:dyDescent="0.25"/>
    <row r="810" hidden="1" outlineLevel="1" x14ac:dyDescent="0.25"/>
    <row r="811" hidden="1" outlineLevel="1" x14ac:dyDescent="0.25"/>
    <row r="812" hidden="1" outlineLevel="1" x14ac:dyDescent="0.25"/>
    <row r="813" hidden="1" outlineLevel="1" x14ac:dyDescent="0.25"/>
    <row r="814" hidden="1" outlineLevel="1" x14ac:dyDescent="0.25"/>
    <row r="815" hidden="1" outlineLevel="1" x14ac:dyDescent="0.25"/>
    <row r="816" hidden="1" outlineLevel="1" x14ac:dyDescent="0.25"/>
    <row r="817" hidden="1" outlineLevel="1" x14ac:dyDescent="0.25"/>
    <row r="818" hidden="1" outlineLevel="1" x14ac:dyDescent="0.25"/>
    <row r="819" hidden="1" outlineLevel="1" x14ac:dyDescent="0.25"/>
    <row r="820" hidden="1" outlineLevel="1" x14ac:dyDescent="0.25"/>
    <row r="821" hidden="1" outlineLevel="1" x14ac:dyDescent="0.25"/>
    <row r="822" hidden="1" outlineLevel="1" x14ac:dyDescent="0.25"/>
    <row r="823" hidden="1" outlineLevel="1" x14ac:dyDescent="0.25"/>
    <row r="824" hidden="1" outlineLevel="1" x14ac:dyDescent="0.25"/>
    <row r="825" hidden="1" outlineLevel="1" x14ac:dyDescent="0.25"/>
    <row r="826" hidden="1" outlineLevel="1" x14ac:dyDescent="0.25"/>
    <row r="827" hidden="1" outlineLevel="1" x14ac:dyDescent="0.25"/>
    <row r="828" hidden="1" outlineLevel="1" x14ac:dyDescent="0.25"/>
    <row r="829" hidden="1" outlineLevel="1" x14ac:dyDescent="0.25"/>
    <row r="830" hidden="1" outlineLevel="1" x14ac:dyDescent="0.25"/>
    <row r="831" hidden="1" outlineLevel="1" x14ac:dyDescent="0.25"/>
    <row r="832" hidden="1" outlineLevel="1" x14ac:dyDescent="0.25"/>
    <row r="833" hidden="1" outlineLevel="1" x14ac:dyDescent="0.25"/>
    <row r="834" hidden="1" outlineLevel="1" x14ac:dyDescent="0.25"/>
    <row r="835" hidden="1" outlineLevel="1" x14ac:dyDescent="0.25"/>
    <row r="836" hidden="1" outlineLevel="1" x14ac:dyDescent="0.25"/>
    <row r="837" hidden="1" outlineLevel="1" x14ac:dyDescent="0.25"/>
    <row r="838" hidden="1" outlineLevel="1" x14ac:dyDescent="0.25"/>
    <row r="839" hidden="1" outlineLevel="1" x14ac:dyDescent="0.25"/>
    <row r="840" hidden="1" outlineLevel="1" x14ac:dyDescent="0.25"/>
    <row r="841" hidden="1" outlineLevel="1" x14ac:dyDescent="0.25"/>
    <row r="842" hidden="1" outlineLevel="1" x14ac:dyDescent="0.25"/>
    <row r="843" hidden="1" outlineLevel="1" x14ac:dyDescent="0.25"/>
    <row r="844" hidden="1" outlineLevel="1" x14ac:dyDescent="0.25"/>
    <row r="845" hidden="1" outlineLevel="1" x14ac:dyDescent="0.25"/>
    <row r="846" hidden="1" outlineLevel="1" x14ac:dyDescent="0.25"/>
    <row r="847" hidden="1" outlineLevel="1" x14ac:dyDescent="0.25"/>
    <row r="848" hidden="1" outlineLevel="1" x14ac:dyDescent="0.25"/>
    <row r="849" hidden="1" outlineLevel="1" x14ac:dyDescent="0.25"/>
    <row r="850" hidden="1" outlineLevel="1" x14ac:dyDescent="0.25"/>
    <row r="851" hidden="1" outlineLevel="1" x14ac:dyDescent="0.25"/>
    <row r="852" hidden="1" outlineLevel="1" x14ac:dyDescent="0.25"/>
    <row r="853" hidden="1" outlineLevel="1" x14ac:dyDescent="0.25"/>
    <row r="854" hidden="1" outlineLevel="1" x14ac:dyDescent="0.25"/>
    <row r="855" hidden="1" outlineLevel="1" x14ac:dyDescent="0.25"/>
    <row r="856" hidden="1" outlineLevel="1" x14ac:dyDescent="0.25"/>
    <row r="857" hidden="1" outlineLevel="1" x14ac:dyDescent="0.25"/>
    <row r="858" hidden="1" outlineLevel="1" x14ac:dyDescent="0.25"/>
    <row r="859" hidden="1" outlineLevel="1" x14ac:dyDescent="0.25"/>
    <row r="860" hidden="1" outlineLevel="1" x14ac:dyDescent="0.25"/>
    <row r="861" hidden="1" outlineLevel="1" x14ac:dyDescent="0.25"/>
    <row r="862" hidden="1" outlineLevel="1" x14ac:dyDescent="0.25"/>
    <row r="863" hidden="1" outlineLevel="1" x14ac:dyDescent="0.25"/>
    <row r="864" hidden="1" outlineLevel="1" x14ac:dyDescent="0.25"/>
    <row r="865" hidden="1" outlineLevel="1" x14ac:dyDescent="0.25"/>
    <row r="866" hidden="1" outlineLevel="1" x14ac:dyDescent="0.25"/>
    <row r="867" hidden="1" outlineLevel="1" x14ac:dyDescent="0.25"/>
    <row r="868" hidden="1" outlineLevel="1" x14ac:dyDescent="0.25"/>
    <row r="869" hidden="1" outlineLevel="1" x14ac:dyDescent="0.25"/>
    <row r="870" hidden="1" outlineLevel="1" x14ac:dyDescent="0.25"/>
    <row r="871" hidden="1" outlineLevel="1" x14ac:dyDescent="0.25"/>
    <row r="872" hidden="1" outlineLevel="1" x14ac:dyDescent="0.25"/>
    <row r="873" hidden="1" outlineLevel="1" x14ac:dyDescent="0.25"/>
    <row r="874" hidden="1" outlineLevel="1" x14ac:dyDescent="0.25"/>
    <row r="875" hidden="1" outlineLevel="1" x14ac:dyDescent="0.25"/>
    <row r="876" hidden="1" outlineLevel="1" x14ac:dyDescent="0.25"/>
    <row r="877" hidden="1" outlineLevel="1" x14ac:dyDescent="0.25"/>
    <row r="878" hidden="1" outlineLevel="1" x14ac:dyDescent="0.25"/>
    <row r="879" hidden="1" outlineLevel="1" x14ac:dyDescent="0.25"/>
    <row r="880" hidden="1" outlineLevel="1" x14ac:dyDescent="0.25"/>
    <row r="881" hidden="1" outlineLevel="1" x14ac:dyDescent="0.25"/>
    <row r="882" hidden="1" outlineLevel="1" x14ac:dyDescent="0.25"/>
    <row r="883" hidden="1" outlineLevel="1" x14ac:dyDescent="0.25"/>
    <row r="884" hidden="1" outlineLevel="1" x14ac:dyDescent="0.25"/>
    <row r="885" hidden="1" outlineLevel="1" x14ac:dyDescent="0.25"/>
    <row r="886" hidden="1" outlineLevel="1" x14ac:dyDescent="0.25"/>
    <row r="887" hidden="1" outlineLevel="1" x14ac:dyDescent="0.25"/>
    <row r="888" hidden="1" outlineLevel="1" x14ac:dyDescent="0.25"/>
    <row r="889" hidden="1" outlineLevel="1" x14ac:dyDescent="0.25"/>
    <row r="890" hidden="1" outlineLevel="1" x14ac:dyDescent="0.25"/>
    <row r="891" hidden="1" outlineLevel="1" x14ac:dyDescent="0.25"/>
    <row r="892" hidden="1" outlineLevel="1" x14ac:dyDescent="0.25"/>
    <row r="893" hidden="1" outlineLevel="1" x14ac:dyDescent="0.25"/>
    <row r="894" hidden="1" outlineLevel="1" x14ac:dyDescent="0.25"/>
    <row r="895" hidden="1" outlineLevel="1" x14ac:dyDescent="0.25"/>
    <row r="896" hidden="1" outlineLevel="1" x14ac:dyDescent="0.25"/>
    <row r="897" hidden="1" outlineLevel="1" x14ac:dyDescent="0.25"/>
    <row r="898" hidden="1" outlineLevel="1" x14ac:dyDescent="0.25"/>
    <row r="899" hidden="1" outlineLevel="1" x14ac:dyDescent="0.25"/>
    <row r="900" hidden="1" outlineLevel="1" x14ac:dyDescent="0.25"/>
    <row r="901" hidden="1" outlineLevel="1" x14ac:dyDescent="0.25"/>
    <row r="902" hidden="1" outlineLevel="1" x14ac:dyDescent="0.25"/>
    <row r="903" hidden="1" outlineLevel="1" x14ac:dyDescent="0.25"/>
    <row r="904" hidden="1" outlineLevel="1" x14ac:dyDescent="0.25"/>
    <row r="905" hidden="1" outlineLevel="1" x14ac:dyDescent="0.25"/>
    <row r="906" hidden="1" outlineLevel="1" x14ac:dyDescent="0.25"/>
    <row r="907" hidden="1" outlineLevel="1" x14ac:dyDescent="0.25"/>
    <row r="908" hidden="1" outlineLevel="1" x14ac:dyDescent="0.25"/>
    <row r="909" hidden="1" outlineLevel="1" x14ac:dyDescent="0.25"/>
    <row r="910" hidden="1" outlineLevel="1" x14ac:dyDescent="0.25"/>
    <row r="911" hidden="1" outlineLevel="1" x14ac:dyDescent="0.25"/>
    <row r="912" hidden="1" outlineLevel="1" x14ac:dyDescent="0.25"/>
    <row r="913" hidden="1" outlineLevel="1" x14ac:dyDescent="0.25"/>
    <row r="914" hidden="1" outlineLevel="1" x14ac:dyDescent="0.25"/>
    <row r="915" hidden="1" outlineLevel="1" x14ac:dyDescent="0.25"/>
    <row r="916" hidden="1" outlineLevel="1" x14ac:dyDescent="0.25"/>
    <row r="917" hidden="1" outlineLevel="1" x14ac:dyDescent="0.25"/>
    <row r="918" hidden="1" outlineLevel="1" x14ac:dyDescent="0.25"/>
    <row r="919" hidden="1" outlineLevel="1" x14ac:dyDescent="0.25"/>
    <row r="920" hidden="1" outlineLevel="1" x14ac:dyDescent="0.25"/>
    <row r="921" hidden="1" outlineLevel="1" x14ac:dyDescent="0.25"/>
    <row r="922" hidden="1" outlineLevel="1" x14ac:dyDescent="0.25"/>
    <row r="923" hidden="1" outlineLevel="1" x14ac:dyDescent="0.25"/>
    <row r="924" hidden="1" outlineLevel="1" x14ac:dyDescent="0.25"/>
    <row r="925" hidden="1" outlineLevel="1" x14ac:dyDescent="0.25"/>
    <row r="926" hidden="1" outlineLevel="1" x14ac:dyDescent="0.25"/>
    <row r="927" hidden="1" outlineLevel="1" x14ac:dyDescent="0.25"/>
    <row r="928" hidden="1" outlineLevel="1" x14ac:dyDescent="0.25"/>
    <row r="929" hidden="1" outlineLevel="1" x14ac:dyDescent="0.25"/>
    <row r="930" hidden="1" outlineLevel="1" x14ac:dyDescent="0.25"/>
    <row r="931" hidden="1" outlineLevel="1" x14ac:dyDescent="0.25"/>
    <row r="932" hidden="1" outlineLevel="1" x14ac:dyDescent="0.25"/>
    <row r="933" hidden="1" outlineLevel="1" x14ac:dyDescent="0.25"/>
    <row r="934" hidden="1" outlineLevel="1" x14ac:dyDescent="0.25"/>
    <row r="935" hidden="1" outlineLevel="1" x14ac:dyDescent="0.25"/>
    <row r="936" hidden="1" outlineLevel="1" x14ac:dyDescent="0.25"/>
    <row r="937" hidden="1" outlineLevel="1" x14ac:dyDescent="0.25"/>
    <row r="938" hidden="1" outlineLevel="1" x14ac:dyDescent="0.25"/>
    <row r="939" hidden="1" outlineLevel="1" x14ac:dyDescent="0.25"/>
    <row r="940" hidden="1" outlineLevel="1" x14ac:dyDescent="0.25"/>
    <row r="941" hidden="1" outlineLevel="1" x14ac:dyDescent="0.25"/>
    <row r="942" hidden="1" outlineLevel="1" x14ac:dyDescent="0.25"/>
    <row r="943" hidden="1" outlineLevel="1" x14ac:dyDescent="0.25"/>
    <row r="944" hidden="1" outlineLevel="1" x14ac:dyDescent="0.25"/>
    <row r="945" hidden="1" outlineLevel="1" x14ac:dyDescent="0.25"/>
    <row r="946" hidden="1" outlineLevel="1" x14ac:dyDescent="0.25"/>
    <row r="947" hidden="1" outlineLevel="1" x14ac:dyDescent="0.25"/>
    <row r="948" hidden="1" outlineLevel="1" x14ac:dyDescent="0.25"/>
    <row r="949" hidden="1" outlineLevel="1" x14ac:dyDescent="0.25"/>
    <row r="950" hidden="1" outlineLevel="1" x14ac:dyDescent="0.25"/>
    <row r="951" hidden="1" outlineLevel="1" x14ac:dyDescent="0.25"/>
    <row r="952" hidden="1" outlineLevel="1" x14ac:dyDescent="0.25"/>
    <row r="953" hidden="1" outlineLevel="1" x14ac:dyDescent="0.25"/>
    <row r="954" hidden="1" outlineLevel="1" x14ac:dyDescent="0.25"/>
    <row r="955" hidden="1" outlineLevel="1" x14ac:dyDescent="0.25"/>
    <row r="956" hidden="1" outlineLevel="1" x14ac:dyDescent="0.25"/>
    <row r="957" hidden="1" outlineLevel="1" x14ac:dyDescent="0.25"/>
    <row r="958" hidden="1" outlineLevel="1" x14ac:dyDescent="0.25"/>
    <row r="959" hidden="1" outlineLevel="1" x14ac:dyDescent="0.25"/>
    <row r="960" hidden="1" outlineLevel="1" x14ac:dyDescent="0.25"/>
    <row r="961" hidden="1" outlineLevel="1" x14ac:dyDescent="0.25"/>
    <row r="962" hidden="1" outlineLevel="1" x14ac:dyDescent="0.25"/>
    <row r="963" hidden="1" outlineLevel="1" x14ac:dyDescent="0.25"/>
    <row r="964" hidden="1" outlineLevel="1" x14ac:dyDescent="0.25"/>
    <row r="965" hidden="1" outlineLevel="1" x14ac:dyDescent="0.25"/>
    <row r="966" hidden="1" outlineLevel="1" x14ac:dyDescent="0.25"/>
    <row r="967" hidden="1" outlineLevel="1" x14ac:dyDescent="0.25"/>
    <row r="968" hidden="1" outlineLevel="1" x14ac:dyDescent="0.25"/>
    <row r="969" hidden="1" outlineLevel="1" x14ac:dyDescent="0.25"/>
    <row r="970" hidden="1" outlineLevel="1" x14ac:dyDescent="0.25"/>
    <row r="971" hidden="1" outlineLevel="1" x14ac:dyDescent="0.25"/>
    <row r="972" hidden="1" outlineLevel="1" x14ac:dyDescent="0.25"/>
    <row r="973" hidden="1" outlineLevel="1" x14ac:dyDescent="0.25"/>
    <row r="974" hidden="1" outlineLevel="1" x14ac:dyDescent="0.25"/>
    <row r="975" hidden="1" outlineLevel="1" x14ac:dyDescent="0.25"/>
    <row r="976" hidden="1" outlineLevel="1" x14ac:dyDescent="0.25"/>
    <row r="977" hidden="1" outlineLevel="1" x14ac:dyDescent="0.25"/>
    <row r="978" hidden="1" outlineLevel="1" x14ac:dyDescent="0.25"/>
    <row r="979" hidden="1" outlineLevel="1" x14ac:dyDescent="0.25"/>
    <row r="980" hidden="1" outlineLevel="1" x14ac:dyDescent="0.25"/>
    <row r="981" hidden="1" outlineLevel="1" x14ac:dyDescent="0.25"/>
    <row r="982" hidden="1" outlineLevel="1" x14ac:dyDescent="0.25"/>
    <row r="983" hidden="1" outlineLevel="1" x14ac:dyDescent="0.25"/>
    <row r="984" hidden="1" outlineLevel="1" x14ac:dyDescent="0.25"/>
    <row r="985" hidden="1" outlineLevel="1" x14ac:dyDescent="0.25"/>
    <row r="986" hidden="1" outlineLevel="1" x14ac:dyDescent="0.25"/>
    <row r="987" hidden="1" outlineLevel="1" x14ac:dyDescent="0.25"/>
    <row r="988" hidden="1" outlineLevel="1" x14ac:dyDescent="0.25"/>
    <row r="989" hidden="1" outlineLevel="1" x14ac:dyDescent="0.25"/>
    <row r="990" hidden="1" outlineLevel="1" x14ac:dyDescent="0.25"/>
    <row r="991" hidden="1" outlineLevel="1" x14ac:dyDescent="0.25"/>
    <row r="992" hidden="1" outlineLevel="1" x14ac:dyDescent="0.25"/>
    <row r="993" hidden="1" outlineLevel="1" x14ac:dyDescent="0.25"/>
    <row r="994" hidden="1" outlineLevel="1" x14ac:dyDescent="0.25"/>
    <row r="995" hidden="1" outlineLevel="1" x14ac:dyDescent="0.25"/>
    <row r="996" hidden="1" outlineLevel="1" x14ac:dyDescent="0.25"/>
    <row r="997" hidden="1" outlineLevel="1" x14ac:dyDescent="0.25"/>
    <row r="998" hidden="1" outlineLevel="1" x14ac:dyDescent="0.25"/>
    <row r="999" hidden="1" outlineLevel="1" x14ac:dyDescent="0.25"/>
    <row r="1000" hidden="1" outlineLevel="1" x14ac:dyDescent="0.25"/>
    <row r="1001" collapsed="1" x14ac:dyDescent="0.25"/>
  </sheetData>
  <sheetProtection algorithmName="SHA-512" hashValue="4I5UTW2ddRzq9i6C12Nw2nR5Ijadu1cvnUJZBNT0emDDrURPVHqPhPVmbd5qOdzrsvM+x8cAsMHPCubQL2s95g==" saltValue="VydKUl+c9ssrmiyc0nC2jw==" spinCount="100000" sheet="1" objects="1" scenarios="1" selectLockedCells="1" selectUnlockedCells="1"/>
  <mergeCells count="65">
    <mergeCell ref="N17:P22"/>
    <mergeCell ref="F664:H669"/>
    <mergeCell ref="F329:H334"/>
    <mergeCell ref="F396:H401"/>
    <mergeCell ref="F463:H468"/>
    <mergeCell ref="F530:H535"/>
    <mergeCell ref="F597:H602"/>
    <mergeCell ref="F393:H393"/>
    <mergeCell ref="F460:H460"/>
    <mergeCell ref="F527:H527"/>
    <mergeCell ref="F594:H594"/>
    <mergeCell ref="F661:H661"/>
    <mergeCell ref="G390:H390"/>
    <mergeCell ref="G457:H457"/>
    <mergeCell ref="G524:H524"/>
    <mergeCell ref="G591:H591"/>
    <mergeCell ref="G658:H658"/>
    <mergeCell ref="B518:D518"/>
    <mergeCell ref="B585:D585"/>
    <mergeCell ref="B652:D652"/>
    <mergeCell ref="B49:D49"/>
    <mergeCell ref="B116:D116"/>
    <mergeCell ref="B183:D183"/>
    <mergeCell ref="B250:D250"/>
    <mergeCell ref="B317:D317"/>
    <mergeCell ref="B384:D384"/>
    <mergeCell ref="C131:D131"/>
    <mergeCell ref="C132:D132"/>
    <mergeCell ref="C133:D133"/>
    <mergeCell ref="C198:D198"/>
    <mergeCell ref="F326:H326"/>
    <mergeCell ref="F128:H133"/>
    <mergeCell ref="C199:D199"/>
    <mergeCell ref="C200:D200"/>
    <mergeCell ref="C265:D265"/>
    <mergeCell ref="C266:D266"/>
    <mergeCell ref="C267:D267"/>
    <mergeCell ref="C332:D332"/>
    <mergeCell ref="C333:D333"/>
    <mergeCell ref="C334:D334"/>
    <mergeCell ref="C399:D399"/>
    <mergeCell ref="C400:D400"/>
    <mergeCell ref="C401:D401"/>
    <mergeCell ref="C466:D466"/>
    <mergeCell ref="C467:D467"/>
    <mergeCell ref="C468:D468"/>
    <mergeCell ref="B451:D451"/>
    <mergeCell ref="C602:D602"/>
    <mergeCell ref="C667:D667"/>
    <mergeCell ref="C668:D668"/>
    <mergeCell ref="C669:D669"/>
    <mergeCell ref="C533:D533"/>
    <mergeCell ref="C534:D534"/>
    <mergeCell ref="C535:D535"/>
    <mergeCell ref="C600:D600"/>
    <mergeCell ref="C601:D601"/>
    <mergeCell ref="G122:H122"/>
    <mergeCell ref="G189:H189"/>
    <mergeCell ref="G256:H256"/>
    <mergeCell ref="G323:H323"/>
    <mergeCell ref="F125:H125"/>
    <mergeCell ref="F192:H192"/>
    <mergeCell ref="F259:H259"/>
    <mergeCell ref="F195:H200"/>
    <mergeCell ref="F262:H267"/>
  </mergeCells>
  <dataValidations disablePrompts="1" count="3">
    <dataValidation allowBlank="1" showInputMessage="1" showErrorMessage="1" sqref="G14:H14 F15:H15 F149:H149 F82:H82 F216:H216 F350:H350 F283:H283 F417:H417 F484:H484 F551:H551 F618:H618" xr:uid="{6D2646A4-C2FC-43DD-9739-2E857831A033}"/>
    <dataValidation type="list" allowBlank="1" showInputMessage="1" showErrorMessage="1" sqref="D4 D71 D138 D205 D272 D339 D406 D473 D540 D607" xr:uid="{A96F9E47-1678-4662-95D9-03D539D7BA23}">
      <formula1>Units</formula1>
    </dataValidation>
    <dataValidation type="list" allowBlank="1" showInputMessage="1" showErrorMessage="1" sqref="C2 C69 C136 C203 C270 C337 C404 C471 C538 C605" xr:uid="{421A1319-EAB0-4FF4-B463-CD51FD1E63DA}">
      <formula1>#REF!</formula1>
    </dataValidation>
  </dataValidations>
  <pageMargins left="0.25" right="0.25" top="1" bottom="1" header="0.5" footer="0.5"/>
  <pageSetup paperSize="9" scale="64" fitToHeight="0" orientation="portrait" r:id="rId1"/>
  <headerFooter alignWithMargins="0">
    <oddHeader>&amp;CProcess Mass Intensity Calculator</oddHeader>
    <oddFooter>&amp;LThe ACS GCI Pharmaceutical Roundtable or American Chemical Society does not guarantee the accuracy of the calculations and accepts no responsibility for any consequence of their use. Comments may be sent to gcipr@acs.org. 2011 Copyright ACS GCI.</oddFooter>
  </headerFooter>
  <rowBreaks count="9" manualBreakCount="9">
    <brk id="65" max="16383" man="1"/>
    <brk id="132" max="16383" man="1"/>
    <brk id="199" max="16383" man="1"/>
    <brk id="266" max="16383" man="1"/>
    <brk id="333" max="16383" man="1"/>
    <brk id="400" max="16383" man="1"/>
    <brk id="467" max="16383" man="1"/>
    <brk id="534" max="16383" man="1"/>
    <brk id="601" max="16383" man="1"/>
  </rowBreaks>
  <drawing r:id="rId2"/>
  <legacy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B41F107E-3F6D-4452-9456-C3B03C7BDE65}">
          <x14:formula1>
            <xm:f>'... additional information'!$A$7:$B$7</xm:f>
          </x14:formula1>
          <xm:sqref>C534:D534 C65:D65 C601:D601 C132:D132 C199:D199 C266:D266 C333:D333 C400:D400 C467:D467 C668:D668</xm:sqref>
        </x14:dataValidation>
        <x14:dataValidation type="list" allowBlank="1" showInputMessage="1" showErrorMessage="1" xr:uid="{85C09E6C-68AC-4DFA-BA6E-1A23BFDC49F3}">
          <x14:formula1>
            <xm:f>'... additional information'!$A$3:$E$3</xm:f>
          </x14:formula1>
          <xm:sqref>C533:D533 C64:D64 C600:D600 C131:D131 C198:D198 C265:D265 C332:D332 C399:D399 C466:D466 C667:D667</xm:sqref>
        </x14:dataValidation>
        <x14:dataValidation type="list" allowBlank="1" showInputMessage="1" showErrorMessage="1" xr:uid="{E9743316-BCBA-485B-B636-74C522ABC9A9}">
          <x14:formula1>
            <xm:f>'... additional information'!$A$15:$J$15</xm:f>
          </x14:formula1>
          <xm:sqref>C66:D66 C133:D133 C200:D200 C267:D267 C334:D334 C401:D401 C468:D468 C535:D535 C602:D602 C669:D669</xm:sqref>
        </x14:dataValidation>
        <x14:dataValidation type="list" allowBlank="1" showInputMessage="1" showErrorMessage="1" xr:uid="{C8E404E2-EBBF-48D9-90F9-B2156599555C}">
          <x14:formula1>
            <xm:f>'... additional information'!$A$23:$B$23</xm:f>
          </x14:formula1>
          <xm:sqref>F658 F122 F189 F256 F323 F390 F457 F524 F591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B350-F16D-4642-B3F6-C1AF232443EA}">
  <sheetPr>
    <tabColor rgb="FF38DC8E"/>
  </sheetPr>
  <dimension ref="A1"/>
  <sheetViews>
    <sheetView zoomScale="80" zoomScaleNormal="80" workbookViewId="0">
      <selection activeCell="R24" sqref="R24"/>
    </sheetView>
  </sheetViews>
  <sheetFormatPr defaultColWidth="9.453125" defaultRowHeight="12.5" x14ac:dyDescent="0.25"/>
  <cols>
    <col min="1" max="16384" width="9.453125" style="22"/>
  </cols>
  <sheetData/>
  <sheetProtection algorithmName="SHA-512" hashValue="IY5+8ORMRS+0eJ3/Eo5FpYnWBlW7GTgTYjdkgKLNzpgWouvc6qNfFrTFsi4tTMrr4pnBeizlND248eOHIFNzBg==" saltValue="AsSWDoq6ZbcqeJ/uYFZIGQ==" spinCount="100000" sheet="1" objects="1" scenarios="1" selectLockedCells="1" selectUnlockedCells="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97A6B-4F38-4F17-8B83-1F88A7FDDDCE}">
  <sheetPr>
    <tabColor rgb="FF38DC8E"/>
  </sheetPr>
  <dimension ref="B1:Y99"/>
  <sheetViews>
    <sheetView showGridLines="0" zoomScale="80" zoomScaleNormal="80" workbookViewId="0">
      <selection activeCell="G2" sqref="G2"/>
    </sheetView>
  </sheetViews>
  <sheetFormatPr defaultColWidth="9.453125" defaultRowHeight="12.5" x14ac:dyDescent="0.25"/>
  <cols>
    <col min="1" max="1" width="2.453125" style="36" customWidth="1"/>
    <col min="2" max="2" width="61.54296875" style="36" customWidth="1"/>
    <col min="3" max="16" width="12.54296875" style="36" customWidth="1"/>
    <col min="17" max="17" width="9.453125" style="186"/>
    <col min="18" max="16384" width="9.453125" style="36"/>
  </cols>
  <sheetData>
    <row r="1" spans="2:25" x14ac:dyDescent="0.25">
      <c r="B1" s="184"/>
      <c r="G1" s="118"/>
      <c r="H1" s="118"/>
      <c r="I1" s="118"/>
    </row>
    <row r="2" spans="2:25" ht="112.5" customHeight="1" x14ac:dyDescent="0.25">
      <c r="B2" s="36" t="s">
        <v>29</v>
      </c>
      <c r="C2" s="187"/>
      <c r="G2" s="35"/>
      <c r="H2" s="35"/>
      <c r="I2" s="35"/>
    </row>
    <row r="3" spans="2:25" ht="15" x14ac:dyDescent="0.25">
      <c r="B3" s="188"/>
      <c r="D3" s="189"/>
      <c r="G3" s="3"/>
      <c r="K3" s="23"/>
      <c r="L3" s="190"/>
      <c r="M3" s="190"/>
      <c r="N3" s="190"/>
      <c r="O3" s="190"/>
      <c r="P3" s="190"/>
      <c r="R3" s="190"/>
      <c r="S3" s="190"/>
      <c r="T3" s="190"/>
      <c r="U3" s="190"/>
      <c r="V3" s="190"/>
      <c r="W3" s="190"/>
      <c r="X3" s="190"/>
      <c r="Y3" s="190"/>
    </row>
    <row r="4" spans="2:25" ht="13" thickBot="1" x14ac:dyDescent="0.3">
      <c r="C4" s="192"/>
      <c r="D4" s="192"/>
      <c r="E4" s="192"/>
      <c r="F4" s="192"/>
      <c r="G4" s="192"/>
      <c r="H4" s="192"/>
      <c r="I4" s="192"/>
      <c r="J4" s="192"/>
      <c r="K4" s="192"/>
      <c r="L4" s="192"/>
      <c r="M4" s="192"/>
      <c r="N4" s="192"/>
      <c r="O4" s="192"/>
      <c r="P4" s="192"/>
    </row>
    <row r="5" spans="2:25" ht="26" thickTop="1" thickBot="1" x14ac:dyDescent="0.3">
      <c r="B5" s="403" t="s">
        <v>90</v>
      </c>
      <c r="C5" s="404"/>
      <c r="D5" s="404"/>
      <c r="E5" s="404"/>
      <c r="F5" s="404"/>
      <c r="G5" s="404"/>
      <c r="H5" s="404"/>
      <c r="I5" s="404"/>
      <c r="J5" s="404"/>
      <c r="K5" s="404"/>
      <c r="L5" s="405"/>
      <c r="M5" s="406" t="s">
        <v>60</v>
      </c>
      <c r="N5" s="406"/>
      <c r="O5" s="406"/>
      <c r="P5" s="193">
        <f>'Metrics template - main chain-b'!C7*'Metrics template - main chain-b'!C80*'Metrics template - main chain-b'!C147*'Metrics template - main chain-b'!C214*'Metrics template - main chain-b'!C281*'Metrics template - main chain-b'!C348*'Metrics template - main chain-b'!C415*'Metrics template - main chain-b'!C482*'Metrics template - main chain-b'!C549*'Metrics template - main chain-b'!C616*'Metrics template - main chain-b'!C683*'Metrics template - main chain-b'!C750*'Metrics template - main chain-b'!C817*'Metrics template - main chain-b'!C884</f>
        <v>0.82</v>
      </c>
      <c r="S5" s="60"/>
      <c r="T5" s="60"/>
    </row>
    <row r="6" spans="2:25" ht="16.399999999999999" customHeight="1" thickTop="1" x14ac:dyDescent="0.25">
      <c r="B6" s="195" t="s">
        <v>41</v>
      </c>
      <c r="C6" s="196">
        <f>'Metrics template - main chain-b'!D2</f>
        <v>0</v>
      </c>
      <c r="D6" s="196">
        <f>'Metrics template - main chain-b'!D75</f>
        <v>0</v>
      </c>
      <c r="E6" s="196">
        <f>'Metrics template - main chain-b'!D142</f>
        <v>0</v>
      </c>
      <c r="F6" s="196">
        <f>'Metrics template - main chain-b'!D209</f>
        <v>0</v>
      </c>
      <c r="G6" s="196">
        <f>'Metrics template - main chain-b'!D276</f>
        <v>0</v>
      </c>
      <c r="H6" s="196">
        <f>'Metrics template - main chain-b'!D343</f>
        <v>0</v>
      </c>
      <c r="I6" s="196">
        <f>'Metrics template - main chain-b'!D410</f>
        <v>0</v>
      </c>
      <c r="J6" s="196">
        <f>'Metrics template - main chain-b'!D477</f>
        <v>0</v>
      </c>
      <c r="K6" s="196">
        <f>'Metrics template - main chain-b'!D544</f>
        <v>0</v>
      </c>
      <c r="L6" s="196">
        <f>'Metrics template - main chain-b'!D611</f>
        <v>0</v>
      </c>
      <c r="M6" s="196">
        <f>'Metrics template - main chain-b'!D678</f>
        <v>0</v>
      </c>
      <c r="N6" s="196">
        <f>'Metrics template - main chain-b'!D745</f>
        <v>0</v>
      </c>
      <c r="O6" s="196">
        <f>'Metrics template - main chain-b'!D812</f>
        <v>0</v>
      </c>
      <c r="P6" s="197">
        <f>'Metrics template - main chain-b'!D879</f>
        <v>0</v>
      </c>
    </row>
    <row r="7" spans="2:25" ht="16.399999999999999" customHeight="1" x14ac:dyDescent="0.25">
      <c r="B7" s="198" t="s">
        <v>30</v>
      </c>
      <c r="C7" s="1">
        <f>'Metrics template - main chain-b'!D56</f>
        <v>0.1963145</v>
      </c>
      <c r="D7" s="1">
        <f>'Metrics template - main chain-b'!D123</f>
        <v>0</v>
      </c>
      <c r="E7" s="1">
        <f>'Metrics template - main chain-b'!D190</f>
        <v>0</v>
      </c>
      <c r="F7" s="1">
        <f>'Metrics template - main chain-b'!D257</f>
        <v>0</v>
      </c>
      <c r="G7" s="1">
        <f>'Metrics template - main chain-b'!D324</f>
        <v>0</v>
      </c>
      <c r="H7" s="1">
        <f>'Metrics template - main chain-b'!D391</f>
        <v>0</v>
      </c>
      <c r="I7" s="1">
        <f>'Metrics template - main chain-b'!D458</f>
        <v>0</v>
      </c>
      <c r="J7" s="1">
        <f>'Metrics template - main chain-b'!D525</f>
        <v>0</v>
      </c>
      <c r="K7" s="1">
        <f>'Metrics template - main chain-b'!D592</f>
        <v>0</v>
      </c>
      <c r="L7" s="1">
        <f>'Metrics template - main chain-b'!D659</f>
        <v>0</v>
      </c>
      <c r="M7" s="1">
        <f>'Metrics template - main chain-b'!D726</f>
        <v>0</v>
      </c>
      <c r="N7" s="1">
        <f>'Metrics template - main chain-b'!D793</f>
        <v>0</v>
      </c>
      <c r="O7" s="1">
        <f>'Metrics template - main chain-b'!D860</f>
        <v>0</v>
      </c>
      <c r="P7" s="199">
        <f>'Metrics template - main chain-b'!D927</f>
        <v>0</v>
      </c>
    </row>
    <row r="8" spans="2:25" ht="16.399999999999999" customHeight="1" x14ac:dyDescent="0.25">
      <c r="B8" s="200" t="s">
        <v>31</v>
      </c>
      <c r="C8" s="1">
        <f>'Metrics template - main chain-b'!D57</f>
        <v>2.8132666666666668</v>
      </c>
      <c r="D8" s="1">
        <f>'Metrics template - main chain-b'!D124</f>
        <v>0</v>
      </c>
      <c r="E8" s="1">
        <f>'Metrics template - main chain-b'!D191</f>
        <v>0</v>
      </c>
      <c r="F8" s="1">
        <f>'Metrics template - main chain-b'!D258</f>
        <v>0</v>
      </c>
      <c r="G8" s="1">
        <f>'Metrics template - main chain-b'!D325</f>
        <v>0</v>
      </c>
      <c r="H8" s="1">
        <f>'Metrics template - main chain-b'!D392</f>
        <v>0</v>
      </c>
      <c r="I8" s="1">
        <f>'Metrics template - main chain-b'!D459</f>
        <v>0</v>
      </c>
      <c r="J8" s="1">
        <f>'Metrics template - main chain-b'!D526</f>
        <v>0</v>
      </c>
      <c r="K8" s="1">
        <f>'Metrics template - main chain-b'!D593</f>
        <v>0</v>
      </c>
      <c r="L8" s="1">
        <f>'Metrics template - main chain-b'!D660</f>
        <v>0</v>
      </c>
      <c r="M8" s="1">
        <f>'Metrics template - main chain-b'!D727</f>
        <v>0</v>
      </c>
      <c r="N8" s="1">
        <f>'Metrics template - main chain-b'!D794</f>
        <v>0</v>
      </c>
      <c r="O8" s="1">
        <f>'Metrics template - main chain-b'!D861</f>
        <v>0</v>
      </c>
      <c r="P8" s="199">
        <f>'Metrics template - main chain-b'!D928</f>
        <v>0</v>
      </c>
    </row>
    <row r="9" spans="2:25" ht="16.399999999999999" customHeight="1" x14ac:dyDescent="0.25">
      <c r="B9" s="200" t="s">
        <v>32</v>
      </c>
      <c r="C9" s="1">
        <f>'Metrics template - main chain-b'!D58</f>
        <v>16.157299999999999</v>
      </c>
      <c r="D9" s="1">
        <f>'Metrics template - main chain-b'!D125</f>
        <v>0</v>
      </c>
      <c r="E9" s="1">
        <f>'Metrics template - main chain-b'!D192</f>
        <v>0</v>
      </c>
      <c r="F9" s="1">
        <f>'Metrics template - main chain-b'!D259</f>
        <v>0</v>
      </c>
      <c r="G9" s="1">
        <f>'Metrics template - main chain-b'!D326</f>
        <v>0</v>
      </c>
      <c r="H9" s="1">
        <f>'Metrics template - main chain-b'!D393</f>
        <v>0</v>
      </c>
      <c r="I9" s="1">
        <f>'Metrics template - main chain-b'!D460</f>
        <v>0</v>
      </c>
      <c r="J9" s="1">
        <f>'Metrics template - main chain-b'!D527</f>
        <v>0</v>
      </c>
      <c r="K9" s="1">
        <f>'Metrics template - main chain-b'!D594</f>
        <v>0</v>
      </c>
      <c r="L9" s="1">
        <f>'Metrics template - main chain-b'!D661</f>
        <v>0</v>
      </c>
      <c r="M9" s="1">
        <f>'Metrics template - main chain-b'!D728</f>
        <v>0</v>
      </c>
      <c r="N9" s="1">
        <f>'Metrics template - main chain-b'!D795</f>
        <v>0</v>
      </c>
      <c r="O9" s="1">
        <f>'Metrics template - main chain-b'!D862</f>
        <v>0</v>
      </c>
      <c r="P9" s="199">
        <f>'Metrics template - main chain-b'!D929</f>
        <v>0</v>
      </c>
    </row>
    <row r="10" spans="2:25" ht="16.399999999999999" customHeight="1" x14ac:dyDescent="0.25">
      <c r="B10" s="200" t="s">
        <v>33</v>
      </c>
      <c r="C10" s="1">
        <f>'Metrics template - main chain-b'!D59</f>
        <v>1.2255</v>
      </c>
      <c r="D10" s="1">
        <f>'Metrics template - main chain-b'!D126</f>
        <v>0</v>
      </c>
      <c r="E10" s="1">
        <f>'Metrics template - main chain-b'!D193</f>
        <v>0</v>
      </c>
      <c r="F10" s="1">
        <f>'Metrics template - main chain-b'!D260</f>
        <v>0</v>
      </c>
      <c r="G10" s="1">
        <f>'Metrics template - main chain-b'!D327</f>
        <v>0</v>
      </c>
      <c r="H10" s="1">
        <f>'Metrics template - main chain-b'!D394</f>
        <v>0</v>
      </c>
      <c r="I10" s="1">
        <f>'Metrics template - main chain-b'!D461</f>
        <v>0</v>
      </c>
      <c r="J10" s="1">
        <f>'Metrics template - main chain-b'!D528</f>
        <v>0</v>
      </c>
      <c r="K10" s="1">
        <f>'Metrics template - main chain-b'!D595</f>
        <v>0</v>
      </c>
      <c r="L10" s="1">
        <f>'Metrics template - main chain-b'!D662</f>
        <v>0</v>
      </c>
      <c r="M10" s="1">
        <f>'Metrics template - main chain-b'!D729</f>
        <v>0</v>
      </c>
      <c r="N10" s="1">
        <f>'Metrics template - main chain-b'!D796</f>
        <v>0</v>
      </c>
      <c r="O10" s="1">
        <f>'Metrics template - main chain-b'!D863</f>
        <v>0</v>
      </c>
      <c r="P10" s="199">
        <f>'Metrics template - main chain-b'!D930</f>
        <v>0</v>
      </c>
    </row>
    <row r="11" spans="2:25" s="206" customFormat="1" ht="16.399999999999999" customHeight="1" x14ac:dyDescent="0.25">
      <c r="B11" s="207" t="s">
        <v>34</v>
      </c>
      <c r="C11" s="257">
        <f>'Metrics template - main chain-b'!C10</f>
        <v>8.4000000000000005E-2</v>
      </c>
      <c r="D11" s="257">
        <f>'Metrics template - main chain-b'!C83</f>
        <v>0</v>
      </c>
      <c r="E11" s="257">
        <f>'Metrics template - main chain-b'!C150</f>
        <v>0</v>
      </c>
      <c r="F11" s="257">
        <f>'Metrics template - main chain-b'!C217</f>
        <v>0</v>
      </c>
      <c r="G11" s="257">
        <f>'Metrics template - main chain-b'!C284</f>
        <v>0</v>
      </c>
      <c r="H11" s="257">
        <f>'Metrics template - main chain-b'!C351</f>
        <v>0</v>
      </c>
      <c r="I11" s="257">
        <f>'Metrics template - main chain-b'!C418</f>
        <v>0</v>
      </c>
      <c r="J11" s="257">
        <f>'Metrics template - main chain-b'!C485</f>
        <v>0</v>
      </c>
      <c r="K11" s="257">
        <f>'Metrics template - main chain-b'!C552</f>
        <v>0</v>
      </c>
      <c r="L11" s="257">
        <f>'Metrics template - main chain-b'!C619</f>
        <v>0</v>
      </c>
      <c r="M11" s="257">
        <f>'Metrics template - main chain-b'!C686</f>
        <v>0</v>
      </c>
      <c r="N11" s="257">
        <f>'Metrics template - main chain-b'!C753</f>
        <v>0</v>
      </c>
      <c r="O11" s="257">
        <f>'Metrics template - main chain-b'!C820</f>
        <v>0</v>
      </c>
      <c r="P11" s="258">
        <f>'Metrics template - main chain-b'!C887</f>
        <v>0</v>
      </c>
      <c r="Q11" s="205"/>
    </row>
    <row r="12" spans="2:25" s="206" customFormat="1" ht="16.399999999999999" customHeight="1" x14ac:dyDescent="0.25">
      <c r="B12" s="207" t="s">
        <v>35</v>
      </c>
      <c r="C12" s="259">
        <f t="shared" ref="C12:P12" si="0">C11/C7</f>
        <v>0.42788484803720561</v>
      </c>
      <c r="D12" s="259" t="e">
        <f t="shared" si="0"/>
        <v>#DIV/0!</v>
      </c>
      <c r="E12" s="259" t="e">
        <f t="shared" si="0"/>
        <v>#DIV/0!</v>
      </c>
      <c r="F12" s="259" t="e">
        <f t="shared" si="0"/>
        <v>#DIV/0!</v>
      </c>
      <c r="G12" s="259" t="e">
        <f t="shared" si="0"/>
        <v>#DIV/0!</v>
      </c>
      <c r="H12" s="259" t="e">
        <f t="shared" si="0"/>
        <v>#DIV/0!</v>
      </c>
      <c r="I12" s="259" t="e">
        <f t="shared" si="0"/>
        <v>#DIV/0!</v>
      </c>
      <c r="J12" s="259" t="e">
        <f t="shared" si="0"/>
        <v>#DIV/0!</v>
      </c>
      <c r="K12" s="259" t="e">
        <f t="shared" si="0"/>
        <v>#DIV/0!</v>
      </c>
      <c r="L12" s="259" t="e">
        <f t="shared" si="0"/>
        <v>#DIV/0!</v>
      </c>
      <c r="M12" s="259" t="e">
        <f t="shared" si="0"/>
        <v>#DIV/0!</v>
      </c>
      <c r="N12" s="259" t="e">
        <f t="shared" si="0"/>
        <v>#DIV/0!</v>
      </c>
      <c r="O12" s="259" t="e">
        <f t="shared" si="0"/>
        <v>#DIV/0!</v>
      </c>
      <c r="P12" s="260" t="e">
        <f t="shared" si="0"/>
        <v>#DIV/0!</v>
      </c>
      <c r="Q12" s="205"/>
    </row>
    <row r="13" spans="2:25" s="206" customFormat="1" ht="16.399999999999999" customHeight="1" thickBot="1" x14ac:dyDescent="0.3">
      <c r="B13" s="201" t="s">
        <v>36</v>
      </c>
      <c r="C13" s="261">
        <f>C11/C7</f>
        <v>0.42788484803720561</v>
      </c>
      <c r="D13" s="261" t="e">
        <f>PRODUCT($C12:D12)</f>
        <v>#DIV/0!</v>
      </c>
      <c r="E13" s="261" t="e">
        <f>PRODUCT($C12:E12)</f>
        <v>#DIV/0!</v>
      </c>
      <c r="F13" s="261" t="e">
        <f>PRODUCT($C12:F12)</f>
        <v>#DIV/0!</v>
      </c>
      <c r="G13" s="261" t="e">
        <f>PRODUCT($C12:G12)</f>
        <v>#DIV/0!</v>
      </c>
      <c r="H13" s="261" t="e">
        <f>PRODUCT($C12:H12)</f>
        <v>#DIV/0!</v>
      </c>
      <c r="I13" s="261" t="e">
        <f>PRODUCT($C12:I12)</f>
        <v>#DIV/0!</v>
      </c>
      <c r="J13" s="261" t="e">
        <f>PRODUCT($C12:J12)</f>
        <v>#DIV/0!</v>
      </c>
      <c r="K13" s="261" t="e">
        <f>PRODUCT($C12:K12)</f>
        <v>#DIV/0!</v>
      </c>
      <c r="L13" s="261" t="e">
        <f>PRODUCT($C12:L12)</f>
        <v>#DIV/0!</v>
      </c>
      <c r="M13" s="261" t="e">
        <f>PRODUCT($C12:M12)</f>
        <v>#DIV/0!</v>
      </c>
      <c r="N13" s="261" t="e">
        <f>PRODUCT($C12:N12)</f>
        <v>#DIV/0!</v>
      </c>
      <c r="O13" s="261" t="e">
        <f>PRODUCT($C12:O12)</f>
        <v>#DIV/0!</v>
      </c>
      <c r="P13" s="262" t="e">
        <f>PRODUCT($C12:P12)</f>
        <v>#DIV/0!</v>
      </c>
      <c r="Q13" s="205"/>
    </row>
    <row r="14" spans="2:25" ht="16.399999999999999" customHeight="1" thickTop="1" x14ac:dyDescent="0.25">
      <c r="B14" s="212" t="s">
        <v>11</v>
      </c>
      <c r="C14" s="213">
        <f>'Metrics template - main chain-b'!D60</f>
        <v>35.82834722222222</v>
      </c>
      <c r="D14" s="213" t="e">
        <f>'Metrics template - main chain-b'!D127</f>
        <v>#DIV/0!</v>
      </c>
      <c r="E14" s="213" t="e">
        <f>'Metrics template - main chain-b'!D194</f>
        <v>#DIV/0!</v>
      </c>
      <c r="F14" s="213" t="e">
        <f>'Metrics template - main chain-b'!D261</f>
        <v>#DIV/0!</v>
      </c>
      <c r="G14" s="213" t="e">
        <f>'Metrics template - main chain-b'!D328</f>
        <v>#DIV/0!</v>
      </c>
      <c r="H14" s="213" t="e">
        <f>'Metrics template - main chain-b'!D395</f>
        <v>#DIV/0!</v>
      </c>
      <c r="I14" s="213" t="e">
        <f>'Metrics template - main chain-b'!D462</f>
        <v>#DIV/0!</v>
      </c>
      <c r="J14" s="213" t="e">
        <f>'Metrics template - main chain-b'!D529</f>
        <v>#DIV/0!</v>
      </c>
      <c r="K14" s="213" t="e">
        <f>'Metrics template - main chain-b'!D596</f>
        <v>#DIV/0!</v>
      </c>
      <c r="L14" s="213" t="e">
        <f>'Metrics template - main chain-b'!D663</f>
        <v>#DIV/0!</v>
      </c>
      <c r="M14" s="213" t="e">
        <f>'Metrics template - main chain-b'!D730</f>
        <v>#DIV/0!</v>
      </c>
      <c r="N14" s="213" t="e">
        <f>'Metrics template - main chain-b'!D797</f>
        <v>#DIV/0!</v>
      </c>
      <c r="O14" s="213" t="e">
        <f>'Metrics template - main chain-b'!D864</f>
        <v>#DIV/0!</v>
      </c>
      <c r="P14" s="214" t="e">
        <f>'Metrics template - main chain-b'!D931</f>
        <v>#DIV/0!</v>
      </c>
    </row>
    <row r="15" spans="2:25" ht="16.399999999999999" customHeight="1" x14ac:dyDescent="0.25">
      <c r="B15" s="212" t="s">
        <v>12</v>
      </c>
      <c r="C15" s="213">
        <f>'Metrics template - main chain-b'!D61</f>
        <v>228.17715674603173</v>
      </c>
      <c r="D15" s="213" t="e">
        <f>'Metrics template - main chain-b'!D128</f>
        <v>#DIV/0!</v>
      </c>
      <c r="E15" s="213" t="e">
        <f>'Metrics template - main chain-b'!D195</f>
        <v>#DIV/0!</v>
      </c>
      <c r="F15" s="213" t="e">
        <f>'Metrics template - main chain-b'!D262</f>
        <v>#DIV/0!</v>
      </c>
      <c r="G15" s="213" t="e">
        <f>'Metrics template - main chain-b'!D329</f>
        <v>#DIV/0!</v>
      </c>
      <c r="H15" s="213" t="e">
        <f>'Metrics template - main chain-b'!D396</f>
        <v>#DIV/0!</v>
      </c>
      <c r="I15" s="213" t="e">
        <f>'Metrics template - main chain-b'!D463</f>
        <v>#DIV/0!</v>
      </c>
      <c r="J15" s="213" t="e">
        <f>'Metrics template - main chain-b'!D530</f>
        <v>#DIV/0!</v>
      </c>
      <c r="K15" s="213" t="e">
        <f>'Metrics template - main chain-b'!D597</f>
        <v>#DIV/0!</v>
      </c>
      <c r="L15" s="213" t="e">
        <f>'Metrics template - main chain-b'!D664</f>
        <v>#DIV/0!</v>
      </c>
      <c r="M15" s="213" t="e">
        <f>'Metrics template - main chain-b'!D731</f>
        <v>#DIV/0!</v>
      </c>
      <c r="N15" s="213" t="e">
        <f>'Metrics template - main chain-b'!D798</f>
        <v>#DIV/0!</v>
      </c>
      <c r="O15" s="213" t="e">
        <f>'Metrics template - main chain-b'!D865</f>
        <v>#DIV/0!</v>
      </c>
      <c r="P15" s="214" t="e">
        <f>'Metrics template - main chain-b'!D932</f>
        <v>#DIV/0!</v>
      </c>
    </row>
    <row r="16" spans="2:25" ht="16.399999999999999" customHeight="1" x14ac:dyDescent="0.25">
      <c r="B16" s="212" t="s">
        <v>13</v>
      </c>
      <c r="C16" s="213">
        <f>'Metrics template - main chain-b'!D62</f>
        <v>192.34880952380951</v>
      </c>
      <c r="D16" s="213" t="e">
        <f>'Metrics template - main chain-b'!D129</f>
        <v>#DIV/0!</v>
      </c>
      <c r="E16" s="213" t="e">
        <f>'Metrics template - main chain-b'!D196</f>
        <v>#DIV/0!</v>
      </c>
      <c r="F16" s="213" t="e">
        <f>'Metrics template - main chain-b'!D263</f>
        <v>#DIV/0!</v>
      </c>
      <c r="G16" s="213" t="e">
        <f>'Metrics template - main chain-b'!D330</f>
        <v>#DIV/0!</v>
      </c>
      <c r="H16" s="213" t="e">
        <f>'Metrics template - main chain-b'!D397</f>
        <v>#DIV/0!</v>
      </c>
      <c r="I16" s="213" t="e">
        <f>'Metrics template - main chain-b'!D464</f>
        <v>#DIV/0!</v>
      </c>
      <c r="J16" s="213" t="e">
        <f>'Metrics template - main chain-b'!D531</f>
        <v>#DIV/0!</v>
      </c>
      <c r="K16" s="213" t="e">
        <f>'Metrics template - main chain-b'!D598</f>
        <v>#DIV/0!</v>
      </c>
      <c r="L16" s="213" t="e">
        <f>'Metrics template - main chain-b'!D665</f>
        <v>#DIV/0!</v>
      </c>
      <c r="M16" s="213" t="e">
        <f>'Metrics template - main chain-b'!D732</f>
        <v>#DIV/0!</v>
      </c>
      <c r="N16" s="213" t="e">
        <f>'Metrics template - main chain-b'!D799</f>
        <v>#DIV/0!</v>
      </c>
      <c r="O16" s="213" t="e">
        <f>'Metrics template - main chain-b'!D866</f>
        <v>#DIV/0!</v>
      </c>
      <c r="P16" s="214" t="e">
        <f>'Metrics template - main chain-b'!D933</f>
        <v>#DIV/0!</v>
      </c>
    </row>
    <row r="17" spans="2:18" ht="16.399999999999999" customHeight="1" x14ac:dyDescent="0.25">
      <c r="B17" s="212" t="s">
        <v>14</v>
      </c>
      <c r="C17" s="213">
        <f>'Metrics template - main chain-b'!D63</f>
        <v>14.589285714285714</v>
      </c>
      <c r="D17" s="213" t="e">
        <f>'Metrics template - main chain-b'!D130</f>
        <v>#DIV/0!</v>
      </c>
      <c r="E17" s="213" t="e">
        <f>'Metrics template - main chain-b'!D197</f>
        <v>#DIV/0!</v>
      </c>
      <c r="F17" s="213" t="e">
        <f>'Metrics template - main chain-b'!D264</f>
        <v>#DIV/0!</v>
      </c>
      <c r="G17" s="213" t="e">
        <f>'Metrics template - main chain-b'!D331</f>
        <v>#DIV/0!</v>
      </c>
      <c r="H17" s="213" t="e">
        <f>'Metrics template - main chain-b'!D398</f>
        <v>#DIV/0!</v>
      </c>
      <c r="I17" s="213" t="e">
        <f>'Metrics template - main chain-b'!D465</f>
        <v>#DIV/0!</v>
      </c>
      <c r="J17" s="213" t="e">
        <f>'Metrics template - main chain-b'!D532</f>
        <v>#DIV/0!</v>
      </c>
      <c r="K17" s="213" t="e">
        <f>'Metrics template - main chain-b'!D599</f>
        <v>#DIV/0!</v>
      </c>
      <c r="L17" s="213" t="e">
        <f>'Metrics template - main chain-b'!D666</f>
        <v>#DIV/0!</v>
      </c>
      <c r="M17" s="213" t="e">
        <f>'Metrics template - main chain-b'!D733</f>
        <v>#DIV/0!</v>
      </c>
      <c r="N17" s="213" t="e">
        <f>'Metrics template - main chain-b'!D800</f>
        <v>#DIV/0!</v>
      </c>
      <c r="O17" s="213" t="e">
        <f>'Metrics template - main chain-b'!D867</f>
        <v>#DIV/0!</v>
      </c>
      <c r="P17" s="214" t="e">
        <f>'Metrics template - main chain-b'!D934</f>
        <v>#DIV/0!</v>
      </c>
    </row>
    <row r="18" spans="2:18" ht="16.399999999999999" customHeight="1" thickBot="1" x14ac:dyDescent="0.3">
      <c r="B18" s="215" t="s">
        <v>15</v>
      </c>
      <c r="C18" s="216">
        <f>'Metrics template - main chain-b'!D64</f>
        <v>242.76644246031745</v>
      </c>
      <c r="D18" s="216" t="e">
        <f>'Metrics template - main chain-b'!D131</f>
        <v>#DIV/0!</v>
      </c>
      <c r="E18" s="216" t="e">
        <f>'Metrics template - main chain-b'!D198</f>
        <v>#DIV/0!</v>
      </c>
      <c r="F18" s="216" t="e">
        <f>'Metrics template - main chain-b'!D265</f>
        <v>#DIV/0!</v>
      </c>
      <c r="G18" s="216" t="e">
        <f>'Metrics template - main chain-b'!D332</f>
        <v>#DIV/0!</v>
      </c>
      <c r="H18" s="216" t="e">
        <f>'Metrics template - main chain-b'!D399</f>
        <v>#DIV/0!</v>
      </c>
      <c r="I18" s="216" t="e">
        <f>'Metrics template - main chain-b'!D466</f>
        <v>#DIV/0!</v>
      </c>
      <c r="J18" s="216" t="e">
        <f>'Metrics template - main chain-b'!D533</f>
        <v>#DIV/0!</v>
      </c>
      <c r="K18" s="216" t="e">
        <f>'Metrics template - main chain-b'!D600</f>
        <v>#DIV/0!</v>
      </c>
      <c r="L18" s="216" t="e">
        <f>'Metrics template - main chain-b'!D667</f>
        <v>#DIV/0!</v>
      </c>
      <c r="M18" s="216" t="e">
        <f>'Metrics template - main chain-b'!D734</f>
        <v>#DIV/0!</v>
      </c>
      <c r="N18" s="216" t="e">
        <f>'Metrics template - main chain-b'!D801</f>
        <v>#DIV/0!</v>
      </c>
      <c r="O18" s="216" t="e">
        <f>'Metrics template - main chain-b'!D868</f>
        <v>#DIV/0!</v>
      </c>
      <c r="P18" s="217" t="e">
        <f>'Metrics template - main chain-b'!D935</f>
        <v>#DIV/0!</v>
      </c>
      <c r="R18" s="139"/>
    </row>
    <row r="19" spans="2:18" ht="16.399999999999999" customHeight="1" thickTop="1" x14ac:dyDescent="0.25">
      <c r="B19" s="218" t="s">
        <v>16</v>
      </c>
      <c r="C19" s="219">
        <f>'Metrics template - main chain-b'!D65</f>
        <v>42.570945545013302</v>
      </c>
      <c r="D19" s="219" t="e">
        <f>'Metrics template - main chain-b'!D132</f>
        <v>#DIV/0!</v>
      </c>
      <c r="E19" s="219" t="e">
        <f>'Metrics template - main chain-b'!D199</f>
        <v>#DIV/0!</v>
      </c>
      <c r="F19" s="219" t="e">
        <f>'Metrics template - main chain-b'!D266</f>
        <v>#DIV/0!</v>
      </c>
      <c r="G19" s="219" t="e">
        <f>'Metrics template - main chain-b'!D333</f>
        <v>#DIV/0!</v>
      </c>
      <c r="H19" s="219" t="e">
        <f>'Metrics template - main chain-b'!D400</f>
        <v>#DIV/0!</v>
      </c>
      <c r="I19" s="219" t="e">
        <f>'Metrics template - main chain-b'!D467</f>
        <v>#DIV/0!</v>
      </c>
      <c r="J19" s="219" t="e">
        <f>'Metrics template - main chain-b'!D534</f>
        <v>#DIV/0!</v>
      </c>
      <c r="K19" s="219" t="e">
        <f>'Metrics template - main chain-b'!D601</f>
        <v>#DIV/0!</v>
      </c>
      <c r="L19" s="219" t="e">
        <f>'Metrics template - main chain-b'!D668</f>
        <v>#DIV/0!</v>
      </c>
      <c r="M19" s="219" t="e">
        <f>'Metrics template - main chain-b'!D735</f>
        <v>#DIV/0!</v>
      </c>
      <c r="N19" s="219" t="e">
        <f>'Metrics template - main chain-b'!D802</f>
        <v>#DIV/0!</v>
      </c>
      <c r="O19" s="219" t="e">
        <f>'Metrics template - main chain-b'!D869</f>
        <v>#DIV/0!</v>
      </c>
      <c r="P19" s="220" t="e">
        <f>'Metrics template - main chain-b'!D936</f>
        <v>#DIV/0!</v>
      </c>
    </row>
    <row r="20" spans="2:18" ht="16.399999999999999" customHeight="1" x14ac:dyDescent="0.25">
      <c r="B20" s="218" t="s">
        <v>17</v>
      </c>
      <c r="C20" s="219">
        <f>'Metrics template - main chain-b'!D66</f>
        <v>289.03425157204737</v>
      </c>
      <c r="D20" s="219" t="e">
        <f>'Metrics template - main chain-b'!D133</f>
        <v>#DIV/0!</v>
      </c>
      <c r="E20" s="219" t="e">
        <f>'Metrics template - main chain-b'!D200</f>
        <v>#DIV/0!</v>
      </c>
      <c r="F20" s="219" t="e">
        <f>'Metrics template - main chain-b'!D267</f>
        <v>#DIV/0!</v>
      </c>
      <c r="G20" s="219" t="e">
        <f>'Metrics template - main chain-b'!D334</f>
        <v>#DIV/0!</v>
      </c>
      <c r="H20" s="219" t="e">
        <f>'Metrics template - main chain-b'!D401</f>
        <v>#DIV/0!</v>
      </c>
      <c r="I20" s="219" t="e">
        <f>'Metrics template - main chain-b'!D468</f>
        <v>#DIV/0!</v>
      </c>
      <c r="J20" s="219" t="e">
        <f>'Metrics template - main chain-b'!D535</f>
        <v>#DIV/0!</v>
      </c>
      <c r="K20" s="219" t="e">
        <f>'Metrics template - main chain-b'!D602</f>
        <v>#DIV/0!</v>
      </c>
      <c r="L20" s="219" t="e">
        <f>'Metrics template - main chain-b'!D669</f>
        <v>#DIV/0!</v>
      </c>
      <c r="M20" s="219" t="e">
        <f>'Metrics template - main chain-b'!D736</f>
        <v>#DIV/0!</v>
      </c>
      <c r="N20" s="219" t="e">
        <f>'Metrics template - main chain-b'!D803</f>
        <v>#DIV/0!</v>
      </c>
      <c r="O20" s="219" t="e">
        <f>'Metrics template - main chain-b'!D870</f>
        <v>#DIV/0!</v>
      </c>
      <c r="P20" s="220" t="e">
        <f>'Metrics template - main chain-b'!D937</f>
        <v>#DIV/0!</v>
      </c>
    </row>
    <row r="21" spans="2:18" ht="16.399999999999999" customHeight="1" x14ac:dyDescent="0.25">
      <c r="B21" s="218" t="s">
        <v>18</v>
      </c>
      <c r="C21" s="219">
        <f>'Metrics template - main chain-b'!D67</f>
        <v>246.46330602703406</v>
      </c>
      <c r="D21" s="219" t="e">
        <f>'Metrics template - main chain-b'!D134</f>
        <v>#DIV/0!</v>
      </c>
      <c r="E21" s="219" t="e">
        <f>'Metrics template - main chain-b'!D201</f>
        <v>#DIV/0!</v>
      </c>
      <c r="F21" s="219" t="e">
        <f>'Metrics template - main chain-b'!D268</f>
        <v>#DIV/0!</v>
      </c>
      <c r="G21" s="219" t="e">
        <f>'Metrics template - main chain-b'!D335</f>
        <v>#DIV/0!</v>
      </c>
      <c r="H21" s="219" t="e">
        <f>'Metrics template - main chain-b'!D402</f>
        <v>#DIV/0!</v>
      </c>
      <c r="I21" s="219" t="e">
        <f>'Metrics template - main chain-b'!D469</f>
        <v>#DIV/0!</v>
      </c>
      <c r="J21" s="219" t="e">
        <f>'Metrics template - main chain-b'!D536</f>
        <v>#DIV/0!</v>
      </c>
      <c r="K21" s="219" t="e">
        <f>'Metrics template - main chain-b'!D603</f>
        <v>#DIV/0!</v>
      </c>
      <c r="L21" s="219" t="e">
        <f>'Metrics template - main chain-b'!D670</f>
        <v>#DIV/0!</v>
      </c>
      <c r="M21" s="219" t="e">
        <f>'Metrics template - main chain-b'!D737</f>
        <v>#DIV/0!</v>
      </c>
      <c r="N21" s="219" t="e">
        <f>'Metrics template - main chain-b'!D804</f>
        <v>#DIV/0!</v>
      </c>
      <c r="O21" s="219" t="e">
        <f>'Metrics template - main chain-b'!D871</f>
        <v>#DIV/0!</v>
      </c>
      <c r="P21" s="220" t="e">
        <f>'Metrics template - main chain-b'!D938</f>
        <v>#DIV/0!</v>
      </c>
    </row>
    <row r="22" spans="2:18" ht="16.399999999999999" customHeight="1" x14ac:dyDescent="0.25">
      <c r="B22" s="218" t="s">
        <v>19</v>
      </c>
      <c r="C22" s="219">
        <f>'Metrics template - main chain-b'!D68</f>
        <v>59.309360237796753</v>
      </c>
      <c r="D22" s="219" t="e">
        <f>'Metrics template - main chain-b'!D135</f>
        <v>#DIV/0!</v>
      </c>
      <c r="E22" s="219" t="e">
        <f>'Metrics template - main chain-b'!D202</f>
        <v>#DIV/0!</v>
      </c>
      <c r="F22" s="219" t="e">
        <f>'Metrics template - main chain-b'!D269</f>
        <v>#DIV/0!</v>
      </c>
      <c r="G22" s="219" t="e">
        <f>'Metrics template - main chain-b'!D336</f>
        <v>#DIV/0!</v>
      </c>
      <c r="H22" s="219" t="e">
        <f>'Metrics template - main chain-b'!D403</f>
        <v>#DIV/0!</v>
      </c>
      <c r="I22" s="219" t="e">
        <f>'Metrics template - main chain-b'!D470</f>
        <v>#DIV/0!</v>
      </c>
      <c r="J22" s="219" t="e">
        <f>'Metrics template - main chain-b'!D537</f>
        <v>#DIV/0!</v>
      </c>
      <c r="K22" s="219" t="e">
        <f>'Metrics template - main chain-b'!D604</f>
        <v>#DIV/0!</v>
      </c>
      <c r="L22" s="219" t="e">
        <f>'Metrics template - main chain-b'!D671</f>
        <v>#DIV/0!</v>
      </c>
      <c r="M22" s="219" t="e">
        <f>'Metrics template - main chain-b'!D738</f>
        <v>#DIV/0!</v>
      </c>
      <c r="N22" s="219" t="e">
        <f>'Metrics template - main chain-b'!D805</f>
        <v>#DIV/0!</v>
      </c>
      <c r="O22" s="219" t="e">
        <f>'Metrics template - main chain-b'!D872</f>
        <v>#DIV/0!</v>
      </c>
      <c r="P22" s="220" t="e">
        <f>'Metrics template - main chain-b'!D939</f>
        <v>#DIV/0!</v>
      </c>
    </row>
    <row r="23" spans="2:18" ht="16.399999999999999" customHeight="1" thickBot="1" x14ac:dyDescent="0.3">
      <c r="B23" s="221" t="s">
        <v>20</v>
      </c>
      <c r="C23" s="222">
        <f>'Metrics template - main chain-b'!D69</f>
        <v>348.34361180984416</v>
      </c>
      <c r="D23" s="222" t="e">
        <f>'Metrics template - main chain-b'!D136</f>
        <v>#DIV/0!</v>
      </c>
      <c r="E23" s="222" t="e">
        <f>'Metrics template - main chain-b'!D203</f>
        <v>#DIV/0!</v>
      </c>
      <c r="F23" s="222" t="e">
        <f>'Metrics template - main chain-b'!D270</f>
        <v>#DIV/0!</v>
      </c>
      <c r="G23" s="222" t="e">
        <f>'Metrics template - main chain-b'!D337</f>
        <v>#DIV/0!</v>
      </c>
      <c r="H23" s="222" t="e">
        <f>'Metrics template - main chain-b'!D404</f>
        <v>#DIV/0!</v>
      </c>
      <c r="I23" s="222" t="e">
        <f>'Metrics template - main chain-b'!D471</f>
        <v>#DIV/0!</v>
      </c>
      <c r="J23" s="222" t="e">
        <f>'Metrics template - main chain-b'!D538</f>
        <v>#DIV/0!</v>
      </c>
      <c r="K23" s="222" t="e">
        <f>'Metrics template - main chain-b'!D605</f>
        <v>#DIV/0!</v>
      </c>
      <c r="L23" s="222" t="e">
        <f>'Metrics template - main chain-b'!D672</f>
        <v>#DIV/0!</v>
      </c>
      <c r="M23" s="222" t="e">
        <f>'Metrics template - main chain-b'!D739</f>
        <v>#DIV/0!</v>
      </c>
      <c r="N23" s="222" t="e">
        <f>'Metrics template - main chain-b'!D806</f>
        <v>#DIV/0!</v>
      </c>
      <c r="O23" s="222" t="e">
        <f>'Metrics template - main chain-b'!D873</f>
        <v>#DIV/0!</v>
      </c>
      <c r="P23" s="223" t="e">
        <f>'Metrics template - main chain-b'!D940</f>
        <v>#DIV/0!</v>
      </c>
    </row>
    <row r="24" spans="2:18" ht="13.5" thickTop="1" x14ac:dyDescent="0.3">
      <c r="B24" s="224"/>
      <c r="C24" s="225"/>
      <c r="D24" s="226"/>
      <c r="E24" s="64"/>
      <c r="F24" s="64"/>
      <c r="G24" s="64"/>
      <c r="H24" s="64"/>
      <c r="I24" s="64"/>
      <c r="J24" s="64"/>
      <c r="K24" s="227"/>
      <c r="L24" s="227"/>
      <c r="M24" s="227"/>
      <c r="N24" s="227"/>
      <c r="O24" s="227"/>
      <c r="P24" s="227"/>
    </row>
    <row r="25" spans="2:18" ht="13.5" thickBot="1" x14ac:dyDescent="0.3">
      <c r="B25" s="228"/>
      <c r="C25" s="229"/>
      <c r="D25" s="230"/>
      <c r="E25" s="227"/>
      <c r="F25" s="227"/>
      <c r="G25" s="227"/>
      <c r="H25" s="227"/>
      <c r="I25" s="227"/>
      <c r="J25" s="227"/>
      <c r="K25" s="227"/>
      <c r="L25" s="227"/>
      <c r="M25" s="227"/>
      <c r="N25" s="227"/>
      <c r="O25" s="227"/>
      <c r="P25" s="227"/>
    </row>
    <row r="26" spans="2:18" ht="26" thickTop="1" thickBot="1" x14ac:dyDescent="0.3">
      <c r="B26" s="407" t="s">
        <v>132</v>
      </c>
      <c r="C26" s="408"/>
      <c r="D26" s="408"/>
      <c r="E26" s="408"/>
      <c r="F26" s="408"/>
      <c r="G26" s="408"/>
      <c r="H26" s="408"/>
      <c r="I26" s="408"/>
      <c r="J26" s="408"/>
      <c r="K26" s="408"/>
      <c r="L26" s="409"/>
      <c r="M26" s="410" t="s">
        <v>40</v>
      </c>
      <c r="N26" s="410"/>
      <c r="O26" s="410"/>
      <c r="P26" s="231">
        <f>'Metrics template - side chain-b'!C7*'Metrics template - side chain-b'!C74*'Metrics template - side chain-b'!C141*'Metrics template - side chain-b'!C208*'Metrics template - side chain-b'!C275*'Metrics template - side chain-b'!C342*'Metrics template - side chain-b'!C409*'Metrics template - side chain-b'!C476*'Metrics template - side chain-b'!C543*'Metrics template - side chain-b'!C610</f>
        <v>0.8</v>
      </c>
    </row>
    <row r="27" spans="2:18" ht="16" thickTop="1" x14ac:dyDescent="0.25">
      <c r="B27" s="195" t="s">
        <v>38</v>
      </c>
      <c r="C27" s="196" t="str">
        <f>'Metrics template - side chain-b'!D2</f>
        <v>RB(OH)2</v>
      </c>
      <c r="D27" s="196">
        <f>'Metrics template - side chain-b'!D69</f>
        <v>0</v>
      </c>
      <c r="E27" s="196">
        <f>'Metrics template - side chain-b'!D136</f>
        <v>0</v>
      </c>
      <c r="F27" s="196">
        <f>'Metrics template - side chain-b'!D203</f>
        <v>0</v>
      </c>
      <c r="G27" s="196">
        <f>'Metrics template - side chain-b'!D270</f>
        <v>0</v>
      </c>
      <c r="H27" s="196">
        <f>'Metrics template - side chain-b'!D337</f>
        <v>0</v>
      </c>
      <c r="I27" s="196">
        <f>'Metrics template - side chain-b'!D404</f>
        <v>0</v>
      </c>
      <c r="J27" s="196">
        <f>'Metrics template - side chain-b'!D471</f>
        <v>0</v>
      </c>
      <c r="K27" s="196">
        <f>'Metrics template - side chain-b'!D538</f>
        <v>0</v>
      </c>
      <c r="L27" s="196">
        <f>'Metrics template - side chain-b'!D605</f>
        <v>0</v>
      </c>
      <c r="M27" s="232"/>
      <c r="N27" s="232"/>
      <c r="O27" s="232"/>
      <c r="P27" s="233"/>
    </row>
    <row r="28" spans="2:18" ht="13" x14ac:dyDescent="0.25">
      <c r="B28" s="198" t="s">
        <v>30</v>
      </c>
      <c r="C28" s="1">
        <f>'Metrics template - side chain-b'!D50</f>
        <v>8.15</v>
      </c>
      <c r="D28" s="1">
        <f>'Metrics template - side chain-b'!D117</f>
        <v>0</v>
      </c>
      <c r="E28" s="1">
        <f>'Metrics template - side chain-b'!D184</f>
        <v>0</v>
      </c>
      <c r="F28" s="1">
        <f>'Metrics template - side chain-b'!D251</f>
        <v>0</v>
      </c>
      <c r="G28" s="1">
        <f>'Metrics template - side chain-b'!D318</f>
        <v>0</v>
      </c>
      <c r="H28" s="1">
        <f>'Metrics template - side chain-b'!D385</f>
        <v>0</v>
      </c>
      <c r="I28" s="1">
        <f>'Metrics template - side chain-b'!D452</f>
        <v>0</v>
      </c>
      <c r="J28" s="1">
        <f>'Metrics template - side chain-b'!D519</f>
        <v>0</v>
      </c>
      <c r="K28" s="1">
        <f>'Metrics template - side chain-b'!D586</f>
        <v>0</v>
      </c>
      <c r="L28" s="1">
        <f>'Metrics template - side chain-b'!D653</f>
        <v>0</v>
      </c>
      <c r="M28" s="1"/>
      <c r="N28" s="1"/>
      <c r="O28" s="1"/>
      <c r="P28" s="199"/>
    </row>
    <row r="29" spans="2:18" ht="13" x14ac:dyDescent="0.25">
      <c r="B29" s="200" t="s">
        <v>31</v>
      </c>
      <c r="C29" s="1">
        <f>'Metrics template - side chain-b'!D51</f>
        <v>23.388210000000001</v>
      </c>
      <c r="D29" s="1">
        <f>'Metrics template - side chain-b'!D118</f>
        <v>0</v>
      </c>
      <c r="E29" s="1">
        <f>'Metrics template - side chain-b'!D185</f>
        <v>0</v>
      </c>
      <c r="F29" s="1">
        <f>'Metrics template - side chain-b'!D252</f>
        <v>0</v>
      </c>
      <c r="G29" s="1">
        <f>'Metrics template - side chain-b'!D319</f>
        <v>0</v>
      </c>
      <c r="H29" s="1">
        <f>'Metrics template - side chain-b'!D386</f>
        <v>0</v>
      </c>
      <c r="I29" s="1">
        <f>'Metrics template - side chain-b'!D453</f>
        <v>0</v>
      </c>
      <c r="J29" s="1">
        <f>'Metrics template - side chain-b'!D520</f>
        <v>0</v>
      </c>
      <c r="K29" s="1">
        <f>'Metrics template - side chain-b'!D587</f>
        <v>0</v>
      </c>
      <c r="L29" s="1">
        <f>'Metrics template - side chain-b'!D654</f>
        <v>0</v>
      </c>
      <c r="M29" s="1"/>
      <c r="N29" s="1"/>
      <c r="O29" s="1"/>
      <c r="P29" s="199"/>
    </row>
    <row r="30" spans="2:18" ht="13" x14ac:dyDescent="0.25">
      <c r="B30" s="200" t="s">
        <v>32</v>
      </c>
      <c r="C30" s="1">
        <f>'Metrics template - side chain-b'!D52</f>
        <v>170.09459000000001</v>
      </c>
      <c r="D30" s="1">
        <f>'Metrics template - side chain-b'!D119</f>
        <v>0</v>
      </c>
      <c r="E30" s="1">
        <f>'Metrics template - side chain-b'!D186</f>
        <v>0</v>
      </c>
      <c r="F30" s="1">
        <f>'Metrics template - side chain-b'!D253</f>
        <v>0</v>
      </c>
      <c r="G30" s="1">
        <f>'Metrics template - side chain-b'!D320</f>
        <v>0</v>
      </c>
      <c r="H30" s="1">
        <f>'Metrics template - side chain-b'!D387</f>
        <v>0</v>
      </c>
      <c r="I30" s="1">
        <f>'Metrics template - side chain-b'!D454</f>
        <v>0</v>
      </c>
      <c r="J30" s="1">
        <f>'Metrics template - side chain-b'!D521</f>
        <v>0</v>
      </c>
      <c r="K30" s="1">
        <f>'Metrics template - side chain-b'!D588</f>
        <v>0</v>
      </c>
      <c r="L30" s="1">
        <f>'Metrics template - side chain-b'!D655</f>
        <v>0</v>
      </c>
      <c r="M30" s="1"/>
      <c r="N30" s="1"/>
      <c r="O30" s="1"/>
      <c r="P30" s="199"/>
    </row>
    <row r="31" spans="2:18" ht="13" x14ac:dyDescent="0.25">
      <c r="B31" s="200" t="s">
        <v>33</v>
      </c>
      <c r="C31" s="1">
        <f>'Metrics template - side chain-b'!D53</f>
        <v>247.21520000000001</v>
      </c>
      <c r="D31" s="1">
        <f>'Metrics template - side chain-b'!D120</f>
        <v>0</v>
      </c>
      <c r="E31" s="1">
        <f>'Metrics template - side chain-b'!D187</f>
        <v>0</v>
      </c>
      <c r="F31" s="1">
        <f>'Metrics template - side chain-b'!D254</f>
        <v>0</v>
      </c>
      <c r="G31" s="1">
        <f>'Metrics template - side chain-b'!D321</f>
        <v>0</v>
      </c>
      <c r="H31" s="1">
        <f>'Metrics template - side chain-b'!D388</f>
        <v>0</v>
      </c>
      <c r="I31" s="1">
        <f>'Metrics template - side chain-b'!D455</f>
        <v>0</v>
      </c>
      <c r="J31" s="1">
        <f>'Metrics template - side chain-b'!D522</f>
        <v>0</v>
      </c>
      <c r="K31" s="1">
        <f>'Metrics template - side chain-b'!D589</f>
        <v>0</v>
      </c>
      <c r="L31" s="1">
        <f>'Metrics template - side chain-b'!D656</f>
        <v>0</v>
      </c>
      <c r="M31" s="1"/>
      <c r="N31" s="1"/>
      <c r="O31" s="1"/>
      <c r="P31" s="199"/>
    </row>
    <row r="32" spans="2:18" ht="13.5" thickBot="1" x14ac:dyDescent="0.3">
      <c r="B32" s="201" t="s">
        <v>34</v>
      </c>
      <c r="C32" s="263">
        <f>'Metrics template - side chain-b'!C10</f>
        <v>5.2</v>
      </c>
      <c r="D32" s="263">
        <f>'Metrics template - side chain-b'!C77</f>
        <v>0</v>
      </c>
      <c r="E32" s="263">
        <f>'Metrics template - side chain-b'!C144</f>
        <v>0</v>
      </c>
      <c r="F32" s="263">
        <f>'Metrics template - side chain-b'!C211</f>
        <v>0</v>
      </c>
      <c r="G32" s="263">
        <f>'Metrics template - side chain-b'!C278</f>
        <v>0</v>
      </c>
      <c r="H32" s="263">
        <f>'Metrics template - side chain-b'!C345</f>
        <v>0</v>
      </c>
      <c r="I32" s="263">
        <f>'Metrics template - side chain-b'!C412</f>
        <v>0</v>
      </c>
      <c r="J32" s="263">
        <f>'Metrics template - side chain-b'!C479</f>
        <v>0</v>
      </c>
      <c r="K32" s="263">
        <f>'Metrics template - side chain-b'!C546</f>
        <v>0</v>
      </c>
      <c r="L32" s="263">
        <f>'Metrics template - side chain-b'!C613</f>
        <v>0</v>
      </c>
      <c r="M32" s="263"/>
      <c r="N32" s="263"/>
      <c r="O32" s="263"/>
      <c r="P32" s="264"/>
    </row>
    <row r="33" spans="2:16" ht="16" thickTop="1" x14ac:dyDescent="0.25">
      <c r="B33" s="234" t="s">
        <v>11</v>
      </c>
      <c r="C33" s="235">
        <f>'Metrics template - side chain-b'!D54</f>
        <v>6.0650403846153855</v>
      </c>
      <c r="D33" s="235" t="e">
        <f>'Metrics template - side chain-b'!D121</f>
        <v>#DIV/0!</v>
      </c>
      <c r="E33" s="235" t="e">
        <f>'Metrics template - side chain-b'!D188</f>
        <v>#DIV/0!</v>
      </c>
      <c r="F33" s="235" t="e">
        <f>'Metrics template - side chain-b'!D255</f>
        <v>#DIV/0!</v>
      </c>
      <c r="G33" s="235" t="e">
        <f>'Metrics template - side chain-b'!D322</f>
        <v>#DIV/0!</v>
      </c>
      <c r="H33" s="235" t="e">
        <f>'Metrics template - side chain-b'!D389</f>
        <v>#DIV/0!</v>
      </c>
      <c r="I33" s="235" t="e">
        <f>'Metrics template - side chain-b'!D456</f>
        <v>#DIV/0!</v>
      </c>
      <c r="J33" s="235" t="e">
        <f>'Metrics template - side chain-b'!D523</f>
        <v>#DIV/0!</v>
      </c>
      <c r="K33" s="235" t="e">
        <f>'Metrics template - side chain-b'!D590</f>
        <v>#DIV/0!</v>
      </c>
      <c r="L33" s="235" t="e">
        <f>'Metrics template - side chain-b'!D657</f>
        <v>#DIV/0!</v>
      </c>
      <c r="M33" s="236"/>
      <c r="N33" s="236"/>
      <c r="O33" s="236"/>
      <c r="P33" s="237"/>
    </row>
    <row r="34" spans="2:16" ht="15.5" x14ac:dyDescent="0.25">
      <c r="B34" s="234" t="s">
        <v>12</v>
      </c>
      <c r="C34" s="235">
        <f>'Metrics template - side chain-b'!D55</f>
        <v>38.77553846153846</v>
      </c>
      <c r="D34" s="235" t="e">
        <f>'Metrics template - side chain-b'!D122</f>
        <v>#DIV/0!</v>
      </c>
      <c r="E34" s="235" t="e">
        <f>'Metrics template - side chain-b'!D189</f>
        <v>#DIV/0!</v>
      </c>
      <c r="F34" s="235" t="e">
        <f>'Metrics template - side chain-b'!D256</f>
        <v>#DIV/0!</v>
      </c>
      <c r="G34" s="235" t="e">
        <f>'Metrics template - side chain-b'!D323</f>
        <v>#DIV/0!</v>
      </c>
      <c r="H34" s="235" t="e">
        <f>'Metrics template - side chain-b'!D390</f>
        <v>#DIV/0!</v>
      </c>
      <c r="I34" s="235" t="e">
        <f>'Metrics template - side chain-b'!D457</f>
        <v>#DIV/0!</v>
      </c>
      <c r="J34" s="235" t="e">
        <f>'Metrics template - side chain-b'!D524</f>
        <v>#DIV/0!</v>
      </c>
      <c r="K34" s="235" t="e">
        <f>'Metrics template - side chain-b'!D591</f>
        <v>#DIV/0!</v>
      </c>
      <c r="L34" s="235" t="e">
        <f>'Metrics template - side chain-b'!D658</f>
        <v>#DIV/0!</v>
      </c>
      <c r="M34" s="236"/>
      <c r="N34" s="236"/>
      <c r="O34" s="236"/>
      <c r="P34" s="237"/>
    </row>
    <row r="35" spans="2:16" ht="15.5" x14ac:dyDescent="0.25">
      <c r="B35" s="234" t="s">
        <v>13</v>
      </c>
      <c r="C35" s="235">
        <f>'Metrics template - side chain-b'!D56</f>
        <v>32.710498076923081</v>
      </c>
      <c r="D35" s="235" t="e">
        <f>'Metrics template - side chain-b'!D123</f>
        <v>#DIV/0!</v>
      </c>
      <c r="E35" s="235" t="e">
        <f>'Metrics template - side chain-b'!D190</f>
        <v>#DIV/0!</v>
      </c>
      <c r="F35" s="235" t="e">
        <f>'Metrics template - side chain-b'!D257</f>
        <v>#DIV/0!</v>
      </c>
      <c r="G35" s="235" t="e">
        <f>'Metrics template - side chain-b'!D324</f>
        <v>#DIV/0!</v>
      </c>
      <c r="H35" s="235" t="e">
        <f>'Metrics template - side chain-b'!D391</f>
        <v>#DIV/0!</v>
      </c>
      <c r="I35" s="235" t="e">
        <f>'Metrics template - side chain-b'!D458</f>
        <v>#DIV/0!</v>
      </c>
      <c r="J35" s="235" t="e">
        <f>'Metrics template - side chain-b'!D525</f>
        <v>#DIV/0!</v>
      </c>
      <c r="K35" s="235" t="e">
        <f>'Metrics template - side chain-b'!D592</f>
        <v>#DIV/0!</v>
      </c>
      <c r="L35" s="235" t="e">
        <f>'Metrics template - side chain-b'!D659</f>
        <v>#DIV/0!</v>
      </c>
      <c r="M35" s="236"/>
      <c r="N35" s="236"/>
      <c r="O35" s="236"/>
      <c r="P35" s="237"/>
    </row>
    <row r="36" spans="2:16" ht="15.5" x14ac:dyDescent="0.25">
      <c r="B36" s="234" t="s">
        <v>14</v>
      </c>
      <c r="C36" s="235">
        <f>'Metrics template - side chain-b'!D57</f>
        <v>47.541384615384615</v>
      </c>
      <c r="D36" s="235" t="e">
        <f>'Metrics template - side chain-b'!D124</f>
        <v>#DIV/0!</v>
      </c>
      <c r="E36" s="235" t="e">
        <f>'Metrics template - side chain-b'!D191</f>
        <v>#DIV/0!</v>
      </c>
      <c r="F36" s="235" t="e">
        <f>'Metrics template - side chain-b'!D258</f>
        <v>#DIV/0!</v>
      </c>
      <c r="G36" s="235" t="e">
        <f>'Metrics template - side chain-b'!D325</f>
        <v>#DIV/0!</v>
      </c>
      <c r="H36" s="235" t="e">
        <f>'Metrics template - side chain-b'!D392</f>
        <v>#DIV/0!</v>
      </c>
      <c r="I36" s="235" t="e">
        <f>'Metrics template - side chain-b'!D459</f>
        <v>#DIV/0!</v>
      </c>
      <c r="J36" s="235" t="e">
        <f>'Metrics template - side chain-b'!D526</f>
        <v>#DIV/0!</v>
      </c>
      <c r="K36" s="235" t="e">
        <f>'Metrics template - side chain-b'!D593</f>
        <v>#DIV/0!</v>
      </c>
      <c r="L36" s="235" t="e">
        <f>'Metrics template - side chain-b'!D660</f>
        <v>#DIV/0!</v>
      </c>
      <c r="M36" s="236"/>
      <c r="N36" s="236"/>
      <c r="O36" s="236"/>
      <c r="P36" s="237"/>
    </row>
    <row r="37" spans="2:16" ht="16" thickBot="1" x14ac:dyDescent="0.3">
      <c r="B37" s="238" t="s">
        <v>15</v>
      </c>
      <c r="C37" s="239">
        <f>'Metrics template - side chain-b'!D58</f>
        <v>86.316923076923075</v>
      </c>
      <c r="D37" s="239" t="e">
        <f>'Metrics template - side chain-b'!D125</f>
        <v>#DIV/0!</v>
      </c>
      <c r="E37" s="239" t="e">
        <f>'Metrics template - side chain-b'!D192</f>
        <v>#DIV/0!</v>
      </c>
      <c r="F37" s="239" t="e">
        <f>'Metrics template - side chain-b'!D259</f>
        <v>#DIV/0!</v>
      </c>
      <c r="G37" s="239" t="e">
        <f>'Metrics template - side chain-b'!D326</f>
        <v>#DIV/0!</v>
      </c>
      <c r="H37" s="239" t="e">
        <f>'Metrics template - side chain-b'!D393</f>
        <v>#DIV/0!</v>
      </c>
      <c r="I37" s="239" t="e">
        <f>'Metrics template - side chain-b'!D460</f>
        <v>#DIV/0!</v>
      </c>
      <c r="J37" s="239" t="e">
        <f>'Metrics template - side chain-b'!D527</f>
        <v>#DIV/0!</v>
      </c>
      <c r="K37" s="239" t="e">
        <f>'Metrics template - side chain-b'!D594</f>
        <v>#DIV/0!</v>
      </c>
      <c r="L37" s="239" t="e">
        <f>'Metrics template - side chain-b'!D661</f>
        <v>#DIV/0!</v>
      </c>
      <c r="M37" s="240"/>
      <c r="N37" s="240"/>
      <c r="O37" s="240"/>
      <c r="P37" s="241"/>
    </row>
    <row r="38" spans="2:16" ht="16" thickTop="1" x14ac:dyDescent="0.25">
      <c r="B38" s="242" t="s">
        <v>16</v>
      </c>
      <c r="C38" s="243">
        <f>'Metrics template - side chain-b'!D59</f>
        <v>6.0650403846153846</v>
      </c>
      <c r="D38" s="243" t="e">
        <f>'Metrics template - side chain-b'!D126</f>
        <v>#DIV/0!</v>
      </c>
      <c r="E38" s="243" t="e">
        <f>'Metrics template - side chain-b'!D193</f>
        <v>#DIV/0!</v>
      </c>
      <c r="F38" s="243" t="e">
        <f>'Metrics template - side chain-b'!D260</f>
        <v>#DIV/0!</v>
      </c>
      <c r="G38" s="243" t="e">
        <f>'Metrics template - side chain-b'!D327</f>
        <v>#DIV/0!</v>
      </c>
      <c r="H38" s="243" t="e">
        <f>'Metrics template - side chain-b'!D394</f>
        <v>#DIV/0!</v>
      </c>
      <c r="I38" s="243" t="e">
        <f>'Metrics template - side chain-b'!D461</f>
        <v>#DIV/0!</v>
      </c>
      <c r="J38" s="243" t="e">
        <f>'Metrics template - side chain-b'!D528</f>
        <v>#DIV/0!</v>
      </c>
      <c r="K38" s="243" t="e">
        <f>'Metrics template - side chain-b'!D595</f>
        <v>#DIV/0!</v>
      </c>
      <c r="L38" s="243" t="e">
        <f>'Metrics template - side chain-b'!D662</f>
        <v>#DIV/0!</v>
      </c>
      <c r="M38" s="244"/>
      <c r="N38" s="244"/>
      <c r="O38" s="244"/>
      <c r="P38" s="245"/>
    </row>
    <row r="39" spans="2:16" ht="15.5" x14ac:dyDescent="0.25">
      <c r="B39" s="242" t="s">
        <v>17</v>
      </c>
      <c r="C39" s="243">
        <f>'Metrics template - side chain-b'!D60</f>
        <v>38.77553846153846</v>
      </c>
      <c r="D39" s="243" t="e">
        <f>'Metrics template - side chain-b'!D127</f>
        <v>#DIV/0!</v>
      </c>
      <c r="E39" s="243" t="e">
        <f>'Metrics template - side chain-b'!D194</f>
        <v>#DIV/0!</v>
      </c>
      <c r="F39" s="243" t="e">
        <f>'Metrics template - side chain-b'!D261</f>
        <v>#DIV/0!</v>
      </c>
      <c r="G39" s="243" t="e">
        <f>'Metrics template - side chain-b'!D328</f>
        <v>#DIV/0!</v>
      </c>
      <c r="H39" s="243" t="e">
        <f>'Metrics template - side chain-b'!D395</f>
        <v>#DIV/0!</v>
      </c>
      <c r="I39" s="243" t="e">
        <f>'Metrics template - side chain-b'!D462</f>
        <v>#DIV/0!</v>
      </c>
      <c r="J39" s="243" t="e">
        <f>'Metrics template - side chain-b'!D529</f>
        <v>#DIV/0!</v>
      </c>
      <c r="K39" s="243" t="e">
        <f>'Metrics template - side chain-b'!D596</f>
        <v>#DIV/0!</v>
      </c>
      <c r="L39" s="243" t="e">
        <f>'Metrics template - side chain-b'!D663</f>
        <v>#DIV/0!</v>
      </c>
      <c r="M39" s="244"/>
      <c r="N39" s="244"/>
      <c r="O39" s="244"/>
      <c r="P39" s="245"/>
    </row>
    <row r="40" spans="2:16" ht="15.5" x14ac:dyDescent="0.25">
      <c r="B40" s="242" t="s">
        <v>18</v>
      </c>
      <c r="C40" s="243">
        <f>'Metrics template - side chain-b'!D61</f>
        <v>32.710498076923081</v>
      </c>
      <c r="D40" s="243" t="e">
        <f>'Metrics template - side chain-b'!D128</f>
        <v>#DIV/0!</v>
      </c>
      <c r="E40" s="243" t="e">
        <f>'Metrics template - side chain-b'!D195</f>
        <v>#DIV/0!</v>
      </c>
      <c r="F40" s="243" t="e">
        <f>'Metrics template - side chain-b'!D262</f>
        <v>#DIV/0!</v>
      </c>
      <c r="G40" s="243" t="e">
        <f>'Metrics template - side chain-b'!D329</f>
        <v>#DIV/0!</v>
      </c>
      <c r="H40" s="243" t="e">
        <f>'Metrics template - side chain-b'!D396</f>
        <v>#DIV/0!</v>
      </c>
      <c r="I40" s="243" t="e">
        <f>'Metrics template - side chain-b'!D463</f>
        <v>#DIV/0!</v>
      </c>
      <c r="J40" s="243" t="e">
        <f>'Metrics template - side chain-b'!D530</f>
        <v>#DIV/0!</v>
      </c>
      <c r="K40" s="243" t="e">
        <f>'Metrics template - side chain-b'!D597</f>
        <v>#DIV/0!</v>
      </c>
      <c r="L40" s="243" t="e">
        <f>'Metrics template - side chain-b'!D664</f>
        <v>#DIV/0!</v>
      </c>
      <c r="M40" s="412"/>
      <c r="N40" s="412"/>
      <c r="O40" s="412"/>
      <c r="P40" s="245"/>
    </row>
    <row r="41" spans="2:16" ht="15.5" x14ac:dyDescent="0.25">
      <c r="B41" s="242" t="s">
        <v>19</v>
      </c>
      <c r="C41" s="243">
        <f>'Metrics template - side chain-b'!D62</f>
        <v>47.541384615384615</v>
      </c>
      <c r="D41" s="243" t="e">
        <f>'Metrics template - side chain-b'!D129</f>
        <v>#DIV/0!</v>
      </c>
      <c r="E41" s="243" t="e">
        <f>'Metrics template - side chain-b'!D196</f>
        <v>#DIV/0!</v>
      </c>
      <c r="F41" s="243" t="e">
        <f>'Metrics template - side chain-b'!D263</f>
        <v>#DIV/0!</v>
      </c>
      <c r="G41" s="243" t="e">
        <f>'Metrics template - side chain-b'!D330</f>
        <v>#DIV/0!</v>
      </c>
      <c r="H41" s="243" t="e">
        <f>'Metrics template - side chain-b'!D397</f>
        <v>#DIV/0!</v>
      </c>
      <c r="I41" s="243" t="e">
        <f>'Metrics template - side chain-b'!D464</f>
        <v>#DIV/0!</v>
      </c>
      <c r="J41" s="243" t="e">
        <f>'Metrics template - side chain-b'!D531</f>
        <v>#DIV/0!</v>
      </c>
      <c r="K41" s="243" t="e">
        <f>'Metrics template - side chain-b'!D598</f>
        <v>#DIV/0!</v>
      </c>
      <c r="L41" s="243" t="e">
        <f>'Metrics template - side chain-b'!D665</f>
        <v>#DIV/0!</v>
      </c>
      <c r="M41" s="412"/>
      <c r="N41" s="412"/>
      <c r="O41" s="412"/>
      <c r="P41" s="245"/>
    </row>
    <row r="42" spans="2:16" ht="16" thickBot="1" x14ac:dyDescent="0.3">
      <c r="B42" s="246" t="s">
        <v>20</v>
      </c>
      <c r="C42" s="247">
        <f>'Metrics template - side chain-b'!D63</f>
        <v>86.316923076923061</v>
      </c>
      <c r="D42" s="247" t="e">
        <f>'Metrics template - side chain-b'!D130</f>
        <v>#DIV/0!</v>
      </c>
      <c r="E42" s="247" t="e">
        <f>'Metrics template - side chain-b'!D197</f>
        <v>#DIV/0!</v>
      </c>
      <c r="F42" s="247" t="e">
        <f>'Metrics template - side chain-b'!D264</f>
        <v>#DIV/0!</v>
      </c>
      <c r="G42" s="247" t="e">
        <f>'Metrics template - side chain-b'!D331</f>
        <v>#DIV/0!</v>
      </c>
      <c r="H42" s="247" t="e">
        <f>'Metrics template - side chain-b'!D398</f>
        <v>#DIV/0!</v>
      </c>
      <c r="I42" s="247" t="e">
        <f>'Metrics template - side chain-b'!D465</f>
        <v>#DIV/0!</v>
      </c>
      <c r="J42" s="247" t="e">
        <f>'Metrics template - side chain-b'!D532</f>
        <v>#DIV/0!</v>
      </c>
      <c r="K42" s="247" t="e">
        <f>'Metrics template - side chain-b'!D599</f>
        <v>#DIV/0!</v>
      </c>
      <c r="L42" s="247" t="e">
        <f>'Metrics template - side chain-b'!D666</f>
        <v>#DIV/0!</v>
      </c>
      <c r="M42" s="411"/>
      <c r="N42" s="411"/>
      <c r="O42" s="411"/>
      <c r="P42" s="248"/>
    </row>
    <row r="43" spans="2:16" ht="13.5" customHeight="1" thickTop="1" x14ac:dyDescent="0.25">
      <c r="B43" s="249"/>
      <c r="C43" s="250"/>
      <c r="D43" s="250"/>
      <c r="E43" s="250"/>
      <c r="F43" s="250"/>
      <c r="G43" s="250"/>
      <c r="H43" s="250"/>
      <c r="I43" s="250"/>
      <c r="J43" s="250"/>
      <c r="K43" s="250"/>
      <c r="L43" s="250"/>
      <c r="M43" s="251"/>
      <c r="N43" s="251"/>
      <c r="O43" s="251"/>
      <c r="P43" s="252"/>
    </row>
    <row r="44" spans="2:16" ht="13.5" customHeight="1" thickBot="1" x14ac:dyDescent="0.3">
      <c r="B44" s="64"/>
      <c r="C44" s="64"/>
      <c r="D44" s="64"/>
      <c r="E44" s="64"/>
      <c r="F44" s="64"/>
      <c r="G44" s="64"/>
      <c r="H44" s="64"/>
      <c r="I44" s="64"/>
      <c r="J44" s="64"/>
      <c r="K44" s="64"/>
      <c r="L44" s="64"/>
      <c r="M44" s="251"/>
      <c r="N44" s="251"/>
      <c r="O44" s="251"/>
      <c r="P44" s="253"/>
    </row>
    <row r="45" spans="2:16" ht="26" thickTop="1" thickBot="1" x14ac:dyDescent="0.3">
      <c r="B45" s="407" t="s">
        <v>133</v>
      </c>
      <c r="C45" s="408"/>
      <c r="D45" s="408"/>
      <c r="E45" s="408"/>
      <c r="F45" s="408"/>
      <c r="G45" s="408"/>
      <c r="H45" s="408"/>
      <c r="I45" s="408"/>
      <c r="J45" s="408"/>
      <c r="K45" s="408"/>
      <c r="L45" s="409"/>
      <c r="M45" s="410" t="s">
        <v>39</v>
      </c>
      <c r="N45" s="410"/>
      <c r="O45" s="410"/>
      <c r="P45" s="231">
        <f>'Metrics template - side chain2b'!C7*'Metrics template - side chain2b'!C73*'Metrics template - side chain2b'!C140*'Metrics template - side chain2b'!C207*'Metrics template - side chain2b'!C274*'Metrics template - side chain2b'!C341*'Metrics template - side chain2b'!C408*'Metrics template - side chain2b'!C475*'Metrics template - side chain2b'!C542*'Metrics template - side chain2b'!C609</f>
        <v>0.59</v>
      </c>
    </row>
    <row r="46" spans="2:16" ht="16" thickTop="1" x14ac:dyDescent="0.25">
      <c r="B46" s="195" t="s">
        <v>38</v>
      </c>
      <c r="C46" s="196" t="str">
        <f>'Metrics template - side chain2b'!D2</f>
        <v>Sphos</v>
      </c>
      <c r="D46" s="196" t="str">
        <f>'Metrics template - side chain2b'!D68</f>
        <v>Nano cat.</v>
      </c>
      <c r="E46" s="196">
        <f>'Metrics template - side chain2b'!D135</f>
        <v>0</v>
      </c>
      <c r="F46" s="196">
        <f>'Metrics template - side chain2b'!D202</f>
        <v>0</v>
      </c>
      <c r="G46" s="196">
        <f>'Metrics template - side chain2b'!D269</f>
        <v>0</v>
      </c>
      <c r="H46" s="196">
        <f>'Metrics template - side chain2b'!D336</f>
        <v>0</v>
      </c>
      <c r="I46" s="196">
        <f>'Metrics template - side chain2b'!D403</f>
        <v>0</v>
      </c>
      <c r="J46" s="196">
        <f>'Metrics template - side chain2b'!D470</f>
        <v>0</v>
      </c>
      <c r="K46" s="196">
        <f>'Metrics template - side chain2b'!D537</f>
        <v>0</v>
      </c>
      <c r="L46" s="196">
        <f>'Metrics template - side chain2b'!D604</f>
        <v>0</v>
      </c>
      <c r="M46" s="232"/>
      <c r="N46" s="232"/>
      <c r="O46" s="232"/>
      <c r="P46" s="233"/>
    </row>
    <row r="47" spans="2:16" ht="13" x14ac:dyDescent="0.25">
      <c r="B47" s="198" t="s">
        <v>30</v>
      </c>
      <c r="C47" s="1">
        <f>'Metrics template - side chain2b'!D50</f>
        <v>4.7308000000000003</v>
      </c>
      <c r="D47" s="1">
        <f>'Metrics template - side chain2b'!D116</f>
        <v>1.0149999999999999</v>
      </c>
      <c r="E47" s="1">
        <f>'Metrics template - side chain2b'!D183</f>
        <v>0</v>
      </c>
      <c r="F47" s="1">
        <f>'Metrics template - side chain2b'!D250</f>
        <v>0</v>
      </c>
      <c r="G47" s="1">
        <f>'Metrics template - side chain2b'!D317</f>
        <v>0</v>
      </c>
      <c r="H47" s="1">
        <f>'Metrics template - side chain2b'!D384</f>
        <v>0</v>
      </c>
      <c r="I47" s="1">
        <f>'Metrics template - side chain2b'!D451</f>
        <v>0</v>
      </c>
      <c r="J47" s="1">
        <f>'Metrics template - side chain2b'!D518</f>
        <v>0</v>
      </c>
      <c r="K47" s="1">
        <f>'Metrics template - side chain2b'!D585</f>
        <v>0</v>
      </c>
      <c r="L47" s="1">
        <f>'Metrics template - side chain2b'!D652</f>
        <v>0</v>
      </c>
      <c r="M47" s="1"/>
      <c r="N47" s="1"/>
      <c r="O47" s="1"/>
      <c r="P47" s="199"/>
    </row>
    <row r="48" spans="2:16" ht="13" x14ac:dyDescent="0.25">
      <c r="B48" s="200" t="s">
        <v>31</v>
      </c>
      <c r="C48" s="1">
        <f>'Metrics template - side chain2b'!D51</f>
        <v>9.6996491999999996</v>
      </c>
      <c r="D48" s="1">
        <f>'Metrics template - side chain2b'!D117</f>
        <v>0.96820220000000001</v>
      </c>
      <c r="E48" s="1">
        <f>'Metrics template - side chain2b'!D184</f>
        <v>0</v>
      </c>
      <c r="F48" s="1">
        <f>'Metrics template - side chain2b'!D251</f>
        <v>0</v>
      </c>
      <c r="G48" s="1">
        <f>'Metrics template - side chain2b'!D318</f>
        <v>0</v>
      </c>
      <c r="H48" s="1">
        <f>'Metrics template - side chain2b'!D385</f>
        <v>0</v>
      </c>
      <c r="I48" s="1">
        <f>'Metrics template - side chain2b'!D452</f>
        <v>0</v>
      </c>
      <c r="J48" s="1">
        <f>'Metrics template - side chain2b'!D519</f>
        <v>0</v>
      </c>
      <c r="K48" s="1">
        <f>'Metrics template - side chain2b'!D586</f>
        <v>0</v>
      </c>
      <c r="L48" s="1">
        <f>'Metrics template - side chain2b'!D653</f>
        <v>0</v>
      </c>
      <c r="M48" s="1"/>
      <c r="N48" s="1"/>
      <c r="O48" s="1"/>
      <c r="P48" s="199"/>
    </row>
    <row r="49" spans="2:16" ht="13" x14ac:dyDescent="0.25">
      <c r="B49" s="200" t="s">
        <v>32</v>
      </c>
      <c r="C49" s="1">
        <f>'Metrics template - side chain2b'!D52</f>
        <v>262.0881708</v>
      </c>
      <c r="D49" s="1">
        <f>'Metrics template - side chain2b'!D118</f>
        <v>45.10004</v>
      </c>
      <c r="E49" s="1">
        <f>'Metrics template - side chain2b'!D185</f>
        <v>0</v>
      </c>
      <c r="F49" s="1">
        <f>'Metrics template - side chain2b'!D252</f>
        <v>0</v>
      </c>
      <c r="G49" s="1">
        <f>'Metrics template - side chain2b'!D319</f>
        <v>0</v>
      </c>
      <c r="H49" s="1">
        <f>'Metrics template - side chain2b'!D386</f>
        <v>0</v>
      </c>
      <c r="I49" s="1">
        <f>'Metrics template - side chain2b'!D453</f>
        <v>0</v>
      </c>
      <c r="J49" s="1">
        <f>'Metrics template - side chain2b'!D520</f>
        <v>0</v>
      </c>
      <c r="K49" s="1">
        <f>'Metrics template - side chain2b'!D587</f>
        <v>0</v>
      </c>
      <c r="L49" s="1">
        <f>'Metrics template - side chain2b'!D654</f>
        <v>0</v>
      </c>
      <c r="M49" s="1"/>
      <c r="N49" s="1"/>
      <c r="O49" s="1"/>
      <c r="P49" s="199"/>
    </row>
    <row r="50" spans="2:16" ht="13" x14ac:dyDescent="0.25">
      <c r="B50" s="200" t="s">
        <v>33</v>
      </c>
      <c r="C50" s="1">
        <f>'Metrics template - side chain2b'!D53</f>
        <v>0</v>
      </c>
      <c r="D50" s="1">
        <f>'Metrics template - side chain2b'!D119</f>
        <v>0.1</v>
      </c>
      <c r="E50" s="1">
        <f>'Metrics template - side chain2b'!D186</f>
        <v>0</v>
      </c>
      <c r="F50" s="1">
        <f>'Metrics template - side chain2b'!D253</f>
        <v>0</v>
      </c>
      <c r="G50" s="1">
        <f>'Metrics template - side chain2b'!D320</f>
        <v>0</v>
      </c>
      <c r="H50" s="1">
        <f>'Metrics template - side chain2b'!D387</f>
        <v>0</v>
      </c>
      <c r="I50" s="1">
        <f>'Metrics template - side chain2b'!D454</f>
        <v>0</v>
      </c>
      <c r="J50" s="1">
        <f>'Metrics template - side chain2b'!D521</f>
        <v>0</v>
      </c>
      <c r="K50" s="1">
        <f>'Metrics template - side chain2b'!D588</f>
        <v>0</v>
      </c>
      <c r="L50" s="1">
        <f>'Metrics template - side chain2b'!D655</f>
        <v>0</v>
      </c>
      <c r="M50" s="1"/>
      <c r="N50" s="1"/>
      <c r="O50" s="1"/>
      <c r="P50" s="199"/>
    </row>
    <row r="51" spans="2:16" ht="13.5" thickBot="1" x14ac:dyDescent="0.3">
      <c r="B51" s="201" t="s">
        <v>34</v>
      </c>
      <c r="C51" s="263">
        <f>'Metrics template - side chain2b'!C10</f>
        <v>3.32</v>
      </c>
      <c r="D51" s="263">
        <f>'Metrics template - side chain2b'!C76</f>
        <v>2.7</v>
      </c>
      <c r="E51" s="263">
        <f>'Metrics template - side chain2b'!C143</f>
        <v>0</v>
      </c>
      <c r="F51" s="263">
        <f>'Metrics template - side chain2b'!C210</f>
        <v>0</v>
      </c>
      <c r="G51" s="263">
        <f>'Metrics template - side chain2b'!C277</f>
        <v>0</v>
      </c>
      <c r="H51" s="263">
        <f>'Metrics template - side chain2b'!C344</f>
        <v>0</v>
      </c>
      <c r="I51" s="263">
        <f>'Metrics template - side chain2b'!C411</f>
        <v>0</v>
      </c>
      <c r="J51" s="263">
        <f>'Metrics template - side chain2b'!C478</f>
        <v>0</v>
      </c>
      <c r="K51" s="263">
        <f>'Metrics template - side chain2b'!C545</f>
        <v>0</v>
      </c>
      <c r="L51" s="263">
        <f>'Metrics template - side chain2b'!C612</f>
        <v>0</v>
      </c>
      <c r="M51" s="263"/>
      <c r="N51" s="263"/>
      <c r="O51" s="263"/>
      <c r="P51" s="264"/>
    </row>
    <row r="52" spans="2:16" ht="16" thickTop="1" x14ac:dyDescent="0.25">
      <c r="B52" s="234" t="s">
        <v>11</v>
      </c>
      <c r="C52" s="235">
        <f>'Metrics template - side chain2b'!D54</f>
        <v>4.3465208433734945</v>
      </c>
      <c r="D52" s="235">
        <f>'Metrics template - side chain2b'!D120</f>
        <v>0.7345193333333333</v>
      </c>
      <c r="E52" s="235" t="e">
        <f>'Metrics template - side chain2b'!D187</f>
        <v>#DIV/0!</v>
      </c>
      <c r="F52" s="235" t="e">
        <f>'Metrics template - side chain2b'!D254</f>
        <v>#DIV/0!</v>
      </c>
      <c r="G52" s="235" t="e">
        <f>'Metrics template - side chain2b'!D321</f>
        <v>#DIV/0!</v>
      </c>
      <c r="H52" s="235" t="e">
        <f>'Metrics template - side chain2b'!D388</f>
        <v>#DIV/0!</v>
      </c>
      <c r="I52" s="235" t="e">
        <f>'Metrics template - side chain2b'!D455</f>
        <v>#DIV/0!</v>
      </c>
      <c r="J52" s="235" t="e">
        <f>'Metrics template - side chain2b'!D522</f>
        <v>#DIV/0!</v>
      </c>
      <c r="K52" s="235" t="e">
        <f>'Metrics template - side chain2b'!D589</f>
        <v>#DIV/0!</v>
      </c>
      <c r="L52" s="235" t="e">
        <f>'Metrics template - side chain2b'!D656</f>
        <v>#DIV/0!</v>
      </c>
      <c r="M52" s="236"/>
      <c r="N52" s="236"/>
      <c r="O52" s="236"/>
      <c r="P52" s="237"/>
    </row>
    <row r="53" spans="2:16" ht="15.5" x14ac:dyDescent="0.25">
      <c r="B53" s="234" t="s">
        <v>12</v>
      </c>
      <c r="C53" s="235">
        <f>'Metrics template - side chain2b'!D55</f>
        <v>83.288740963855432</v>
      </c>
      <c r="D53" s="235">
        <f>'Metrics template - side chain2b'!D121</f>
        <v>17.438237851851852</v>
      </c>
      <c r="E53" s="235" t="e">
        <f>'Metrics template - side chain2b'!D188</f>
        <v>#DIV/0!</v>
      </c>
      <c r="F53" s="235" t="e">
        <f>'Metrics template - side chain2b'!D255</f>
        <v>#DIV/0!</v>
      </c>
      <c r="G53" s="235" t="e">
        <f>'Metrics template - side chain2b'!D322</f>
        <v>#DIV/0!</v>
      </c>
      <c r="H53" s="235" t="e">
        <f>'Metrics template - side chain2b'!D389</f>
        <v>#DIV/0!</v>
      </c>
      <c r="I53" s="235" t="e">
        <f>'Metrics template - side chain2b'!D456</f>
        <v>#DIV/0!</v>
      </c>
      <c r="J53" s="235" t="e">
        <f>'Metrics template - side chain2b'!D523</f>
        <v>#DIV/0!</v>
      </c>
      <c r="K53" s="235" t="e">
        <f>'Metrics template - side chain2b'!D590</f>
        <v>#DIV/0!</v>
      </c>
      <c r="L53" s="235" t="e">
        <f>'Metrics template - side chain2b'!D657</f>
        <v>#DIV/0!</v>
      </c>
      <c r="M53" s="236"/>
      <c r="N53" s="236"/>
      <c r="O53" s="236"/>
      <c r="P53" s="237"/>
    </row>
    <row r="54" spans="2:16" ht="15.5" x14ac:dyDescent="0.25">
      <c r="B54" s="234" t="s">
        <v>13</v>
      </c>
      <c r="C54" s="235">
        <f>'Metrics template - side chain2b'!D56</f>
        <v>78.942220120481934</v>
      </c>
      <c r="D54" s="235">
        <f>'Metrics template - side chain2b'!D122</f>
        <v>16.703718518518517</v>
      </c>
      <c r="E54" s="235" t="e">
        <f>'Metrics template - side chain2b'!D189</f>
        <v>#DIV/0!</v>
      </c>
      <c r="F54" s="235" t="e">
        <f>'Metrics template - side chain2b'!D256</f>
        <v>#DIV/0!</v>
      </c>
      <c r="G54" s="235" t="e">
        <f>'Metrics template - side chain2b'!D323</f>
        <v>#DIV/0!</v>
      </c>
      <c r="H54" s="235" t="e">
        <f>'Metrics template - side chain2b'!D390</f>
        <v>#DIV/0!</v>
      </c>
      <c r="I54" s="235" t="e">
        <f>'Metrics template - side chain2b'!D457</f>
        <v>#DIV/0!</v>
      </c>
      <c r="J54" s="235" t="e">
        <f>'Metrics template - side chain2b'!D524</f>
        <v>#DIV/0!</v>
      </c>
      <c r="K54" s="235" t="e">
        <f>'Metrics template - side chain2b'!D591</f>
        <v>#DIV/0!</v>
      </c>
      <c r="L54" s="235" t="e">
        <f>'Metrics template - side chain2b'!D658</f>
        <v>#DIV/0!</v>
      </c>
      <c r="M54" s="236"/>
      <c r="N54" s="236"/>
      <c r="O54" s="236"/>
      <c r="P54" s="237"/>
    </row>
    <row r="55" spans="2:16" ht="15.5" x14ac:dyDescent="0.25">
      <c r="B55" s="234" t="s">
        <v>14</v>
      </c>
      <c r="C55" s="235">
        <f>'Metrics template - side chain2b'!D57</f>
        <v>0</v>
      </c>
      <c r="D55" s="235">
        <f>'Metrics template - side chain2b'!D123</f>
        <v>3.7037037037037035E-2</v>
      </c>
      <c r="E55" s="235" t="e">
        <f>'Metrics template - side chain2b'!D190</f>
        <v>#DIV/0!</v>
      </c>
      <c r="F55" s="235" t="e">
        <f>'Metrics template - side chain2b'!D257</f>
        <v>#DIV/0!</v>
      </c>
      <c r="G55" s="235" t="e">
        <f>'Metrics template - side chain2b'!D324</f>
        <v>#DIV/0!</v>
      </c>
      <c r="H55" s="235" t="e">
        <f>'Metrics template - side chain2b'!D391</f>
        <v>#DIV/0!</v>
      </c>
      <c r="I55" s="235" t="e">
        <f>'Metrics template - side chain2b'!D458</f>
        <v>#DIV/0!</v>
      </c>
      <c r="J55" s="235" t="e">
        <f>'Metrics template - side chain2b'!D525</f>
        <v>#DIV/0!</v>
      </c>
      <c r="K55" s="235" t="e">
        <f>'Metrics template - side chain2b'!D592</f>
        <v>#DIV/0!</v>
      </c>
      <c r="L55" s="235" t="e">
        <f>'Metrics template - side chain2b'!D659</f>
        <v>#DIV/0!</v>
      </c>
      <c r="M55" s="236"/>
      <c r="N55" s="236"/>
      <c r="O55" s="236"/>
      <c r="P55" s="237"/>
    </row>
    <row r="56" spans="2:16" ht="16" thickBot="1" x14ac:dyDescent="0.3">
      <c r="B56" s="238" t="s">
        <v>15</v>
      </c>
      <c r="C56" s="239">
        <f>'Metrics template - side chain2b'!D58</f>
        <v>83.288740963855432</v>
      </c>
      <c r="D56" s="239">
        <f>'Metrics template - side chain2b'!D124</f>
        <v>17.47527488888889</v>
      </c>
      <c r="E56" s="239" t="e">
        <f>'Metrics template - side chain2b'!D191</f>
        <v>#DIV/0!</v>
      </c>
      <c r="F56" s="239" t="e">
        <f>'Metrics template - side chain2b'!D258</f>
        <v>#DIV/0!</v>
      </c>
      <c r="G56" s="239" t="e">
        <f>'Metrics template - side chain2b'!D325</f>
        <v>#DIV/0!</v>
      </c>
      <c r="H56" s="239" t="e">
        <f>'Metrics template - side chain2b'!D392</f>
        <v>#DIV/0!</v>
      </c>
      <c r="I56" s="239" t="e">
        <f>'Metrics template - side chain2b'!D459</f>
        <v>#DIV/0!</v>
      </c>
      <c r="J56" s="239" t="e">
        <f>'Metrics template - side chain2b'!D526</f>
        <v>#DIV/0!</v>
      </c>
      <c r="K56" s="239" t="e">
        <f>'Metrics template - side chain2b'!D593</f>
        <v>#DIV/0!</v>
      </c>
      <c r="L56" s="239" t="e">
        <f>'Metrics template - side chain2b'!D660</f>
        <v>#DIV/0!</v>
      </c>
      <c r="M56" s="240"/>
      <c r="N56" s="240"/>
      <c r="O56" s="240"/>
      <c r="P56" s="241"/>
    </row>
    <row r="57" spans="2:16" ht="16" thickTop="1" x14ac:dyDescent="0.25">
      <c r="B57" s="242" t="s">
        <v>16</v>
      </c>
      <c r="C57" s="243">
        <f>'Metrics template - side chain2b'!D59</f>
        <v>4.3465208433734936</v>
      </c>
      <c r="D57" s="243">
        <f>'Metrics template - side chain2b'!D125</f>
        <v>1.9925632800089244</v>
      </c>
      <c r="E57" s="243" t="e">
        <f>'Metrics template - side chain2b'!D192</f>
        <v>#DIV/0!</v>
      </c>
      <c r="F57" s="243" t="e">
        <f>'Metrics template - side chain2b'!D259</f>
        <v>#DIV/0!</v>
      </c>
      <c r="G57" s="243" t="e">
        <f>'Metrics template - side chain2b'!D326</f>
        <v>#DIV/0!</v>
      </c>
      <c r="H57" s="243" t="e">
        <f>'Metrics template - side chain2b'!D393</f>
        <v>#DIV/0!</v>
      </c>
      <c r="I57" s="243" t="e">
        <f>'Metrics template - side chain2b'!D460</f>
        <v>#DIV/0!</v>
      </c>
      <c r="J57" s="243" t="e">
        <f>'Metrics template - side chain2b'!D527</f>
        <v>#DIV/0!</v>
      </c>
      <c r="K57" s="243" t="e">
        <f>'Metrics template - side chain2b'!D594</f>
        <v>#DIV/0!</v>
      </c>
      <c r="L57" s="243" t="e">
        <f>'Metrics template - side chain2b'!D661</f>
        <v>#DIV/0!</v>
      </c>
      <c r="M57" s="244"/>
      <c r="N57" s="244"/>
      <c r="O57" s="244"/>
      <c r="P57" s="245"/>
    </row>
    <row r="58" spans="2:16" ht="15.5" x14ac:dyDescent="0.25">
      <c r="B58" s="242" t="s">
        <v>17</v>
      </c>
      <c r="C58" s="243">
        <f>'Metrics template - side chain2b'!D60</f>
        <v>83.288740963855432</v>
      </c>
      <c r="D58" s="243">
        <f>'Metrics template - side chain2b'!D126</f>
        <v>48.372708991967869</v>
      </c>
      <c r="E58" s="243" t="e">
        <f>'Metrics template - side chain2b'!D193</f>
        <v>#DIV/0!</v>
      </c>
      <c r="F58" s="243" t="e">
        <f>'Metrics template - side chain2b'!D260</f>
        <v>#DIV/0!</v>
      </c>
      <c r="G58" s="243" t="e">
        <f>'Metrics template - side chain2b'!D327</f>
        <v>#DIV/0!</v>
      </c>
      <c r="H58" s="243" t="e">
        <f>'Metrics template - side chain2b'!D394</f>
        <v>#DIV/0!</v>
      </c>
      <c r="I58" s="243" t="e">
        <f>'Metrics template - side chain2b'!D461</f>
        <v>#DIV/0!</v>
      </c>
      <c r="J58" s="243" t="e">
        <f>'Metrics template - side chain2b'!D528</f>
        <v>#DIV/0!</v>
      </c>
      <c r="K58" s="243" t="e">
        <f>'Metrics template - side chain2b'!D595</f>
        <v>#DIV/0!</v>
      </c>
      <c r="L58" s="243" t="e">
        <f>'Metrics template - side chain2b'!D662</f>
        <v>#DIV/0!</v>
      </c>
      <c r="M58" s="244"/>
      <c r="N58" s="244"/>
      <c r="O58" s="244"/>
      <c r="P58" s="245"/>
    </row>
    <row r="59" spans="2:16" ht="15.5" x14ac:dyDescent="0.25">
      <c r="B59" s="242" t="s">
        <v>18</v>
      </c>
      <c r="C59" s="243">
        <f>'Metrics template - side chain2b'!D61</f>
        <v>78.942220120481934</v>
      </c>
      <c r="D59" s="243">
        <f>'Metrics template - side chain2b'!D127</f>
        <v>46.380145711958946</v>
      </c>
      <c r="E59" s="243" t="e">
        <f>'Metrics template - side chain2b'!D194</f>
        <v>#DIV/0!</v>
      </c>
      <c r="F59" s="243" t="e">
        <f>'Metrics template - side chain2b'!D261</f>
        <v>#DIV/0!</v>
      </c>
      <c r="G59" s="243" t="e">
        <f>'Metrics template - side chain2b'!D328</f>
        <v>#DIV/0!</v>
      </c>
      <c r="H59" s="243" t="e">
        <f>'Metrics template - side chain2b'!D395</f>
        <v>#DIV/0!</v>
      </c>
      <c r="I59" s="243" t="e">
        <f>'Metrics template - side chain2b'!D462</f>
        <v>#DIV/0!</v>
      </c>
      <c r="J59" s="243" t="e">
        <f>'Metrics template - side chain2b'!D529</f>
        <v>#DIV/0!</v>
      </c>
      <c r="K59" s="243" t="e">
        <f>'Metrics template - side chain2b'!D596</f>
        <v>#DIV/0!</v>
      </c>
      <c r="L59" s="243" t="e">
        <f>'Metrics template - side chain2b'!D663</f>
        <v>#DIV/0!</v>
      </c>
      <c r="M59" s="412"/>
      <c r="N59" s="412"/>
      <c r="O59" s="412"/>
      <c r="P59" s="245"/>
    </row>
    <row r="60" spans="2:16" ht="15.5" x14ac:dyDescent="0.25">
      <c r="B60" s="242" t="s">
        <v>19</v>
      </c>
      <c r="C60" s="243">
        <f>'Metrics template - side chain2b'!D62</f>
        <v>0</v>
      </c>
      <c r="D60" s="243">
        <f>'Metrics template - side chain2b'!D128</f>
        <v>3.7037037037037035E-2</v>
      </c>
      <c r="E60" s="243" t="e">
        <f>'Metrics template - side chain2b'!D195</f>
        <v>#DIV/0!</v>
      </c>
      <c r="F60" s="243" t="e">
        <f>'Metrics template - side chain2b'!D262</f>
        <v>#DIV/0!</v>
      </c>
      <c r="G60" s="243" t="e">
        <f>'Metrics template - side chain2b'!D329</f>
        <v>#DIV/0!</v>
      </c>
      <c r="H60" s="243" t="e">
        <f>'Metrics template - side chain2b'!D396</f>
        <v>#DIV/0!</v>
      </c>
      <c r="I60" s="243" t="e">
        <f>'Metrics template - side chain2b'!D463</f>
        <v>#DIV/0!</v>
      </c>
      <c r="J60" s="243" t="e">
        <f>'Metrics template - side chain2b'!D530</f>
        <v>#DIV/0!</v>
      </c>
      <c r="K60" s="243" t="e">
        <f>'Metrics template - side chain2b'!D597</f>
        <v>#DIV/0!</v>
      </c>
      <c r="L60" s="243" t="e">
        <f>'Metrics template - side chain2b'!D664</f>
        <v>#DIV/0!</v>
      </c>
      <c r="M60" s="412"/>
      <c r="N60" s="412"/>
      <c r="O60" s="412"/>
      <c r="P60" s="245"/>
    </row>
    <row r="61" spans="2:16" ht="16" thickBot="1" x14ac:dyDescent="0.3">
      <c r="B61" s="246" t="s">
        <v>20</v>
      </c>
      <c r="C61" s="247">
        <f>'Metrics template - side chain2b'!D63</f>
        <v>83.288740963855432</v>
      </c>
      <c r="D61" s="247">
        <f>'Metrics template - side chain2b'!D129</f>
        <v>48.4097460290049</v>
      </c>
      <c r="E61" s="247" t="e">
        <f>'Metrics template - side chain2b'!D196</f>
        <v>#DIV/0!</v>
      </c>
      <c r="F61" s="247" t="e">
        <f>'Metrics template - side chain2b'!D263</f>
        <v>#DIV/0!</v>
      </c>
      <c r="G61" s="247" t="e">
        <f>'Metrics template - side chain2b'!D330</f>
        <v>#DIV/0!</v>
      </c>
      <c r="H61" s="247" t="e">
        <f>'Metrics template - side chain2b'!D397</f>
        <v>#DIV/0!</v>
      </c>
      <c r="I61" s="247" t="e">
        <f>'Metrics template - side chain2b'!D464</f>
        <v>#DIV/0!</v>
      </c>
      <c r="J61" s="247" t="e">
        <f>'Metrics template - side chain2b'!D531</f>
        <v>#DIV/0!</v>
      </c>
      <c r="K61" s="247" t="e">
        <f>'Metrics template - side chain2b'!D598</f>
        <v>#DIV/0!</v>
      </c>
      <c r="L61" s="247" t="e">
        <f>'Metrics template - side chain2b'!D665</f>
        <v>#DIV/0!</v>
      </c>
      <c r="M61" s="411"/>
      <c r="N61" s="411"/>
      <c r="O61" s="411"/>
      <c r="P61" s="248"/>
    </row>
    <row r="62" spans="2:16" ht="13" thickTop="1" x14ac:dyDescent="0.25">
      <c r="B62" s="227"/>
      <c r="C62" s="227"/>
      <c r="D62" s="227"/>
      <c r="E62" s="227"/>
      <c r="F62" s="227"/>
      <c r="G62" s="227"/>
      <c r="H62" s="227"/>
      <c r="I62" s="227"/>
      <c r="J62" s="227"/>
      <c r="K62" s="227"/>
      <c r="L62" s="227"/>
      <c r="M62" s="227"/>
      <c r="N62" s="227"/>
      <c r="O62" s="227"/>
      <c r="P62" s="227"/>
    </row>
    <row r="63" spans="2:16" ht="13" thickBot="1" x14ac:dyDescent="0.3">
      <c r="B63" s="227"/>
      <c r="C63" s="227"/>
      <c r="D63" s="227"/>
      <c r="E63" s="227"/>
      <c r="F63" s="227"/>
      <c r="G63" s="227"/>
      <c r="H63" s="227"/>
      <c r="I63" s="227"/>
      <c r="J63" s="227"/>
      <c r="K63" s="227"/>
      <c r="L63" s="227"/>
      <c r="M63" s="227"/>
      <c r="N63" s="227"/>
      <c r="O63" s="227"/>
      <c r="P63" s="227"/>
    </row>
    <row r="64" spans="2:16" ht="26" thickTop="1" thickBot="1" x14ac:dyDescent="0.3">
      <c r="B64" s="407" t="s">
        <v>134</v>
      </c>
      <c r="C64" s="408"/>
      <c r="D64" s="408"/>
      <c r="E64" s="408"/>
      <c r="F64" s="408"/>
      <c r="G64" s="408"/>
      <c r="H64" s="408"/>
      <c r="I64" s="408"/>
      <c r="J64" s="408"/>
      <c r="K64" s="408"/>
      <c r="L64" s="409"/>
      <c r="M64" s="410" t="s">
        <v>135</v>
      </c>
      <c r="N64" s="410"/>
      <c r="O64" s="410"/>
      <c r="P64" s="231">
        <f>'Metrics template - side chain3b'!C7*'Metrics template - side chain3b'!C73*'Metrics template - side chain3b'!C140*'Metrics template - side chain3b'!C207*'Metrics template - side chain3b'!C274*'Metrics template - side chain3b'!C341*'Metrics template - side chain3b'!C408*'Metrics template - side chain3b'!C475*'Metrics template - side chain3b'!C542*'Metrics template - side chain3b'!C609</f>
        <v>0.96899999999999997</v>
      </c>
    </row>
    <row r="65" spans="2:16" ht="16" thickTop="1" x14ac:dyDescent="0.25">
      <c r="B65" s="195" t="s">
        <v>38</v>
      </c>
      <c r="C65" s="196" t="str">
        <f>'Metrics template - side chain3b'!D2</f>
        <v>Toc. Succ.</v>
      </c>
      <c r="D65" s="196" t="str">
        <f>'Metrics template - side chain3b'!D68</f>
        <v>TPGS</v>
      </c>
      <c r="E65" s="196">
        <f>'Metrics template - side chain3b'!D135</f>
        <v>0</v>
      </c>
      <c r="F65" s="196">
        <f>'Metrics template - side chain3b'!D202</f>
        <v>0</v>
      </c>
      <c r="G65" s="196">
        <f>'Metrics template - side chain3b'!D269</f>
        <v>0</v>
      </c>
      <c r="H65" s="196">
        <f>'Metrics template - side chain3b'!D336</f>
        <v>0</v>
      </c>
      <c r="I65" s="196">
        <f>'Metrics template - side chain3b'!D403</f>
        <v>0</v>
      </c>
      <c r="J65" s="196">
        <f>'Metrics template - side chain3b'!D470</f>
        <v>0</v>
      </c>
      <c r="K65" s="196">
        <f>'Metrics template - side chain3b'!D537</f>
        <v>0</v>
      </c>
      <c r="L65" s="196">
        <f>'Metrics template - side chain3b'!D604</f>
        <v>0</v>
      </c>
      <c r="M65" s="232"/>
      <c r="N65" s="232"/>
      <c r="O65" s="232"/>
      <c r="P65" s="233"/>
    </row>
    <row r="66" spans="2:16" ht="13" x14ac:dyDescent="0.25">
      <c r="B66" s="198" t="s">
        <v>30</v>
      </c>
      <c r="C66" s="1">
        <f>'Metrics template - side chain3b'!D50</f>
        <v>89.5</v>
      </c>
      <c r="D66" s="1">
        <f>'Metrics template - side chain3b'!D116</f>
        <v>188.7576</v>
      </c>
      <c r="E66" s="1">
        <f>'Metrics template - side chain3b'!D183</f>
        <v>0</v>
      </c>
      <c r="F66" s="1">
        <f>'Metrics template - side chain3b'!D250</f>
        <v>0</v>
      </c>
      <c r="G66" s="1">
        <f>'Metrics template - side chain3b'!D317</f>
        <v>0</v>
      </c>
      <c r="H66" s="1">
        <f>'Metrics template - side chain3b'!D384</f>
        <v>0</v>
      </c>
      <c r="I66" s="1">
        <f>'Metrics template - side chain3b'!D451</f>
        <v>0</v>
      </c>
      <c r="J66" s="1">
        <f>'Metrics template - side chain3b'!D518</f>
        <v>0</v>
      </c>
      <c r="K66" s="1">
        <f>'Metrics template - side chain3b'!D585</f>
        <v>0</v>
      </c>
      <c r="L66" s="1">
        <f>'Metrics template - side chain3b'!D652</f>
        <v>0</v>
      </c>
      <c r="M66" s="1"/>
      <c r="N66" s="1"/>
      <c r="O66" s="1"/>
      <c r="P66" s="199"/>
    </row>
    <row r="67" spans="2:16" ht="13" x14ac:dyDescent="0.25">
      <c r="B67" s="200" t="s">
        <v>31</v>
      </c>
      <c r="C67" s="1">
        <f>'Metrics template - side chain3b'!D51</f>
        <v>741.57384000000002</v>
      </c>
      <c r="D67" s="1">
        <f>'Metrics template - side chain3b'!D117</f>
        <v>603.01</v>
      </c>
      <c r="E67" s="1">
        <f>'Metrics template - side chain3b'!D184</f>
        <v>0</v>
      </c>
      <c r="F67" s="1">
        <f>'Metrics template - side chain3b'!D251</f>
        <v>0</v>
      </c>
      <c r="G67" s="1">
        <f>'Metrics template - side chain3b'!D318</f>
        <v>0</v>
      </c>
      <c r="H67" s="1">
        <f>'Metrics template - side chain3b'!D385</f>
        <v>0</v>
      </c>
      <c r="I67" s="1">
        <f>'Metrics template - side chain3b'!D452</f>
        <v>0</v>
      </c>
      <c r="J67" s="1">
        <f>'Metrics template - side chain3b'!D519</f>
        <v>0</v>
      </c>
      <c r="K67" s="1">
        <f>'Metrics template - side chain3b'!D586</f>
        <v>0</v>
      </c>
      <c r="L67" s="1">
        <f>'Metrics template - side chain3b'!D653</f>
        <v>0</v>
      </c>
      <c r="M67" s="1"/>
      <c r="N67" s="1"/>
      <c r="O67" s="1"/>
      <c r="P67" s="199"/>
    </row>
    <row r="68" spans="2:16" ht="13" x14ac:dyDescent="0.25">
      <c r="B68" s="200" t="s">
        <v>32</v>
      </c>
      <c r="C68" s="1">
        <f>'Metrics template - side chain3b'!D52</f>
        <v>5137.5</v>
      </c>
      <c r="D68" s="1">
        <f>'Metrics template - side chain3b'!D118</f>
        <v>4475.5200000000004</v>
      </c>
      <c r="E68" s="1">
        <f>'Metrics template - side chain3b'!D185</f>
        <v>0</v>
      </c>
      <c r="F68" s="1">
        <f>'Metrics template - side chain3b'!D252</f>
        <v>0</v>
      </c>
      <c r="G68" s="1">
        <f>'Metrics template - side chain3b'!D319</f>
        <v>0</v>
      </c>
      <c r="H68" s="1">
        <f>'Metrics template - side chain3b'!D386</f>
        <v>0</v>
      </c>
      <c r="I68" s="1">
        <f>'Metrics template - side chain3b'!D453</f>
        <v>0</v>
      </c>
      <c r="J68" s="1">
        <f>'Metrics template - side chain3b'!D520</f>
        <v>0</v>
      </c>
      <c r="K68" s="1">
        <f>'Metrics template - side chain3b'!D587</f>
        <v>0</v>
      </c>
      <c r="L68" s="1">
        <f>'Metrics template - side chain3b'!D654</f>
        <v>0</v>
      </c>
      <c r="M68" s="1"/>
      <c r="N68" s="1"/>
      <c r="O68" s="1"/>
      <c r="P68" s="199"/>
    </row>
    <row r="69" spans="2:16" ht="13" x14ac:dyDescent="0.25">
      <c r="B69" s="200" t="s">
        <v>33</v>
      </c>
      <c r="C69" s="1">
        <f>'Metrics template - side chain3b'!D53</f>
        <v>915.95515999999998</v>
      </c>
      <c r="D69" s="1">
        <f>'Metrics template - side chain3b'!D119</f>
        <v>0</v>
      </c>
      <c r="E69" s="1">
        <f>'Metrics template - side chain3b'!D186</f>
        <v>0</v>
      </c>
      <c r="F69" s="1">
        <f>'Metrics template - side chain3b'!D253</f>
        <v>0</v>
      </c>
      <c r="G69" s="1">
        <f>'Metrics template - side chain3b'!D320</f>
        <v>0</v>
      </c>
      <c r="H69" s="1">
        <f>'Metrics template - side chain3b'!D387</f>
        <v>0</v>
      </c>
      <c r="I69" s="1">
        <f>'Metrics template - side chain3b'!D454</f>
        <v>0</v>
      </c>
      <c r="J69" s="1">
        <f>'Metrics template - side chain3b'!D521</f>
        <v>0</v>
      </c>
      <c r="K69" s="1">
        <f>'Metrics template - side chain3b'!D588</f>
        <v>0</v>
      </c>
      <c r="L69" s="1">
        <f>'Metrics template - side chain3b'!D655</f>
        <v>0</v>
      </c>
      <c r="M69" s="1"/>
      <c r="N69" s="1"/>
      <c r="O69" s="1"/>
      <c r="P69" s="199"/>
    </row>
    <row r="70" spans="2:16" ht="13.5" thickBot="1" x14ac:dyDescent="0.3">
      <c r="B70" s="201" t="s">
        <v>34</v>
      </c>
      <c r="C70" s="263">
        <f>'Metrics template - side chain3b'!C10</f>
        <v>79.260000000000005</v>
      </c>
      <c r="D70" s="263">
        <f>'Metrics template - side chain3b'!C76</f>
        <v>174.11</v>
      </c>
      <c r="E70" s="263">
        <f>'Metrics template - side chain3b'!C143</f>
        <v>0</v>
      </c>
      <c r="F70" s="263">
        <f>'Metrics template - side chain3b'!C210</f>
        <v>0</v>
      </c>
      <c r="G70" s="263">
        <f>'Metrics template - side chain3b'!C277</f>
        <v>0</v>
      </c>
      <c r="H70" s="263">
        <f>'Metrics template - side chain3b'!C344</f>
        <v>0</v>
      </c>
      <c r="I70" s="263">
        <f>'Metrics template - side chain3b'!C411</f>
        <v>0</v>
      </c>
      <c r="J70" s="263">
        <f>'Metrics template - side chain3b'!C478</f>
        <v>0</v>
      </c>
      <c r="K70" s="263">
        <f>'Metrics template - side chain3b'!C545</f>
        <v>0</v>
      </c>
      <c r="L70" s="263">
        <f>'Metrics template - side chain3b'!C612</f>
        <v>0</v>
      </c>
      <c r="M70" s="263"/>
      <c r="N70" s="263"/>
      <c r="O70" s="263"/>
      <c r="P70" s="264"/>
    </row>
    <row r="71" spans="2:16" ht="16" thickTop="1" x14ac:dyDescent="0.25">
      <c r="B71" s="234" t="s">
        <v>11</v>
      </c>
      <c r="C71" s="235">
        <f>'Metrics template - side chain3b'!D54</f>
        <v>10.48541307090588</v>
      </c>
      <c r="D71" s="235">
        <f>'Metrics template - side chain3b'!D120</f>
        <v>4.5475136408017915</v>
      </c>
      <c r="E71" s="235" t="e">
        <f>'Metrics template - side chain3b'!D187</f>
        <v>#DIV/0!</v>
      </c>
      <c r="F71" s="235" t="e">
        <f>'Metrics template - side chain3b'!D254</f>
        <v>#DIV/0!</v>
      </c>
      <c r="G71" s="235" t="e">
        <f>'Metrics template - side chain3b'!D321</f>
        <v>#DIV/0!</v>
      </c>
      <c r="H71" s="235" t="e">
        <f>'Metrics template - side chain3b'!D388</f>
        <v>#DIV/0!</v>
      </c>
      <c r="I71" s="235" t="e">
        <f>'Metrics template - side chain3b'!D455</f>
        <v>#DIV/0!</v>
      </c>
      <c r="J71" s="235" t="e">
        <f>'Metrics template - side chain3b'!D522</f>
        <v>#DIV/0!</v>
      </c>
      <c r="K71" s="235" t="e">
        <f>'Metrics template - side chain3b'!D589</f>
        <v>#DIV/0!</v>
      </c>
      <c r="L71" s="235" t="e">
        <f>'Metrics template - side chain3b'!D656</f>
        <v>#DIV/0!</v>
      </c>
      <c r="M71" s="236"/>
      <c r="N71" s="236"/>
      <c r="O71" s="236"/>
      <c r="P71" s="237"/>
    </row>
    <row r="72" spans="2:16" ht="15.5" x14ac:dyDescent="0.25">
      <c r="B72" s="234" t="s">
        <v>12</v>
      </c>
      <c r="C72" s="235">
        <f>'Metrics template - side chain3b'!D55</f>
        <v>75.303732525864234</v>
      </c>
      <c r="D72" s="235">
        <f>'Metrics template - side chain3b'!D121</f>
        <v>30.252642582275573</v>
      </c>
      <c r="E72" s="235" t="e">
        <f>'Metrics template - side chain3b'!D188</f>
        <v>#DIV/0!</v>
      </c>
      <c r="F72" s="235" t="e">
        <f>'Metrics template - side chain3b'!D255</f>
        <v>#DIV/0!</v>
      </c>
      <c r="G72" s="235" t="e">
        <f>'Metrics template - side chain3b'!D322</f>
        <v>#DIV/0!</v>
      </c>
      <c r="H72" s="235" t="e">
        <f>'Metrics template - side chain3b'!D389</f>
        <v>#DIV/0!</v>
      </c>
      <c r="I72" s="235" t="e">
        <f>'Metrics template - side chain3b'!D456</f>
        <v>#DIV/0!</v>
      </c>
      <c r="J72" s="235" t="e">
        <f>'Metrics template - side chain3b'!D523</f>
        <v>#DIV/0!</v>
      </c>
      <c r="K72" s="235" t="e">
        <f>'Metrics template - side chain3b'!D590</f>
        <v>#DIV/0!</v>
      </c>
      <c r="L72" s="235" t="e">
        <f>'Metrics template - side chain3b'!D657</f>
        <v>#DIV/0!</v>
      </c>
      <c r="M72" s="236"/>
      <c r="N72" s="236"/>
      <c r="O72" s="236"/>
      <c r="P72" s="237"/>
    </row>
    <row r="73" spans="2:16" ht="15.5" x14ac:dyDescent="0.25">
      <c r="B73" s="234" t="s">
        <v>13</v>
      </c>
      <c r="C73" s="235">
        <f>'Metrics template - side chain3b'!D56</f>
        <v>64.818319454958356</v>
      </c>
      <c r="D73" s="235">
        <f>'Metrics template - side chain3b'!D122</f>
        <v>25.705128941473781</v>
      </c>
      <c r="E73" s="235" t="e">
        <f>'Metrics template - side chain3b'!D189</f>
        <v>#DIV/0!</v>
      </c>
      <c r="F73" s="235" t="e">
        <f>'Metrics template - side chain3b'!D256</f>
        <v>#DIV/0!</v>
      </c>
      <c r="G73" s="235" t="e">
        <f>'Metrics template - side chain3b'!D323</f>
        <v>#DIV/0!</v>
      </c>
      <c r="H73" s="235" t="e">
        <f>'Metrics template - side chain3b'!D390</f>
        <v>#DIV/0!</v>
      </c>
      <c r="I73" s="235" t="e">
        <f>'Metrics template - side chain3b'!D457</f>
        <v>#DIV/0!</v>
      </c>
      <c r="J73" s="235" t="e">
        <f>'Metrics template - side chain3b'!D524</f>
        <v>#DIV/0!</v>
      </c>
      <c r="K73" s="235" t="e">
        <f>'Metrics template - side chain3b'!D591</f>
        <v>#DIV/0!</v>
      </c>
      <c r="L73" s="235" t="e">
        <f>'Metrics template - side chain3b'!D658</f>
        <v>#DIV/0!</v>
      </c>
      <c r="M73" s="236"/>
      <c r="N73" s="236"/>
      <c r="O73" s="236"/>
      <c r="P73" s="237"/>
    </row>
    <row r="74" spans="2:16" ht="15.5" x14ac:dyDescent="0.25">
      <c r="B74" s="234" t="s">
        <v>14</v>
      </c>
      <c r="C74" s="235">
        <f>'Metrics template - side chain3b'!D57</f>
        <v>11.556335604340145</v>
      </c>
      <c r="D74" s="235">
        <f>'Metrics template - side chain3b'!D123</f>
        <v>0</v>
      </c>
      <c r="E74" s="235" t="e">
        <f>'Metrics template - side chain3b'!D190</f>
        <v>#DIV/0!</v>
      </c>
      <c r="F74" s="235" t="e">
        <f>'Metrics template - side chain3b'!D257</f>
        <v>#DIV/0!</v>
      </c>
      <c r="G74" s="235" t="e">
        <f>'Metrics template - side chain3b'!D324</f>
        <v>#DIV/0!</v>
      </c>
      <c r="H74" s="235" t="e">
        <f>'Metrics template - side chain3b'!D391</f>
        <v>#DIV/0!</v>
      </c>
      <c r="I74" s="235" t="e">
        <f>'Metrics template - side chain3b'!D458</f>
        <v>#DIV/0!</v>
      </c>
      <c r="J74" s="235" t="e">
        <f>'Metrics template - side chain3b'!D525</f>
        <v>#DIV/0!</v>
      </c>
      <c r="K74" s="235" t="e">
        <f>'Metrics template - side chain3b'!D592</f>
        <v>#DIV/0!</v>
      </c>
      <c r="L74" s="235" t="e">
        <f>'Metrics template - side chain3b'!D659</f>
        <v>#DIV/0!</v>
      </c>
      <c r="M74" s="236"/>
      <c r="N74" s="236"/>
      <c r="O74" s="236"/>
      <c r="P74" s="237"/>
    </row>
    <row r="75" spans="2:16" ht="16" thickBot="1" x14ac:dyDescent="0.3">
      <c r="B75" s="238" t="s">
        <v>15</v>
      </c>
      <c r="C75" s="239">
        <f>'Metrics template - side chain3b'!D58</f>
        <v>86.860068130204397</v>
      </c>
      <c r="D75" s="239">
        <f>'Metrics template - side chain3b'!D124</f>
        <v>30.252642582275573</v>
      </c>
      <c r="E75" s="239" t="e">
        <f>'Metrics template - side chain3b'!D191</f>
        <v>#DIV/0!</v>
      </c>
      <c r="F75" s="239" t="e">
        <f>'Metrics template - side chain3b'!D258</f>
        <v>#DIV/0!</v>
      </c>
      <c r="G75" s="239" t="e">
        <f>'Metrics template - side chain3b'!D325</f>
        <v>#DIV/0!</v>
      </c>
      <c r="H75" s="239" t="e">
        <f>'Metrics template - side chain3b'!D392</f>
        <v>#DIV/0!</v>
      </c>
      <c r="I75" s="239" t="e">
        <f>'Metrics template - side chain3b'!D459</f>
        <v>#DIV/0!</v>
      </c>
      <c r="J75" s="239" t="e">
        <f>'Metrics template - side chain3b'!D526</f>
        <v>#DIV/0!</v>
      </c>
      <c r="K75" s="239" t="e">
        <f>'Metrics template - side chain3b'!D593</f>
        <v>#DIV/0!</v>
      </c>
      <c r="L75" s="239" t="e">
        <f>'Metrics template - side chain3b'!D660</f>
        <v>#DIV/0!</v>
      </c>
      <c r="M75" s="240"/>
      <c r="N75" s="240"/>
      <c r="O75" s="240"/>
      <c r="P75" s="241"/>
    </row>
    <row r="76" spans="2:16" ht="16" thickTop="1" x14ac:dyDescent="0.25">
      <c r="B76" s="242" t="s">
        <v>16</v>
      </c>
      <c r="C76" s="243">
        <f>'Metrics template - side chain3b'!D59</f>
        <v>10.48541307090588</v>
      </c>
      <c r="D76" s="243">
        <f>'Metrics template - side chain3b'!D125</f>
        <v>8.8654222905555677</v>
      </c>
      <c r="E76" s="243" t="e">
        <f>'Metrics template - side chain3b'!D192</f>
        <v>#DIV/0!</v>
      </c>
      <c r="F76" s="243" t="e">
        <f>'Metrics template - side chain3b'!D259</f>
        <v>#DIV/0!</v>
      </c>
      <c r="G76" s="243" t="e">
        <f>'Metrics template - side chain3b'!D326</f>
        <v>#DIV/0!</v>
      </c>
      <c r="H76" s="243" t="e">
        <f>'Metrics template - side chain3b'!D393</f>
        <v>#DIV/0!</v>
      </c>
      <c r="I76" s="243" t="e">
        <f>'Metrics template - side chain3b'!D460</f>
        <v>#DIV/0!</v>
      </c>
      <c r="J76" s="243" t="e">
        <f>'Metrics template - side chain3b'!D527</f>
        <v>#DIV/0!</v>
      </c>
      <c r="K76" s="243" t="e">
        <f>'Metrics template - side chain3b'!D594</f>
        <v>#DIV/0!</v>
      </c>
      <c r="L76" s="243" t="e">
        <f>'Metrics template - side chain3b'!D661</f>
        <v>#DIV/0!</v>
      </c>
      <c r="M76" s="244"/>
      <c r="N76" s="244"/>
      <c r="O76" s="244"/>
      <c r="P76" s="245"/>
    </row>
    <row r="77" spans="2:16" ht="15.5" x14ac:dyDescent="0.25">
      <c r="B77" s="242" t="s">
        <v>17</v>
      </c>
      <c r="C77" s="243">
        <f>'Metrics template - side chain3b'!D60</f>
        <v>75.303732525864234</v>
      </c>
      <c r="D77" s="243">
        <f>'Metrics template - side chain3b'!D126</f>
        <v>64.076865837929688</v>
      </c>
      <c r="E77" s="243" t="e">
        <f>'Metrics template - side chain3b'!D193</f>
        <v>#DIV/0!</v>
      </c>
      <c r="F77" s="243" t="e">
        <f>'Metrics template - side chain3b'!D260</f>
        <v>#DIV/0!</v>
      </c>
      <c r="G77" s="243" t="e">
        <f>'Metrics template - side chain3b'!D327</f>
        <v>#DIV/0!</v>
      </c>
      <c r="H77" s="243" t="e">
        <f>'Metrics template - side chain3b'!D394</f>
        <v>#DIV/0!</v>
      </c>
      <c r="I77" s="243" t="e">
        <f>'Metrics template - side chain3b'!D461</f>
        <v>#DIV/0!</v>
      </c>
      <c r="J77" s="243" t="e">
        <f>'Metrics template - side chain3b'!D528</f>
        <v>#DIV/0!</v>
      </c>
      <c r="K77" s="243" t="e">
        <f>'Metrics template - side chain3b'!D595</f>
        <v>#DIV/0!</v>
      </c>
      <c r="L77" s="243" t="e">
        <f>'Metrics template - side chain3b'!D662</f>
        <v>#DIV/0!</v>
      </c>
      <c r="M77" s="244"/>
      <c r="N77" s="244"/>
      <c r="O77" s="244"/>
      <c r="P77" s="245"/>
    </row>
    <row r="78" spans="2:16" ht="15.5" x14ac:dyDescent="0.25">
      <c r="B78" s="242" t="s">
        <v>18</v>
      </c>
      <c r="C78" s="243">
        <f>'Metrics template - side chain3b'!D61</f>
        <v>64.818319454958356</v>
      </c>
      <c r="D78" s="243">
        <f>'Metrics template - side chain3b'!D127</f>
        <v>55.21144354737411</v>
      </c>
      <c r="E78" s="243" t="e">
        <f>'Metrics template - side chain3b'!D194</f>
        <v>#DIV/0!</v>
      </c>
      <c r="F78" s="243" t="e">
        <f>'Metrics template - side chain3b'!D261</f>
        <v>#DIV/0!</v>
      </c>
      <c r="G78" s="243" t="e">
        <f>'Metrics template - side chain3b'!D328</f>
        <v>#DIV/0!</v>
      </c>
      <c r="H78" s="243" t="e">
        <f>'Metrics template - side chain3b'!D395</f>
        <v>#DIV/0!</v>
      </c>
      <c r="I78" s="243" t="e">
        <f>'Metrics template - side chain3b'!D462</f>
        <v>#DIV/0!</v>
      </c>
      <c r="J78" s="243" t="e">
        <f>'Metrics template - side chain3b'!D529</f>
        <v>#DIV/0!</v>
      </c>
      <c r="K78" s="243" t="e">
        <f>'Metrics template - side chain3b'!D596</f>
        <v>#DIV/0!</v>
      </c>
      <c r="L78" s="243" t="e">
        <f>'Metrics template - side chain3b'!D663</f>
        <v>#DIV/0!</v>
      </c>
      <c r="M78" s="412"/>
      <c r="N78" s="412"/>
      <c r="O78" s="412"/>
      <c r="P78" s="245"/>
    </row>
    <row r="79" spans="2:16" ht="15.5" x14ac:dyDescent="0.25">
      <c r="B79" s="242" t="s">
        <v>19</v>
      </c>
      <c r="C79" s="243">
        <f>'Metrics template - side chain3b'!D62</f>
        <v>11.556335604340145</v>
      </c>
      <c r="D79" s="243">
        <f>'Metrics template - side chain3b'!D128</f>
        <v>5.260625034716842</v>
      </c>
      <c r="E79" s="243" t="e">
        <f>'Metrics template - side chain3b'!D195</f>
        <v>#DIV/0!</v>
      </c>
      <c r="F79" s="243" t="e">
        <f>'Metrics template - side chain3b'!D262</f>
        <v>#DIV/0!</v>
      </c>
      <c r="G79" s="243" t="e">
        <f>'Metrics template - side chain3b'!D329</f>
        <v>#DIV/0!</v>
      </c>
      <c r="H79" s="243" t="e">
        <f>'Metrics template - side chain3b'!D396</f>
        <v>#DIV/0!</v>
      </c>
      <c r="I79" s="243" t="e">
        <f>'Metrics template - side chain3b'!D463</f>
        <v>#DIV/0!</v>
      </c>
      <c r="J79" s="243" t="e">
        <f>'Metrics template - side chain3b'!D530</f>
        <v>#DIV/0!</v>
      </c>
      <c r="K79" s="243" t="e">
        <f>'Metrics template - side chain3b'!D597</f>
        <v>#DIV/0!</v>
      </c>
      <c r="L79" s="243" t="e">
        <f>'Metrics template - side chain3b'!D664</f>
        <v>#DIV/0!</v>
      </c>
      <c r="M79" s="412"/>
      <c r="N79" s="412"/>
      <c r="O79" s="412"/>
      <c r="P79" s="245"/>
    </row>
    <row r="80" spans="2:16" ht="16" thickBot="1" x14ac:dyDescent="0.3">
      <c r="B80" s="246" t="s">
        <v>20</v>
      </c>
      <c r="C80" s="247">
        <f>'Metrics template - side chain3b'!D63</f>
        <v>86.860068130204397</v>
      </c>
      <c r="D80" s="247">
        <f>'Metrics template - side chain3b'!D129</f>
        <v>69.337490872646541</v>
      </c>
      <c r="E80" s="247" t="e">
        <f>'Metrics template - side chain3b'!D196</f>
        <v>#DIV/0!</v>
      </c>
      <c r="F80" s="247" t="e">
        <f>'Metrics template - side chain3b'!D263</f>
        <v>#DIV/0!</v>
      </c>
      <c r="G80" s="247" t="e">
        <f>'Metrics template - side chain3b'!D330</f>
        <v>#DIV/0!</v>
      </c>
      <c r="H80" s="247" t="e">
        <f>'Metrics template - side chain3b'!D397</f>
        <v>#DIV/0!</v>
      </c>
      <c r="I80" s="247" t="e">
        <f>'Metrics template - side chain3b'!D464</f>
        <v>#DIV/0!</v>
      </c>
      <c r="J80" s="247" t="e">
        <f>'Metrics template - side chain3b'!D531</f>
        <v>#DIV/0!</v>
      </c>
      <c r="K80" s="247" t="e">
        <f>'Metrics template - side chain3b'!D598</f>
        <v>#DIV/0!</v>
      </c>
      <c r="L80" s="247" t="e">
        <f>'Metrics template - side chain3b'!D665</f>
        <v>#DIV/0!</v>
      </c>
      <c r="M80" s="411"/>
      <c r="N80" s="411"/>
      <c r="O80" s="411"/>
      <c r="P80" s="248"/>
    </row>
    <row r="81" spans="2:16" ht="13" thickTop="1" x14ac:dyDescent="0.25">
      <c r="B81" s="227"/>
      <c r="C81" s="227"/>
      <c r="D81" s="227"/>
      <c r="E81" s="227"/>
      <c r="F81" s="227"/>
      <c r="G81" s="227"/>
      <c r="H81" s="227"/>
      <c r="I81" s="227"/>
      <c r="J81" s="227"/>
      <c r="K81" s="227"/>
      <c r="L81" s="227"/>
      <c r="M81" s="227"/>
      <c r="N81" s="227"/>
      <c r="O81" s="227"/>
      <c r="P81" s="227"/>
    </row>
    <row r="82" spans="2:16" x14ac:dyDescent="0.25">
      <c r="B82" s="227"/>
      <c r="C82" s="227"/>
      <c r="D82" s="227"/>
      <c r="E82" s="227"/>
      <c r="F82" s="227"/>
      <c r="G82" s="227"/>
      <c r="H82" s="227"/>
      <c r="I82" s="227"/>
      <c r="J82" s="227"/>
      <c r="K82" s="227"/>
      <c r="L82" s="227"/>
      <c r="M82" s="227"/>
      <c r="N82" s="227"/>
      <c r="O82" s="227"/>
      <c r="P82" s="227"/>
    </row>
    <row r="83" spans="2:16" ht="25" x14ac:dyDescent="0.25">
      <c r="B83" s="265"/>
      <c r="C83" s="266"/>
      <c r="D83" s="266"/>
      <c r="E83" s="266"/>
      <c r="F83" s="266"/>
      <c r="G83" s="266"/>
      <c r="H83" s="266"/>
      <c r="I83" s="266"/>
      <c r="J83" s="266"/>
      <c r="K83" s="266"/>
      <c r="L83" s="266"/>
      <c r="M83" s="267"/>
      <c r="N83" s="267"/>
      <c r="O83" s="267"/>
      <c r="P83" s="268"/>
    </row>
    <row r="84" spans="2:16" ht="15.5" x14ac:dyDescent="0.25">
      <c r="B84" s="269"/>
      <c r="C84" s="196"/>
      <c r="D84" s="196"/>
      <c r="E84" s="196"/>
      <c r="F84" s="196"/>
      <c r="G84" s="196"/>
      <c r="H84" s="196"/>
      <c r="I84" s="196"/>
      <c r="J84" s="196"/>
      <c r="K84" s="196"/>
      <c r="L84" s="196"/>
      <c r="M84" s="232"/>
      <c r="N84" s="232"/>
      <c r="O84" s="232"/>
      <c r="P84" s="232"/>
    </row>
    <row r="85" spans="2:16" ht="13" x14ac:dyDescent="0.25">
      <c r="B85" s="34"/>
      <c r="C85" s="1"/>
      <c r="D85" s="1"/>
      <c r="E85" s="1"/>
      <c r="F85" s="1"/>
      <c r="G85" s="1"/>
      <c r="H85" s="1"/>
      <c r="I85" s="1"/>
      <c r="J85" s="1"/>
      <c r="K85" s="1"/>
      <c r="L85" s="1"/>
      <c r="M85" s="1"/>
      <c r="N85" s="1"/>
      <c r="O85" s="1"/>
      <c r="P85" s="1"/>
    </row>
    <row r="86" spans="2:16" ht="13" x14ac:dyDescent="0.25">
      <c r="B86" s="270"/>
      <c r="C86" s="1"/>
      <c r="D86" s="1"/>
      <c r="E86" s="1"/>
      <c r="F86" s="1"/>
      <c r="G86" s="1"/>
      <c r="H86" s="1"/>
      <c r="I86" s="1"/>
      <c r="J86" s="1"/>
      <c r="K86" s="1"/>
      <c r="L86" s="1"/>
      <c r="M86" s="1"/>
      <c r="N86" s="1"/>
      <c r="O86" s="1"/>
      <c r="P86" s="1"/>
    </row>
    <row r="87" spans="2:16" ht="13" x14ac:dyDescent="0.25">
      <c r="B87" s="270"/>
      <c r="C87" s="1"/>
      <c r="D87" s="1"/>
      <c r="E87" s="1"/>
      <c r="F87" s="1"/>
      <c r="G87" s="1"/>
      <c r="H87" s="1"/>
      <c r="I87" s="1"/>
      <c r="J87" s="1"/>
      <c r="K87" s="1"/>
      <c r="L87" s="1"/>
      <c r="M87" s="1"/>
      <c r="N87" s="1"/>
      <c r="O87" s="1"/>
      <c r="P87" s="1"/>
    </row>
    <row r="88" spans="2:16" ht="13" x14ac:dyDescent="0.25">
      <c r="B88" s="270"/>
      <c r="C88" s="1"/>
      <c r="D88" s="1"/>
      <c r="E88" s="1"/>
      <c r="F88" s="1"/>
      <c r="G88" s="1"/>
      <c r="H88" s="1"/>
      <c r="I88" s="1"/>
      <c r="J88" s="1"/>
      <c r="K88" s="1"/>
      <c r="L88" s="1"/>
      <c r="M88" s="1"/>
      <c r="N88" s="1"/>
      <c r="O88" s="1"/>
      <c r="P88" s="1"/>
    </row>
    <row r="89" spans="2:16" ht="13" x14ac:dyDescent="0.25">
      <c r="B89" s="271"/>
      <c r="C89" s="257"/>
      <c r="D89" s="257"/>
      <c r="E89" s="257"/>
      <c r="F89" s="257"/>
      <c r="G89" s="257"/>
      <c r="H89" s="257"/>
      <c r="I89" s="257"/>
      <c r="J89" s="257"/>
      <c r="K89" s="257"/>
      <c r="L89" s="257"/>
      <c r="M89" s="257"/>
      <c r="N89" s="257"/>
      <c r="O89" s="257"/>
      <c r="P89" s="257"/>
    </row>
    <row r="90" spans="2:16" ht="15.5" x14ac:dyDescent="0.25">
      <c r="B90" s="272"/>
      <c r="C90" s="273"/>
      <c r="D90" s="273"/>
      <c r="E90" s="273"/>
      <c r="F90" s="273"/>
      <c r="G90" s="273"/>
      <c r="H90" s="273"/>
      <c r="I90" s="273"/>
      <c r="J90" s="273"/>
      <c r="K90" s="273"/>
      <c r="L90" s="273"/>
      <c r="M90" s="1"/>
      <c r="N90" s="1"/>
      <c r="O90" s="1"/>
      <c r="P90" s="1"/>
    </row>
    <row r="91" spans="2:16" ht="15.5" x14ac:dyDescent="0.25">
      <c r="B91" s="272"/>
      <c r="C91" s="273"/>
      <c r="D91" s="273"/>
      <c r="E91" s="273"/>
      <c r="F91" s="273"/>
      <c r="G91" s="273"/>
      <c r="H91" s="273"/>
      <c r="I91" s="273"/>
      <c r="J91" s="273"/>
      <c r="K91" s="273"/>
      <c r="L91" s="273"/>
      <c r="M91" s="1"/>
      <c r="N91" s="1"/>
      <c r="O91" s="1"/>
      <c r="P91" s="1"/>
    </row>
    <row r="92" spans="2:16" ht="15.5" x14ac:dyDescent="0.25">
      <c r="B92" s="272"/>
      <c r="C92" s="273"/>
      <c r="D92" s="273"/>
      <c r="E92" s="273"/>
      <c r="F92" s="273"/>
      <c r="G92" s="273"/>
      <c r="H92" s="273"/>
      <c r="I92" s="273"/>
      <c r="J92" s="273"/>
      <c r="K92" s="273"/>
      <c r="L92" s="273"/>
      <c r="M92" s="1"/>
      <c r="N92" s="1"/>
      <c r="O92" s="1"/>
      <c r="P92" s="1"/>
    </row>
    <row r="93" spans="2:16" ht="15.5" x14ac:dyDescent="0.25">
      <c r="B93" s="272"/>
      <c r="C93" s="273"/>
      <c r="D93" s="273"/>
      <c r="E93" s="273"/>
      <c r="F93" s="273"/>
      <c r="G93" s="273"/>
      <c r="H93" s="273"/>
      <c r="I93" s="273"/>
      <c r="J93" s="273"/>
      <c r="K93" s="273"/>
      <c r="L93" s="273"/>
      <c r="M93" s="1"/>
      <c r="N93" s="1"/>
      <c r="O93" s="1"/>
      <c r="P93" s="1"/>
    </row>
    <row r="94" spans="2:16" ht="15.5" x14ac:dyDescent="0.25">
      <c r="B94" s="272"/>
      <c r="C94" s="273"/>
      <c r="D94" s="273"/>
      <c r="E94" s="273"/>
      <c r="F94" s="273"/>
      <c r="G94" s="273"/>
      <c r="H94" s="273"/>
      <c r="I94" s="273"/>
      <c r="J94" s="273"/>
      <c r="K94" s="273"/>
      <c r="L94" s="273"/>
      <c r="M94" s="1"/>
      <c r="N94" s="1"/>
      <c r="O94" s="1"/>
      <c r="P94" s="1"/>
    </row>
    <row r="95" spans="2:16" ht="15.5" x14ac:dyDescent="0.25">
      <c r="B95" s="272"/>
      <c r="C95" s="273"/>
      <c r="D95" s="273"/>
      <c r="E95" s="273"/>
      <c r="F95" s="273"/>
      <c r="G95" s="273"/>
      <c r="H95" s="273"/>
      <c r="I95" s="273"/>
      <c r="J95" s="273"/>
      <c r="K95" s="273"/>
      <c r="L95" s="273"/>
      <c r="M95" s="1"/>
      <c r="N95" s="1"/>
      <c r="O95" s="1"/>
      <c r="P95" s="1"/>
    </row>
    <row r="96" spans="2:16" ht="15.5" x14ac:dyDescent="0.25">
      <c r="B96" s="272"/>
      <c r="C96" s="273"/>
      <c r="D96" s="273"/>
      <c r="E96" s="273"/>
      <c r="F96" s="273"/>
      <c r="G96" s="273"/>
      <c r="H96" s="273"/>
      <c r="I96" s="273"/>
      <c r="J96" s="273"/>
      <c r="K96" s="273"/>
      <c r="L96" s="273"/>
      <c r="M96" s="1"/>
      <c r="N96" s="1"/>
      <c r="O96" s="1"/>
      <c r="P96" s="1"/>
    </row>
    <row r="97" spans="2:16" ht="15.5" x14ac:dyDescent="0.25">
      <c r="B97" s="272"/>
      <c r="C97" s="273"/>
      <c r="D97" s="273"/>
      <c r="E97" s="273"/>
      <c r="F97" s="273"/>
      <c r="G97" s="273"/>
      <c r="H97" s="273"/>
      <c r="I97" s="273"/>
      <c r="J97" s="273"/>
      <c r="K97" s="273"/>
      <c r="L97" s="273"/>
      <c r="M97" s="21"/>
      <c r="N97" s="21"/>
      <c r="O97" s="21"/>
      <c r="P97" s="1"/>
    </row>
    <row r="98" spans="2:16" ht="15.5" x14ac:dyDescent="0.25">
      <c r="B98" s="272"/>
      <c r="C98" s="273"/>
      <c r="D98" s="273"/>
      <c r="E98" s="273"/>
      <c r="F98" s="273"/>
      <c r="G98" s="273"/>
      <c r="H98" s="273"/>
      <c r="I98" s="273"/>
      <c r="J98" s="273"/>
      <c r="K98" s="273"/>
      <c r="L98" s="273"/>
      <c r="M98" s="21"/>
      <c r="N98" s="21"/>
      <c r="O98" s="21"/>
      <c r="P98" s="1"/>
    </row>
    <row r="99" spans="2:16" ht="15.5" x14ac:dyDescent="0.25">
      <c r="B99" s="272"/>
      <c r="C99" s="273"/>
      <c r="D99" s="273"/>
      <c r="E99" s="273"/>
      <c r="F99" s="273"/>
      <c r="G99" s="273"/>
      <c r="H99" s="273"/>
      <c r="I99" s="273"/>
      <c r="J99" s="273"/>
      <c r="K99" s="273"/>
      <c r="L99" s="273"/>
      <c r="M99" s="20"/>
      <c r="N99" s="20"/>
      <c r="O99" s="20"/>
      <c r="P99" s="7"/>
    </row>
  </sheetData>
  <sheetProtection algorithmName="SHA-512" hashValue="AoelzHKctn/YxcNrT1xfxbYB5PIZAY8KhPvoANgMKqlGZpjKLqTn9yypZnTh+vCp5qd8HuGabXMiqMJqvQ4U4w==" saltValue="gkrka33DKsmPyM45aXBc1Q==" spinCount="100000" sheet="1" objects="1" scenarios="1" selectLockedCells="1" selectUnlockedCells="1"/>
  <mergeCells count="17">
    <mergeCell ref="M61:O61"/>
    <mergeCell ref="B5:L5"/>
    <mergeCell ref="M5:O5"/>
    <mergeCell ref="B26:L26"/>
    <mergeCell ref="M26:O26"/>
    <mergeCell ref="M40:O40"/>
    <mergeCell ref="M41:O41"/>
    <mergeCell ref="M42:O42"/>
    <mergeCell ref="B45:L45"/>
    <mergeCell ref="M45:O45"/>
    <mergeCell ref="M59:O59"/>
    <mergeCell ref="M60:O60"/>
    <mergeCell ref="B64:L64"/>
    <mergeCell ref="M64:O64"/>
    <mergeCell ref="M78:O78"/>
    <mergeCell ref="M79:O79"/>
    <mergeCell ref="M80:O8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18433" r:id="rId4">
          <objectPr defaultSize="0" autoPict="0" r:id="rId5">
            <anchor moveWithCells="1" sizeWithCells="1">
              <from>
                <xdr:col>1</xdr:col>
                <xdr:colOff>1631950</xdr:colOff>
                <xdr:row>1</xdr:row>
                <xdr:rowOff>152400</xdr:rowOff>
              </from>
              <to>
                <xdr:col>1</xdr:col>
                <xdr:colOff>2813050</xdr:colOff>
                <xdr:row>1</xdr:row>
                <xdr:rowOff>1250950</xdr:rowOff>
              </to>
            </anchor>
          </objectPr>
        </oleObject>
      </mc:Choice>
      <mc:Fallback>
        <oleObject progId="MSPhotoEd.3" shapeId="18433"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E9894-58E0-4C81-AF48-4C1B3602E2E9}">
  <sheetPr>
    <tabColor rgb="FF38DC8E"/>
    <pageSetUpPr fitToPage="1"/>
  </sheetPr>
  <dimension ref="B1:P1300"/>
  <sheetViews>
    <sheetView showGridLines="0" zoomScale="80" zoomScaleNormal="80" zoomScaleSheetLayoutView="100" workbookViewId="0">
      <selection activeCell="B48" sqref="B48"/>
    </sheetView>
  </sheetViews>
  <sheetFormatPr defaultColWidth="9.453125" defaultRowHeight="12.5" outlineLevelRow="1" x14ac:dyDescent="0.25"/>
  <cols>
    <col min="1" max="1" width="2.453125" style="36" customWidth="1"/>
    <col min="2" max="2" width="64.453125" style="139" bestFit="1" customWidth="1"/>
    <col min="3" max="3" width="17.54296875" style="36" customWidth="1"/>
    <col min="4" max="4" width="10.453125" style="36" bestFit="1" customWidth="1"/>
    <col min="5" max="5" width="10.453125" style="36" hidden="1" customWidth="1"/>
    <col min="6" max="8" width="10.453125" style="36" customWidth="1"/>
    <col min="9" max="12" width="10.453125" style="36" hidden="1" customWidth="1"/>
    <col min="13" max="13" width="10.453125" style="36" customWidth="1"/>
    <col min="14" max="16" width="9.453125" style="60" customWidth="1"/>
    <col min="17" max="16384" width="9.453125" style="36"/>
  </cols>
  <sheetData>
    <row r="1" spans="2:16" s="26" customFormat="1" ht="18.5" thickBot="1" x14ac:dyDescent="0.3">
      <c r="B1" s="24"/>
      <c r="C1" s="25"/>
      <c r="D1" s="25"/>
      <c r="I1" s="27"/>
      <c r="J1" s="27"/>
      <c r="M1" s="169"/>
      <c r="N1" s="160"/>
      <c r="O1" s="160"/>
      <c r="P1" s="160"/>
    </row>
    <row r="2" spans="2:16" ht="21" thickTop="1" thickBot="1" x14ac:dyDescent="0.3">
      <c r="B2" s="28" t="s">
        <v>72</v>
      </c>
      <c r="C2" s="29"/>
      <c r="D2" s="141"/>
      <c r="E2" s="31"/>
      <c r="F2" s="32" t="s">
        <v>27</v>
      </c>
      <c r="G2" s="33"/>
      <c r="H2" s="33"/>
      <c r="I2" s="34"/>
      <c r="J2" s="35"/>
      <c r="K2" s="34"/>
      <c r="L2" s="35"/>
      <c r="M2" s="169"/>
    </row>
    <row r="3" spans="2:16" ht="14.5" thickBot="1" x14ac:dyDescent="0.3">
      <c r="B3" s="37"/>
      <c r="C3" s="38" t="s">
        <v>0</v>
      </c>
      <c r="D3" s="39" t="s">
        <v>1</v>
      </c>
      <c r="E3" s="40"/>
      <c r="F3" s="41" t="s">
        <v>28</v>
      </c>
      <c r="G3" s="41" t="s">
        <v>21</v>
      </c>
      <c r="H3" s="41" t="s">
        <v>8</v>
      </c>
      <c r="I3" s="42"/>
      <c r="J3" s="42"/>
      <c r="K3" s="34"/>
      <c r="N3" s="36"/>
      <c r="O3" s="36"/>
      <c r="P3" s="36"/>
    </row>
    <row r="4" spans="2:16" ht="13" x14ac:dyDescent="0.25">
      <c r="B4" s="43" t="s">
        <v>65</v>
      </c>
      <c r="C4" s="161">
        <f>0.5*158.985/1000</f>
        <v>7.9492500000000008E-2</v>
      </c>
      <c r="D4" s="45" t="s">
        <v>22</v>
      </c>
      <c r="E4" s="46"/>
      <c r="F4" s="47"/>
      <c r="G4" s="47"/>
      <c r="H4" s="47"/>
      <c r="I4" s="48"/>
      <c r="J4" s="48"/>
      <c r="K4" s="34"/>
    </row>
    <row r="5" spans="2:16" ht="13" x14ac:dyDescent="0.25">
      <c r="B5" s="43" t="s">
        <v>64</v>
      </c>
      <c r="C5" s="162">
        <v>1</v>
      </c>
      <c r="D5" s="45" t="s">
        <v>3</v>
      </c>
      <c r="E5" s="46"/>
      <c r="F5" s="47"/>
      <c r="G5" s="47"/>
      <c r="H5" s="47"/>
      <c r="I5" s="50"/>
      <c r="J5" s="50"/>
    </row>
    <row r="6" spans="2:16" ht="13" x14ac:dyDescent="0.25">
      <c r="B6" s="51" t="s">
        <v>63</v>
      </c>
      <c r="C6" s="163">
        <f>C4*C5</f>
        <v>7.9492500000000008E-2</v>
      </c>
      <c r="D6" s="45" t="str">
        <f>D4</f>
        <v>g</v>
      </c>
      <c r="E6" s="46"/>
      <c r="F6" s="47"/>
      <c r="G6" s="47"/>
      <c r="H6" s="47"/>
      <c r="I6" s="53"/>
      <c r="J6" s="53"/>
    </row>
    <row r="7" spans="2:16" ht="14" x14ac:dyDescent="0.25">
      <c r="B7" s="54" t="s">
        <v>4</v>
      </c>
      <c r="C7" s="164">
        <v>0.82</v>
      </c>
      <c r="D7" s="56"/>
      <c r="E7" s="57"/>
      <c r="F7" s="58"/>
      <c r="G7" s="58"/>
      <c r="H7" s="58"/>
      <c r="I7" s="34"/>
      <c r="J7" s="53"/>
      <c r="L7" s="53"/>
    </row>
    <row r="8" spans="2:16" ht="13" x14ac:dyDescent="0.25">
      <c r="B8" s="43" t="s">
        <v>66</v>
      </c>
      <c r="C8" s="161">
        <v>8.4000000000000005E-2</v>
      </c>
      <c r="D8" s="45" t="str">
        <f>D4</f>
        <v>g</v>
      </c>
      <c r="E8" s="46"/>
      <c r="F8" s="47"/>
      <c r="G8" s="47"/>
      <c r="H8" s="47"/>
      <c r="I8" s="34"/>
      <c r="J8" s="53"/>
      <c r="L8" s="53"/>
    </row>
    <row r="9" spans="2:16" ht="13" x14ac:dyDescent="0.25">
      <c r="B9" s="43" t="s">
        <v>67</v>
      </c>
      <c r="C9" s="162">
        <v>1</v>
      </c>
      <c r="D9" s="45" t="s">
        <v>3</v>
      </c>
      <c r="E9" s="59"/>
      <c r="F9" s="47"/>
      <c r="G9" s="47"/>
      <c r="H9" s="47"/>
      <c r="I9" s="34"/>
      <c r="J9" s="53"/>
      <c r="L9" s="53"/>
    </row>
    <row r="10" spans="2:16" ht="13.5" thickBot="1" x14ac:dyDescent="0.3">
      <c r="B10" s="51" t="s">
        <v>68</v>
      </c>
      <c r="C10" s="163">
        <f>C8*C9</f>
        <v>8.4000000000000005E-2</v>
      </c>
      <c r="D10" s="45" t="str">
        <f>D4</f>
        <v>g</v>
      </c>
      <c r="E10" s="46"/>
      <c r="F10" s="47"/>
      <c r="G10" s="47"/>
      <c r="H10" s="47"/>
      <c r="I10" s="53"/>
      <c r="J10" s="53"/>
    </row>
    <row r="11" spans="2:16" ht="13.5" thickBot="1" x14ac:dyDescent="0.3">
      <c r="B11" s="61"/>
      <c r="C11" s="62"/>
      <c r="D11" s="63"/>
      <c r="F11" s="64"/>
      <c r="G11" s="64"/>
      <c r="H11" s="64"/>
    </row>
    <row r="12" spans="2:16" ht="14.5" thickBot="1" x14ac:dyDescent="0.3">
      <c r="B12" s="65" t="s">
        <v>5</v>
      </c>
      <c r="C12" s="66" t="s">
        <v>6</v>
      </c>
      <c r="D12" s="67" t="s">
        <v>1</v>
      </c>
      <c r="E12" s="68"/>
      <c r="F12" s="69"/>
      <c r="G12" s="69"/>
      <c r="H12" s="69"/>
    </row>
    <row r="13" spans="2:16" ht="13.5" thickBot="1" x14ac:dyDescent="0.3">
      <c r="B13" s="70" t="s">
        <v>136</v>
      </c>
      <c r="C13" s="71"/>
      <c r="D13" s="72"/>
      <c r="E13" s="73"/>
      <c r="F13" s="69"/>
      <c r="G13" s="69"/>
      <c r="H13" s="69"/>
      <c r="K13" s="34"/>
    </row>
    <row r="14" spans="2:16" ht="13.5" thickBot="1" x14ac:dyDescent="0.3">
      <c r="B14" s="74" t="s">
        <v>116</v>
      </c>
      <c r="C14" s="170">
        <f>C6</f>
        <v>7.9492500000000008E-2</v>
      </c>
      <c r="D14" s="76" t="str">
        <f>D4</f>
        <v>g</v>
      </c>
      <c r="E14" s="77"/>
      <c r="F14" s="78"/>
      <c r="G14" s="78"/>
      <c r="H14" s="78"/>
    </row>
    <row r="15" spans="2:16" ht="13.5" thickBot="1" x14ac:dyDescent="0.3">
      <c r="B15" s="274" t="s">
        <v>137</v>
      </c>
      <c r="C15" s="170">
        <v>0.02</v>
      </c>
      <c r="D15" s="76" t="str">
        <f>D4</f>
        <v>g</v>
      </c>
      <c r="E15" s="77"/>
      <c r="F15" s="78">
        <f>'Metrics template - side chain2b'!D125</f>
        <v>1.9925632800089244</v>
      </c>
      <c r="G15" s="78">
        <f>'Metrics template - side chain2b'!D127</f>
        <v>46.380145711958946</v>
      </c>
      <c r="H15" s="78">
        <f>'Metrics template - side chain2b'!D128</f>
        <v>3.7037037037037035E-2</v>
      </c>
    </row>
    <row r="16" spans="2:16" ht="13.5" thickBot="1" x14ac:dyDescent="0.3">
      <c r="B16" s="74" t="s">
        <v>117</v>
      </c>
      <c r="C16" s="170">
        <f>0.6*127.97/1000</f>
        <v>7.6782000000000003E-2</v>
      </c>
      <c r="D16" s="76" t="str">
        <f>D4</f>
        <v>g</v>
      </c>
      <c r="E16" s="77"/>
      <c r="F16" s="78">
        <f>'Metrics template - side chain-b'!D59</f>
        <v>6.0650403846153846</v>
      </c>
      <c r="G16" s="78">
        <f>'Metrics template - side chain-b'!D61</f>
        <v>32.710498076923081</v>
      </c>
      <c r="H16" s="78">
        <f>'Metrics template - side chain-b'!D62</f>
        <v>47.541384615384615</v>
      </c>
    </row>
    <row r="17" spans="2:11" ht="13.5" thickBot="1" x14ac:dyDescent="0.3">
      <c r="B17" s="275" t="s">
        <v>138</v>
      </c>
      <c r="C17" s="170">
        <f>0.02*1.002</f>
        <v>2.0039999999999999E-2</v>
      </c>
      <c r="D17" s="76" t="str">
        <f>D4</f>
        <v>g</v>
      </c>
      <c r="E17" s="77"/>
      <c r="F17" s="78">
        <f>'Metrics template - side chain3b'!D125</f>
        <v>8.8654222905555677</v>
      </c>
      <c r="G17" s="78">
        <f>'Metrics template - side chain3b'!D127</f>
        <v>55.21144354737411</v>
      </c>
      <c r="H17" s="78">
        <f>'Metrics template - side chain3b'!D128</f>
        <v>5.260625034716842</v>
      </c>
    </row>
    <row r="18" spans="2:11" ht="13.5" thickBot="1" x14ac:dyDescent="0.3">
      <c r="B18" s="74"/>
      <c r="C18" s="170"/>
      <c r="D18" s="76" t="str">
        <f>D4</f>
        <v>g</v>
      </c>
      <c r="E18" s="77"/>
      <c r="F18" s="78"/>
      <c r="G18" s="78"/>
      <c r="H18" s="78"/>
    </row>
    <row r="19" spans="2:11" ht="13" x14ac:dyDescent="0.25">
      <c r="B19" s="79" t="s">
        <v>69</v>
      </c>
      <c r="C19" s="276"/>
      <c r="D19" s="81"/>
      <c r="E19" s="77"/>
      <c r="F19" s="82"/>
      <c r="G19" s="82"/>
      <c r="H19" s="82"/>
    </row>
    <row r="20" spans="2:11" ht="13" x14ac:dyDescent="0.25">
      <c r="B20" s="74" t="s">
        <v>139</v>
      </c>
      <c r="C20" s="277">
        <v>0.17299999999999999</v>
      </c>
      <c r="D20" s="76" t="str">
        <f>D4</f>
        <v>g</v>
      </c>
      <c r="E20" s="77"/>
      <c r="F20" s="82"/>
      <c r="G20" s="82"/>
      <c r="H20" s="82"/>
    </row>
    <row r="21" spans="2:11" ht="13" x14ac:dyDescent="0.25">
      <c r="B21" s="74"/>
      <c r="C21" s="277"/>
      <c r="D21" s="76" t="str">
        <f>D4</f>
        <v>g</v>
      </c>
      <c r="E21" s="77"/>
      <c r="F21" s="82"/>
      <c r="G21" s="82"/>
      <c r="H21" s="82"/>
    </row>
    <row r="22" spans="2:11" ht="13" x14ac:dyDescent="0.25">
      <c r="B22" s="74" t="s">
        <v>122</v>
      </c>
      <c r="C22" s="277">
        <f>C33/3*0.25</f>
        <v>7.5166666666666673E-2</v>
      </c>
      <c r="D22" s="76" t="str">
        <f>D4</f>
        <v>g</v>
      </c>
      <c r="E22" s="77"/>
      <c r="F22" s="82"/>
      <c r="G22" s="82"/>
      <c r="H22" s="82"/>
    </row>
    <row r="23" spans="2:11" ht="13" x14ac:dyDescent="0.25">
      <c r="B23" s="74"/>
      <c r="C23" s="277"/>
      <c r="D23" s="76" t="str">
        <f>D4</f>
        <v>g</v>
      </c>
      <c r="E23" s="77"/>
      <c r="F23" s="82"/>
      <c r="G23" s="82"/>
      <c r="H23" s="82"/>
    </row>
    <row r="24" spans="2:11" ht="13" x14ac:dyDescent="0.25">
      <c r="B24" s="166" t="s">
        <v>140</v>
      </c>
      <c r="C24" s="277">
        <f>0.05*C33</f>
        <v>4.5100000000000001E-2</v>
      </c>
      <c r="D24" s="76" t="str">
        <f>D4</f>
        <v>g</v>
      </c>
      <c r="E24" s="77"/>
      <c r="F24" s="82"/>
      <c r="G24" s="82"/>
      <c r="H24" s="82"/>
    </row>
    <row r="25" spans="2:11" ht="13" x14ac:dyDescent="0.25">
      <c r="B25" s="74"/>
      <c r="C25" s="277"/>
      <c r="D25" s="76" t="str">
        <f>D4</f>
        <v>g</v>
      </c>
      <c r="E25" s="77"/>
      <c r="F25" s="82"/>
      <c r="G25" s="82"/>
      <c r="H25" s="82"/>
    </row>
    <row r="26" spans="2:11" ht="13.4" customHeight="1" x14ac:dyDescent="0.25">
      <c r="B26" s="74" t="s">
        <v>141</v>
      </c>
      <c r="C26" s="277">
        <f>30*C8</f>
        <v>2.52</v>
      </c>
      <c r="D26" s="76" t="str">
        <f>D4</f>
        <v>g</v>
      </c>
      <c r="E26" s="77"/>
      <c r="F26" s="82"/>
      <c r="G26" s="82"/>
      <c r="H26" s="82"/>
    </row>
    <row r="27" spans="2:11" ht="13.4" hidden="1" customHeight="1" x14ac:dyDescent="0.25">
      <c r="B27" s="74"/>
      <c r="C27" s="277"/>
      <c r="D27" s="76" t="str">
        <f>D4</f>
        <v>g</v>
      </c>
      <c r="E27" s="77"/>
      <c r="F27" s="82"/>
      <c r="G27" s="82"/>
      <c r="H27" s="82"/>
    </row>
    <row r="28" spans="2:11" ht="13.4" customHeight="1" x14ac:dyDescent="0.25">
      <c r="B28" s="74"/>
      <c r="C28" s="277"/>
      <c r="D28" s="76" t="str">
        <f>D4</f>
        <v>g</v>
      </c>
      <c r="E28" s="77"/>
      <c r="F28" s="82"/>
      <c r="G28" s="82"/>
      <c r="H28" s="82"/>
      <c r="K28" s="34"/>
    </row>
    <row r="29" spans="2:11" ht="13" x14ac:dyDescent="0.25">
      <c r="B29" s="74"/>
      <c r="C29" s="277"/>
      <c r="D29" s="76" t="str">
        <f>D4</f>
        <v>g</v>
      </c>
      <c r="E29" s="77"/>
      <c r="F29" s="82"/>
      <c r="G29" s="82"/>
      <c r="H29" s="82"/>
    </row>
    <row r="30" spans="2:11" ht="13" x14ac:dyDescent="0.25">
      <c r="B30" s="84"/>
      <c r="C30" s="278"/>
      <c r="D30" s="76" t="str">
        <f>D4</f>
        <v>g</v>
      </c>
      <c r="E30" s="77"/>
      <c r="F30" s="82"/>
      <c r="G30" s="82"/>
      <c r="H30" s="82"/>
    </row>
    <row r="31" spans="2:11" ht="13" x14ac:dyDescent="0.25">
      <c r="B31" s="86" t="s">
        <v>7</v>
      </c>
      <c r="C31" s="279">
        <f>SUM(C14:C30)</f>
        <v>3.0095811666666665</v>
      </c>
      <c r="D31" s="88" t="str">
        <f>D4</f>
        <v>g</v>
      </c>
      <c r="E31" s="77"/>
      <c r="F31" s="82"/>
      <c r="G31" s="82"/>
      <c r="H31" s="82"/>
    </row>
    <row r="32" spans="2:11" ht="13" x14ac:dyDescent="0.25">
      <c r="B32" s="79" t="s">
        <v>71</v>
      </c>
      <c r="C32" s="280"/>
      <c r="D32" s="81"/>
      <c r="E32" s="77"/>
      <c r="F32" s="82"/>
      <c r="G32" s="82"/>
      <c r="H32" s="82"/>
    </row>
    <row r="33" spans="2:11" ht="13" x14ac:dyDescent="0.25">
      <c r="B33" s="74" t="s">
        <v>142</v>
      </c>
      <c r="C33" s="277">
        <f>1*0.902</f>
        <v>0.90200000000000002</v>
      </c>
      <c r="D33" s="76" t="str">
        <f>D4</f>
        <v>g</v>
      </c>
      <c r="E33" s="77"/>
      <c r="F33" s="82"/>
      <c r="G33" s="82"/>
      <c r="H33" s="82"/>
    </row>
    <row r="34" spans="2:11" ht="13" x14ac:dyDescent="0.25">
      <c r="B34" s="74"/>
      <c r="C34" s="277"/>
      <c r="D34" s="76" t="str">
        <f>D4</f>
        <v>g</v>
      </c>
      <c r="E34" s="77"/>
      <c r="F34" s="82"/>
      <c r="G34" s="82"/>
      <c r="H34" s="82"/>
    </row>
    <row r="35" spans="2:11" ht="13" x14ac:dyDescent="0.25">
      <c r="B35" s="166" t="s">
        <v>186</v>
      </c>
      <c r="C35" s="277">
        <f>3*C24</f>
        <v>0.1353</v>
      </c>
      <c r="D35" s="76" t="str">
        <f>D4</f>
        <v>g</v>
      </c>
      <c r="E35" s="77"/>
      <c r="F35" s="82"/>
      <c r="G35" s="82"/>
      <c r="H35" s="82"/>
    </row>
    <row r="36" spans="2:11" ht="13" x14ac:dyDescent="0.25">
      <c r="B36" s="74"/>
      <c r="C36" s="277"/>
      <c r="D36" s="76" t="str">
        <f>D4</f>
        <v>g</v>
      </c>
      <c r="E36" s="77"/>
      <c r="F36" s="82"/>
      <c r="G36" s="82"/>
      <c r="H36" s="82"/>
    </row>
    <row r="37" spans="2:11" ht="13" x14ac:dyDescent="0.25">
      <c r="B37" s="166" t="s">
        <v>125</v>
      </c>
      <c r="C37" s="277">
        <f>3*C26</f>
        <v>7.5600000000000005</v>
      </c>
      <c r="D37" s="76" t="str">
        <f>D4</f>
        <v>g</v>
      </c>
      <c r="E37" s="77"/>
      <c r="F37" s="82"/>
      <c r="G37" s="82"/>
      <c r="H37" s="82"/>
    </row>
    <row r="38" spans="2:11" ht="13" x14ac:dyDescent="0.25">
      <c r="B38" s="166" t="s">
        <v>126</v>
      </c>
      <c r="C38" s="277">
        <f>3*C26</f>
        <v>7.5600000000000005</v>
      </c>
      <c r="D38" s="76" t="str">
        <f>D4</f>
        <v>g</v>
      </c>
      <c r="E38" s="77"/>
      <c r="F38" s="82"/>
      <c r="G38" s="82"/>
      <c r="H38" s="82"/>
    </row>
    <row r="39" spans="2:11" ht="13" x14ac:dyDescent="0.25">
      <c r="B39" s="74"/>
      <c r="C39" s="277"/>
      <c r="D39" s="76" t="str">
        <f>D4</f>
        <v>g</v>
      </c>
      <c r="E39" s="77"/>
      <c r="F39" s="82"/>
      <c r="G39" s="82"/>
      <c r="H39" s="82"/>
    </row>
    <row r="40" spans="2:11" ht="13" x14ac:dyDescent="0.25">
      <c r="B40" s="165"/>
      <c r="C40" s="277"/>
      <c r="D40" s="76" t="str">
        <f>D4</f>
        <v>g</v>
      </c>
      <c r="E40" s="77"/>
      <c r="F40" s="82"/>
      <c r="G40" s="82"/>
      <c r="H40" s="82"/>
    </row>
    <row r="41" spans="2:11" ht="13" x14ac:dyDescent="0.25">
      <c r="B41" s="74"/>
      <c r="C41" s="277"/>
      <c r="D41" s="76" t="str">
        <f>D4</f>
        <v>g</v>
      </c>
      <c r="E41" s="90"/>
      <c r="F41" s="82"/>
      <c r="G41" s="82"/>
      <c r="H41" s="82"/>
    </row>
    <row r="42" spans="2:11" ht="13" x14ac:dyDescent="0.25">
      <c r="B42" s="74"/>
      <c r="C42" s="277"/>
      <c r="D42" s="76" t="str">
        <f>D4</f>
        <v>g</v>
      </c>
      <c r="E42" s="77"/>
      <c r="F42" s="82"/>
      <c r="G42" s="82"/>
      <c r="H42" s="82"/>
    </row>
    <row r="43" spans="2:11" ht="13" x14ac:dyDescent="0.25">
      <c r="B43" s="74"/>
      <c r="C43" s="277"/>
      <c r="D43" s="76" t="str">
        <f>D4</f>
        <v>g</v>
      </c>
      <c r="E43" s="77"/>
      <c r="F43" s="82"/>
      <c r="G43" s="82"/>
      <c r="H43" s="82"/>
    </row>
    <row r="44" spans="2:11" ht="13" x14ac:dyDescent="0.25">
      <c r="B44" s="79" t="s">
        <v>70</v>
      </c>
      <c r="C44" s="276"/>
      <c r="D44" s="81"/>
      <c r="E44" s="77"/>
      <c r="F44" s="82"/>
      <c r="G44" s="82"/>
      <c r="H44" s="82"/>
    </row>
    <row r="45" spans="2:11" ht="13.4" customHeight="1" x14ac:dyDescent="0.25">
      <c r="B45" s="74" t="s">
        <v>143</v>
      </c>
      <c r="C45" s="277">
        <v>1</v>
      </c>
      <c r="D45" s="76" t="str">
        <f>D4</f>
        <v>g</v>
      </c>
      <c r="E45" s="77"/>
      <c r="F45" s="82"/>
      <c r="G45" s="82"/>
      <c r="H45" s="82"/>
      <c r="K45" s="34"/>
    </row>
    <row r="46" spans="2:11" ht="13.4" hidden="1" customHeight="1" x14ac:dyDescent="0.25">
      <c r="B46" s="74"/>
      <c r="C46" s="277"/>
      <c r="D46" s="76" t="str">
        <f>D4</f>
        <v>g</v>
      </c>
      <c r="E46" s="77"/>
      <c r="F46" s="82"/>
      <c r="G46" s="82"/>
      <c r="H46" s="82"/>
      <c r="K46" s="34"/>
    </row>
    <row r="47" spans="2:11" ht="13.4" customHeight="1" x14ac:dyDescent="0.25">
      <c r="B47" s="74"/>
      <c r="C47" s="277"/>
      <c r="D47" s="76" t="str">
        <f>D4</f>
        <v>g</v>
      </c>
      <c r="E47" s="77"/>
      <c r="F47" s="82"/>
      <c r="G47" s="82"/>
      <c r="H47" s="82"/>
    </row>
    <row r="48" spans="2:11" ht="13" x14ac:dyDescent="0.25">
      <c r="B48" s="74" t="s">
        <v>121</v>
      </c>
      <c r="C48" s="277">
        <f>C33/3*0.75</f>
        <v>0.22550000000000003</v>
      </c>
      <c r="D48" s="76" t="str">
        <f>D4</f>
        <v>g</v>
      </c>
      <c r="E48" s="77"/>
      <c r="F48" s="82"/>
      <c r="G48" s="82"/>
      <c r="H48" s="82"/>
    </row>
    <row r="49" spans="2:16" ht="13" x14ac:dyDescent="0.25">
      <c r="B49" s="74"/>
      <c r="C49" s="277"/>
      <c r="D49" s="76" t="str">
        <f>D4</f>
        <v>g</v>
      </c>
      <c r="E49" s="77"/>
      <c r="F49" s="82"/>
      <c r="G49" s="82"/>
      <c r="H49" s="82"/>
    </row>
    <row r="50" spans="2:16" ht="13" x14ac:dyDescent="0.25">
      <c r="B50" s="74"/>
      <c r="C50" s="277"/>
      <c r="D50" s="76" t="str">
        <f>D4</f>
        <v>g</v>
      </c>
      <c r="E50" s="77"/>
      <c r="F50" s="82"/>
      <c r="G50" s="82"/>
      <c r="H50" s="82"/>
    </row>
    <row r="51" spans="2:16" ht="13" x14ac:dyDescent="0.25">
      <c r="B51" s="74"/>
      <c r="C51" s="277"/>
      <c r="D51" s="76" t="str">
        <f>D4</f>
        <v>g</v>
      </c>
      <c r="E51" s="77"/>
      <c r="F51" s="82"/>
      <c r="G51" s="82"/>
      <c r="H51" s="82"/>
    </row>
    <row r="52" spans="2:16" ht="13" x14ac:dyDescent="0.25">
      <c r="B52" s="84"/>
      <c r="C52" s="278"/>
      <c r="D52" s="76" t="str">
        <f>D4</f>
        <v>g</v>
      </c>
      <c r="E52" s="77"/>
      <c r="F52" s="82"/>
      <c r="G52" s="82"/>
      <c r="H52" s="82"/>
    </row>
    <row r="53" spans="2:16" ht="13" x14ac:dyDescent="0.25">
      <c r="B53" s="86" t="s">
        <v>9</v>
      </c>
      <c r="C53" s="279">
        <f>SUM(C31:C52)</f>
        <v>20.39238116666667</v>
      </c>
      <c r="D53" s="91" t="str">
        <f>D4</f>
        <v>g</v>
      </c>
      <c r="E53" s="40"/>
      <c r="F53" s="176"/>
      <c r="G53" s="110"/>
      <c r="H53" s="110"/>
    </row>
    <row r="54" spans="2:16" ht="13.5" thickBot="1" x14ac:dyDescent="0.3">
      <c r="B54" s="92"/>
      <c r="C54" s="93"/>
      <c r="D54" s="94"/>
      <c r="E54" s="40"/>
      <c r="F54" s="417"/>
      <c r="G54" s="418"/>
      <c r="H54" s="418"/>
    </row>
    <row r="55" spans="2:16" ht="20.5" thickBot="1" x14ac:dyDescent="0.3">
      <c r="B55" s="426" t="s">
        <v>10</v>
      </c>
      <c r="C55" s="427"/>
      <c r="D55" s="428"/>
      <c r="E55" s="98"/>
      <c r="F55" s="109"/>
      <c r="G55" s="110"/>
      <c r="H55" s="110"/>
    </row>
    <row r="56" spans="2:16" ht="13" x14ac:dyDescent="0.25">
      <c r="B56" s="95" t="s">
        <v>23</v>
      </c>
      <c r="C56" s="96"/>
      <c r="D56" s="97">
        <f>SUM(C14:C18)</f>
        <v>0.1963145</v>
      </c>
      <c r="E56" s="98"/>
      <c r="F56" s="109"/>
      <c r="G56" s="110"/>
      <c r="H56" s="110"/>
    </row>
    <row r="57" spans="2:16" ht="13" x14ac:dyDescent="0.25">
      <c r="B57" s="99" t="s">
        <v>24</v>
      </c>
      <c r="C57" s="100"/>
      <c r="D57" s="101">
        <f>SUM(C20:C30)</f>
        <v>2.8132666666666668</v>
      </c>
      <c r="E57" s="77"/>
      <c r="F57" s="109"/>
      <c r="G57" s="110"/>
      <c r="H57" s="110"/>
    </row>
    <row r="58" spans="2:16" ht="13" x14ac:dyDescent="0.25">
      <c r="B58" s="99" t="s">
        <v>25</v>
      </c>
      <c r="C58" s="100"/>
      <c r="D58" s="101">
        <f>SUM(C33:C44)</f>
        <v>16.157299999999999</v>
      </c>
      <c r="E58" s="77"/>
      <c r="F58" s="109"/>
      <c r="G58" s="110"/>
      <c r="H58" s="110"/>
    </row>
    <row r="59" spans="2:16" ht="13.5" thickBot="1" x14ac:dyDescent="0.3">
      <c r="B59" s="102" t="s">
        <v>26</v>
      </c>
      <c r="C59" s="103"/>
      <c r="D59" s="104">
        <f>SUM(C45:C52)</f>
        <v>1.2255</v>
      </c>
      <c r="E59" s="90"/>
      <c r="F59" s="109"/>
      <c r="G59" s="110"/>
      <c r="H59" s="110"/>
    </row>
    <row r="60" spans="2:16" ht="18.5" thickTop="1" x14ac:dyDescent="0.25">
      <c r="B60" s="105" t="s">
        <v>11</v>
      </c>
      <c r="C60" s="106"/>
      <c r="D60" s="107">
        <f>C31/C10</f>
        <v>35.82834722222222</v>
      </c>
      <c r="E60" s="90"/>
      <c r="F60" s="109"/>
      <c r="G60" s="110"/>
      <c r="H60" s="110"/>
      <c r="N60" s="432" t="s">
        <v>144</v>
      </c>
      <c r="O60" s="433"/>
      <c r="P60" s="434"/>
    </row>
    <row r="61" spans="2:16" ht="18" customHeight="1" x14ac:dyDescent="0.25">
      <c r="B61" s="111" t="s">
        <v>12</v>
      </c>
      <c r="C61" s="112"/>
      <c r="D61" s="113">
        <f>(D56+D57+D58)/C10</f>
        <v>228.17715674603173</v>
      </c>
      <c r="E61" s="90"/>
      <c r="F61" s="109"/>
      <c r="G61" s="110"/>
      <c r="H61" s="110"/>
      <c r="N61" s="435"/>
      <c r="O61" s="436"/>
      <c r="P61" s="437"/>
    </row>
    <row r="62" spans="2:16" ht="18" x14ac:dyDescent="0.25">
      <c r="B62" s="111" t="s">
        <v>13</v>
      </c>
      <c r="C62" s="112"/>
      <c r="D62" s="113">
        <f>D58/C10</f>
        <v>192.34880952380951</v>
      </c>
      <c r="E62" s="77"/>
      <c r="F62" s="109"/>
      <c r="G62" s="110"/>
      <c r="H62" s="110"/>
      <c r="K62" s="34"/>
      <c r="N62" s="435"/>
      <c r="O62" s="436"/>
      <c r="P62" s="437"/>
    </row>
    <row r="63" spans="2:16" ht="18" x14ac:dyDescent="0.25">
      <c r="B63" s="114" t="s">
        <v>14</v>
      </c>
      <c r="C63" s="115"/>
      <c r="D63" s="116">
        <f>D59/C10</f>
        <v>14.589285714285714</v>
      </c>
      <c r="E63" s="77"/>
      <c r="F63" s="109"/>
      <c r="G63" s="110"/>
      <c r="H63" s="110"/>
      <c r="I63" s="132"/>
      <c r="N63" s="435"/>
      <c r="O63" s="436"/>
      <c r="P63" s="437"/>
    </row>
    <row r="64" spans="2:16" ht="18.5" thickBot="1" x14ac:dyDescent="0.3">
      <c r="B64" s="114" t="s">
        <v>15</v>
      </c>
      <c r="C64" s="119"/>
      <c r="D64" s="116">
        <f>SUM(D56:D59)/C10</f>
        <v>242.76644246031745</v>
      </c>
      <c r="E64" s="178"/>
      <c r="F64" s="109"/>
      <c r="G64" s="110"/>
      <c r="H64" s="110"/>
      <c r="N64" s="435"/>
      <c r="O64" s="436"/>
      <c r="P64" s="437"/>
    </row>
    <row r="65" spans="2:16" ht="18.5" thickTop="1" x14ac:dyDescent="0.25">
      <c r="B65" s="120" t="s">
        <v>16</v>
      </c>
      <c r="C65" s="121"/>
      <c r="D65" s="122">
        <f>(D57+C14*MAX(1,F14)+C18*MAX(1,F18)+C15*MAX(1,F15)+C16*MAX(1,F16)+C17*MAX(1,F17))/C10</f>
        <v>42.570945545013302</v>
      </c>
      <c r="E65" s="178"/>
      <c r="F65" s="109"/>
      <c r="G65" s="110"/>
      <c r="H65" s="110"/>
      <c r="N65" s="435"/>
      <c r="O65" s="436"/>
      <c r="P65" s="437"/>
    </row>
    <row r="66" spans="2:16" ht="18" x14ac:dyDescent="0.25">
      <c r="B66" s="123" t="s">
        <v>17</v>
      </c>
      <c r="C66" s="124"/>
      <c r="D66" s="125">
        <f>(D57+D58+C14*MAX(1,F14)+C18*MAX(1,F18)+C15*MAX(1,F15)+C16*MAX(1,F16)+C17*MAX(1,F17)+SUMPRODUCT(C14:C18,G14:G18))/C10</f>
        <v>289.03425157204737</v>
      </c>
      <c r="E66" s="178"/>
      <c r="F66" s="109"/>
      <c r="G66" s="110"/>
      <c r="H66" s="110"/>
      <c r="N66" s="438"/>
      <c r="O66" s="439"/>
      <c r="P66" s="440"/>
    </row>
    <row r="67" spans="2:16" ht="18" x14ac:dyDescent="0.25">
      <c r="B67" s="123" t="s">
        <v>18</v>
      </c>
      <c r="C67" s="124"/>
      <c r="D67" s="125">
        <f>(D58+SUMPRODUCT(C14:C18,G14:G18))/C10</f>
        <v>246.46330602703406</v>
      </c>
      <c r="E67" s="46"/>
      <c r="F67" s="109"/>
      <c r="G67" s="110"/>
      <c r="H67" s="110"/>
      <c r="N67" s="438"/>
      <c r="O67" s="439"/>
      <c r="P67" s="440"/>
    </row>
    <row r="68" spans="2:16" ht="18" x14ac:dyDescent="0.25">
      <c r="B68" s="126" t="s">
        <v>19</v>
      </c>
      <c r="C68" s="127"/>
      <c r="D68" s="128">
        <f>(D59+SUMPRODUCT(C14:C18,H14:H18))/C10</f>
        <v>59.309360237796753</v>
      </c>
      <c r="E68" s="46"/>
      <c r="F68" s="109"/>
      <c r="G68" s="110"/>
      <c r="H68" s="110"/>
      <c r="N68" s="438"/>
      <c r="O68" s="439"/>
      <c r="P68" s="440"/>
    </row>
    <row r="69" spans="2:16" ht="18.5" thickBot="1" x14ac:dyDescent="0.3">
      <c r="B69" s="129" t="s">
        <v>20</v>
      </c>
      <c r="C69" s="130"/>
      <c r="D69" s="131">
        <f>(SUM(D57:D59)+C14*MAX(1,F14)+C18*MAX(1,F18)+C15*MAX(F15)+C16*MAX(F16)+C17*MAX(F17)+SUMPRODUCT(C14:C18,G14:G18)+SUMPRODUCT(C14:C18,H14:H18))/C10</f>
        <v>348.34361180984416</v>
      </c>
      <c r="E69" s="46"/>
      <c r="F69" s="109"/>
      <c r="G69" s="110"/>
      <c r="H69" s="110"/>
      <c r="I69" s="34"/>
      <c r="M69" s="25"/>
      <c r="N69" s="441"/>
      <c r="O69" s="442"/>
      <c r="P69" s="443"/>
    </row>
    <row r="70" spans="2:16" ht="13" thickTop="1" x14ac:dyDescent="0.25">
      <c r="B70" s="36"/>
    </row>
    <row r="71" spans="2:16" x14ac:dyDescent="0.25">
      <c r="B71" s="36"/>
    </row>
    <row r="72" spans="2:16" x14ac:dyDescent="0.25">
      <c r="B72" s="36"/>
    </row>
    <row r="73" spans="2:16" ht="14" x14ac:dyDescent="0.25">
      <c r="E73" s="34"/>
      <c r="F73" s="182"/>
      <c r="G73" s="182"/>
      <c r="H73" s="182"/>
    </row>
    <row r="74" spans="2:16" hidden="1" outlineLevel="1" x14ac:dyDescent="0.25">
      <c r="C74" s="25" t="s">
        <v>44</v>
      </c>
      <c r="D74" s="25" t="s">
        <v>42</v>
      </c>
      <c r="E74" s="183"/>
      <c r="F74" s="47"/>
      <c r="G74" s="47"/>
      <c r="H74" s="47"/>
    </row>
    <row r="75" spans="2:16" ht="20.5" hidden="1" outlineLevel="1" thickTop="1" x14ac:dyDescent="0.25">
      <c r="B75" s="140" t="s">
        <v>73</v>
      </c>
      <c r="C75" s="29"/>
      <c r="D75" s="141"/>
      <c r="E75" s="46"/>
      <c r="F75" s="47"/>
      <c r="G75" s="47"/>
      <c r="H75" s="47"/>
      <c r="K75" s="34"/>
    </row>
    <row r="76" spans="2:16" ht="14" hidden="1" outlineLevel="1" x14ac:dyDescent="0.25">
      <c r="B76" s="37"/>
      <c r="C76" s="38" t="s">
        <v>0</v>
      </c>
      <c r="D76" s="39" t="s">
        <v>1</v>
      </c>
      <c r="E76" s="46"/>
      <c r="F76" s="47"/>
      <c r="G76" s="47"/>
      <c r="H76" s="47"/>
    </row>
    <row r="77" spans="2:16" ht="14" hidden="1" outlineLevel="1" x14ac:dyDescent="0.25">
      <c r="B77" s="43" t="s">
        <v>65</v>
      </c>
      <c r="C77" s="142"/>
      <c r="D77" s="45" t="s">
        <v>2</v>
      </c>
      <c r="E77" s="57"/>
      <c r="F77" s="58"/>
      <c r="G77" s="58"/>
      <c r="H77" s="58"/>
    </row>
    <row r="78" spans="2:16" ht="13" hidden="1" outlineLevel="1" x14ac:dyDescent="0.25">
      <c r="B78" s="43" t="s">
        <v>64</v>
      </c>
      <c r="C78" s="143"/>
      <c r="D78" s="45" t="s">
        <v>3</v>
      </c>
      <c r="E78" s="46"/>
      <c r="F78" s="47"/>
      <c r="G78" s="47"/>
      <c r="H78" s="47"/>
    </row>
    <row r="79" spans="2:16" ht="13" hidden="1" outlineLevel="1" x14ac:dyDescent="0.25">
      <c r="B79" s="51" t="s">
        <v>63</v>
      </c>
      <c r="C79" s="144">
        <f>C77*C78</f>
        <v>0</v>
      </c>
      <c r="D79" s="45" t="str">
        <f>D77</f>
        <v>kg</v>
      </c>
      <c r="E79" s="59"/>
      <c r="F79" s="47"/>
      <c r="G79" s="47"/>
      <c r="H79" s="47"/>
    </row>
    <row r="80" spans="2:16" ht="14" hidden="1" outlineLevel="1" x14ac:dyDescent="0.25">
      <c r="B80" s="54" t="s">
        <v>37</v>
      </c>
      <c r="C80" s="145">
        <v>1</v>
      </c>
      <c r="D80" s="56"/>
      <c r="E80" s="46"/>
      <c r="F80" s="47"/>
      <c r="G80" s="47"/>
      <c r="H80" s="47"/>
    </row>
    <row r="81" spans="2:12" ht="13" hidden="1" outlineLevel="1" x14ac:dyDescent="0.25">
      <c r="B81" s="43" t="s">
        <v>66</v>
      </c>
      <c r="C81" s="142"/>
      <c r="D81" s="45" t="str">
        <f>D77</f>
        <v>kg</v>
      </c>
      <c r="F81" s="64"/>
      <c r="G81" s="64"/>
      <c r="H81" s="64"/>
    </row>
    <row r="82" spans="2:12" ht="14.5" hidden="1" outlineLevel="1" thickBot="1" x14ac:dyDescent="0.3">
      <c r="B82" s="43" t="s">
        <v>67</v>
      </c>
      <c r="C82" s="143"/>
      <c r="D82" s="45" t="s">
        <v>3</v>
      </c>
      <c r="E82" s="68"/>
      <c r="F82" s="69"/>
      <c r="G82" s="69"/>
      <c r="H82" s="69"/>
    </row>
    <row r="83" spans="2:12" ht="13" hidden="1" outlineLevel="1" x14ac:dyDescent="0.25">
      <c r="B83" s="51" t="s">
        <v>68</v>
      </c>
      <c r="C83" s="144">
        <f>C81*C82</f>
        <v>0</v>
      </c>
      <c r="D83" s="45" t="str">
        <f>D77</f>
        <v>kg</v>
      </c>
      <c r="E83" s="73"/>
      <c r="F83" s="69"/>
      <c r="G83" s="69"/>
      <c r="H83" s="69"/>
    </row>
    <row r="84" spans="2:12" ht="13.5" hidden="1" outlineLevel="1" thickBot="1" x14ac:dyDescent="0.3">
      <c r="B84" s="61"/>
      <c r="C84" s="62"/>
      <c r="D84" s="63"/>
      <c r="E84" s="98"/>
      <c r="F84" s="69"/>
      <c r="G84" s="69"/>
      <c r="H84" s="69"/>
    </row>
    <row r="85" spans="2:12" ht="14.5" hidden="1" outlineLevel="1" thickBot="1" x14ac:dyDescent="0.3">
      <c r="B85" s="65" t="s">
        <v>5</v>
      </c>
      <c r="C85" s="66" t="s">
        <v>6</v>
      </c>
      <c r="D85" s="67" t="s">
        <v>1</v>
      </c>
      <c r="E85" s="77"/>
      <c r="F85" s="78"/>
      <c r="G85" s="78"/>
      <c r="H85" s="78"/>
    </row>
    <row r="86" spans="2:12" ht="13" hidden="1" outlineLevel="1" x14ac:dyDescent="0.25">
      <c r="B86" s="70" t="s">
        <v>43</v>
      </c>
      <c r="C86" s="71"/>
      <c r="D86" s="72"/>
      <c r="E86" s="77"/>
      <c r="F86" s="82"/>
      <c r="G86" s="82"/>
      <c r="H86" s="82"/>
    </row>
    <row r="87" spans="2:12" ht="13" hidden="1" outlineLevel="1" x14ac:dyDescent="0.25">
      <c r="B87" s="74"/>
      <c r="C87" s="146">
        <f>C79</f>
        <v>0</v>
      </c>
      <c r="D87" s="76" t="str">
        <f>D77</f>
        <v>kg</v>
      </c>
      <c r="E87" s="77"/>
      <c r="F87" s="82"/>
      <c r="G87" s="82"/>
      <c r="H87" s="82"/>
    </row>
    <row r="88" spans="2:12" ht="13" hidden="1" outlineLevel="1" x14ac:dyDescent="0.25">
      <c r="B88" s="74"/>
      <c r="C88" s="146"/>
      <c r="D88" s="76" t="str">
        <f>D77</f>
        <v>kg</v>
      </c>
      <c r="E88" s="77"/>
      <c r="F88" s="82"/>
      <c r="G88" s="82"/>
      <c r="H88" s="82"/>
    </row>
    <row r="89" spans="2:12" ht="13" hidden="1" outlineLevel="1" x14ac:dyDescent="0.25">
      <c r="B89" s="79" t="s">
        <v>69</v>
      </c>
      <c r="C89" s="147"/>
      <c r="D89" s="81"/>
      <c r="E89" s="77"/>
      <c r="F89" s="82"/>
      <c r="G89" s="82"/>
      <c r="H89" s="82"/>
    </row>
    <row r="90" spans="2:12" ht="13" hidden="1" outlineLevel="1" x14ac:dyDescent="0.25">
      <c r="B90" s="74"/>
      <c r="C90" s="148"/>
      <c r="D90" s="76" t="str">
        <f>D77</f>
        <v>kg</v>
      </c>
      <c r="E90" s="77"/>
      <c r="F90" s="82"/>
      <c r="G90" s="82"/>
      <c r="H90" s="82"/>
    </row>
    <row r="91" spans="2:12" ht="13" hidden="1" outlineLevel="1" x14ac:dyDescent="0.25">
      <c r="B91" s="74"/>
      <c r="C91" s="148"/>
      <c r="D91" s="76" t="str">
        <f>D77</f>
        <v>kg</v>
      </c>
      <c r="E91" s="77"/>
      <c r="F91" s="82"/>
      <c r="G91" s="82"/>
      <c r="H91" s="82"/>
    </row>
    <row r="92" spans="2:12" ht="13" hidden="1" outlineLevel="1" x14ac:dyDescent="0.25">
      <c r="B92" s="74"/>
      <c r="C92" s="148"/>
      <c r="D92" s="76" t="str">
        <f>D77</f>
        <v>kg</v>
      </c>
      <c r="E92" s="77"/>
      <c r="F92" s="82"/>
      <c r="G92" s="82"/>
      <c r="H92" s="82"/>
    </row>
    <row r="93" spans="2:12" ht="13" hidden="1" outlineLevel="1" x14ac:dyDescent="0.25">
      <c r="B93" s="74"/>
      <c r="C93" s="148"/>
      <c r="D93" s="76" t="str">
        <f>D77</f>
        <v>kg</v>
      </c>
      <c r="E93" s="77"/>
      <c r="F93" s="82"/>
      <c r="G93" s="82"/>
      <c r="H93" s="82"/>
    </row>
    <row r="94" spans="2:12" ht="13.4" hidden="1" customHeight="1" outlineLevel="1" x14ac:dyDescent="0.25">
      <c r="B94" s="74"/>
      <c r="C94" s="148"/>
      <c r="D94" s="76" t="str">
        <f>D77</f>
        <v>kg</v>
      </c>
      <c r="E94" s="77"/>
      <c r="F94" s="82"/>
      <c r="G94" s="82"/>
      <c r="H94" s="82"/>
      <c r="K94" s="34"/>
    </row>
    <row r="95" spans="2:12" ht="13" hidden="1" outlineLevel="1" x14ac:dyDescent="0.25">
      <c r="B95" s="74"/>
      <c r="C95" s="148"/>
      <c r="D95" s="76" t="str">
        <f>D77</f>
        <v>kg</v>
      </c>
      <c r="E95" s="77"/>
      <c r="F95" s="82"/>
      <c r="G95" s="82"/>
      <c r="H95" s="82"/>
    </row>
    <row r="96" spans="2:12" ht="13" hidden="1" outlineLevel="1" x14ac:dyDescent="0.25">
      <c r="B96" s="74"/>
      <c r="C96" s="148"/>
      <c r="D96" s="76" t="str">
        <f>D77</f>
        <v>kg</v>
      </c>
      <c r="E96" s="77"/>
      <c r="F96" s="82"/>
      <c r="G96" s="82"/>
      <c r="H96" s="82"/>
      <c r="I96" s="34"/>
      <c r="J96" s="53"/>
      <c r="L96" s="53"/>
    </row>
    <row r="97" spans="2:8" ht="13" hidden="1" outlineLevel="1" x14ac:dyDescent="0.25">
      <c r="B97" s="74"/>
      <c r="C97" s="148"/>
      <c r="D97" s="76" t="str">
        <f>D77</f>
        <v>kg</v>
      </c>
      <c r="E97" s="77"/>
      <c r="F97" s="82"/>
      <c r="G97" s="82"/>
      <c r="H97" s="82"/>
    </row>
    <row r="98" spans="2:8" ht="13" hidden="1" outlineLevel="1" x14ac:dyDescent="0.25">
      <c r="B98" s="74"/>
      <c r="C98" s="148"/>
      <c r="D98" s="76" t="str">
        <f>D77</f>
        <v>kg</v>
      </c>
      <c r="E98" s="77"/>
      <c r="F98" s="82"/>
      <c r="G98" s="82"/>
      <c r="H98" s="82"/>
    </row>
    <row r="99" spans="2:8" ht="13" hidden="1" outlineLevel="1" x14ac:dyDescent="0.25">
      <c r="B99" s="74"/>
      <c r="C99" s="148"/>
      <c r="D99" s="76" t="str">
        <f>D77</f>
        <v>kg</v>
      </c>
      <c r="E99" s="77"/>
      <c r="F99" s="82"/>
      <c r="G99" s="82"/>
      <c r="H99" s="82"/>
    </row>
    <row r="100" spans="2:8" ht="13" hidden="1" outlineLevel="1" x14ac:dyDescent="0.25">
      <c r="B100" s="79"/>
      <c r="C100" s="147"/>
      <c r="D100" s="81"/>
      <c r="E100" s="77"/>
      <c r="F100" s="82"/>
      <c r="G100" s="82"/>
      <c r="H100" s="82"/>
    </row>
    <row r="101" spans="2:8" ht="13" hidden="1" outlineLevel="1" x14ac:dyDescent="0.25">
      <c r="B101" s="86" t="s">
        <v>7</v>
      </c>
      <c r="C101" s="149">
        <f>SUM(C86:C99)</f>
        <v>0</v>
      </c>
      <c r="D101" s="88" t="str">
        <f>D77</f>
        <v>kg</v>
      </c>
      <c r="E101" s="77"/>
      <c r="F101" s="82"/>
      <c r="G101" s="82"/>
      <c r="H101" s="82"/>
    </row>
    <row r="102" spans="2:8" ht="13" hidden="1" outlineLevel="1" x14ac:dyDescent="0.25">
      <c r="B102" s="79" t="s">
        <v>71</v>
      </c>
      <c r="C102" s="150"/>
      <c r="D102" s="81"/>
      <c r="E102" s="77"/>
      <c r="F102" s="82"/>
      <c r="G102" s="82"/>
      <c r="H102" s="82"/>
    </row>
    <row r="103" spans="2:8" ht="13" hidden="1" outlineLevel="1" x14ac:dyDescent="0.25">
      <c r="B103" s="74"/>
      <c r="C103" s="148"/>
      <c r="D103" s="76" t="str">
        <f>D77</f>
        <v>kg</v>
      </c>
      <c r="E103" s="77"/>
      <c r="F103" s="82"/>
      <c r="G103" s="82"/>
      <c r="H103" s="82"/>
    </row>
    <row r="104" spans="2:8" ht="13" hidden="1" outlineLevel="1" x14ac:dyDescent="0.25">
      <c r="B104" s="74"/>
      <c r="C104" s="148"/>
      <c r="D104" s="76" t="str">
        <f>D77</f>
        <v>kg</v>
      </c>
      <c r="E104" s="77"/>
      <c r="F104" s="82"/>
      <c r="G104" s="82"/>
      <c r="H104" s="82"/>
    </row>
    <row r="105" spans="2:8" ht="13" hidden="1" outlineLevel="1" x14ac:dyDescent="0.25">
      <c r="B105" s="74"/>
      <c r="C105" s="148"/>
      <c r="D105" s="76" t="str">
        <f>D77</f>
        <v>kg</v>
      </c>
      <c r="E105" s="77"/>
      <c r="F105" s="82"/>
      <c r="G105" s="82"/>
      <c r="H105" s="82"/>
    </row>
    <row r="106" spans="2:8" ht="13" hidden="1" outlineLevel="1" x14ac:dyDescent="0.25">
      <c r="B106" s="74"/>
      <c r="C106" s="148"/>
      <c r="D106" s="76" t="str">
        <f>D77</f>
        <v>kg</v>
      </c>
      <c r="E106" s="77"/>
      <c r="F106" s="82"/>
      <c r="G106" s="82"/>
      <c r="H106" s="82"/>
    </row>
    <row r="107" spans="2:8" ht="13" hidden="1" outlineLevel="1" x14ac:dyDescent="0.25">
      <c r="B107" s="74"/>
      <c r="C107" s="148"/>
      <c r="D107" s="76" t="str">
        <f>D77</f>
        <v>kg</v>
      </c>
      <c r="E107" s="77"/>
      <c r="F107" s="82"/>
      <c r="G107" s="82"/>
      <c r="H107" s="82"/>
    </row>
    <row r="108" spans="2:8" ht="13" hidden="1" outlineLevel="1" x14ac:dyDescent="0.25">
      <c r="B108" s="74"/>
      <c r="C108" s="148"/>
      <c r="D108" s="76" t="str">
        <f>D77</f>
        <v>kg</v>
      </c>
      <c r="E108" s="90"/>
      <c r="F108" s="82"/>
      <c r="G108" s="82"/>
      <c r="H108" s="82"/>
    </row>
    <row r="109" spans="2:8" ht="13" hidden="1" outlineLevel="1" x14ac:dyDescent="0.25">
      <c r="B109" s="74"/>
      <c r="C109" s="148"/>
      <c r="D109" s="76" t="str">
        <f>D77</f>
        <v>kg</v>
      </c>
      <c r="E109" s="77"/>
      <c r="F109" s="82"/>
      <c r="G109" s="82"/>
      <c r="H109" s="82"/>
    </row>
    <row r="110" spans="2:8" ht="13" hidden="1" outlineLevel="1" x14ac:dyDescent="0.25">
      <c r="B110" s="74"/>
      <c r="C110" s="148"/>
      <c r="D110" s="76" t="str">
        <f>D77</f>
        <v>kg</v>
      </c>
      <c r="E110" s="77"/>
      <c r="F110" s="82"/>
      <c r="G110" s="82"/>
      <c r="H110" s="82"/>
    </row>
    <row r="111" spans="2:8" ht="13" hidden="1" outlineLevel="1" x14ac:dyDescent="0.25">
      <c r="B111" s="79" t="s">
        <v>70</v>
      </c>
      <c r="C111" s="147"/>
      <c r="D111" s="81"/>
      <c r="E111" s="77"/>
      <c r="F111" s="82"/>
      <c r="G111" s="82"/>
      <c r="H111" s="82"/>
    </row>
    <row r="112" spans="2:8" ht="13" hidden="1" outlineLevel="1" x14ac:dyDescent="0.25">
      <c r="B112" s="74"/>
      <c r="C112" s="148"/>
      <c r="D112" s="76" t="str">
        <f>D77</f>
        <v>kg</v>
      </c>
      <c r="E112" s="77"/>
      <c r="F112" s="82"/>
      <c r="G112" s="82"/>
      <c r="H112" s="82"/>
    </row>
    <row r="113" spans="2:11" ht="13.4" hidden="1" customHeight="1" outlineLevel="1" x14ac:dyDescent="0.25">
      <c r="B113" s="74"/>
      <c r="C113" s="148"/>
      <c r="D113" s="76" t="str">
        <f>D77</f>
        <v>kg</v>
      </c>
      <c r="E113" s="77"/>
      <c r="F113" s="82"/>
      <c r="G113" s="82"/>
      <c r="H113" s="82"/>
      <c r="K113" s="34"/>
    </row>
    <row r="114" spans="2:11" ht="13" hidden="1" outlineLevel="1" x14ac:dyDescent="0.25">
      <c r="B114" s="74"/>
      <c r="C114" s="148"/>
      <c r="D114" s="76" t="str">
        <f>D77</f>
        <v>kg</v>
      </c>
      <c r="E114" s="77"/>
      <c r="F114" s="82"/>
      <c r="G114" s="82"/>
      <c r="H114" s="82"/>
    </row>
    <row r="115" spans="2:11" ht="13" hidden="1" outlineLevel="1" x14ac:dyDescent="0.25">
      <c r="B115" s="74"/>
      <c r="C115" s="148"/>
      <c r="D115" s="76" t="str">
        <f>D77</f>
        <v>kg</v>
      </c>
      <c r="E115" s="77"/>
      <c r="F115" s="82"/>
      <c r="G115" s="82"/>
      <c r="H115" s="82"/>
    </row>
    <row r="116" spans="2:11" ht="13" hidden="1" outlineLevel="1" x14ac:dyDescent="0.25">
      <c r="B116" s="74"/>
      <c r="C116" s="148"/>
      <c r="D116" s="76" t="str">
        <f>D77</f>
        <v>kg</v>
      </c>
      <c r="E116" s="77"/>
      <c r="F116" s="82"/>
      <c r="G116" s="82"/>
      <c r="H116" s="82"/>
    </row>
    <row r="117" spans="2:11" ht="13" hidden="1" outlineLevel="1" x14ac:dyDescent="0.25">
      <c r="B117" s="74"/>
      <c r="C117" s="148"/>
      <c r="D117" s="76" t="str">
        <f>D77</f>
        <v>kg</v>
      </c>
      <c r="E117" s="77"/>
      <c r="F117" s="82"/>
      <c r="G117" s="82"/>
      <c r="H117" s="82"/>
    </row>
    <row r="118" spans="2:11" ht="13" hidden="1" outlineLevel="1" x14ac:dyDescent="0.25">
      <c r="B118" s="74"/>
      <c r="C118" s="148"/>
      <c r="D118" s="76" t="str">
        <f>D77</f>
        <v>kg</v>
      </c>
      <c r="E118" s="77"/>
      <c r="F118" s="82"/>
      <c r="G118" s="82"/>
      <c r="H118" s="82"/>
    </row>
    <row r="119" spans="2:11" ht="13" hidden="1" outlineLevel="1" x14ac:dyDescent="0.25">
      <c r="B119" s="79"/>
      <c r="C119" s="147"/>
      <c r="D119" s="81"/>
      <c r="E119" s="77"/>
      <c r="F119" s="82"/>
      <c r="G119" s="82"/>
      <c r="H119" s="82"/>
    </row>
    <row r="120" spans="2:11" ht="13" hidden="1" outlineLevel="1" x14ac:dyDescent="0.25">
      <c r="B120" s="86" t="s">
        <v>9</v>
      </c>
      <c r="C120" s="149">
        <f>SUM(C101:C118)</f>
        <v>0</v>
      </c>
      <c r="D120" s="91" t="str">
        <f>D77</f>
        <v>kg</v>
      </c>
      <c r="E120" s="98"/>
      <c r="F120" s="82"/>
      <c r="G120" s="82"/>
      <c r="H120" s="82"/>
    </row>
    <row r="121" spans="2:11" ht="13" hidden="1" outlineLevel="1" x14ac:dyDescent="0.25">
      <c r="B121" s="92"/>
      <c r="C121" s="93"/>
      <c r="D121" s="94"/>
      <c r="E121" s="98"/>
      <c r="F121" s="82"/>
      <c r="G121" s="82"/>
      <c r="H121" s="82"/>
    </row>
    <row r="122" spans="2:11" ht="20.5" hidden="1" outlineLevel="1" thickBot="1" x14ac:dyDescent="0.3">
      <c r="B122" s="426" t="s">
        <v>10</v>
      </c>
      <c r="C122" s="427"/>
      <c r="D122" s="428"/>
      <c r="E122" s="98"/>
      <c r="F122" s="82"/>
      <c r="G122" s="82"/>
      <c r="H122" s="82"/>
    </row>
    <row r="123" spans="2:11" ht="13" hidden="1" outlineLevel="1" x14ac:dyDescent="0.25">
      <c r="B123" s="95" t="s">
        <v>23</v>
      </c>
      <c r="C123" s="96"/>
      <c r="D123" s="151">
        <f>SUM(C87:C88)</f>
        <v>0</v>
      </c>
      <c r="E123" s="98"/>
      <c r="F123" s="82"/>
      <c r="G123" s="82"/>
      <c r="H123" s="82"/>
    </row>
    <row r="124" spans="2:11" ht="13" hidden="1" outlineLevel="1" x14ac:dyDescent="0.25">
      <c r="B124" s="99" t="s">
        <v>24</v>
      </c>
      <c r="C124" s="100"/>
      <c r="D124" s="152">
        <f>SUM(C90:C100)</f>
        <v>0</v>
      </c>
      <c r="E124" s="77"/>
      <c r="F124" s="110" t="s">
        <v>86</v>
      </c>
      <c r="G124" s="109" t="s">
        <v>85</v>
      </c>
      <c r="H124" s="110"/>
    </row>
    <row r="125" spans="2:11" ht="13.5" hidden="1" outlineLevel="1" thickBot="1" x14ac:dyDescent="0.3">
      <c r="B125" s="99" t="s">
        <v>25</v>
      </c>
      <c r="C125" s="100"/>
      <c r="D125" s="152">
        <f>SUM(C103:C111)</f>
        <v>0</v>
      </c>
      <c r="E125" s="77"/>
      <c r="F125" s="154"/>
      <c r="G125" s="413"/>
      <c r="H125" s="414"/>
    </row>
    <row r="126" spans="2:11" ht="13" hidden="1" outlineLevel="1" x14ac:dyDescent="0.25">
      <c r="B126" s="102" t="s">
        <v>26</v>
      </c>
      <c r="C126" s="103"/>
      <c r="D126" s="153">
        <f>SUM(C112:C119)</f>
        <v>0</v>
      </c>
      <c r="E126" s="90"/>
      <c r="F126" s="64" t="s">
        <v>45</v>
      </c>
      <c r="G126" s="64" t="s">
        <v>45</v>
      </c>
      <c r="H126" s="155"/>
    </row>
    <row r="127" spans="2:11" ht="18.5" hidden="1" outlineLevel="1" thickTop="1" x14ac:dyDescent="0.25">
      <c r="B127" s="105" t="s">
        <v>11</v>
      </c>
      <c r="C127" s="106"/>
      <c r="D127" s="107" t="e">
        <f>C101/C83</f>
        <v>#DIV/0!</v>
      </c>
      <c r="E127" s="90"/>
      <c r="F127" s="110"/>
      <c r="G127" s="117" t="s">
        <v>46</v>
      </c>
      <c r="H127" s="110"/>
    </row>
    <row r="128" spans="2:11" ht="18" hidden="1" customHeight="1" outlineLevel="1" thickBot="1" x14ac:dyDescent="0.3">
      <c r="B128" s="111" t="s">
        <v>12</v>
      </c>
      <c r="C128" s="112"/>
      <c r="D128" s="113" t="e">
        <f>(D123+D124+D125)/C83</f>
        <v>#DIV/0!</v>
      </c>
      <c r="E128" s="90"/>
      <c r="F128" s="429"/>
      <c r="G128" s="430"/>
      <c r="H128" s="431"/>
    </row>
    <row r="129" spans="2:16" ht="18" hidden="1" outlineLevel="1" x14ac:dyDescent="0.25">
      <c r="B129" s="111" t="s">
        <v>13</v>
      </c>
      <c r="C129" s="112"/>
      <c r="D129" s="113" t="e">
        <f>D125/C83</f>
        <v>#DIV/0!</v>
      </c>
      <c r="E129" s="77"/>
      <c r="F129" s="64" t="s">
        <v>45</v>
      </c>
      <c r="G129" s="64"/>
      <c r="H129" s="82"/>
    </row>
    <row r="130" spans="2:16" ht="18" hidden="1" outlineLevel="1" x14ac:dyDescent="0.25">
      <c r="B130" s="114" t="s">
        <v>14</v>
      </c>
      <c r="C130" s="115"/>
      <c r="D130" s="116" t="e">
        <f>D126/C83</f>
        <v>#DIV/0!</v>
      </c>
      <c r="E130" s="77"/>
      <c r="F130" s="82"/>
      <c r="G130" s="82"/>
      <c r="H130" s="82"/>
    </row>
    <row r="131" spans="2:16" ht="18.5" hidden="1" outlineLevel="1" thickBot="1" x14ac:dyDescent="0.3">
      <c r="B131" s="114" t="s">
        <v>15</v>
      </c>
      <c r="C131" s="119"/>
      <c r="D131" s="116" t="e">
        <f>SUM(D123:D126)/C83</f>
        <v>#DIV/0!</v>
      </c>
      <c r="E131" s="77"/>
      <c r="F131" s="415" t="s">
        <v>61</v>
      </c>
      <c r="G131" s="416"/>
      <c r="H131" s="416"/>
    </row>
    <row r="132" spans="2:16" ht="18.5" hidden="1" outlineLevel="1" thickTop="1" x14ac:dyDescent="0.25">
      <c r="B132" s="120" t="s">
        <v>16</v>
      </c>
      <c r="C132" s="121"/>
      <c r="D132" s="122" t="e">
        <f>((C87*D65)+D124+C88*MAX(1,F85))/C83</f>
        <v>#DIV/0!</v>
      </c>
      <c r="E132" s="77"/>
      <c r="F132" s="416"/>
      <c r="G132" s="416"/>
      <c r="H132" s="416"/>
    </row>
    <row r="133" spans="2:16" ht="18" hidden="1" outlineLevel="1" x14ac:dyDescent="0.25">
      <c r="B133" s="123" t="s">
        <v>17</v>
      </c>
      <c r="C133" s="124"/>
      <c r="D133" s="125" t="e">
        <f>(C87*D66+D124+D125+C88*(MAX(1,F85)+G85))/C83</f>
        <v>#DIV/0!</v>
      </c>
      <c r="E133" s="77"/>
      <c r="F133" s="416"/>
      <c r="G133" s="416"/>
      <c r="H133" s="416"/>
    </row>
    <row r="134" spans="2:16" ht="18" hidden="1" outlineLevel="1" x14ac:dyDescent="0.25">
      <c r="B134" s="123" t="s">
        <v>18</v>
      </c>
      <c r="C134" s="124"/>
      <c r="D134" s="125" t="e">
        <f>((C87*D67)+D125+C88*G85)/C83</f>
        <v>#DIV/0!</v>
      </c>
      <c r="E134" s="46"/>
      <c r="F134" s="416"/>
      <c r="G134" s="416"/>
      <c r="H134" s="416"/>
    </row>
    <row r="135" spans="2:16" ht="18" hidden="1" outlineLevel="1" x14ac:dyDescent="0.25">
      <c r="B135" s="126" t="s">
        <v>19</v>
      </c>
      <c r="C135" s="127"/>
      <c r="D135" s="128" t="e">
        <f>(C87*D68+D126+C88*H85)/C83</f>
        <v>#DIV/0!</v>
      </c>
      <c r="E135" s="46"/>
      <c r="F135" s="416"/>
      <c r="G135" s="416"/>
      <c r="H135" s="416"/>
    </row>
    <row r="136" spans="2:16" ht="18.5" hidden="1" outlineLevel="1" thickBot="1" x14ac:dyDescent="0.3">
      <c r="B136" s="129" t="s">
        <v>20</v>
      </c>
      <c r="C136" s="130"/>
      <c r="D136" s="131" t="e">
        <f>((C87*D69)+SUM(D124:D126)+C88*(MAX(1,F85)+G85+H85))/C83</f>
        <v>#DIV/0!</v>
      </c>
      <c r="E136" s="46"/>
      <c r="F136" s="416"/>
      <c r="G136" s="416"/>
      <c r="H136" s="416"/>
      <c r="I136" s="34"/>
      <c r="N136" s="36"/>
      <c r="O136" s="36"/>
      <c r="P136" s="36"/>
    </row>
    <row r="137" spans="2:16" ht="13.5" hidden="1" outlineLevel="1" thickTop="1" x14ac:dyDescent="0.25">
      <c r="B137" s="156" t="s">
        <v>76</v>
      </c>
      <c r="C137" s="424"/>
      <c r="D137" s="425"/>
      <c r="E137" s="46"/>
      <c r="F137" s="34"/>
      <c r="G137" s="34"/>
      <c r="H137" s="34"/>
      <c r="N137" s="36"/>
      <c r="O137" s="36"/>
      <c r="P137" s="36"/>
    </row>
    <row r="138" spans="2:16" ht="13" hidden="1" outlineLevel="1" x14ac:dyDescent="0.25">
      <c r="B138" s="157" t="s">
        <v>58</v>
      </c>
      <c r="C138" s="422"/>
      <c r="D138" s="423"/>
      <c r="E138" s="46"/>
      <c r="F138" s="34"/>
      <c r="G138" s="34"/>
      <c r="H138" s="34"/>
    </row>
    <row r="139" spans="2:16" ht="21" hidden="1" outlineLevel="1" thickTop="1" thickBot="1" x14ac:dyDescent="0.3">
      <c r="B139" s="158" t="s">
        <v>59</v>
      </c>
      <c r="C139" s="420"/>
      <c r="D139" s="421"/>
      <c r="E139" s="31"/>
      <c r="F139" s="32" t="s">
        <v>27</v>
      </c>
      <c r="G139" s="33"/>
      <c r="H139" s="33"/>
    </row>
    <row r="140" spans="2:16" ht="14.5" hidden="1" outlineLevel="1" thickBot="1" x14ac:dyDescent="0.3">
      <c r="E140" s="40"/>
      <c r="F140" s="41" t="s">
        <v>28</v>
      </c>
      <c r="G140" s="41" t="s">
        <v>21</v>
      </c>
      <c r="H140" s="41" t="s">
        <v>8</v>
      </c>
    </row>
    <row r="141" spans="2:16" hidden="1" outlineLevel="1" x14ac:dyDescent="0.25">
      <c r="C141" s="25" t="s">
        <v>44</v>
      </c>
      <c r="D141" s="25" t="s">
        <v>42</v>
      </c>
      <c r="E141" s="46"/>
      <c r="F141" s="47"/>
      <c r="G141" s="47"/>
      <c r="H141" s="47"/>
    </row>
    <row r="142" spans="2:16" ht="20.5" hidden="1" outlineLevel="1" thickTop="1" x14ac:dyDescent="0.25">
      <c r="B142" s="140" t="s">
        <v>73</v>
      </c>
      <c r="C142" s="29"/>
      <c r="D142" s="141"/>
      <c r="E142" s="46"/>
      <c r="F142" s="47"/>
      <c r="G142" s="47"/>
      <c r="H142" s="47"/>
    </row>
    <row r="143" spans="2:16" ht="14" hidden="1" outlineLevel="1" x14ac:dyDescent="0.25">
      <c r="B143" s="37"/>
      <c r="C143" s="38" t="s">
        <v>0</v>
      </c>
      <c r="D143" s="39" t="s">
        <v>1</v>
      </c>
      <c r="E143" s="46"/>
      <c r="F143" s="47"/>
      <c r="G143" s="47"/>
      <c r="H143" s="47"/>
    </row>
    <row r="144" spans="2:16" ht="14" hidden="1" outlineLevel="1" x14ac:dyDescent="0.25">
      <c r="B144" s="43" t="s">
        <v>65</v>
      </c>
      <c r="C144" s="142"/>
      <c r="D144" s="45" t="s">
        <v>2</v>
      </c>
      <c r="E144" s="57"/>
      <c r="F144" s="58"/>
      <c r="G144" s="58"/>
      <c r="H144" s="58"/>
    </row>
    <row r="145" spans="2:8" ht="13" hidden="1" outlineLevel="1" x14ac:dyDescent="0.25">
      <c r="B145" s="43" t="s">
        <v>64</v>
      </c>
      <c r="C145" s="143"/>
      <c r="D145" s="45" t="s">
        <v>3</v>
      </c>
      <c r="E145" s="46"/>
      <c r="F145" s="47"/>
      <c r="G145" s="47"/>
      <c r="H145" s="47"/>
    </row>
    <row r="146" spans="2:8" ht="13" hidden="1" outlineLevel="1" x14ac:dyDescent="0.25">
      <c r="B146" s="51" t="s">
        <v>63</v>
      </c>
      <c r="C146" s="144">
        <f>C144*C145</f>
        <v>0</v>
      </c>
      <c r="D146" s="45" t="str">
        <f>D144</f>
        <v>kg</v>
      </c>
      <c r="E146" s="59"/>
      <c r="F146" s="47"/>
      <c r="G146" s="47"/>
      <c r="H146" s="47"/>
    </row>
    <row r="147" spans="2:8" ht="14" hidden="1" outlineLevel="1" x14ac:dyDescent="0.25">
      <c r="B147" s="54" t="s">
        <v>37</v>
      </c>
      <c r="C147" s="145">
        <v>1</v>
      </c>
      <c r="D147" s="56"/>
      <c r="E147" s="46"/>
      <c r="F147" s="47"/>
      <c r="G147" s="47"/>
      <c r="H147" s="47"/>
    </row>
    <row r="148" spans="2:8" ht="13" hidden="1" outlineLevel="1" x14ac:dyDescent="0.25">
      <c r="B148" s="43" t="s">
        <v>66</v>
      </c>
      <c r="C148" s="142"/>
      <c r="D148" s="45" t="str">
        <f>D144</f>
        <v>kg</v>
      </c>
      <c r="F148" s="64"/>
      <c r="G148" s="64"/>
      <c r="H148" s="64"/>
    </row>
    <row r="149" spans="2:8" ht="14.5" hidden="1" outlineLevel="1" thickBot="1" x14ac:dyDescent="0.3">
      <c r="B149" s="43" t="s">
        <v>67</v>
      </c>
      <c r="C149" s="143"/>
      <c r="D149" s="45" t="s">
        <v>3</v>
      </c>
      <c r="E149" s="68"/>
      <c r="F149" s="69"/>
      <c r="G149" s="69"/>
      <c r="H149" s="69"/>
    </row>
    <row r="150" spans="2:8" ht="13" hidden="1" outlineLevel="1" x14ac:dyDescent="0.25">
      <c r="B150" s="51" t="s">
        <v>68</v>
      </c>
      <c r="C150" s="144">
        <f>C148*C149</f>
        <v>0</v>
      </c>
      <c r="D150" s="45" t="str">
        <f>D144</f>
        <v>kg</v>
      </c>
      <c r="E150" s="73"/>
      <c r="F150" s="69"/>
      <c r="G150" s="69"/>
      <c r="H150" s="69"/>
    </row>
    <row r="151" spans="2:8" ht="13.5" hidden="1" outlineLevel="1" thickBot="1" x14ac:dyDescent="0.3">
      <c r="B151" s="61"/>
      <c r="C151" s="62"/>
      <c r="D151" s="63"/>
      <c r="E151" s="98"/>
      <c r="F151" s="69"/>
      <c r="G151" s="69"/>
      <c r="H151" s="69"/>
    </row>
    <row r="152" spans="2:8" ht="14.5" hidden="1" outlineLevel="1" thickBot="1" x14ac:dyDescent="0.3">
      <c r="B152" s="65" t="s">
        <v>5</v>
      </c>
      <c r="C152" s="66" t="s">
        <v>6</v>
      </c>
      <c r="D152" s="67" t="s">
        <v>1</v>
      </c>
      <c r="E152" s="77"/>
      <c r="F152" s="78"/>
      <c r="G152" s="78"/>
      <c r="H152" s="78"/>
    </row>
    <row r="153" spans="2:8" ht="13" hidden="1" outlineLevel="1" x14ac:dyDescent="0.25">
      <c r="B153" s="70" t="s">
        <v>43</v>
      </c>
      <c r="C153" s="71"/>
      <c r="D153" s="72"/>
      <c r="E153" s="77"/>
      <c r="F153" s="82"/>
      <c r="G153" s="82"/>
      <c r="H153" s="82"/>
    </row>
    <row r="154" spans="2:8" ht="13" hidden="1" outlineLevel="1" x14ac:dyDescent="0.25">
      <c r="B154" s="74"/>
      <c r="C154" s="146">
        <f>C146</f>
        <v>0</v>
      </c>
      <c r="D154" s="76" t="str">
        <f>D144</f>
        <v>kg</v>
      </c>
      <c r="E154" s="77"/>
      <c r="F154" s="82"/>
      <c r="G154" s="82"/>
      <c r="H154" s="82"/>
    </row>
    <row r="155" spans="2:8" ht="13" hidden="1" outlineLevel="1" x14ac:dyDescent="0.25">
      <c r="B155" s="74"/>
      <c r="C155" s="146"/>
      <c r="D155" s="76" t="str">
        <f>D144</f>
        <v>kg</v>
      </c>
      <c r="E155" s="77"/>
      <c r="F155" s="82"/>
      <c r="G155" s="82"/>
      <c r="H155" s="82"/>
    </row>
    <row r="156" spans="2:8" ht="13" hidden="1" outlineLevel="1" x14ac:dyDescent="0.25">
      <c r="B156" s="79" t="s">
        <v>69</v>
      </c>
      <c r="C156" s="147"/>
      <c r="D156" s="81"/>
      <c r="E156" s="77"/>
      <c r="F156" s="82"/>
      <c r="G156" s="82"/>
      <c r="H156" s="82"/>
    </row>
    <row r="157" spans="2:8" ht="13" hidden="1" outlineLevel="1" x14ac:dyDescent="0.25">
      <c r="B157" s="74"/>
      <c r="C157" s="148"/>
      <c r="D157" s="76" t="str">
        <f>D144</f>
        <v>kg</v>
      </c>
      <c r="E157" s="77"/>
      <c r="F157" s="82"/>
      <c r="G157" s="82"/>
      <c r="H157" s="82"/>
    </row>
    <row r="158" spans="2:8" ht="13" hidden="1" outlineLevel="1" x14ac:dyDescent="0.25">
      <c r="B158" s="74"/>
      <c r="C158" s="148"/>
      <c r="D158" s="76" t="str">
        <f>D144</f>
        <v>kg</v>
      </c>
      <c r="E158" s="77"/>
      <c r="F158" s="82"/>
      <c r="G158" s="82"/>
      <c r="H158" s="82"/>
    </row>
    <row r="159" spans="2:8" ht="13" hidden="1" outlineLevel="1" x14ac:dyDescent="0.25">
      <c r="B159" s="74"/>
      <c r="C159" s="148"/>
      <c r="D159" s="76" t="str">
        <f>D144</f>
        <v>kg</v>
      </c>
      <c r="E159" s="77"/>
      <c r="F159" s="82"/>
      <c r="G159" s="82"/>
      <c r="H159" s="82"/>
    </row>
    <row r="160" spans="2:8" ht="13" hidden="1" outlineLevel="1" x14ac:dyDescent="0.25">
      <c r="B160" s="74"/>
      <c r="C160" s="148"/>
      <c r="D160" s="76" t="str">
        <f>D144</f>
        <v>kg</v>
      </c>
      <c r="E160" s="77"/>
      <c r="F160" s="82"/>
      <c r="G160" s="82"/>
      <c r="H160" s="82"/>
    </row>
    <row r="161" spans="2:11" ht="13.4" hidden="1" customHeight="1" outlineLevel="1" x14ac:dyDescent="0.25">
      <c r="B161" s="74"/>
      <c r="C161" s="148"/>
      <c r="D161" s="76" t="str">
        <f>D144</f>
        <v>kg</v>
      </c>
      <c r="E161" s="77"/>
      <c r="F161" s="82"/>
      <c r="G161" s="82"/>
      <c r="H161" s="82"/>
      <c r="K161" s="34"/>
    </row>
    <row r="162" spans="2:11" ht="13" hidden="1" outlineLevel="1" x14ac:dyDescent="0.25">
      <c r="B162" s="74"/>
      <c r="C162" s="148"/>
      <c r="D162" s="76" t="str">
        <f>D144</f>
        <v>kg</v>
      </c>
      <c r="E162" s="77"/>
      <c r="F162" s="82"/>
      <c r="G162" s="82"/>
      <c r="H162" s="82"/>
    </row>
    <row r="163" spans="2:11" ht="13" hidden="1" outlineLevel="1" x14ac:dyDescent="0.25">
      <c r="B163" s="74"/>
      <c r="C163" s="148"/>
      <c r="D163" s="76" t="str">
        <f>D144</f>
        <v>kg</v>
      </c>
      <c r="E163" s="77"/>
      <c r="F163" s="82"/>
      <c r="G163" s="82"/>
      <c r="H163" s="82"/>
    </row>
    <row r="164" spans="2:11" ht="13" hidden="1" outlineLevel="1" x14ac:dyDescent="0.25">
      <c r="B164" s="74"/>
      <c r="C164" s="148"/>
      <c r="D164" s="76" t="str">
        <f>D144</f>
        <v>kg</v>
      </c>
      <c r="E164" s="77"/>
      <c r="F164" s="82"/>
      <c r="G164" s="82"/>
      <c r="H164" s="82"/>
    </row>
    <row r="165" spans="2:11" ht="13" hidden="1" outlineLevel="1" x14ac:dyDescent="0.25">
      <c r="B165" s="74"/>
      <c r="C165" s="148"/>
      <c r="D165" s="76" t="str">
        <f>D144</f>
        <v>kg</v>
      </c>
      <c r="E165" s="77"/>
      <c r="F165" s="82"/>
      <c r="G165" s="82"/>
      <c r="H165" s="82"/>
    </row>
    <row r="166" spans="2:11" ht="13" hidden="1" outlineLevel="1" x14ac:dyDescent="0.25">
      <c r="B166" s="74"/>
      <c r="C166" s="148"/>
      <c r="D166" s="76" t="str">
        <f>D144</f>
        <v>kg</v>
      </c>
      <c r="E166" s="77"/>
      <c r="F166" s="82"/>
      <c r="G166" s="82"/>
      <c r="H166" s="82"/>
    </row>
    <row r="167" spans="2:11" ht="13" hidden="1" outlineLevel="1" x14ac:dyDescent="0.25">
      <c r="B167" s="79"/>
      <c r="C167" s="147"/>
      <c r="D167" s="81"/>
      <c r="E167" s="77"/>
      <c r="F167" s="82"/>
      <c r="G167" s="82"/>
      <c r="H167" s="82"/>
    </row>
    <row r="168" spans="2:11" ht="13" hidden="1" outlineLevel="1" x14ac:dyDescent="0.25">
      <c r="B168" s="86" t="s">
        <v>7</v>
      </c>
      <c r="C168" s="149">
        <f>SUM(C153:C166)</f>
        <v>0</v>
      </c>
      <c r="D168" s="88" t="str">
        <f>D144</f>
        <v>kg</v>
      </c>
      <c r="E168" s="77"/>
      <c r="F168" s="82"/>
      <c r="G168" s="82"/>
      <c r="H168" s="82"/>
    </row>
    <row r="169" spans="2:11" ht="13" hidden="1" outlineLevel="1" x14ac:dyDescent="0.25">
      <c r="B169" s="79" t="s">
        <v>71</v>
      </c>
      <c r="C169" s="150"/>
      <c r="D169" s="81"/>
      <c r="E169" s="77"/>
      <c r="F169" s="82"/>
      <c r="G169" s="82"/>
      <c r="H169" s="82"/>
    </row>
    <row r="170" spans="2:11" ht="13" hidden="1" outlineLevel="1" x14ac:dyDescent="0.25">
      <c r="B170" s="74"/>
      <c r="C170" s="148"/>
      <c r="D170" s="76" t="str">
        <f>D144</f>
        <v>kg</v>
      </c>
      <c r="E170" s="77"/>
      <c r="F170" s="82"/>
      <c r="G170" s="82"/>
      <c r="H170" s="82"/>
    </row>
    <row r="171" spans="2:11" ht="13" hidden="1" outlineLevel="1" x14ac:dyDescent="0.25">
      <c r="B171" s="74"/>
      <c r="C171" s="148"/>
      <c r="D171" s="76" t="str">
        <f>D144</f>
        <v>kg</v>
      </c>
      <c r="E171" s="77"/>
      <c r="F171" s="82"/>
      <c r="G171" s="82"/>
      <c r="H171" s="82"/>
    </row>
    <row r="172" spans="2:11" ht="13" hidden="1" outlineLevel="1" x14ac:dyDescent="0.25">
      <c r="B172" s="74"/>
      <c r="C172" s="148"/>
      <c r="D172" s="76" t="str">
        <f>D144</f>
        <v>kg</v>
      </c>
      <c r="E172" s="77"/>
      <c r="F172" s="82"/>
      <c r="G172" s="82"/>
      <c r="H172" s="82"/>
    </row>
    <row r="173" spans="2:11" ht="13" hidden="1" outlineLevel="1" x14ac:dyDescent="0.25">
      <c r="B173" s="74"/>
      <c r="C173" s="148"/>
      <c r="D173" s="76" t="str">
        <f>D144</f>
        <v>kg</v>
      </c>
      <c r="E173" s="77"/>
      <c r="F173" s="82"/>
      <c r="G173" s="82"/>
      <c r="H173" s="82"/>
    </row>
    <row r="174" spans="2:11" ht="13" hidden="1" outlineLevel="1" x14ac:dyDescent="0.25">
      <c r="B174" s="74"/>
      <c r="C174" s="148"/>
      <c r="D174" s="76" t="str">
        <f>D144</f>
        <v>kg</v>
      </c>
      <c r="E174" s="77"/>
      <c r="F174" s="82"/>
      <c r="G174" s="82"/>
      <c r="H174" s="82"/>
    </row>
    <row r="175" spans="2:11" ht="13" hidden="1" outlineLevel="1" x14ac:dyDescent="0.25">
      <c r="B175" s="74"/>
      <c r="C175" s="148"/>
      <c r="D175" s="76" t="str">
        <f>D144</f>
        <v>kg</v>
      </c>
      <c r="E175" s="90"/>
      <c r="F175" s="82"/>
      <c r="G175" s="82"/>
      <c r="H175" s="82"/>
    </row>
    <row r="176" spans="2:11" ht="13" hidden="1" outlineLevel="1" x14ac:dyDescent="0.25">
      <c r="B176" s="74"/>
      <c r="C176" s="148"/>
      <c r="D176" s="76" t="str">
        <f>D144</f>
        <v>kg</v>
      </c>
      <c r="E176" s="77"/>
      <c r="F176" s="82"/>
      <c r="G176" s="82"/>
      <c r="H176" s="82"/>
    </row>
    <row r="177" spans="2:11" ht="13" hidden="1" outlineLevel="1" x14ac:dyDescent="0.25">
      <c r="B177" s="74"/>
      <c r="C177" s="148"/>
      <c r="D177" s="76" t="str">
        <f>D144</f>
        <v>kg</v>
      </c>
      <c r="E177" s="77"/>
      <c r="F177" s="82"/>
      <c r="G177" s="82"/>
      <c r="H177" s="82"/>
    </row>
    <row r="178" spans="2:11" ht="13" hidden="1" outlineLevel="1" x14ac:dyDescent="0.25">
      <c r="B178" s="79" t="s">
        <v>70</v>
      </c>
      <c r="C178" s="147"/>
      <c r="D178" s="81"/>
      <c r="E178" s="77"/>
      <c r="F178" s="82"/>
      <c r="G178" s="82"/>
      <c r="H178" s="82"/>
    </row>
    <row r="179" spans="2:11" ht="13" hidden="1" outlineLevel="1" x14ac:dyDescent="0.25">
      <c r="B179" s="74"/>
      <c r="C179" s="148"/>
      <c r="D179" s="76" t="str">
        <f>D144</f>
        <v>kg</v>
      </c>
      <c r="E179" s="77"/>
      <c r="F179" s="82"/>
      <c r="G179" s="82"/>
      <c r="H179" s="82"/>
    </row>
    <row r="180" spans="2:11" ht="13.4" hidden="1" customHeight="1" outlineLevel="1" x14ac:dyDescent="0.25">
      <c r="B180" s="74"/>
      <c r="C180" s="148"/>
      <c r="D180" s="76" t="str">
        <f>D144</f>
        <v>kg</v>
      </c>
      <c r="E180" s="77"/>
      <c r="F180" s="82"/>
      <c r="G180" s="82"/>
      <c r="H180" s="82"/>
      <c r="K180" s="34"/>
    </row>
    <row r="181" spans="2:11" ht="13" hidden="1" outlineLevel="1" x14ac:dyDescent="0.25">
      <c r="B181" s="74"/>
      <c r="C181" s="148"/>
      <c r="D181" s="76" t="str">
        <f>D144</f>
        <v>kg</v>
      </c>
      <c r="E181" s="77"/>
      <c r="F181" s="82"/>
      <c r="G181" s="82"/>
      <c r="H181" s="82"/>
    </row>
    <row r="182" spans="2:11" ht="13" hidden="1" outlineLevel="1" x14ac:dyDescent="0.25">
      <c r="B182" s="74"/>
      <c r="C182" s="148"/>
      <c r="D182" s="76" t="str">
        <f>D144</f>
        <v>kg</v>
      </c>
      <c r="E182" s="77"/>
      <c r="F182" s="82"/>
      <c r="G182" s="82"/>
      <c r="H182" s="82"/>
    </row>
    <row r="183" spans="2:11" ht="13" hidden="1" outlineLevel="1" x14ac:dyDescent="0.25">
      <c r="B183" s="74"/>
      <c r="C183" s="148"/>
      <c r="D183" s="76" t="str">
        <f>D144</f>
        <v>kg</v>
      </c>
      <c r="E183" s="77"/>
      <c r="F183" s="82"/>
      <c r="G183" s="82"/>
      <c r="H183" s="82"/>
    </row>
    <row r="184" spans="2:11" ht="13" hidden="1" outlineLevel="1" x14ac:dyDescent="0.25">
      <c r="B184" s="74"/>
      <c r="C184" s="148"/>
      <c r="D184" s="76" t="str">
        <f>D144</f>
        <v>kg</v>
      </c>
      <c r="E184" s="77"/>
      <c r="F184" s="82"/>
      <c r="G184" s="82"/>
      <c r="H184" s="82"/>
    </row>
    <row r="185" spans="2:11" ht="13" hidden="1" outlineLevel="1" x14ac:dyDescent="0.25">
      <c r="B185" s="74"/>
      <c r="C185" s="148"/>
      <c r="D185" s="76" t="str">
        <f>D144</f>
        <v>kg</v>
      </c>
      <c r="E185" s="77"/>
      <c r="F185" s="82"/>
      <c r="G185" s="82"/>
      <c r="H185" s="82"/>
    </row>
    <row r="186" spans="2:11" ht="13" hidden="1" outlineLevel="1" x14ac:dyDescent="0.25">
      <c r="B186" s="79"/>
      <c r="C186" s="147"/>
      <c r="D186" s="81"/>
      <c r="E186" s="77"/>
      <c r="F186" s="82"/>
      <c r="G186" s="82"/>
      <c r="H186" s="82"/>
    </row>
    <row r="187" spans="2:11" ht="13" hidden="1" outlineLevel="1" x14ac:dyDescent="0.25">
      <c r="B187" s="86" t="s">
        <v>9</v>
      </c>
      <c r="C187" s="149">
        <f>SUM(C168:C185)</f>
        <v>0</v>
      </c>
      <c r="D187" s="91" t="str">
        <f>D144</f>
        <v>kg</v>
      </c>
      <c r="E187" s="98"/>
      <c r="F187" s="82"/>
      <c r="G187" s="82"/>
      <c r="H187" s="82"/>
    </row>
    <row r="188" spans="2:11" ht="13" hidden="1" outlineLevel="1" x14ac:dyDescent="0.25">
      <c r="B188" s="92"/>
      <c r="C188" s="93"/>
      <c r="D188" s="94"/>
      <c r="E188" s="98"/>
      <c r="F188" s="82"/>
      <c r="G188" s="82"/>
      <c r="H188" s="82"/>
    </row>
    <row r="189" spans="2:11" ht="20.5" hidden="1" outlineLevel="1" thickBot="1" x14ac:dyDescent="0.3">
      <c r="B189" s="426" t="s">
        <v>10</v>
      </c>
      <c r="C189" s="427"/>
      <c r="D189" s="428"/>
      <c r="E189" s="98"/>
      <c r="F189" s="82"/>
      <c r="G189" s="82"/>
      <c r="H189" s="82"/>
    </row>
    <row r="190" spans="2:11" ht="18" hidden="1" customHeight="1" outlineLevel="1" x14ac:dyDescent="0.25">
      <c r="B190" s="95" t="s">
        <v>23</v>
      </c>
      <c r="C190" s="96"/>
      <c r="D190" s="151">
        <f>SUM(C154:C155)</f>
        <v>0</v>
      </c>
      <c r="E190" s="98"/>
      <c r="F190" s="82"/>
      <c r="G190" s="82"/>
      <c r="H190" s="82"/>
    </row>
    <row r="191" spans="2:11" ht="18" hidden="1" customHeight="1" outlineLevel="1" thickBot="1" x14ac:dyDescent="0.3">
      <c r="B191" s="99" t="s">
        <v>24</v>
      </c>
      <c r="C191" s="100"/>
      <c r="D191" s="152">
        <f>SUM(C157:C167)</f>
        <v>0</v>
      </c>
      <c r="E191" s="77"/>
      <c r="F191" s="110" t="s">
        <v>86</v>
      </c>
      <c r="G191" s="109" t="s">
        <v>85</v>
      </c>
      <c r="H191" s="110"/>
    </row>
    <row r="192" spans="2:11" ht="13.5" hidden="1" outlineLevel="1" thickBot="1" x14ac:dyDescent="0.3">
      <c r="B192" s="99" t="s">
        <v>25</v>
      </c>
      <c r="C192" s="100"/>
      <c r="D192" s="152">
        <f>SUM(C170:C178)</f>
        <v>0</v>
      </c>
      <c r="E192" s="77"/>
      <c r="F192" s="154"/>
      <c r="G192" s="413"/>
      <c r="H192" s="414"/>
    </row>
    <row r="193" spans="2:16" ht="13" hidden="1" outlineLevel="1" x14ac:dyDescent="0.25">
      <c r="B193" s="102" t="s">
        <v>26</v>
      </c>
      <c r="C193" s="103"/>
      <c r="D193" s="153">
        <f>SUM(C179:C186)</f>
        <v>0</v>
      </c>
      <c r="E193" s="90"/>
      <c r="F193" s="64" t="s">
        <v>45</v>
      </c>
      <c r="G193" s="64" t="s">
        <v>45</v>
      </c>
      <c r="H193" s="155"/>
    </row>
    <row r="194" spans="2:16" ht="18.5" hidden="1" outlineLevel="1" thickTop="1" x14ac:dyDescent="0.25">
      <c r="B194" s="105" t="s">
        <v>11</v>
      </c>
      <c r="C194" s="106"/>
      <c r="D194" s="107" t="e">
        <f>C168/C150</f>
        <v>#DIV/0!</v>
      </c>
      <c r="E194" s="90"/>
      <c r="F194" s="110"/>
      <c r="G194" s="117" t="s">
        <v>46</v>
      </c>
      <c r="H194" s="110"/>
    </row>
    <row r="195" spans="2:16" ht="18" hidden="1" customHeight="1" outlineLevel="1" thickBot="1" x14ac:dyDescent="0.3">
      <c r="B195" s="111" t="s">
        <v>12</v>
      </c>
      <c r="C195" s="112"/>
      <c r="D195" s="113" t="e">
        <f>(D190+D191+D192)/C150</f>
        <v>#DIV/0!</v>
      </c>
      <c r="E195" s="90"/>
      <c r="F195" s="429"/>
      <c r="G195" s="430"/>
      <c r="H195" s="431"/>
    </row>
    <row r="196" spans="2:16" ht="18" hidden="1" outlineLevel="1" x14ac:dyDescent="0.25">
      <c r="B196" s="111" t="s">
        <v>13</v>
      </c>
      <c r="C196" s="112"/>
      <c r="D196" s="113" t="e">
        <f>D192/C150</f>
        <v>#DIV/0!</v>
      </c>
      <c r="E196" s="77"/>
      <c r="F196" s="64" t="s">
        <v>45</v>
      </c>
      <c r="G196" s="64"/>
      <c r="H196" s="82"/>
    </row>
    <row r="197" spans="2:16" ht="18" hidden="1" outlineLevel="1" x14ac:dyDescent="0.25">
      <c r="B197" s="114" t="s">
        <v>14</v>
      </c>
      <c r="C197" s="115"/>
      <c r="D197" s="116" t="e">
        <f>D193/C150</f>
        <v>#DIV/0!</v>
      </c>
      <c r="E197" s="77"/>
      <c r="F197" s="82"/>
      <c r="G197" s="82"/>
      <c r="H197" s="82"/>
    </row>
    <row r="198" spans="2:16" ht="18.5" hidden="1" outlineLevel="1" thickBot="1" x14ac:dyDescent="0.3">
      <c r="B198" s="114" t="s">
        <v>15</v>
      </c>
      <c r="C198" s="119"/>
      <c r="D198" s="116" t="e">
        <f>SUM(D190:D193)/C150</f>
        <v>#DIV/0!</v>
      </c>
      <c r="E198" s="77"/>
      <c r="F198" s="415" t="s">
        <v>61</v>
      </c>
      <c r="G198" s="416"/>
      <c r="H198" s="416"/>
    </row>
    <row r="199" spans="2:16" ht="18.5" hidden="1" outlineLevel="1" thickTop="1" x14ac:dyDescent="0.25">
      <c r="B199" s="120" t="s">
        <v>16</v>
      </c>
      <c r="C199" s="121"/>
      <c r="D199" s="122" t="e">
        <f>((C154*D132)+D191+C155*MAX(1,F152))/C150</f>
        <v>#DIV/0!</v>
      </c>
      <c r="E199" s="77"/>
      <c r="F199" s="416"/>
      <c r="G199" s="416"/>
      <c r="H199" s="416"/>
    </row>
    <row r="200" spans="2:16" ht="18" hidden="1" outlineLevel="1" x14ac:dyDescent="0.25">
      <c r="B200" s="123" t="s">
        <v>17</v>
      </c>
      <c r="C200" s="124"/>
      <c r="D200" s="125" t="e">
        <f>(C154*D133+D191+D192+C155*(MAX(1,F152)+G152))/C150</f>
        <v>#DIV/0!</v>
      </c>
      <c r="E200" s="77"/>
      <c r="F200" s="416"/>
      <c r="G200" s="416"/>
      <c r="H200" s="416"/>
    </row>
    <row r="201" spans="2:16" ht="18" hidden="1" outlineLevel="1" x14ac:dyDescent="0.25">
      <c r="B201" s="123" t="s">
        <v>18</v>
      </c>
      <c r="C201" s="124"/>
      <c r="D201" s="125" t="e">
        <f>((C154*D134)+D192+C155*G152)/C150</f>
        <v>#DIV/0!</v>
      </c>
      <c r="E201" s="46"/>
      <c r="F201" s="416"/>
      <c r="G201" s="416"/>
      <c r="H201" s="416"/>
    </row>
    <row r="202" spans="2:16" ht="18" hidden="1" outlineLevel="1" x14ac:dyDescent="0.25">
      <c r="B202" s="126" t="s">
        <v>19</v>
      </c>
      <c r="C202" s="127"/>
      <c r="D202" s="128" t="e">
        <f>(C154*D135+D193+C155*H152)/C150</f>
        <v>#DIV/0!</v>
      </c>
      <c r="E202" s="46"/>
      <c r="F202" s="416"/>
      <c r="G202" s="416"/>
      <c r="H202" s="416"/>
    </row>
    <row r="203" spans="2:16" ht="23.25" hidden="1" customHeight="1" outlineLevel="1" thickBot="1" x14ac:dyDescent="0.3">
      <c r="B203" s="129" t="s">
        <v>20</v>
      </c>
      <c r="C203" s="130"/>
      <c r="D203" s="131" t="e">
        <f>((C154*D136)+SUM(D191:D193)+C155*(MAX(1,F152)+G152+H152))/C150</f>
        <v>#DIV/0!</v>
      </c>
      <c r="E203" s="46"/>
      <c r="F203" s="416"/>
      <c r="G203" s="416"/>
      <c r="H203" s="416"/>
      <c r="I203" s="34"/>
      <c r="N203" s="36"/>
      <c r="O203" s="36"/>
      <c r="P203" s="36"/>
    </row>
    <row r="204" spans="2:16" ht="13.5" hidden="1" outlineLevel="1" thickTop="1" x14ac:dyDescent="0.25">
      <c r="B204" s="156" t="s">
        <v>76</v>
      </c>
      <c r="C204" s="424"/>
      <c r="D204" s="425"/>
      <c r="E204" s="46"/>
      <c r="F204" s="34"/>
      <c r="G204" s="34"/>
      <c r="H204" s="34"/>
      <c r="N204" s="36"/>
      <c r="O204" s="36"/>
      <c r="P204" s="36"/>
    </row>
    <row r="205" spans="2:16" ht="13" hidden="1" outlineLevel="1" x14ac:dyDescent="0.25">
      <c r="B205" s="157" t="s">
        <v>58</v>
      </c>
      <c r="C205" s="422"/>
      <c r="D205" s="423"/>
      <c r="E205" s="46"/>
      <c r="F205" s="34"/>
      <c r="G205" s="34"/>
      <c r="H205" s="34"/>
    </row>
    <row r="206" spans="2:16" ht="21" hidden="1" outlineLevel="1" thickTop="1" thickBot="1" x14ac:dyDescent="0.3">
      <c r="B206" s="158" t="s">
        <v>59</v>
      </c>
      <c r="C206" s="420"/>
      <c r="D206" s="421"/>
      <c r="E206" s="31"/>
      <c r="F206" s="32" t="s">
        <v>27</v>
      </c>
      <c r="G206" s="33"/>
      <c r="H206" s="33"/>
    </row>
    <row r="207" spans="2:16" ht="14.5" hidden="1" outlineLevel="1" thickBot="1" x14ac:dyDescent="0.3">
      <c r="E207" s="40"/>
      <c r="F207" s="41" t="s">
        <v>28</v>
      </c>
      <c r="G207" s="41" t="s">
        <v>21</v>
      </c>
      <c r="H207" s="41" t="s">
        <v>8</v>
      </c>
    </row>
    <row r="208" spans="2:16" hidden="1" outlineLevel="1" x14ac:dyDescent="0.25">
      <c r="C208" s="25" t="s">
        <v>44</v>
      </c>
      <c r="D208" s="25" t="s">
        <v>42</v>
      </c>
      <c r="E208" s="46"/>
      <c r="F208" s="47"/>
      <c r="G208" s="47"/>
      <c r="H208" s="47"/>
    </row>
    <row r="209" spans="2:8" ht="20.5" hidden="1" outlineLevel="1" thickTop="1" x14ac:dyDescent="0.25">
      <c r="B209" s="140" t="s">
        <v>73</v>
      </c>
      <c r="C209" s="29"/>
      <c r="D209" s="141"/>
      <c r="E209" s="46"/>
      <c r="F209" s="47"/>
      <c r="G209" s="47"/>
      <c r="H209" s="47"/>
    </row>
    <row r="210" spans="2:8" ht="14" hidden="1" outlineLevel="1" x14ac:dyDescent="0.25">
      <c r="B210" s="37"/>
      <c r="C210" s="38" t="s">
        <v>0</v>
      </c>
      <c r="D210" s="39" t="s">
        <v>1</v>
      </c>
      <c r="E210" s="46"/>
      <c r="F210" s="47"/>
      <c r="G210" s="47"/>
      <c r="H210" s="47"/>
    </row>
    <row r="211" spans="2:8" ht="14" hidden="1" outlineLevel="1" x14ac:dyDescent="0.25">
      <c r="B211" s="43" t="s">
        <v>65</v>
      </c>
      <c r="C211" s="142"/>
      <c r="D211" s="45" t="s">
        <v>2</v>
      </c>
      <c r="E211" s="57"/>
      <c r="F211" s="58"/>
      <c r="G211" s="58"/>
      <c r="H211" s="58"/>
    </row>
    <row r="212" spans="2:8" ht="13" hidden="1" outlineLevel="1" x14ac:dyDescent="0.25">
      <c r="B212" s="43" t="s">
        <v>64</v>
      </c>
      <c r="C212" s="143"/>
      <c r="D212" s="45" t="s">
        <v>3</v>
      </c>
      <c r="E212" s="46"/>
      <c r="F212" s="47"/>
      <c r="G212" s="47"/>
      <c r="H212" s="47"/>
    </row>
    <row r="213" spans="2:8" ht="13" hidden="1" outlineLevel="1" x14ac:dyDescent="0.25">
      <c r="B213" s="51" t="s">
        <v>63</v>
      </c>
      <c r="C213" s="144">
        <f>C211*C212</f>
        <v>0</v>
      </c>
      <c r="D213" s="45" t="str">
        <f>D211</f>
        <v>kg</v>
      </c>
      <c r="E213" s="59"/>
      <c r="F213" s="47"/>
      <c r="G213" s="47"/>
      <c r="H213" s="47"/>
    </row>
    <row r="214" spans="2:8" ht="14" hidden="1" outlineLevel="1" x14ac:dyDescent="0.25">
      <c r="B214" s="54" t="s">
        <v>37</v>
      </c>
      <c r="C214" s="145">
        <v>1</v>
      </c>
      <c r="D214" s="56"/>
      <c r="E214" s="46"/>
      <c r="F214" s="47"/>
      <c r="G214" s="47"/>
      <c r="H214" s="47"/>
    </row>
    <row r="215" spans="2:8" ht="13" hidden="1" outlineLevel="1" x14ac:dyDescent="0.25">
      <c r="B215" s="43" t="s">
        <v>66</v>
      </c>
      <c r="C215" s="142"/>
      <c r="D215" s="45" t="str">
        <f>D211</f>
        <v>kg</v>
      </c>
      <c r="F215" s="64"/>
      <c r="G215" s="64"/>
      <c r="H215" s="64"/>
    </row>
    <row r="216" spans="2:8" ht="14.5" hidden="1" outlineLevel="1" thickBot="1" x14ac:dyDescent="0.3">
      <c r="B216" s="43" t="s">
        <v>67</v>
      </c>
      <c r="C216" s="143"/>
      <c r="D216" s="45" t="s">
        <v>3</v>
      </c>
      <c r="E216" s="68"/>
      <c r="F216" s="69"/>
      <c r="G216" s="69"/>
      <c r="H216" s="69"/>
    </row>
    <row r="217" spans="2:8" ht="13" hidden="1" outlineLevel="1" x14ac:dyDescent="0.25">
      <c r="B217" s="51" t="s">
        <v>68</v>
      </c>
      <c r="C217" s="144">
        <f>C215*C216</f>
        <v>0</v>
      </c>
      <c r="D217" s="45" t="str">
        <f>D211</f>
        <v>kg</v>
      </c>
      <c r="E217" s="73"/>
      <c r="F217" s="69"/>
      <c r="G217" s="69"/>
      <c r="H217" s="69"/>
    </row>
    <row r="218" spans="2:8" ht="13.5" hidden="1" outlineLevel="1" thickBot="1" x14ac:dyDescent="0.3">
      <c r="B218" s="61"/>
      <c r="C218" s="62"/>
      <c r="D218" s="63"/>
      <c r="E218" s="98"/>
      <c r="F218" s="69"/>
      <c r="G218" s="69"/>
      <c r="H218" s="69"/>
    </row>
    <row r="219" spans="2:8" ht="14.5" hidden="1" outlineLevel="1" thickBot="1" x14ac:dyDescent="0.3">
      <c r="B219" s="65" t="s">
        <v>5</v>
      </c>
      <c r="C219" s="66" t="s">
        <v>6</v>
      </c>
      <c r="D219" s="67" t="s">
        <v>1</v>
      </c>
      <c r="E219" s="77"/>
      <c r="F219" s="78"/>
      <c r="G219" s="78"/>
      <c r="H219" s="78"/>
    </row>
    <row r="220" spans="2:8" ht="13" hidden="1" outlineLevel="1" x14ac:dyDescent="0.25">
      <c r="B220" s="70" t="s">
        <v>43</v>
      </c>
      <c r="C220" s="71"/>
      <c r="D220" s="72"/>
      <c r="E220" s="77"/>
      <c r="F220" s="82"/>
      <c r="G220" s="82"/>
      <c r="H220" s="82"/>
    </row>
    <row r="221" spans="2:8" ht="13" hidden="1" outlineLevel="1" x14ac:dyDescent="0.25">
      <c r="B221" s="74"/>
      <c r="C221" s="146">
        <f>C213</f>
        <v>0</v>
      </c>
      <c r="D221" s="76" t="str">
        <f>D211</f>
        <v>kg</v>
      </c>
      <c r="E221" s="77"/>
      <c r="F221" s="82"/>
      <c r="G221" s="82"/>
      <c r="H221" s="82"/>
    </row>
    <row r="222" spans="2:8" ht="13" hidden="1" outlineLevel="1" x14ac:dyDescent="0.25">
      <c r="B222" s="74"/>
      <c r="C222" s="146"/>
      <c r="D222" s="76" t="str">
        <f>D211</f>
        <v>kg</v>
      </c>
      <c r="E222" s="77"/>
      <c r="F222" s="82"/>
      <c r="G222" s="82"/>
      <c r="H222" s="82"/>
    </row>
    <row r="223" spans="2:8" ht="13" hidden="1" outlineLevel="1" x14ac:dyDescent="0.25">
      <c r="B223" s="79" t="s">
        <v>69</v>
      </c>
      <c r="C223" s="147"/>
      <c r="D223" s="81"/>
      <c r="E223" s="77"/>
      <c r="F223" s="82"/>
      <c r="G223" s="82"/>
      <c r="H223" s="82"/>
    </row>
    <row r="224" spans="2:8" ht="13" hidden="1" outlineLevel="1" x14ac:dyDescent="0.25">
      <c r="B224" s="74"/>
      <c r="C224" s="148"/>
      <c r="D224" s="76" t="str">
        <f>D211</f>
        <v>kg</v>
      </c>
      <c r="E224" s="77"/>
      <c r="F224" s="82"/>
      <c r="G224" s="82"/>
      <c r="H224" s="82"/>
    </row>
    <row r="225" spans="2:11" ht="13" hidden="1" outlineLevel="1" x14ac:dyDescent="0.25">
      <c r="B225" s="74"/>
      <c r="C225" s="148"/>
      <c r="D225" s="76" t="str">
        <f>D211</f>
        <v>kg</v>
      </c>
      <c r="E225" s="77"/>
      <c r="F225" s="82"/>
      <c r="G225" s="82"/>
      <c r="H225" s="82"/>
      <c r="J225" s="159"/>
    </row>
    <row r="226" spans="2:11" ht="13" hidden="1" outlineLevel="1" x14ac:dyDescent="0.25">
      <c r="B226" s="74"/>
      <c r="C226" s="148"/>
      <c r="D226" s="76" t="str">
        <f>D211</f>
        <v>kg</v>
      </c>
      <c r="E226" s="77"/>
      <c r="F226" s="82"/>
      <c r="G226" s="82"/>
      <c r="H226" s="82"/>
    </row>
    <row r="227" spans="2:11" ht="13" hidden="1" outlineLevel="1" x14ac:dyDescent="0.25">
      <c r="B227" s="74"/>
      <c r="C227" s="148"/>
      <c r="D227" s="76" t="str">
        <f>D211</f>
        <v>kg</v>
      </c>
      <c r="E227" s="77"/>
      <c r="F227" s="82"/>
      <c r="G227" s="82"/>
      <c r="H227" s="82"/>
    </row>
    <row r="228" spans="2:11" ht="13.4" hidden="1" customHeight="1" outlineLevel="1" x14ac:dyDescent="0.25">
      <c r="B228" s="74"/>
      <c r="C228" s="148"/>
      <c r="D228" s="76" t="str">
        <f>D211</f>
        <v>kg</v>
      </c>
      <c r="E228" s="77"/>
      <c r="F228" s="82"/>
      <c r="G228" s="82"/>
      <c r="H228" s="82"/>
      <c r="K228" s="34"/>
    </row>
    <row r="229" spans="2:11" ht="13" hidden="1" outlineLevel="1" x14ac:dyDescent="0.25">
      <c r="B229" s="74"/>
      <c r="C229" s="148"/>
      <c r="D229" s="76" t="str">
        <f>D211</f>
        <v>kg</v>
      </c>
      <c r="E229" s="77"/>
      <c r="F229" s="82"/>
      <c r="G229" s="82"/>
      <c r="H229" s="82"/>
    </row>
    <row r="230" spans="2:11" ht="13" hidden="1" outlineLevel="1" x14ac:dyDescent="0.25">
      <c r="B230" s="74"/>
      <c r="C230" s="148"/>
      <c r="D230" s="76" t="str">
        <f>D211</f>
        <v>kg</v>
      </c>
      <c r="E230" s="77"/>
      <c r="F230" s="82"/>
      <c r="G230" s="82"/>
      <c r="H230" s="82"/>
    </row>
    <row r="231" spans="2:11" ht="13" hidden="1" outlineLevel="1" x14ac:dyDescent="0.25">
      <c r="B231" s="74"/>
      <c r="C231" s="148"/>
      <c r="D231" s="76" t="str">
        <f>D211</f>
        <v>kg</v>
      </c>
      <c r="E231" s="77"/>
      <c r="F231" s="82"/>
      <c r="G231" s="82"/>
      <c r="H231" s="82"/>
      <c r="J231" s="159"/>
    </row>
    <row r="232" spans="2:11" ht="13" hidden="1" outlineLevel="1" x14ac:dyDescent="0.25">
      <c r="B232" s="74"/>
      <c r="C232" s="148"/>
      <c r="D232" s="76" t="str">
        <f>D211</f>
        <v>kg</v>
      </c>
      <c r="E232" s="77"/>
      <c r="F232" s="82"/>
      <c r="G232" s="82"/>
      <c r="H232" s="82"/>
      <c r="J232" s="159"/>
    </row>
    <row r="233" spans="2:11" ht="13" hidden="1" outlineLevel="1" x14ac:dyDescent="0.25">
      <c r="B233" s="74"/>
      <c r="C233" s="148"/>
      <c r="D233" s="76" t="str">
        <f>D211</f>
        <v>kg</v>
      </c>
      <c r="E233" s="77"/>
      <c r="F233" s="82"/>
      <c r="G233" s="82"/>
      <c r="H233" s="82"/>
      <c r="J233" s="159"/>
    </row>
    <row r="234" spans="2:11" ht="13" hidden="1" outlineLevel="1" x14ac:dyDescent="0.25">
      <c r="B234" s="79"/>
      <c r="C234" s="147"/>
      <c r="D234" s="81"/>
      <c r="E234" s="77"/>
      <c r="F234" s="82"/>
      <c r="G234" s="82"/>
      <c r="H234" s="82"/>
    </row>
    <row r="235" spans="2:11" ht="13" hidden="1" outlineLevel="1" x14ac:dyDescent="0.25">
      <c r="B235" s="86" t="s">
        <v>7</v>
      </c>
      <c r="C235" s="149">
        <f>SUM(C220:C233)</f>
        <v>0</v>
      </c>
      <c r="D235" s="88" t="str">
        <f>D211</f>
        <v>kg</v>
      </c>
      <c r="E235" s="77"/>
      <c r="F235" s="82"/>
      <c r="G235" s="82"/>
      <c r="H235" s="82"/>
    </row>
    <row r="236" spans="2:11" ht="13" hidden="1" outlineLevel="1" x14ac:dyDescent="0.25">
      <c r="B236" s="79" t="s">
        <v>71</v>
      </c>
      <c r="C236" s="150"/>
      <c r="D236" s="81"/>
      <c r="E236" s="77"/>
      <c r="F236" s="82"/>
      <c r="G236" s="82"/>
      <c r="H236" s="82"/>
    </row>
    <row r="237" spans="2:11" ht="13" hidden="1" outlineLevel="1" x14ac:dyDescent="0.25">
      <c r="B237" s="74"/>
      <c r="C237" s="148"/>
      <c r="D237" s="76" t="str">
        <f>D211</f>
        <v>kg</v>
      </c>
      <c r="E237" s="77"/>
      <c r="F237" s="82"/>
      <c r="G237" s="82"/>
      <c r="H237" s="82"/>
    </row>
    <row r="238" spans="2:11" ht="13" hidden="1" outlineLevel="1" x14ac:dyDescent="0.25">
      <c r="B238" s="74"/>
      <c r="C238" s="148"/>
      <c r="D238" s="76" t="str">
        <f>D211</f>
        <v>kg</v>
      </c>
      <c r="E238" s="77"/>
      <c r="F238" s="82"/>
      <c r="G238" s="82"/>
      <c r="H238" s="82"/>
    </row>
    <row r="239" spans="2:11" ht="13" hidden="1" outlineLevel="1" x14ac:dyDescent="0.25">
      <c r="B239" s="74"/>
      <c r="C239" s="148"/>
      <c r="D239" s="76" t="str">
        <f>D211</f>
        <v>kg</v>
      </c>
      <c r="E239" s="77"/>
      <c r="F239" s="82"/>
      <c r="G239" s="82"/>
      <c r="H239" s="82"/>
    </row>
    <row r="240" spans="2:11" ht="13" hidden="1" outlineLevel="1" x14ac:dyDescent="0.25">
      <c r="B240" s="74"/>
      <c r="C240" s="148"/>
      <c r="D240" s="76" t="str">
        <f>D211</f>
        <v>kg</v>
      </c>
      <c r="E240" s="77"/>
      <c r="F240" s="82"/>
      <c r="G240" s="82"/>
      <c r="H240" s="82"/>
    </row>
    <row r="241" spans="2:11" ht="13" hidden="1" outlineLevel="1" x14ac:dyDescent="0.25">
      <c r="B241" s="74"/>
      <c r="C241" s="148"/>
      <c r="D241" s="76" t="str">
        <f>D211</f>
        <v>kg</v>
      </c>
      <c r="E241" s="77"/>
      <c r="F241" s="82"/>
      <c r="G241" s="82"/>
      <c r="H241" s="82"/>
    </row>
    <row r="242" spans="2:11" ht="13" hidden="1" outlineLevel="1" x14ac:dyDescent="0.25">
      <c r="B242" s="74"/>
      <c r="C242" s="148"/>
      <c r="D242" s="76" t="str">
        <f>D211</f>
        <v>kg</v>
      </c>
      <c r="E242" s="90"/>
      <c r="F242" s="82"/>
      <c r="G242" s="82"/>
      <c r="H242" s="82"/>
    </row>
    <row r="243" spans="2:11" ht="13" hidden="1" outlineLevel="1" x14ac:dyDescent="0.25">
      <c r="B243" s="74"/>
      <c r="C243" s="148"/>
      <c r="D243" s="76" t="str">
        <f>D211</f>
        <v>kg</v>
      </c>
      <c r="E243" s="77"/>
      <c r="F243" s="82"/>
      <c r="G243" s="82"/>
      <c r="H243" s="82"/>
    </row>
    <row r="244" spans="2:11" ht="13" hidden="1" outlineLevel="1" x14ac:dyDescent="0.25">
      <c r="B244" s="74"/>
      <c r="C244" s="148"/>
      <c r="D244" s="76" t="str">
        <f>D211</f>
        <v>kg</v>
      </c>
      <c r="E244" s="77"/>
      <c r="F244" s="82"/>
      <c r="G244" s="82"/>
      <c r="H244" s="82"/>
    </row>
    <row r="245" spans="2:11" ht="13" hidden="1" outlineLevel="1" x14ac:dyDescent="0.25">
      <c r="B245" s="79" t="s">
        <v>70</v>
      </c>
      <c r="C245" s="147"/>
      <c r="D245" s="81"/>
      <c r="E245" s="77"/>
      <c r="F245" s="82"/>
      <c r="G245" s="82"/>
      <c r="H245" s="82"/>
    </row>
    <row r="246" spans="2:11" ht="13" hidden="1" outlineLevel="1" x14ac:dyDescent="0.25">
      <c r="B246" s="74"/>
      <c r="C246" s="148"/>
      <c r="D246" s="76" t="str">
        <f>D211</f>
        <v>kg</v>
      </c>
      <c r="E246" s="77"/>
      <c r="F246" s="82"/>
      <c r="G246" s="82"/>
      <c r="H246" s="82"/>
    </row>
    <row r="247" spans="2:11" ht="13.4" hidden="1" customHeight="1" outlineLevel="1" x14ac:dyDescent="0.25">
      <c r="B247" s="74"/>
      <c r="C247" s="148"/>
      <c r="D247" s="76" t="str">
        <f>D211</f>
        <v>kg</v>
      </c>
      <c r="E247" s="77"/>
      <c r="F247" s="82"/>
      <c r="G247" s="82"/>
      <c r="H247" s="82"/>
      <c r="K247" s="34"/>
    </row>
    <row r="248" spans="2:11" ht="13" hidden="1" outlineLevel="1" x14ac:dyDescent="0.25">
      <c r="B248" s="74"/>
      <c r="C248" s="148"/>
      <c r="D248" s="76" t="str">
        <f>D211</f>
        <v>kg</v>
      </c>
      <c r="E248" s="77"/>
      <c r="F248" s="82"/>
      <c r="G248" s="82"/>
      <c r="H248" s="82"/>
    </row>
    <row r="249" spans="2:11" ht="13" hidden="1" outlineLevel="1" x14ac:dyDescent="0.25">
      <c r="B249" s="74"/>
      <c r="C249" s="148"/>
      <c r="D249" s="76" t="str">
        <f>D211</f>
        <v>kg</v>
      </c>
      <c r="E249" s="77"/>
      <c r="F249" s="82"/>
      <c r="G249" s="82"/>
      <c r="H249" s="82"/>
    </row>
    <row r="250" spans="2:11" ht="13" hidden="1" outlineLevel="1" x14ac:dyDescent="0.25">
      <c r="B250" s="74"/>
      <c r="C250" s="148"/>
      <c r="D250" s="76" t="str">
        <f>D211</f>
        <v>kg</v>
      </c>
      <c r="E250" s="77"/>
      <c r="F250" s="82"/>
      <c r="G250" s="82"/>
      <c r="H250" s="82"/>
    </row>
    <row r="251" spans="2:11" ht="13" hidden="1" outlineLevel="1" x14ac:dyDescent="0.25">
      <c r="B251" s="74"/>
      <c r="C251" s="148"/>
      <c r="D251" s="76" t="str">
        <f>D211</f>
        <v>kg</v>
      </c>
      <c r="E251" s="77"/>
      <c r="F251" s="82"/>
      <c r="G251" s="82"/>
      <c r="H251" s="82"/>
    </row>
    <row r="252" spans="2:11" ht="13" hidden="1" outlineLevel="1" x14ac:dyDescent="0.25">
      <c r="B252" s="74"/>
      <c r="C252" s="148"/>
      <c r="D252" s="76" t="str">
        <f>D211</f>
        <v>kg</v>
      </c>
      <c r="E252" s="77"/>
      <c r="F252" s="82"/>
      <c r="G252" s="82"/>
      <c r="H252" s="82"/>
    </row>
    <row r="253" spans="2:11" ht="13" hidden="1" outlineLevel="1" x14ac:dyDescent="0.25">
      <c r="B253" s="79"/>
      <c r="C253" s="147"/>
      <c r="D253" s="81"/>
      <c r="E253" s="77"/>
      <c r="F253" s="82"/>
      <c r="G253" s="82"/>
      <c r="H253" s="82"/>
    </row>
    <row r="254" spans="2:11" ht="13" hidden="1" outlineLevel="1" x14ac:dyDescent="0.25">
      <c r="B254" s="86" t="s">
        <v>9</v>
      </c>
      <c r="C254" s="149">
        <f>SUM(C235:C252)</f>
        <v>0</v>
      </c>
      <c r="D254" s="91" t="str">
        <f>D211</f>
        <v>kg</v>
      </c>
      <c r="E254" s="98"/>
      <c r="F254" s="82"/>
      <c r="G254" s="82"/>
      <c r="H254" s="82"/>
    </row>
    <row r="255" spans="2:11" ht="13" hidden="1" outlineLevel="1" x14ac:dyDescent="0.25">
      <c r="B255" s="92"/>
      <c r="C255" s="93"/>
      <c r="D255" s="94"/>
      <c r="E255" s="98"/>
      <c r="F255" s="82"/>
      <c r="G255" s="82"/>
      <c r="H255" s="82"/>
    </row>
    <row r="256" spans="2:11" ht="20.5" hidden="1" outlineLevel="1" thickBot="1" x14ac:dyDescent="0.3">
      <c r="B256" s="426" t="s">
        <v>10</v>
      </c>
      <c r="C256" s="427"/>
      <c r="D256" s="428"/>
      <c r="E256" s="98"/>
      <c r="F256" s="82"/>
      <c r="G256" s="82"/>
      <c r="H256" s="82"/>
    </row>
    <row r="257" spans="2:16" ht="13" hidden="1" outlineLevel="1" x14ac:dyDescent="0.25">
      <c r="B257" s="95" t="s">
        <v>23</v>
      </c>
      <c r="C257" s="96"/>
      <c r="D257" s="151">
        <f>SUM(C221:C222)</f>
        <v>0</v>
      </c>
      <c r="E257" s="98"/>
      <c r="F257" s="82"/>
      <c r="G257" s="82"/>
      <c r="H257" s="82"/>
    </row>
    <row r="258" spans="2:16" ht="13" hidden="1" outlineLevel="1" x14ac:dyDescent="0.25">
      <c r="B258" s="99" t="s">
        <v>24</v>
      </c>
      <c r="C258" s="100"/>
      <c r="D258" s="152">
        <f>SUM(C224:C234)</f>
        <v>0</v>
      </c>
      <c r="E258" s="77"/>
      <c r="F258" s="110" t="s">
        <v>86</v>
      </c>
      <c r="G258" s="109" t="s">
        <v>85</v>
      </c>
      <c r="H258" s="110"/>
    </row>
    <row r="259" spans="2:16" ht="13.5" hidden="1" outlineLevel="1" thickBot="1" x14ac:dyDescent="0.3">
      <c r="B259" s="99" t="s">
        <v>25</v>
      </c>
      <c r="C259" s="100"/>
      <c r="D259" s="152">
        <f>SUM(C237:C245)</f>
        <v>0</v>
      </c>
      <c r="E259" s="77"/>
      <c r="F259" s="154"/>
      <c r="G259" s="413"/>
      <c r="H259" s="414"/>
    </row>
    <row r="260" spans="2:16" ht="13" hidden="1" outlineLevel="1" x14ac:dyDescent="0.25">
      <c r="B260" s="102" t="s">
        <v>26</v>
      </c>
      <c r="C260" s="103"/>
      <c r="D260" s="153">
        <f>SUM(C246:C253)</f>
        <v>0</v>
      </c>
      <c r="E260" s="90"/>
      <c r="F260" s="64" t="s">
        <v>45</v>
      </c>
      <c r="G260" s="64" t="s">
        <v>45</v>
      </c>
      <c r="H260" s="155"/>
    </row>
    <row r="261" spans="2:16" ht="18.5" hidden="1" outlineLevel="1" thickTop="1" x14ac:dyDescent="0.25">
      <c r="B261" s="105" t="s">
        <v>11</v>
      </c>
      <c r="C261" s="106"/>
      <c r="D261" s="107" t="e">
        <f>C235/C217</f>
        <v>#DIV/0!</v>
      </c>
      <c r="E261" s="90"/>
      <c r="F261" s="110"/>
      <c r="G261" s="117" t="s">
        <v>46</v>
      </c>
      <c r="H261" s="110"/>
    </row>
    <row r="262" spans="2:16" ht="18" hidden="1" customHeight="1" outlineLevel="1" thickBot="1" x14ac:dyDescent="0.3">
      <c r="B262" s="111" t="s">
        <v>12</v>
      </c>
      <c r="C262" s="112"/>
      <c r="D262" s="113" t="e">
        <f>(D257+D258+D259)/C217</f>
        <v>#DIV/0!</v>
      </c>
      <c r="E262" s="90"/>
      <c r="F262" s="429"/>
      <c r="G262" s="430"/>
      <c r="H262" s="431"/>
    </row>
    <row r="263" spans="2:16" ht="18" hidden="1" outlineLevel="1" x14ac:dyDescent="0.25">
      <c r="B263" s="111" t="s">
        <v>13</v>
      </c>
      <c r="C263" s="112"/>
      <c r="D263" s="113" t="e">
        <f>D259/C217</f>
        <v>#DIV/0!</v>
      </c>
      <c r="E263" s="77"/>
      <c r="F263" s="64" t="s">
        <v>45</v>
      </c>
      <c r="G263" s="64"/>
      <c r="H263" s="82"/>
    </row>
    <row r="264" spans="2:16" ht="18" hidden="1" outlineLevel="1" x14ac:dyDescent="0.25">
      <c r="B264" s="114" t="s">
        <v>14</v>
      </c>
      <c r="C264" s="115"/>
      <c r="D264" s="116" t="e">
        <f>D260/C217</f>
        <v>#DIV/0!</v>
      </c>
      <c r="E264" s="77"/>
      <c r="F264" s="82"/>
      <c r="G264" s="82"/>
      <c r="H264" s="82"/>
    </row>
    <row r="265" spans="2:16" ht="18.5" hidden="1" outlineLevel="1" thickBot="1" x14ac:dyDescent="0.3">
      <c r="B265" s="114" t="s">
        <v>15</v>
      </c>
      <c r="C265" s="119"/>
      <c r="D265" s="116" t="e">
        <f>SUM(D257:D260)/C217</f>
        <v>#DIV/0!</v>
      </c>
      <c r="E265" s="77"/>
      <c r="F265" s="415" t="s">
        <v>61</v>
      </c>
      <c r="G265" s="416"/>
      <c r="H265" s="416"/>
    </row>
    <row r="266" spans="2:16" ht="18.5" hidden="1" outlineLevel="1" thickTop="1" x14ac:dyDescent="0.25">
      <c r="B266" s="120" t="s">
        <v>16</v>
      </c>
      <c r="C266" s="121"/>
      <c r="D266" s="122" t="e">
        <f>((C221*D199)+D258+C222*MAX(1,F219))/C217</f>
        <v>#DIV/0!</v>
      </c>
      <c r="E266" s="77"/>
      <c r="F266" s="416"/>
      <c r="G266" s="416"/>
      <c r="H266" s="416"/>
    </row>
    <row r="267" spans="2:16" ht="18" hidden="1" outlineLevel="1" x14ac:dyDescent="0.25">
      <c r="B267" s="123" t="s">
        <v>17</v>
      </c>
      <c r="C267" s="124"/>
      <c r="D267" s="125" t="e">
        <f>(C221*D200+D258+D259+C222*(MAX(1,F219)+G219))/C217</f>
        <v>#DIV/0!</v>
      </c>
      <c r="E267" s="77"/>
      <c r="F267" s="416"/>
      <c r="G267" s="416"/>
      <c r="H267" s="416"/>
    </row>
    <row r="268" spans="2:16" ht="18" hidden="1" outlineLevel="1" x14ac:dyDescent="0.25">
      <c r="B268" s="123" t="s">
        <v>18</v>
      </c>
      <c r="C268" s="124"/>
      <c r="D268" s="125" t="e">
        <f>((C221*D201)+D259+C222*G219)/C217</f>
        <v>#DIV/0!</v>
      </c>
      <c r="E268" s="46"/>
      <c r="F268" s="416"/>
      <c r="G268" s="416"/>
      <c r="H268" s="416"/>
    </row>
    <row r="269" spans="2:16" ht="18" hidden="1" outlineLevel="1" x14ac:dyDescent="0.25">
      <c r="B269" s="126" t="s">
        <v>19</v>
      </c>
      <c r="C269" s="127"/>
      <c r="D269" s="128" t="e">
        <f>(C221*D202+D260+C222*H219)/C217</f>
        <v>#DIV/0!</v>
      </c>
      <c r="E269" s="46"/>
      <c r="F269" s="416"/>
      <c r="G269" s="416"/>
      <c r="H269" s="416"/>
    </row>
    <row r="270" spans="2:16" ht="18.5" hidden="1" outlineLevel="1" thickBot="1" x14ac:dyDescent="0.3">
      <c r="B270" s="129" t="s">
        <v>20</v>
      </c>
      <c r="C270" s="130"/>
      <c r="D270" s="131" t="e">
        <f>((C221*D203)+SUM(D258:D260)+C222*(MAX(1,F219)+G219+H219))/C217</f>
        <v>#DIV/0!</v>
      </c>
      <c r="E270" s="46"/>
      <c r="F270" s="416"/>
      <c r="G270" s="416"/>
      <c r="H270" s="416"/>
      <c r="I270" s="34"/>
      <c r="N270" s="36"/>
      <c r="O270" s="36"/>
      <c r="P270" s="36"/>
    </row>
    <row r="271" spans="2:16" ht="13.5" hidden="1" outlineLevel="1" thickTop="1" x14ac:dyDescent="0.25">
      <c r="B271" s="156" t="s">
        <v>76</v>
      </c>
      <c r="C271" s="424"/>
      <c r="D271" s="425"/>
      <c r="E271" s="46"/>
      <c r="F271" s="34"/>
      <c r="G271" s="34"/>
      <c r="H271" s="34"/>
      <c r="N271" s="36"/>
      <c r="O271" s="36"/>
      <c r="P271" s="36"/>
    </row>
    <row r="272" spans="2:16" ht="13" hidden="1" outlineLevel="1" x14ac:dyDescent="0.25">
      <c r="B272" s="157" t="s">
        <v>58</v>
      </c>
      <c r="C272" s="422"/>
      <c r="D272" s="423"/>
      <c r="E272" s="46"/>
      <c r="F272" s="34"/>
      <c r="G272" s="34"/>
      <c r="H272" s="34"/>
    </row>
    <row r="273" spans="2:10" ht="21" hidden="1" outlineLevel="1" thickTop="1" thickBot="1" x14ac:dyDescent="0.3">
      <c r="B273" s="158" t="s">
        <v>59</v>
      </c>
      <c r="C273" s="420"/>
      <c r="D273" s="421"/>
      <c r="E273" s="31"/>
      <c r="F273" s="32" t="s">
        <v>27</v>
      </c>
      <c r="G273" s="33"/>
      <c r="H273" s="33"/>
    </row>
    <row r="274" spans="2:10" ht="14.5" hidden="1" outlineLevel="1" thickBot="1" x14ac:dyDescent="0.3">
      <c r="E274" s="40"/>
      <c r="F274" s="41" t="s">
        <v>28</v>
      </c>
      <c r="G274" s="41" t="s">
        <v>21</v>
      </c>
      <c r="H274" s="41" t="s">
        <v>8</v>
      </c>
    </row>
    <row r="275" spans="2:10" hidden="1" outlineLevel="1" x14ac:dyDescent="0.25">
      <c r="C275" s="25" t="s">
        <v>44</v>
      </c>
      <c r="D275" s="25" t="s">
        <v>42</v>
      </c>
      <c r="E275" s="46"/>
      <c r="F275" s="47"/>
      <c r="G275" s="47"/>
      <c r="H275" s="47"/>
    </row>
    <row r="276" spans="2:10" ht="20.5" hidden="1" outlineLevel="1" thickTop="1" x14ac:dyDescent="0.25">
      <c r="B276" s="140" t="s">
        <v>73</v>
      </c>
      <c r="C276" s="29"/>
      <c r="D276" s="141"/>
      <c r="E276" s="46"/>
      <c r="F276" s="47"/>
      <c r="G276" s="47"/>
      <c r="H276" s="47"/>
      <c r="J276" s="159"/>
    </row>
    <row r="277" spans="2:10" ht="14" hidden="1" outlineLevel="1" x14ac:dyDescent="0.25">
      <c r="B277" s="37"/>
      <c r="C277" s="38" t="s">
        <v>0</v>
      </c>
      <c r="D277" s="39" t="s">
        <v>1</v>
      </c>
      <c r="E277" s="46"/>
      <c r="F277" s="47"/>
      <c r="G277" s="47"/>
      <c r="H277" s="47"/>
    </row>
    <row r="278" spans="2:10" ht="14" hidden="1" outlineLevel="1" x14ac:dyDescent="0.25">
      <c r="B278" s="43" t="s">
        <v>65</v>
      </c>
      <c r="C278" s="142"/>
      <c r="D278" s="45" t="s">
        <v>2</v>
      </c>
      <c r="E278" s="57"/>
      <c r="F278" s="58"/>
      <c r="G278" s="58"/>
      <c r="H278" s="58"/>
    </row>
    <row r="279" spans="2:10" ht="13" hidden="1" outlineLevel="1" x14ac:dyDescent="0.25">
      <c r="B279" s="43" t="s">
        <v>64</v>
      </c>
      <c r="C279" s="143"/>
      <c r="D279" s="45" t="s">
        <v>3</v>
      </c>
      <c r="E279" s="46"/>
      <c r="F279" s="47"/>
      <c r="G279" s="47"/>
      <c r="H279" s="47"/>
    </row>
    <row r="280" spans="2:10" ht="13" hidden="1" outlineLevel="1" x14ac:dyDescent="0.25">
      <c r="B280" s="51" t="s">
        <v>63</v>
      </c>
      <c r="C280" s="144">
        <f>C278*C279</f>
        <v>0</v>
      </c>
      <c r="D280" s="45" t="str">
        <f>D278</f>
        <v>kg</v>
      </c>
      <c r="E280" s="59"/>
      <c r="F280" s="47"/>
      <c r="G280" s="47"/>
      <c r="H280" s="47"/>
    </row>
    <row r="281" spans="2:10" ht="14" hidden="1" outlineLevel="1" x14ac:dyDescent="0.25">
      <c r="B281" s="54" t="s">
        <v>37</v>
      </c>
      <c r="C281" s="145">
        <v>1</v>
      </c>
      <c r="D281" s="56"/>
      <c r="E281" s="46"/>
      <c r="F281" s="47"/>
      <c r="G281" s="47"/>
      <c r="H281" s="47"/>
    </row>
    <row r="282" spans="2:10" ht="13" hidden="1" outlineLevel="1" x14ac:dyDescent="0.25">
      <c r="B282" s="43" t="s">
        <v>66</v>
      </c>
      <c r="C282" s="142"/>
      <c r="D282" s="45" t="str">
        <f>D278</f>
        <v>kg</v>
      </c>
      <c r="F282" s="64"/>
      <c r="G282" s="64"/>
      <c r="H282" s="64"/>
    </row>
    <row r="283" spans="2:10" ht="14.5" hidden="1" outlineLevel="1" thickBot="1" x14ac:dyDescent="0.3">
      <c r="B283" s="43" t="s">
        <v>67</v>
      </c>
      <c r="C283" s="143"/>
      <c r="D283" s="45" t="s">
        <v>3</v>
      </c>
      <c r="E283" s="68"/>
      <c r="F283" s="69"/>
      <c r="G283" s="69"/>
      <c r="H283" s="69"/>
    </row>
    <row r="284" spans="2:10" ht="13" hidden="1" outlineLevel="1" x14ac:dyDescent="0.25">
      <c r="B284" s="51" t="s">
        <v>68</v>
      </c>
      <c r="C284" s="144">
        <f>C282*C283</f>
        <v>0</v>
      </c>
      <c r="D284" s="45" t="str">
        <f>D278</f>
        <v>kg</v>
      </c>
      <c r="E284" s="73"/>
      <c r="F284" s="69"/>
      <c r="G284" s="69"/>
      <c r="H284" s="69"/>
    </row>
    <row r="285" spans="2:10" ht="13.5" hidden="1" outlineLevel="1" thickBot="1" x14ac:dyDescent="0.3">
      <c r="B285" s="61"/>
      <c r="C285" s="62"/>
      <c r="D285" s="63"/>
      <c r="E285" s="98"/>
      <c r="F285" s="69"/>
      <c r="G285" s="69"/>
      <c r="H285" s="69"/>
    </row>
    <row r="286" spans="2:10" ht="14.5" hidden="1" outlineLevel="1" thickBot="1" x14ac:dyDescent="0.3">
      <c r="B286" s="65" t="s">
        <v>5</v>
      </c>
      <c r="C286" s="66" t="s">
        <v>6</v>
      </c>
      <c r="D286" s="67" t="s">
        <v>1</v>
      </c>
      <c r="E286" s="77"/>
      <c r="F286" s="78"/>
      <c r="G286" s="78"/>
      <c r="H286" s="78"/>
    </row>
    <row r="287" spans="2:10" ht="13" hidden="1" outlineLevel="1" x14ac:dyDescent="0.25">
      <c r="B287" s="70" t="s">
        <v>43</v>
      </c>
      <c r="C287" s="71"/>
      <c r="D287" s="72"/>
      <c r="E287" s="77"/>
      <c r="F287" s="82"/>
      <c r="G287" s="82"/>
      <c r="H287" s="82"/>
    </row>
    <row r="288" spans="2:10" ht="13" hidden="1" outlineLevel="1" x14ac:dyDescent="0.25">
      <c r="B288" s="74"/>
      <c r="C288" s="146">
        <f>C280</f>
        <v>0</v>
      </c>
      <c r="D288" s="76" t="str">
        <f>D278</f>
        <v>kg</v>
      </c>
      <c r="E288" s="77"/>
      <c r="F288" s="82"/>
      <c r="G288" s="82"/>
      <c r="H288" s="82"/>
    </row>
    <row r="289" spans="2:11" ht="13" hidden="1" outlineLevel="1" x14ac:dyDescent="0.25">
      <c r="B289" s="74"/>
      <c r="C289" s="146"/>
      <c r="D289" s="76" t="str">
        <f>D278</f>
        <v>kg</v>
      </c>
      <c r="E289" s="77"/>
      <c r="F289" s="82"/>
      <c r="G289" s="82"/>
      <c r="H289" s="82"/>
    </row>
    <row r="290" spans="2:11" ht="13" hidden="1" outlineLevel="1" x14ac:dyDescent="0.25">
      <c r="B290" s="79" t="s">
        <v>69</v>
      </c>
      <c r="C290" s="147"/>
      <c r="D290" s="81"/>
      <c r="E290" s="77"/>
      <c r="F290" s="82"/>
      <c r="G290" s="82"/>
      <c r="H290" s="82"/>
    </row>
    <row r="291" spans="2:11" ht="13" hidden="1" outlineLevel="1" x14ac:dyDescent="0.25">
      <c r="B291" s="74"/>
      <c r="C291" s="148"/>
      <c r="D291" s="76" t="str">
        <f>D278</f>
        <v>kg</v>
      </c>
      <c r="E291" s="77"/>
      <c r="F291" s="82"/>
      <c r="G291" s="82"/>
      <c r="H291" s="82"/>
    </row>
    <row r="292" spans="2:11" ht="13" hidden="1" outlineLevel="1" x14ac:dyDescent="0.25">
      <c r="B292" s="74"/>
      <c r="C292" s="148"/>
      <c r="D292" s="76" t="str">
        <f>D278</f>
        <v>kg</v>
      </c>
      <c r="E292" s="77"/>
      <c r="F292" s="82"/>
      <c r="G292" s="82"/>
      <c r="H292" s="82"/>
    </row>
    <row r="293" spans="2:11" ht="13" hidden="1" outlineLevel="1" x14ac:dyDescent="0.25">
      <c r="B293" s="74"/>
      <c r="C293" s="148"/>
      <c r="D293" s="76" t="str">
        <f>D278</f>
        <v>kg</v>
      </c>
      <c r="E293" s="77"/>
      <c r="F293" s="82"/>
      <c r="G293" s="82"/>
      <c r="H293" s="82"/>
    </row>
    <row r="294" spans="2:11" ht="13" hidden="1" outlineLevel="1" x14ac:dyDescent="0.25">
      <c r="B294" s="74"/>
      <c r="C294" s="148"/>
      <c r="D294" s="76" t="str">
        <f>D278</f>
        <v>kg</v>
      </c>
      <c r="E294" s="77"/>
      <c r="F294" s="82"/>
      <c r="G294" s="82"/>
      <c r="H294" s="82"/>
    </row>
    <row r="295" spans="2:11" ht="13.4" hidden="1" customHeight="1" outlineLevel="1" x14ac:dyDescent="0.25">
      <c r="B295" s="74"/>
      <c r="C295" s="148"/>
      <c r="D295" s="76" t="str">
        <f>D278</f>
        <v>kg</v>
      </c>
      <c r="E295" s="77"/>
      <c r="F295" s="82"/>
      <c r="G295" s="82"/>
      <c r="H295" s="82"/>
      <c r="K295" s="34"/>
    </row>
    <row r="296" spans="2:11" ht="13" hidden="1" outlineLevel="1" x14ac:dyDescent="0.25">
      <c r="B296" s="74"/>
      <c r="C296" s="148"/>
      <c r="D296" s="76" t="str">
        <f>D278</f>
        <v>kg</v>
      </c>
      <c r="E296" s="77"/>
      <c r="F296" s="82"/>
      <c r="G296" s="82"/>
      <c r="H296" s="82"/>
    </row>
    <row r="297" spans="2:11" ht="13" hidden="1" outlineLevel="1" x14ac:dyDescent="0.25">
      <c r="B297" s="74"/>
      <c r="C297" s="148"/>
      <c r="D297" s="76" t="str">
        <f>D278</f>
        <v>kg</v>
      </c>
      <c r="E297" s="77"/>
      <c r="F297" s="82"/>
      <c r="G297" s="82"/>
      <c r="H297" s="82"/>
    </row>
    <row r="298" spans="2:11" ht="13" hidden="1" outlineLevel="1" x14ac:dyDescent="0.25">
      <c r="B298" s="74"/>
      <c r="C298" s="148"/>
      <c r="D298" s="76" t="str">
        <f>D278</f>
        <v>kg</v>
      </c>
      <c r="E298" s="77"/>
      <c r="F298" s="82"/>
      <c r="G298" s="82"/>
      <c r="H298" s="82"/>
    </row>
    <row r="299" spans="2:11" ht="13" hidden="1" outlineLevel="1" x14ac:dyDescent="0.25">
      <c r="B299" s="74"/>
      <c r="C299" s="148"/>
      <c r="D299" s="76" t="str">
        <f>D278</f>
        <v>kg</v>
      </c>
      <c r="E299" s="77"/>
      <c r="F299" s="82"/>
      <c r="G299" s="82"/>
      <c r="H299" s="82"/>
    </row>
    <row r="300" spans="2:11" ht="13" hidden="1" outlineLevel="1" x14ac:dyDescent="0.25">
      <c r="B300" s="74"/>
      <c r="C300" s="148"/>
      <c r="D300" s="76" t="str">
        <f>D278</f>
        <v>kg</v>
      </c>
      <c r="E300" s="77"/>
      <c r="F300" s="82"/>
      <c r="G300" s="82"/>
      <c r="H300" s="82"/>
    </row>
    <row r="301" spans="2:11" ht="13" hidden="1" outlineLevel="1" x14ac:dyDescent="0.25">
      <c r="B301" s="79"/>
      <c r="C301" s="147"/>
      <c r="D301" s="81"/>
      <c r="E301" s="77"/>
      <c r="F301" s="82"/>
      <c r="G301" s="82"/>
      <c r="H301" s="82"/>
    </row>
    <row r="302" spans="2:11" ht="13" hidden="1" outlineLevel="1" x14ac:dyDescent="0.25">
      <c r="B302" s="86" t="s">
        <v>7</v>
      </c>
      <c r="C302" s="149">
        <f>SUM(C287:C300)</f>
        <v>0</v>
      </c>
      <c r="D302" s="88" t="str">
        <f>D278</f>
        <v>kg</v>
      </c>
      <c r="E302" s="77"/>
      <c r="F302" s="82"/>
      <c r="G302" s="82"/>
      <c r="H302" s="82"/>
    </row>
    <row r="303" spans="2:11" ht="13" hidden="1" outlineLevel="1" x14ac:dyDescent="0.25">
      <c r="B303" s="79" t="s">
        <v>71</v>
      </c>
      <c r="C303" s="150"/>
      <c r="D303" s="81"/>
      <c r="E303" s="77"/>
      <c r="F303" s="82"/>
      <c r="G303" s="82"/>
      <c r="H303" s="82"/>
    </row>
    <row r="304" spans="2:11" ht="13" hidden="1" outlineLevel="1" x14ac:dyDescent="0.25">
      <c r="B304" s="74"/>
      <c r="C304" s="148"/>
      <c r="D304" s="76" t="str">
        <f>D278</f>
        <v>kg</v>
      </c>
      <c r="E304" s="77"/>
      <c r="F304" s="82"/>
      <c r="G304" s="82"/>
      <c r="H304" s="82"/>
    </row>
    <row r="305" spans="2:11" ht="13" hidden="1" outlineLevel="1" x14ac:dyDescent="0.25">
      <c r="B305" s="74"/>
      <c r="C305" s="148"/>
      <c r="D305" s="76" t="str">
        <f>D278</f>
        <v>kg</v>
      </c>
      <c r="E305" s="77"/>
      <c r="F305" s="82"/>
      <c r="G305" s="82"/>
      <c r="H305" s="82"/>
    </row>
    <row r="306" spans="2:11" ht="13" hidden="1" outlineLevel="1" x14ac:dyDescent="0.25">
      <c r="B306" s="74"/>
      <c r="C306" s="148"/>
      <c r="D306" s="76" t="str">
        <f>D278</f>
        <v>kg</v>
      </c>
      <c r="E306" s="77"/>
      <c r="F306" s="82"/>
      <c r="G306" s="82"/>
      <c r="H306" s="82"/>
    </row>
    <row r="307" spans="2:11" ht="13" hidden="1" outlineLevel="1" x14ac:dyDescent="0.25">
      <c r="B307" s="74"/>
      <c r="C307" s="148"/>
      <c r="D307" s="76" t="str">
        <f>D278</f>
        <v>kg</v>
      </c>
      <c r="E307" s="77"/>
      <c r="F307" s="82"/>
      <c r="G307" s="82"/>
      <c r="H307" s="82"/>
    </row>
    <row r="308" spans="2:11" ht="13" hidden="1" outlineLevel="1" x14ac:dyDescent="0.25">
      <c r="B308" s="74"/>
      <c r="C308" s="148"/>
      <c r="D308" s="76" t="str">
        <f>D278</f>
        <v>kg</v>
      </c>
      <c r="E308" s="77"/>
      <c r="F308" s="82"/>
      <c r="G308" s="82"/>
      <c r="H308" s="82"/>
    </row>
    <row r="309" spans="2:11" ht="13" hidden="1" outlineLevel="1" x14ac:dyDescent="0.25">
      <c r="B309" s="74"/>
      <c r="C309" s="148"/>
      <c r="D309" s="76" t="str">
        <f>D278</f>
        <v>kg</v>
      </c>
      <c r="E309" s="90"/>
      <c r="F309" s="82"/>
      <c r="G309" s="82"/>
      <c r="H309" s="82"/>
    </row>
    <row r="310" spans="2:11" ht="13" hidden="1" outlineLevel="1" x14ac:dyDescent="0.25">
      <c r="B310" s="74"/>
      <c r="C310" s="148"/>
      <c r="D310" s="76" t="str">
        <f>D278</f>
        <v>kg</v>
      </c>
      <c r="E310" s="77"/>
      <c r="F310" s="82"/>
      <c r="G310" s="82"/>
      <c r="H310" s="82"/>
    </row>
    <row r="311" spans="2:11" ht="13" hidden="1" outlineLevel="1" x14ac:dyDescent="0.25">
      <c r="B311" s="74"/>
      <c r="C311" s="148"/>
      <c r="D311" s="76" t="str">
        <f>D278</f>
        <v>kg</v>
      </c>
      <c r="E311" s="77"/>
      <c r="F311" s="82"/>
      <c r="G311" s="82"/>
      <c r="H311" s="82"/>
    </row>
    <row r="312" spans="2:11" ht="13" hidden="1" outlineLevel="1" x14ac:dyDescent="0.25">
      <c r="B312" s="79" t="s">
        <v>70</v>
      </c>
      <c r="C312" s="147"/>
      <c r="D312" s="81"/>
      <c r="E312" s="77"/>
      <c r="F312" s="82"/>
      <c r="G312" s="82"/>
      <c r="H312" s="82"/>
    </row>
    <row r="313" spans="2:11" ht="13" hidden="1" outlineLevel="1" x14ac:dyDescent="0.25">
      <c r="B313" s="74"/>
      <c r="C313" s="148"/>
      <c r="D313" s="76" t="str">
        <f>D278</f>
        <v>kg</v>
      </c>
      <c r="E313" s="77"/>
      <c r="F313" s="82"/>
      <c r="G313" s="82"/>
      <c r="H313" s="82"/>
    </row>
    <row r="314" spans="2:11" ht="13.4" hidden="1" customHeight="1" outlineLevel="1" x14ac:dyDescent="0.25">
      <c r="B314" s="74"/>
      <c r="C314" s="148"/>
      <c r="D314" s="76" t="str">
        <f>D278</f>
        <v>kg</v>
      </c>
      <c r="E314" s="77"/>
      <c r="F314" s="82"/>
      <c r="G314" s="82"/>
      <c r="H314" s="82"/>
      <c r="K314" s="34"/>
    </row>
    <row r="315" spans="2:11" ht="13" hidden="1" outlineLevel="1" x14ac:dyDescent="0.25">
      <c r="B315" s="74"/>
      <c r="C315" s="148"/>
      <c r="D315" s="76" t="str">
        <f>D278</f>
        <v>kg</v>
      </c>
      <c r="E315" s="77"/>
      <c r="F315" s="82"/>
      <c r="G315" s="82"/>
      <c r="H315" s="82"/>
    </row>
    <row r="316" spans="2:11" ht="13" hidden="1" outlineLevel="1" x14ac:dyDescent="0.25">
      <c r="B316" s="74"/>
      <c r="C316" s="148"/>
      <c r="D316" s="76" t="str">
        <f>D278</f>
        <v>kg</v>
      </c>
      <c r="E316" s="77"/>
      <c r="F316" s="82"/>
      <c r="G316" s="82"/>
      <c r="H316" s="82"/>
    </row>
    <row r="317" spans="2:11" ht="13" hidden="1" outlineLevel="1" x14ac:dyDescent="0.25">
      <c r="B317" s="74"/>
      <c r="C317" s="148"/>
      <c r="D317" s="76" t="str">
        <f>D278</f>
        <v>kg</v>
      </c>
      <c r="E317" s="77"/>
      <c r="F317" s="82"/>
      <c r="G317" s="82"/>
      <c r="H317" s="82"/>
    </row>
    <row r="318" spans="2:11" ht="13" hidden="1" outlineLevel="1" x14ac:dyDescent="0.25">
      <c r="B318" s="74"/>
      <c r="C318" s="148"/>
      <c r="D318" s="76" t="str">
        <f>D278</f>
        <v>kg</v>
      </c>
      <c r="E318" s="77"/>
      <c r="F318" s="82"/>
      <c r="G318" s="82"/>
      <c r="H318" s="82"/>
    </row>
    <row r="319" spans="2:11" ht="13" hidden="1" outlineLevel="1" x14ac:dyDescent="0.25">
      <c r="B319" s="74"/>
      <c r="C319" s="148"/>
      <c r="D319" s="76" t="str">
        <f>D278</f>
        <v>kg</v>
      </c>
      <c r="E319" s="77"/>
      <c r="F319" s="82"/>
      <c r="G319" s="82"/>
      <c r="H319" s="82"/>
    </row>
    <row r="320" spans="2:11" ht="13" hidden="1" outlineLevel="1" x14ac:dyDescent="0.25">
      <c r="B320" s="79"/>
      <c r="C320" s="147"/>
      <c r="D320" s="81"/>
      <c r="E320" s="77"/>
      <c r="F320" s="82"/>
      <c r="G320" s="82"/>
      <c r="H320" s="82"/>
    </row>
    <row r="321" spans="2:8" ht="13" hidden="1" outlineLevel="1" x14ac:dyDescent="0.25">
      <c r="B321" s="86" t="s">
        <v>9</v>
      </c>
      <c r="C321" s="149">
        <f>SUM(C302:C319)</f>
        <v>0</v>
      </c>
      <c r="D321" s="91" t="str">
        <f>D278</f>
        <v>kg</v>
      </c>
      <c r="E321" s="98"/>
      <c r="F321" s="82"/>
      <c r="G321" s="82"/>
      <c r="H321" s="82"/>
    </row>
    <row r="322" spans="2:8" ht="13" hidden="1" outlineLevel="1" x14ac:dyDescent="0.25">
      <c r="B322" s="92"/>
      <c r="C322" s="93"/>
      <c r="D322" s="94"/>
      <c r="E322" s="98"/>
      <c r="F322" s="82"/>
      <c r="G322" s="82"/>
      <c r="H322" s="82"/>
    </row>
    <row r="323" spans="2:8" ht="20.5" hidden="1" outlineLevel="1" thickBot="1" x14ac:dyDescent="0.3">
      <c r="B323" s="426" t="s">
        <v>10</v>
      </c>
      <c r="C323" s="427"/>
      <c r="D323" s="428"/>
      <c r="E323" s="98"/>
      <c r="F323" s="82"/>
      <c r="G323" s="82"/>
      <c r="H323" s="82"/>
    </row>
    <row r="324" spans="2:8" ht="13" hidden="1" outlineLevel="1" x14ac:dyDescent="0.25">
      <c r="B324" s="95" t="s">
        <v>23</v>
      </c>
      <c r="C324" s="96"/>
      <c r="D324" s="151">
        <f>SUM(C288:C289)</f>
        <v>0</v>
      </c>
      <c r="E324" s="98"/>
      <c r="F324" s="82"/>
      <c r="G324" s="82"/>
      <c r="H324" s="82"/>
    </row>
    <row r="325" spans="2:8" ht="13" hidden="1" outlineLevel="1" x14ac:dyDescent="0.25">
      <c r="B325" s="99" t="s">
        <v>24</v>
      </c>
      <c r="C325" s="100"/>
      <c r="D325" s="152">
        <f>SUM(C291:C301)</f>
        <v>0</v>
      </c>
      <c r="E325" s="77"/>
      <c r="F325" s="110" t="s">
        <v>86</v>
      </c>
      <c r="G325" s="109" t="s">
        <v>85</v>
      </c>
      <c r="H325" s="110"/>
    </row>
    <row r="326" spans="2:8" ht="13.5" hidden="1" outlineLevel="1" thickBot="1" x14ac:dyDescent="0.3">
      <c r="B326" s="99" t="s">
        <v>25</v>
      </c>
      <c r="C326" s="100"/>
      <c r="D326" s="152">
        <f>SUM(C304:C312)</f>
        <v>0</v>
      </c>
      <c r="E326" s="77"/>
      <c r="F326" s="154"/>
      <c r="G326" s="413"/>
      <c r="H326" s="414"/>
    </row>
    <row r="327" spans="2:8" ht="13" hidden="1" outlineLevel="1" x14ac:dyDescent="0.25">
      <c r="B327" s="102" t="s">
        <v>26</v>
      </c>
      <c r="C327" s="103"/>
      <c r="D327" s="153">
        <f>SUM(C313:C320)</f>
        <v>0</v>
      </c>
      <c r="E327" s="90"/>
      <c r="F327" s="64" t="s">
        <v>45</v>
      </c>
      <c r="G327" s="64" t="s">
        <v>45</v>
      </c>
      <c r="H327" s="155"/>
    </row>
    <row r="328" spans="2:8" ht="18.5" hidden="1" outlineLevel="1" thickTop="1" x14ac:dyDescent="0.25">
      <c r="B328" s="105" t="s">
        <v>11</v>
      </c>
      <c r="C328" s="106"/>
      <c r="D328" s="107" t="e">
        <f>C302/C284</f>
        <v>#DIV/0!</v>
      </c>
      <c r="E328" s="90"/>
      <c r="F328" s="110"/>
      <c r="G328" s="117" t="s">
        <v>46</v>
      </c>
      <c r="H328" s="110"/>
    </row>
    <row r="329" spans="2:8" ht="18" hidden="1" customHeight="1" outlineLevel="1" thickBot="1" x14ac:dyDescent="0.3">
      <c r="B329" s="111" t="s">
        <v>12</v>
      </c>
      <c r="C329" s="112"/>
      <c r="D329" s="113" t="e">
        <f>(D324+D325+D326)/C284</f>
        <v>#DIV/0!</v>
      </c>
      <c r="E329" s="90"/>
      <c r="F329" s="429"/>
      <c r="G329" s="430"/>
      <c r="H329" s="431"/>
    </row>
    <row r="330" spans="2:8" ht="18" hidden="1" outlineLevel="1" x14ac:dyDescent="0.25">
      <c r="B330" s="111" t="s">
        <v>13</v>
      </c>
      <c r="C330" s="112"/>
      <c r="D330" s="113" t="e">
        <f>D326/C284</f>
        <v>#DIV/0!</v>
      </c>
      <c r="E330" s="77"/>
      <c r="F330" s="64" t="s">
        <v>45</v>
      </c>
      <c r="G330" s="64"/>
      <c r="H330" s="82"/>
    </row>
    <row r="331" spans="2:8" ht="18" hidden="1" outlineLevel="1" x14ac:dyDescent="0.25">
      <c r="B331" s="114" t="s">
        <v>14</v>
      </c>
      <c r="C331" s="115"/>
      <c r="D331" s="116" t="e">
        <f>D327/C284</f>
        <v>#DIV/0!</v>
      </c>
      <c r="E331" s="77"/>
      <c r="F331" s="82"/>
      <c r="G331" s="82"/>
      <c r="H331" s="82"/>
    </row>
    <row r="332" spans="2:8" ht="18.5" hidden="1" outlineLevel="1" thickBot="1" x14ac:dyDescent="0.3">
      <c r="B332" s="114" t="s">
        <v>15</v>
      </c>
      <c r="C332" s="119"/>
      <c r="D332" s="116" t="e">
        <f>SUM(D324:D327)/C284</f>
        <v>#DIV/0!</v>
      </c>
      <c r="E332" s="77"/>
      <c r="F332" s="415" t="s">
        <v>61</v>
      </c>
      <c r="G332" s="416"/>
      <c r="H332" s="416"/>
    </row>
    <row r="333" spans="2:8" ht="18.5" hidden="1" outlineLevel="1" thickTop="1" x14ac:dyDescent="0.25">
      <c r="B333" s="120" t="s">
        <v>16</v>
      </c>
      <c r="C333" s="121"/>
      <c r="D333" s="122" t="e">
        <f>((C288*D266)+D325+C289*MAX(1,F286))/C284</f>
        <v>#DIV/0!</v>
      </c>
      <c r="E333" s="77"/>
      <c r="F333" s="416"/>
      <c r="G333" s="416"/>
      <c r="H333" s="416"/>
    </row>
    <row r="334" spans="2:8" ht="18" hidden="1" outlineLevel="1" x14ac:dyDescent="0.25">
      <c r="B334" s="123" t="s">
        <v>17</v>
      </c>
      <c r="C334" s="124"/>
      <c r="D334" s="125" t="e">
        <f>(C288*D267+D325+D326+C289*(MAX(1,F286)+G286))/C284</f>
        <v>#DIV/0!</v>
      </c>
      <c r="E334" s="77"/>
      <c r="F334" s="416"/>
      <c r="G334" s="416"/>
      <c r="H334" s="416"/>
    </row>
    <row r="335" spans="2:8" ht="18" hidden="1" outlineLevel="1" x14ac:dyDescent="0.25">
      <c r="B335" s="123" t="s">
        <v>18</v>
      </c>
      <c r="C335" s="124"/>
      <c r="D335" s="125" t="e">
        <f>((C288*D268)+D326+C289*G286)/C284</f>
        <v>#DIV/0!</v>
      </c>
      <c r="E335" s="46"/>
      <c r="F335" s="416"/>
      <c r="G335" s="416"/>
      <c r="H335" s="416"/>
    </row>
    <row r="336" spans="2:8" ht="18" hidden="1" outlineLevel="1" x14ac:dyDescent="0.25">
      <c r="B336" s="126" t="s">
        <v>19</v>
      </c>
      <c r="C336" s="127"/>
      <c r="D336" s="128" t="e">
        <f>(C288*D269+D327+C289*H286)/C284</f>
        <v>#DIV/0!</v>
      </c>
      <c r="E336" s="46"/>
      <c r="F336" s="416"/>
      <c r="G336" s="416"/>
      <c r="H336" s="416"/>
    </row>
    <row r="337" spans="2:16" ht="18.5" hidden="1" outlineLevel="1" thickBot="1" x14ac:dyDescent="0.3">
      <c r="B337" s="129" t="s">
        <v>20</v>
      </c>
      <c r="C337" s="130"/>
      <c r="D337" s="131" t="e">
        <f>((C288*D270)+SUM(D325:D327)+C289*(MAX(1,F286)+G286+H286))/C284</f>
        <v>#DIV/0!</v>
      </c>
      <c r="E337" s="46"/>
      <c r="F337" s="416"/>
      <c r="G337" s="416"/>
      <c r="H337" s="416"/>
      <c r="I337" s="34"/>
      <c r="N337" s="36"/>
      <c r="O337" s="36"/>
      <c r="P337" s="36"/>
    </row>
    <row r="338" spans="2:16" ht="13.5" hidden="1" outlineLevel="1" thickTop="1" x14ac:dyDescent="0.25">
      <c r="B338" s="156" t="s">
        <v>76</v>
      </c>
      <c r="C338" s="424"/>
      <c r="D338" s="425"/>
      <c r="E338" s="46"/>
      <c r="F338" s="34"/>
      <c r="G338" s="34"/>
      <c r="H338" s="34"/>
      <c r="N338" s="36"/>
      <c r="O338" s="36"/>
      <c r="P338" s="36"/>
    </row>
    <row r="339" spans="2:16" ht="13" hidden="1" outlineLevel="1" x14ac:dyDescent="0.25">
      <c r="B339" s="157" t="s">
        <v>58</v>
      </c>
      <c r="C339" s="422"/>
      <c r="D339" s="423"/>
      <c r="E339" s="46"/>
      <c r="F339" s="34"/>
      <c r="G339" s="34"/>
      <c r="H339" s="34"/>
    </row>
    <row r="340" spans="2:16" ht="21" hidden="1" outlineLevel="1" thickTop="1" thickBot="1" x14ac:dyDescent="0.3">
      <c r="B340" s="158" t="s">
        <v>59</v>
      </c>
      <c r="C340" s="420"/>
      <c r="D340" s="421"/>
      <c r="E340" s="31"/>
      <c r="F340" s="32" t="s">
        <v>27</v>
      </c>
      <c r="G340" s="33"/>
      <c r="H340" s="33"/>
      <c r="J340" s="159"/>
    </row>
    <row r="341" spans="2:16" ht="14.5" hidden="1" outlineLevel="1" thickBot="1" x14ac:dyDescent="0.3">
      <c r="E341" s="40"/>
      <c r="F341" s="41" t="s">
        <v>28</v>
      </c>
      <c r="G341" s="41" t="s">
        <v>21</v>
      </c>
      <c r="H341" s="41" t="s">
        <v>8</v>
      </c>
    </row>
    <row r="342" spans="2:16" hidden="1" outlineLevel="1" x14ac:dyDescent="0.25">
      <c r="C342" s="25" t="s">
        <v>44</v>
      </c>
      <c r="D342" s="25" t="s">
        <v>42</v>
      </c>
      <c r="E342" s="46"/>
      <c r="F342" s="47"/>
      <c r="G342" s="47"/>
      <c r="H342" s="47"/>
    </row>
    <row r="343" spans="2:16" ht="20.5" hidden="1" outlineLevel="1" thickTop="1" x14ac:dyDescent="0.25">
      <c r="B343" s="140" t="s">
        <v>73</v>
      </c>
      <c r="C343" s="29"/>
      <c r="D343" s="141"/>
      <c r="E343" s="46"/>
      <c r="F343" s="47"/>
      <c r="G343" s="47"/>
      <c r="H343" s="47"/>
    </row>
    <row r="344" spans="2:16" ht="14" hidden="1" outlineLevel="1" x14ac:dyDescent="0.25">
      <c r="B344" s="37"/>
      <c r="C344" s="38" t="s">
        <v>0</v>
      </c>
      <c r="D344" s="39" t="s">
        <v>1</v>
      </c>
      <c r="E344" s="46"/>
      <c r="F344" s="47"/>
      <c r="G344" s="47"/>
      <c r="H344" s="47"/>
    </row>
    <row r="345" spans="2:16" ht="14" hidden="1" outlineLevel="1" x14ac:dyDescent="0.25">
      <c r="B345" s="43" t="s">
        <v>65</v>
      </c>
      <c r="C345" s="142"/>
      <c r="D345" s="45" t="s">
        <v>2</v>
      </c>
      <c r="E345" s="57"/>
      <c r="F345" s="58"/>
      <c r="G345" s="58"/>
      <c r="H345" s="58"/>
    </row>
    <row r="346" spans="2:16" ht="13" hidden="1" outlineLevel="1" x14ac:dyDescent="0.25">
      <c r="B346" s="43" t="s">
        <v>64</v>
      </c>
      <c r="C346" s="143"/>
      <c r="D346" s="45" t="s">
        <v>3</v>
      </c>
      <c r="E346" s="46"/>
      <c r="F346" s="47"/>
      <c r="G346" s="47"/>
      <c r="H346" s="47"/>
    </row>
    <row r="347" spans="2:16" ht="13" hidden="1" outlineLevel="1" x14ac:dyDescent="0.25">
      <c r="B347" s="51" t="s">
        <v>63</v>
      </c>
      <c r="C347" s="144">
        <f>C345*C346</f>
        <v>0</v>
      </c>
      <c r="D347" s="45" t="str">
        <f>D345</f>
        <v>kg</v>
      </c>
      <c r="E347" s="59"/>
      <c r="F347" s="47"/>
      <c r="G347" s="47"/>
      <c r="H347" s="47"/>
    </row>
    <row r="348" spans="2:16" ht="14" hidden="1" outlineLevel="1" x14ac:dyDescent="0.25">
      <c r="B348" s="54" t="s">
        <v>37</v>
      </c>
      <c r="C348" s="145">
        <v>1</v>
      </c>
      <c r="D348" s="56"/>
      <c r="E348" s="46"/>
      <c r="F348" s="47"/>
      <c r="G348" s="47"/>
      <c r="H348" s="47"/>
    </row>
    <row r="349" spans="2:16" ht="13" hidden="1" outlineLevel="1" x14ac:dyDescent="0.25">
      <c r="B349" s="43" t="s">
        <v>66</v>
      </c>
      <c r="C349" s="142"/>
      <c r="D349" s="45" t="str">
        <f>D345</f>
        <v>kg</v>
      </c>
      <c r="F349" s="64"/>
      <c r="G349" s="64"/>
      <c r="H349" s="64"/>
    </row>
    <row r="350" spans="2:16" ht="14.5" hidden="1" outlineLevel="1" thickBot="1" x14ac:dyDescent="0.3">
      <c r="B350" s="43" t="s">
        <v>67</v>
      </c>
      <c r="C350" s="143"/>
      <c r="D350" s="45" t="s">
        <v>3</v>
      </c>
      <c r="E350" s="68"/>
      <c r="F350" s="69"/>
      <c r="G350" s="69"/>
      <c r="H350" s="69"/>
    </row>
    <row r="351" spans="2:16" ht="13" hidden="1" outlineLevel="1" x14ac:dyDescent="0.25">
      <c r="B351" s="51" t="s">
        <v>68</v>
      </c>
      <c r="C351" s="144">
        <f>C349*C350</f>
        <v>0</v>
      </c>
      <c r="D351" s="45" t="str">
        <f>D345</f>
        <v>kg</v>
      </c>
      <c r="E351" s="73"/>
      <c r="F351" s="69"/>
      <c r="G351" s="69"/>
      <c r="H351" s="69"/>
    </row>
    <row r="352" spans="2:16" ht="13.5" hidden="1" outlineLevel="1" thickBot="1" x14ac:dyDescent="0.3">
      <c r="B352" s="61"/>
      <c r="C352" s="62"/>
      <c r="D352" s="63"/>
      <c r="E352" s="98"/>
      <c r="F352" s="69"/>
      <c r="G352" s="69"/>
      <c r="H352" s="69"/>
    </row>
    <row r="353" spans="2:11" ht="14.5" hidden="1" outlineLevel="1" thickBot="1" x14ac:dyDescent="0.3">
      <c r="B353" s="65" t="s">
        <v>5</v>
      </c>
      <c r="C353" s="66" t="s">
        <v>6</v>
      </c>
      <c r="D353" s="67" t="s">
        <v>1</v>
      </c>
      <c r="E353" s="77"/>
      <c r="F353" s="78"/>
      <c r="G353" s="78"/>
      <c r="H353" s="78"/>
    </row>
    <row r="354" spans="2:11" ht="13" hidden="1" outlineLevel="1" x14ac:dyDescent="0.25">
      <c r="B354" s="70" t="s">
        <v>43</v>
      </c>
      <c r="C354" s="71"/>
      <c r="D354" s="72"/>
      <c r="E354" s="77"/>
      <c r="F354" s="82"/>
      <c r="G354" s="82"/>
      <c r="H354" s="82"/>
    </row>
    <row r="355" spans="2:11" ht="13" hidden="1" outlineLevel="1" x14ac:dyDescent="0.25">
      <c r="B355" s="74"/>
      <c r="C355" s="146">
        <f>C347</f>
        <v>0</v>
      </c>
      <c r="D355" s="76" t="str">
        <f>D345</f>
        <v>kg</v>
      </c>
      <c r="E355" s="77"/>
      <c r="F355" s="82"/>
      <c r="G355" s="82"/>
      <c r="H355" s="82"/>
    </row>
    <row r="356" spans="2:11" ht="13" hidden="1" outlineLevel="1" x14ac:dyDescent="0.25">
      <c r="B356" s="74"/>
      <c r="C356" s="146"/>
      <c r="D356" s="76" t="str">
        <f>D345</f>
        <v>kg</v>
      </c>
      <c r="E356" s="77"/>
      <c r="F356" s="82"/>
      <c r="G356" s="82"/>
      <c r="H356" s="82"/>
    </row>
    <row r="357" spans="2:11" ht="13" hidden="1" outlineLevel="1" x14ac:dyDescent="0.25">
      <c r="B357" s="79" t="s">
        <v>69</v>
      </c>
      <c r="C357" s="147"/>
      <c r="D357" s="81"/>
      <c r="E357" s="77"/>
      <c r="F357" s="82"/>
      <c r="G357" s="82"/>
      <c r="H357" s="82"/>
    </row>
    <row r="358" spans="2:11" ht="13" hidden="1" outlineLevel="1" x14ac:dyDescent="0.25">
      <c r="B358" s="74"/>
      <c r="C358" s="148"/>
      <c r="D358" s="76" t="str">
        <f>D345</f>
        <v>kg</v>
      </c>
      <c r="E358" s="77"/>
      <c r="F358" s="82"/>
      <c r="G358" s="82"/>
      <c r="H358" s="82"/>
    </row>
    <row r="359" spans="2:11" ht="13" hidden="1" outlineLevel="1" x14ac:dyDescent="0.25">
      <c r="B359" s="74"/>
      <c r="C359" s="148"/>
      <c r="D359" s="76" t="str">
        <f>D345</f>
        <v>kg</v>
      </c>
      <c r="E359" s="77"/>
      <c r="F359" s="82"/>
      <c r="G359" s="82"/>
      <c r="H359" s="82"/>
    </row>
    <row r="360" spans="2:11" ht="13" hidden="1" outlineLevel="1" x14ac:dyDescent="0.25">
      <c r="B360" s="74"/>
      <c r="C360" s="148"/>
      <c r="D360" s="76" t="str">
        <f>D345</f>
        <v>kg</v>
      </c>
      <c r="E360" s="77"/>
      <c r="F360" s="82"/>
      <c r="G360" s="82"/>
      <c r="H360" s="82"/>
    </row>
    <row r="361" spans="2:11" ht="13" hidden="1" outlineLevel="1" x14ac:dyDescent="0.25">
      <c r="B361" s="74"/>
      <c r="C361" s="148"/>
      <c r="D361" s="76" t="str">
        <f>D345</f>
        <v>kg</v>
      </c>
      <c r="E361" s="77"/>
      <c r="F361" s="82"/>
      <c r="G361" s="82"/>
      <c r="H361" s="82"/>
    </row>
    <row r="362" spans="2:11" ht="13.4" hidden="1" customHeight="1" outlineLevel="1" x14ac:dyDescent="0.25">
      <c r="B362" s="74"/>
      <c r="C362" s="148"/>
      <c r="D362" s="76" t="str">
        <f>D345</f>
        <v>kg</v>
      </c>
      <c r="E362" s="77"/>
      <c r="F362" s="82"/>
      <c r="G362" s="82"/>
      <c r="H362" s="82"/>
      <c r="K362" s="34"/>
    </row>
    <row r="363" spans="2:11" ht="13" hidden="1" outlineLevel="1" x14ac:dyDescent="0.25">
      <c r="B363" s="74"/>
      <c r="C363" s="148"/>
      <c r="D363" s="76" t="str">
        <f>D345</f>
        <v>kg</v>
      </c>
      <c r="E363" s="77"/>
      <c r="F363" s="82"/>
      <c r="G363" s="82"/>
      <c r="H363" s="82"/>
    </row>
    <row r="364" spans="2:11" ht="13" hidden="1" outlineLevel="1" x14ac:dyDescent="0.25">
      <c r="B364" s="74"/>
      <c r="C364" s="148"/>
      <c r="D364" s="76" t="str">
        <f>D345</f>
        <v>kg</v>
      </c>
      <c r="E364" s="77"/>
      <c r="F364" s="82"/>
      <c r="G364" s="82"/>
      <c r="H364" s="82"/>
    </row>
    <row r="365" spans="2:11" ht="13" hidden="1" outlineLevel="1" x14ac:dyDescent="0.25">
      <c r="B365" s="74"/>
      <c r="C365" s="148"/>
      <c r="D365" s="76" t="str">
        <f>D345</f>
        <v>kg</v>
      </c>
      <c r="E365" s="77"/>
      <c r="F365" s="82"/>
      <c r="G365" s="82"/>
      <c r="H365" s="82"/>
    </row>
    <row r="366" spans="2:11" ht="13" hidden="1" outlineLevel="1" x14ac:dyDescent="0.25">
      <c r="B366" s="74"/>
      <c r="C366" s="148"/>
      <c r="D366" s="76" t="str">
        <f>D345</f>
        <v>kg</v>
      </c>
      <c r="E366" s="77"/>
      <c r="F366" s="82"/>
      <c r="G366" s="82"/>
      <c r="H366" s="82"/>
    </row>
    <row r="367" spans="2:11" ht="13" hidden="1" outlineLevel="1" x14ac:dyDescent="0.25">
      <c r="B367" s="74"/>
      <c r="C367" s="148"/>
      <c r="D367" s="76" t="str">
        <f>D345</f>
        <v>kg</v>
      </c>
      <c r="E367" s="77"/>
      <c r="F367" s="82"/>
      <c r="G367" s="82"/>
      <c r="H367" s="82"/>
    </row>
    <row r="368" spans="2:11" ht="13" hidden="1" outlineLevel="1" x14ac:dyDescent="0.25">
      <c r="B368" s="79"/>
      <c r="C368" s="147"/>
      <c r="D368" s="81"/>
      <c r="E368" s="77"/>
      <c r="F368" s="82"/>
      <c r="G368" s="82"/>
      <c r="H368" s="82"/>
    </row>
    <row r="369" spans="2:11" ht="13" hidden="1" outlineLevel="1" x14ac:dyDescent="0.25">
      <c r="B369" s="86" t="s">
        <v>7</v>
      </c>
      <c r="C369" s="149">
        <f>SUM(C354:C367)</f>
        <v>0</v>
      </c>
      <c r="D369" s="88" t="str">
        <f>D345</f>
        <v>kg</v>
      </c>
      <c r="E369" s="77"/>
      <c r="F369" s="82"/>
      <c r="G369" s="82"/>
      <c r="H369" s="82"/>
    </row>
    <row r="370" spans="2:11" ht="13" hidden="1" outlineLevel="1" x14ac:dyDescent="0.25">
      <c r="B370" s="79" t="s">
        <v>71</v>
      </c>
      <c r="C370" s="150"/>
      <c r="D370" s="81"/>
      <c r="E370" s="77"/>
      <c r="F370" s="82"/>
      <c r="G370" s="82"/>
      <c r="H370" s="82"/>
    </row>
    <row r="371" spans="2:11" ht="13" hidden="1" outlineLevel="1" x14ac:dyDescent="0.25">
      <c r="B371" s="74"/>
      <c r="C371" s="148"/>
      <c r="D371" s="76" t="str">
        <f>D345</f>
        <v>kg</v>
      </c>
      <c r="E371" s="77"/>
      <c r="F371" s="82"/>
      <c r="G371" s="82"/>
      <c r="H371" s="82"/>
    </row>
    <row r="372" spans="2:11" ht="13" hidden="1" outlineLevel="1" x14ac:dyDescent="0.25">
      <c r="B372" s="74"/>
      <c r="C372" s="148"/>
      <c r="D372" s="76" t="str">
        <f>D345</f>
        <v>kg</v>
      </c>
      <c r="E372" s="77"/>
      <c r="F372" s="82"/>
      <c r="G372" s="82"/>
      <c r="H372" s="82"/>
    </row>
    <row r="373" spans="2:11" ht="13" hidden="1" outlineLevel="1" x14ac:dyDescent="0.25">
      <c r="B373" s="74"/>
      <c r="C373" s="148"/>
      <c r="D373" s="76" t="str">
        <f>D345</f>
        <v>kg</v>
      </c>
      <c r="E373" s="77"/>
      <c r="F373" s="82"/>
      <c r="G373" s="82"/>
      <c r="H373" s="82"/>
    </row>
    <row r="374" spans="2:11" ht="13" hidden="1" outlineLevel="1" x14ac:dyDescent="0.25">
      <c r="B374" s="74"/>
      <c r="C374" s="148"/>
      <c r="D374" s="76" t="str">
        <f>D345</f>
        <v>kg</v>
      </c>
      <c r="E374" s="77"/>
      <c r="F374" s="82"/>
      <c r="G374" s="82"/>
      <c r="H374" s="82"/>
    </row>
    <row r="375" spans="2:11" ht="13" hidden="1" outlineLevel="1" x14ac:dyDescent="0.25">
      <c r="B375" s="74"/>
      <c r="C375" s="148"/>
      <c r="D375" s="76" t="str">
        <f>D345</f>
        <v>kg</v>
      </c>
      <c r="E375" s="77"/>
      <c r="F375" s="82"/>
      <c r="G375" s="82"/>
      <c r="H375" s="82"/>
    </row>
    <row r="376" spans="2:11" ht="13" hidden="1" outlineLevel="1" x14ac:dyDescent="0.25">
      <c r="B376" s="74"/>
      <c r="C376" s="148"/>
      <c r="D376" s="76" t="str">
        <f>D345</f>
        <v>kg</v>
      </c>
      <c r="E376" s="90"/>
      <c r="F376" s="82"/>
      <c r="G376" s="82"/>
      <c r="H376" s="82"/>
    </row>
    <row r="377" spans="2:11" ht="13" hidden="1" outlineLevel="1" x14ac:dyDescent="0.25">
      <c r="B377" s="74"/>
      <c r="C377" s="148"/>
      <c r="D377" s="76" t="str">
        <f>D345</f>
        <v>kg</v>
      </c>
      <c r="E377" s="77"/>
      <c r="F377" s="82"/>
      <c r="G377" s="82"/>
      <c r="H377" s="82"/>
    </row>
    <row r="378" spans="2:11" ht="13" hidden="1" outlineLevel="1" x14ac:dyDescent="0.25">
      <c r="B378" s="74"/>
      <c r="C378" s="148"/>
      <c r="D378" s="76" t="str">
        <f>D345</f>
        <v>kg</v>
      </c>
      <c r="E378" s="77"/>
      <c r="F378" s="82"/>
      <c r="G378" s="82"/>
      <c r="H378" s="82"/>
    </row>
    <row r="379" spans="2:11" ht="14.25" hidden="1" customHeight="1" outlineLevel="1" x14ac:dyDescent="0.25">
      <c r="B379" s="79" t="s">
        <v>70</v>
      </c>
      <c r="C379" s="147"/>
      <c r="D379" s="81"/>
      <c r="E379" s="77"/>
      <c r="F379" s="82"/>
      <c r="G379" s="82"/>
      <c r="H379" s="82"/>
    </row>
    <row r="380" spans="2:11" ht="13" hidden="1" outlineLevel="1" x14ac:dyDescent="0.25">
      <c r="B380" s="74"/>
      <c r="C380" s="148"/>
      <c r="D380" s="76" t="str">
        <f>D345</f>
        <v>kg</v>
      </c>
      <c r="E380" s="77"/>
      <c r="F380" s="82"/>
      <c r="G380" s="82"/>
      <c r="H380" s="82"/>
    </row>
    <row r="381" spans="2:11" ht="13.4" hidden="1" customHeight="1" outlineLevel="1" x14ac:dyDescent="0.25">
      <c r="B381" s="74"/>
      <c r="C381" s="148"/>
      <c r="D381" s="76" t="str">
        <f>D345</f>
        <v>kg</v>
      </c>
      <c r="E381" s="77"/>
      <c r="F381" s="82"/>
      <c r="G381" s="82"/>
      <c r="H381" s="82"/>
      <c r="K381" s="34"/>
    </row>
    <row r="382" spans="2:11" ht="13" hidden="1" outlineLevel="1" x14ac:dyDescent="0.25">
      <c r="B382" s="74"/>
      <c r="C382" s="148"/>
      <c r="D382" s="76" t="str">
        <f>D345</f>
        <v>kg</v>
      </c>
      <c r="E382" s="77"/>
      <c r="F382" s="82"/>
      <c r="G382" s="82"/>
      <c r="H382" s="82"/>
    </row>
    <row r="383" spans="2:11" ht="13" hidden="1" outlineLevel="1" x14ac:dyDescent="0.25">
      <c r="B383" s="74"/>
      <c r="C383" s="148"/>
      <c r="D383" s="76" t="str">
        <f>D345</f>
        <v>kg</v>
      </c>
      <c r="E383" s="77"/>
      <c r="F383" s="82"/>
      <c r="G383" s="82"/>
      <c r="H383" s="82"/>
    </row>
    <row r="384" spans="2:11" ht="13" hidden="1" outlineLevel="1" x14ac:dyDescent="0.25">
      <c r="B384" s="74"/>
      <c r="C384" s="148"/>
      <c r="D384" s="76" t="str">
        <f>D345</f>
        <v>kg</v>
      </c>
      <c r="E384" s="77"/>
      <c r="F384" s="82"/>
      <c r="G384" s="82"/>
      <c r="H384" s="82"/>
    </row>
    <row r="385" spans="2:8" ht="13" hidden="1" outlineLevel="1" x14ac:dyDescent="0.25">
      <c r="B385" s="74"/>
      <c r="C385" s="148"/>
      <c r="D385" s="76" t="str">
        <f>D345</f>
        <v>kg</v>
      </c>
      <c r="E385" s="77"/>
      <c r="F385" s="82"/>
      <c r="G385" s="82"/>
      <c r="H385" s="82"/>
    </row>
    <row r="386" spans="2:8" ht="13" hidden="1" outlineLevel="1" x14ac:dyDescent="0.25">
      <c r="B386" s="74"/>
      <c r="C386" s="148"/>
      <c r="D386" s="76" t="str">
        <f>D345</f>
        <v>kg</v>
      </c>
      <c r="E386" s="77"/>
      <c r="F386" s="82"/>
      <c r="G386" s="82"/>
      <c r="H386" s="82"/>
    </row>
    <row r="387" spans="2:8" ht="13" hidden="1" outlineLevel="1" x14ac:dyDescent="0.25">
      <c r="B387" s="79"/>
      <c r="C387" s="147"/>
      <c r="D387" s="81"/>
      <c r="E387" s="77"/>
      <c r="F387" s="82"/>
      <c r="G387" s="82"/>
      <c r="H387" s="82"/>
    </row>
    <row r="388" spans="2:8" ht="13" hidden="1" outlineLevel="1" x14ac:dyDescent="0.25">
      <c r="B388" s="86" t="s">
        <v>9</v>
      </c>
      <c r="C388" s="149">
        <f>SUM(C369:C386)</f>
        <v>0</v>
      </c>
      <c r="D388" s="91" t="str">
        <f>D345</f>
        <v>kg</v>
      </c>
      <c r="E388" s="98"/>
      <c r="F388" s="82"/>
      <c r="G388" s="82"/>
      <c r="H388" s="82"/>
    </row>
    <row r="389" spans="2:8" ht="13" hidden="1" outlineLevel="1" x14ac:dyDescent="0.25">
      <c r="B389" s="92"/>
      <c r="C389" s="93"/>
      <c r="D389" s="94"/>
      <c r="E389" s="98"/>
      <c r="F389" s="82"/>
      <c r="G389" s="82"/>
      <c r="H389" s="82"/>
    </row>
    <row r="390" spans="2:8" ht="20.5" hidden="1" outlineLevel="1" thickBot="1" x14ac:dyDescent="0.3">
      <c r="B390" s="426" t="s">
        <v>10</v>
      </c>
      <c r="C390" s="427"/>
      <c r="D390" s="428"/>
      <c r="E390" s="98"/>
      <c r="F390" s="82"/>
      <c r="G390" s="82"/>
      <c r="H390" s="82"/>
    </row>
    <row r="391" spans="2:8" ht="13" hidden="1" outlineLevel="1" x14ac:dyDescent="0.25">
      <c r="B391" s="95" t="s">
        <v>23</v>
      </c>
      <c r="C391" s="96"/>
      <c r="D391" s="151">
        <f>SUM(C355:C356)</f>
        <v>0</v>
      </c>
      <c r="E391" s="98"/>
      <c r="F391" s="82"/>
      <c r="G391" s="82"/>
      <c r="H391" s="82"/>
    </row>
    <row r="392" spans="2:8" ht="13" hidden="1" outlineLevel="1" x14ac:dyDescent="0.25">
      <c r="B392" s="99" t="s">
        <v>24</v>
      </c>
      <c r="C392" s="100"/>
      <c r="D392" s="152">
        <f>SUM(C358:C368)</f>
        <v>0</v>
      </c>
      <c r="E392" s="77"/>
      <c r="F392" s="110" t="s">
        <v>86</v>
      </c>
      <c r="G392" s="109" t="s">
        <v>85</v>
      </c>
      <c r="H392" s="110"/>
    </row>
    <row r="393" spans="2:8" ht="13.5" hidden="1" outlineLevel="1" thickBot="1" x14ac:dyDescent="0.3">
      <c r="B393" s="99" t="s">
        <v>25</v>
      </c>
      <c r="C393" s="100"/>
      <c r="D393" s="152">
        <f>SUM(C371:C379)</f>
        <v>0</v>
      </c>
      <c r="E393" s="77"/>
      <c r="F393" s="154"/>
      <c r="G393" s="413"/>
      <c r="H393" s="414"/>
    </row>
    <row r="394" spans="2:8" ht="13" hidden="1" outlineLevel="1" x14ac:dyDescent="0.25">
      <c r="B394" s="102" t="s">
        <v>26</v>
      </c>
      <c r="C394" s="103"/>
      <c r="D394" s="153">
        <f>SUM(C380:C387)</f>
        <v>0</v>
      </c>
      <c r="E394" s="90"/>
      <c r="F394" s="64" t="s">
        <v>45</v>
      </c>
      <c r="G394" s="64" t="s">
        <v>45</v>
      </c>
      <c r="H394" s="155"/>
    </row>
    <row r="395" spans="2:8" ht="18.5" hidden="1" outlineLevel="1" thickTop="1" x14ac:dyDescent="0.25">
      <c r="B395" s="105" t="s">
        <v>11</v>
      </c>
      <c r="C395" s="106"/>
      <c r="D395" s="107" t="e">
        <f>C369/C351</f>
        <v>#DIV/0!</v>
      </c>
      <c r="E395" s="90"/>
      <c r="F395" s="110"/>
      <c r="G395" s="117" t="s">
        <v>46</v>
      </c>
      <c r="H395" s="110"/>
    </row>
    <row r="396" spans="2:8" ht="18" hidden="1" customHeight="1" outlineLevel="1" thickBot="1" x14ac:dyDescent="0.3">
      <c r="B396" s="111" t="s">
        <v>12</v>
      </c>
      <c r="C396" s="112"/>
      <c r="D396" s="113" t="e">
        <f>(D391+D392+D393)/C351</f>
        <v>#DIV/0!</v>
      </c>
      <c r="E396" s="90"/>
      <c r="F396" s="429"/>
      <c r="G396" s="430"/>
      <c r="H396" s="431"/>
    </row>
    <row r="397" spans="2:8" ht="18" hidden="1" outlineLevel="1" x14ac:dyDescent="0.25">
      <c r="B397" s="111" t="s">
        <v>13</v>
      </c>
      <c r="C397" s="112"/>
      <c r="D397" s="113" t="e">
        <f>D393/C351</f>
        <v>#DIV/0!</v>
      </c>
      <c r="E397" s="77"/>
      <c r="F397" s="64" t="s">
        <v>45</v>
      </c>
      <c r="G397" s="64"/>
      <c r="H397" s="82"/>
    </row>
    <row r="398" spans="2:8" ht="18" hidden="1" outlineLevel="1" x14ac:dyDescent="0.25">
      <c r="B398" s="114" t="s">
        <v>14</v>
      </c>
      <c r="C398" s="115"/>
      <c r="D398" s="116" t="e">
        <f>D394/C351</f>
        <v>#DIV/0!</v>
      </c>
      <c r="E398" s="77"/>
      <c r="F398" s="82"/>
      <c r="G398" s="82"/>
      <c r="H398" s="82"/>
    </row>
    <row r="399" spans="2:8" ht="18.5" hidden="1" outlineLevel="1" thickBot="1" x14ac:dyDescent="0.3">
      <c r="B399" s="114" t="s">
        <v>15</v>
      </c>
      <c r="C399" s="119"/>
      <c r="D399" s="116" t="e">
        <f>SUM(D391:D394)/C351</f>
        <v>#DIV/0!</v>
      </c>
      <c r="E399" s="77"/>
      <c r="F399" s="415" t="s">
        <v>61</v>
      </c>
      <c r="G399" s="416"/>
      <c r="H399" s="416"/>
    </row>
    <row r="400" spans="2:8" ht="18.5" hidden="1" outlineLevel="1" thickTop="1" x14ac:dyDescent="0.25">
      <c r="B400" s="120" t="s">
        <v>16</v>
      </c>
      <c r="C400" s="121"/>
      <c r="D400" s="122" t="e">
        <f>((C355*D333)+D392+C356*MAX(1,F353))/C351</f>
        <v>#DIV/0!</v>
      </c>
      <c r="E400" s="77"/>
      <c r="F400" s="416"/>
      <c r="G400" s="416"/>
      <c r="H400" s="416"/>
    </row>
    <row r="401" spans="2:16" ht="18" hidden="1" outlineLevel="1" x14ac:dyDescent="0.25">
      <c r="B401" s="123" t="s">
        <v>17</v>
      </c>
      <c r="C401" s="124"/>
      <c r="D401" s="125" t="e">
        <f>(C355*D334+D392+D393+C356*(MAX(1,F353)+G353))/C351</f>
        <v>#DIV/0!</v>
      </c>
      <c r="E401" s="77"/>
      <c r="F401" s="416"/>
      <c r="G401" s="416"/>
      <c r="H401" s="416"/>
    </row>
    <row r="402" spans="2:16" ht="18" hidden="1" outlineLevel="1" x14ac:dyDescent="0.25">
      <c r="B402" s="123" t="s">
        <v>18</v>
      </c>
      <c r="C402" s="124"/>
      <c r="D402" s="125" t="e">
        <f>((C355*D335)+D393+C356*G353)/C351</f>
        <v>#DIV/0!</v>
      </c>
      <c r="E402" s="46"/>
      <c r="F402" s="416"/>
      <c r="G402" s="416"/>
      <c r="H402" s="416"/>
    </row>
    <row r="403" spans="2:16" ht="18" hidden="1" outlineLevel="1" x14ac:dyDescent="0.25">
      <c r="B403" s="126" t="s">
        <v>19</v>
      </c>
      <c r="C403" s="127"/>
      <c r="D403" s="128" t="e">
        <f>(C355*D336+D394+C356*H353)/C351</f>
        <v>#DIV/0!</v>
      </c>
      <c r="E403" s="46"/>
      <c r="F403" s="416"/>
      <c r="G403" s="416"/>
      <c r="H403" s="416"/>
    </row>
    <row r="404" spans="2:16" ht="18.5" hidden="1" outlineLevel="1" thickBot="1" x14ac:dyDescent="0.3">
      <c r="B404" s="129" t="s">
        <v>20</v>
      </c>
      <c r="C404" s="130"/>
      <c r="D404" s="131" t="e">
        <f>((C355*D337)+SUM(D392:D394)+C356*(MAX(1,F353)+G353+H353))/C351</f>
        <v>#DIV/0!</v>
      </c>
      <c r="E404" s="46"/>
      <c r="F404" s="416"/>
      <c r="G404" s="416"/>
      <c r="H404" s="416"/>
      <c r="I404" s="34"/>
      <c r="N404" s="36"/>
      <c r="O404" s="36"/>
      <c r="P404" s="36"/>
    </row>
    <row r="405" spans="2:16" ht="13.5" hidden="1" outlineLevel="1" thickTop="1" x14ac:dyDescent="0.25">
      <c r="B405" s="156" t="s">
        <v>76</v>
      </c>
      <c r="C405" s="424"/>
      <c r="D405" s="425"/>
      <c r="E405" s="46"/>
      <c r="F405" s="34"/>
      <c r="G405" s="34"/>
      <c r="H405" s="34"/>
      <c r="N405" s="36"/>
      <c r="O405" s="36"/>
      <c r="P405" s="36"/>
    </row>
    <row r="406" spans="2:16" ht="13" hidden="1" outlineLevel="1" x14ac:dyDescent="0.25">
      <c r="B406" s="157" t="s">
        <v>58</v>
      </c>
      <c r="C406" s="422"/>
      <c r="D406" s="423"/>
      <c r="E406" s="46"/>
      <c r="F406" s="34"/>
      <c r="G406" s="34"/>
      <c r="H406" s="34"/>
    </row>
    <row r="407" spans="2:16" ht="21" hidden="1" outlineLevel="1" thickTop="1" thickBot="1" x14ac:dyDescent="0.3">
      <c r="B407" s="158" t="s">
        <v>59</v>
      </c>
      <c r="C407" s="420"/>
      <c r="D407" s="421"/>
      <c r="E407" s="31"/>
      <c r="F407" s="32" t="s">
        <v>27</v>
      </c>
      <c r="G407" s="33"/>
      <c r="H407" s="33"/>
    </row>
    <row r="408" spans="2:16" ht="14.5" hidden="1" outlineLevel="1" thickBot="1" x14ac:dyDescent="0.3">
      <c r="E408" s="40"/>
      <c r="F408" s="41" t="s">
        <v>28</v>
      </c>
      <c r="G408" s="41" t="s">
        <v>21</v>
      </c>
      <c r="H408" s="41" t="s">
        <v>8</v>
      </c>
    </row>
    <row r="409" spans="2:16" hidden="1" outlineLevel="1" x14ac:dyDescent="0.25">
      <c r="C409" s="25" t="s">
        <v>44</v>
      </c>
      <c r="D409" s="25" t="s">
        <v>42</v>
      </c>
      <c r="E409" s="46"/>
      <c r="F409" s="47"/>
      <c r="G409" s="47"/>
      <c r="H409" s="47"/>
    </row>
    <row r="410" spans="2:16" ht="20.5" hidden="1" outlineLevel="1" thickTop="1" x14ac:dyDescent="0.25">
      <c r="B410" s="140" t="s">
        <v>73</v>
      </c>
      <c r="C410" s="29"/>
      <c r="D410" s="141"/>
      <c r="E410" s="46"/>
      <c r="F410" s="47"/>
      <c r="G410" s="47"/>
      <c r="H410" s="47"/>
    </row>
    <row r="411" spans="2:16" ht="14" hidden="1" outlineLevel="1" x14ac:dyDescent="0.25">
      <c r="B411" s="37"/>
      <c r="C411" s="38" t="s">
        <v>0</v>
      </c>
      <c r="D411" s="39" t="s">
        <v>1</v>
      </c>
      <c r="E411" s="46"/>
      <c r="F411" s="47"/>
      <c r="G411" s="47"/>
      <c r="H411" s="47"/>
    </row>
    <row r="412" spans="2:16" ht="14" hidden="1" outlineLevel="1" x14ac:dyDescent="0.25">
      <c r="B412" s="43" t="s">
        <v>65</v>
      </c>
      <c r="C412" s="142"/>
      <c r="D412" s="45" t="s">
        <v>2</v>
      </c>
      <c r="E412" s="57"/>
      <c r="F412" s="58"/>
      <c r="G412" s="58"/>
      <c r="H412" s="58"/>
    </row>
    <row r="413" spans="2:16" ht="13" hidden="1" outlineLevel="1" x14ac:dyDescent="0.25">
      <c r="B413" s="43" t="s">
        <v>64</v>
      </c>
      <c r="C413" s="143"/>
      <c r="D413" s="45" t="s">
        <v>3</v>
      </c>
      <c r="E413" s="46"/>
      <c r="F413" s="47"/>
      <c r="G413" s="47"/>
      <c r="H413" s="47"/>
    </row>
    <row r="414" spans="2:16" ht="13" hidden="1" outlineLevel="1" x14ac:dyDescent="0.25">
      <c r="B414" s="51" t="s">
        <v>63</v>
      </c>
      <c r="C414" s="144">
        <f>C412*C413</f>
        <v>0</v>
      </c>
      <c r="D414" s="45" t="str">
        <f>D412</f>
        <v>kg</v>
      </c>
      <c r="E414" s="59"/>
      <c r="F414" s="47"/>
      <c r="G414" s="47"/>
      <c r="H414" s="47"/>
    </row>
    <row r="415" spans="2:16" ht="14" hidden="1" outlineLevel="1" x14ac:dyDescent="0.25">
      <c r="B415" s="54" t="s">
        <v>37</v>
      </c>
      <c r="C415" s="145">
        <v>1</v>
      </c>
      <c r="D415" s="56"/>
      <c r="E415" s="46"/>
      <c r="F415" s="47"/>
      <c r="G415" s="47"/>
      <c r="H415" s="47"/>
    </row>
    <row r="416" spans="2:16" ht="13" hidden="1" outlineLevel="1" x14ac:dyDescent="0.25">
      <c r="B416" s="43" t="s">
        <v>66</v>
      </c>
      <c r="C416" s="142"/>
      <c r="D416" s="45" t="str">
        <f>D412</f>
        <v>kg</v>
      </c>
      <c r="F416" s="64"/>
      <c r="G416" s="64"/>
      <c r="H416" s="64"/>
    </row>
    <row r="417" spans="2:11" ht="14.5" hidden="1" outlineLevel="1" thickBot="1" x14ac:dyDescent="0.3">
      <c r="B417" s="43" t="s">
        <v>67</v>
      </c>
      <c r="C417" s="143"/>
      <c r="D417" s="45" t="s">
        <v>3</v>
      </c>
      <c r="E417" s="68"/>
      <c r="F417" s="69"/>
      <c r="G417" s="69"/>
      <c r="H417" s="69"/>
    </row>
    <row r="418" spans="2:11" ht="13" hidden="1" outlineLevel="1" x14ac:dyDescent="0.25">
      <c r="B418" s="51" t="s">
        <v>68</v>
      </c>
      <c r="C418" s="144">
        <f>C416*C417</f>
        <v>0</v>
      </c>
      <c r="D418" s="45" t="str">
        <f>D412</f>
        <v>kg</v>
      </c>
      <c r="E418" s="73"/>
      <c r="F418" s="69"/>
      <c r="G418" s="69"/>
      <c r="H418" s="69"/>
    </row>
    <row r="419" spans="2:11" ht="13.5" hidden="1" outlineLevel="1" thickBot="1" x14ac:dyDescent="0.3">
      <c r="B419" s="61"/>
      <c r="C419" s="62"/>
      <c r="D419" s="63"/>
      <c r="E419" s="98"/>
      <c r="F419" s="69"/>
      <c r="G419" s="69"/>
      <c r="H419" s="69"/>
    </row>
    <row r="420" spans="2:11" ht="14.5" hidden="1" outlineLevel="1" thickBot="1" x14ac:dyDescent="0.3">
      <c r="B420" s="65" t="s">
        <v>5</v>
      </c>
      <c r="C420" s="66" t="s">
        <v>6</v>
      </c>
      <c r="D420" s="67" t="s">
        <v>1</v>
      </c>
      <c r="E420" s="77"/>
      <c r="F420" s="78"/>
      <c r="G420" s="78"/>
      <c r="H420" s="78"/>
    </row>
    <row r="421" spans="2:11" ht="13" hidden="1" outlineLevel="1" x14ac:dyDescent="0.25">
      <c r="B421" s="70" t="s">
        <v>43</v>
      </c>
      <c r="C421" s="71"/>
      <c r="D421" s="72"/>
      <c r="E421" s="77"/>
      <c r="F421" s="82"/>
      <c r="G421" s="82"/>
      <c r="H421" s="82"/>
    </row>
    <row r="422" spans="2:11" ht="13" hidden="1" outlineLevel="1" x14ac:dyDescent="0.25">
      <c r="B422" s="74"/>
      <c r="C422" s="146">
        <f>C414</f>
        <v>0</v>
      </c>
      <c r="D422" s="76" t="str">
        <f>D412</f>
        <v>kg</v>
      </c>
      <c r="E422" s="77"/>
      <c r="F422" s="82"/>
      <c r="G422" s="82"/>
      <c r="H422" s="82"/>
    </row>
    <row r="423" spans="2:11" ht="13" hidden="1" outlineLevel="1" x14ac:dyDescent="0.25">
      <c r="B423" s="74"/>
      <c r="C423" s="146"/>
      <c r="D423" s="76" t="str">
        <f>D412</f>
        <v>kg</v>
      </c>
      <c r="E423" s="77"/>
      <c r="F423" s="82"/>
      <c r="G423" s="82"/>
      <c r="H423" s="82"/>
    </row>
    <row r="424" spans="2:11" ht="13" hidden="1" outlineLevel="1" x14ac:dyDescent="0.25">
      <c r="B424" s="79" t="s">
        <v>69</v>
      </c>
      <c r="C424" s="147"/>
      <c r="D424" s="81"/>
      <c r="E424" s="77"/>
      <c r="F424" s="82"/>
      <c r="G424" s="82"/>
      <c r="H424" s="82"/>
    </row>
    <row r="425" spans="2:11" ht="13" hidden="1" outlineLevel="1" x14ac:dyDescent="0.25">
      <c r="B425" s="74"/>
      <c r="C425" s="148"/>
      <c r="D425" s="76" t="str">
        <f>D412</f>
        <v>kg</v>
      </c>
      <c r="E425" s="77"/>
      <c r="F425" s="82"/>
      <c r="G425" s="82"/>
      <c r="H425" s="82"/>
    </row>
    <row r="426" spans="2:11" ht="13" hidden="1" outlineLevel="1" x14ac:dyDescent="0.25">
      <c r="B426" s="74"/>
      <c r="C426" s="148"/>
      <c r="D426" s="76" t="str">
        <f>D412</f>
        <v>kg</v>
      </c>
      <c r="E426" s="77"/>
      <c r="F426" s="82"/>
      <c r="G426" s="82"/>
      <c r="H426" s="82"/>
    </row>
    <row r="427" spans="2:11" ht="13" hidden="1" outlineLevel="1" x14ac:dyDescent="0.25">
      <c r="B427" s="74"/>
      <c r="C427" s="148"/>
      <c r="D427" s="76" t="str">
        <f>D412</f>
        <v>kg</v>
      </c>
      <c r="E427" s="77"/>
      <c r="F427" s="82"/>
      <c r="G427" s="82"/>
      <c r="H427" s="82"/>
    </row>
    <row r="428" spans="2:11" ht="13" hidden="1" outlineLevel="1" x14ac:dyDescent="0.25">
      <c r="B428" s="74"/>
      <c r="C428" s="148"/>
      <c r="D428" s="76" t="str">
        <f>D412</f>
        <v>kg</v>
      </c>
      <c r="E428" s="77"/>
      <c r="F428" s="82"/>
      <c r="G428" s="82"/>
      <c r="H428" s="82"/>
    </row>
    <row r="429" spans="2:11" ht="13.4" hidden="1" customHeight="1" outlineLevel="1" x14ac:dyDescent="0.25">
      <c r="B429" s="74"/>
      <c r="C429" s="148"/>
      <c r="D429" s="76" t="str">
        <f>D412</f>
        <v>kg</v>
      </c>
      <c r="E429" s="77"/>
      <c r="F429" s="82"/>
      <c r="G429" s="82"/>
      <c r="H429" s="82"/>
      <c r="K429" s="34"/>
    </row>
    <row r="430" spans="2:11" ht="13" hidden="1" outlineLevel="1" x14ac:dyDescent="0.25">
      <c r="B430" s="74"/>
      <c r="C430" s="148"/>
      <c r="D430" s="76" t="str">
        <f>D412</f>
        <v>kg</v>
      </c>
      <c r="E430" s="77"/>
      <c r="F430" s="82"/>
      <c r="G430" s="82"/>
      <c r="H430" s="82"/>
    </row>
    <row r="431" spans="2:11" ht="13" hidden="1" outlineLevel="1" x14ac:dyDescent="0.25">
      <c r="B431" s="74"/>
      <c r="C431" s="148"/>
      <c r="D431" s="76" t="str">
        <f>D412</f>
        <v>kg</v>
      </c>
      <c r="E431" s="77"/>
      <c r="F431" s="82"/>
      <c r="G431" s="82"/>
      <c r="H431" s="82"/>
    </row>
    <row r="432" spans="2:11" ht="13" hidden="1" outlineLevel="1" x14ac:dyDescent="0.25">
      <c r="B432" s="74"/>
      <c r="C432" s="148"/>
      <c r="D432" s="76" t="str">
        <f>D412</f>
        <v>kg</v>
      </c>
      <c r="E432" s="77"/>
      <c r="F432" s="82"/>
      <c r="G432" s="82"/>
      <c r="H432" s="82"/>
    </row>
    <row r="433" spans="2:11" ht="13" hidden="1" outlineLevel="1" x14ac:dyDescent="0.25">
      <c r="B433" s="74"/>
      <c r="C433" s="148"/>
      <c r="D433" s="76" t="str">
        <f>D412</f>
        <v>kg</v>
      </c>
      <c r="E433" s="77"/>
      <c r="F433" s="82"/>
      <c r="G433" s="82"/>
      <c r="H433" s="82"/>
    </row>
    <row r="434" spans="2:11" ht="13" hidden="1" outlineLevel="1" x14ac:dyDescent="0.25">
      <c r="B434" s="74"/>
      <c r="C434" s="148"/>
      <c r="D434" s="76" t="str">
        <f>D412</f>
        <v>kg</v>
      </c>
      <c r="E434" s="77"/>
      <c r="F434" s="82"/>
      <c r="G434" s="82"/>
      <c r="H434" s="82"/>
    </row>
    <row r="435" spans="2:11" ht="13" hidden="1" outlineLevel="1" x14ac:dyDescent="0.25">
      <c r="B435" s="79"/>
      <c r="C435" s="147"/>
      <c r="D435" s="81"/>
      <c r="E435" s="77"/>
      <c r="F435" s="82"/>
      <c r="G435" s="82"/>
      <c r="H435" s="82"/>
    </row>
    <row r="436" spans="2:11" ht="13" hidden="1" outlineLevel="1" x14ac:dyDescent="0.25">
      <c r="B436" s="86" t="s">
        <v>7</v>
      </c>
      <c r="C436" s="149">
        <f>SUM(C421:C434)</f>
        <v>0</v>
      </c>
      <c r="D436" s="88" t="str">
        <f>D412</f>
        <v>kg</v>
      </c>
      <c r="E436" s="77"/>
      <c r="F436" s="82"/>
      <c r="G436" s="82"/>
      <c r="H436" s="82"/>
    </row>
    <row r="437" spans="2:11" ht="13" hidden="1" outlineLevel="1" x14ac:dyDescent="0.25">
      <c r="B437" s="79" t="s">
        <v>71</v>
      </c>
      <c r="C437" s="150"/>
      <c r="D437" s="81"/>
      <c r="E437" s="77"/>
      <c r="F437" s="82"/>
      <c r="G437" s="82"/>
      <c r="H437" s="82"/>
    </row>
    <row r="438" spans="2:11" ht="13" hidden="1" outlineLevel="1" x14ac:dyDescent="0.25">
      <c r="B438" s="74"/>
      <c r="C438" s="148"/>
      <c r="D438" s="76" t="str">
        <f>D412</f>
        <v>kg</v>
      </c>
      <c r="E438" s="77"/>
      <c r="F438" s="82"/>
      <c r="G438" s="82"/>
      <c r="H438" s="82"/>
    </row>
    <row r="439" spans="2:11" ht="13" hidden="1" outlineLevel="1" x14ac:dyDescent="0.25">
      <c r="B439" s="74"/>
      <c r="C439" s="148"/>
      <c r="D439" s="76" t="str">
        <f>D412</f>
        <v>kg</v>
      </c>
      <c r="E439" s="77"/>
      <c r="F439" s="82"/>
      <c r="G439" s="82"/>
      <c r="H439" s="82"/>
    </row>
    <row r="440" spans="2:11" ht="13" hidden="1" outlineLevel="1" x14ac:dyDescent="0.25">
      <c r="B440" s="74"/>
      <c r="C440" s="148"/>
      <c r="D440" s="76" t="str">
        <f>D412</f>
        <v>kg</v>
      </c>
      <c r="E440" s="77"/>
      <c r="F440" s="82"/>
      <c r="G440" s="82"/>
      <c r="H440" s="82"/>
    </row>
    <row r="441" spans="2:11" ht="13" hidden="1" outlineLevel="1" x14ac:dyDescent="0.25">
      <c r="B441" s="74"/>
      <c r="C441" s="148"/>
      <c r="D441" s="76" t="str">
        <f>D412</f>
        <v>kg</v>
      </c>
      <c r="E441" s="77"/>
      <c r="F441" s="82"/>
      <c r="G441" s="82"/>
      <c r="H441" s="82"/>
    </row>
    <row r="442" spans="2:11" ht="13" hidden="1" outlineLevel="1" x14ac:dyDescent="0.25">
      <c r="B442" s="74"/>
      <c r="C442" s="148"/>
      <c r="D442" s="76" t="str">
        <f>D412</f>
        <v>kg</v>
      </c>
      <c r="E442" s="77"/>
      <c r="F442" s="82"/>
      <c r="G442" s="82"/>
      <c r="H442" s="82"/>
    </row>
    <row r="443" spans="2:11" ht="13" hidden="1" outlineLevel="1" x14ac:dyDescent="0.25">
      <c r="B443" s="74"/>
      <c r="C443" s="148"/>
      <c r="D443" s="76" t="str">
        <f>D412</f>
        <v>kg</v>
      </c>
      <c r="E443" s="90"/>
      <c r="F443" s="82"/>
      <c r="G443" s="82"/>
      <c r="H443" s="82"/>
    </row>
    <row r="444" spans="2:11" ht="13" hidden="1" outlineLevel="1" x14ac:dyDescent="0.25">
      <c r="B444" s="74"/>
      <c r="C444" s="148"/>
      <c r="D444" s="76" t="str">
        <f>D412</f>
        <v>kg</v>
      </c>
      <c r="E444" s="77"/>
      <c r="F444" s="82"/>
      <c r="G444" s="82"/>
      <c r="H444" s="82"/>
    </row>
    <row r="445" spans="2:11" ht="13" hidden="1" outlineLevel="1" x14ac:dyDescent="0.25">
      <c r="B445" s="74"/>
      <c r="C445" s="148"/>
      <c r="D445" s="76" t="str">
        <f>D412</f>
        <v>kg</v>
      </c>
      <c r="E445" s="77"/>
      <c r="F445" s="82"/>
      <c r="G445" s="82"/>
      <c r="H445" s="82"/>
    </row>
    <row r="446" spans="2:11" ht="14.25" hidden="1" customHeight="1" outlineLevel="1" x14ac:dyDescent="0.25">
      <c r="B446" s="79" t="s">
        <v>70</v>
      </c>
      <c r="C446" s="147"/>
      <c r="D446" s="81"/>
      <c r="E446" s="77"/>
      <c r="F446" s="82"/>
      <c r="G446" s="82"/>
      <c r="H446" s="82"/>
    </row>
    <row r="447" spans="2:11" ht="13" hidden="1" outlineLevel="1" x14ac:dyDescent="0.25">
      <c r="B447" s="74"/>
      <c r="C447" s="148"/>
      <c r="D447" s="76" t="str">
        <f>D412</f>
        <v>kg</v>
      </c>
      <c r="E447" s="77"/>
      <c r="F447" s="82"/>
      <c r="G447" s="82"/>
      <c r="H447" s="82"/>
    </row>
    <row r="448" spans="2:11" ht="13.4" hidden="1" customHeight="1" outlineLevel="1" x14ac:dyDescent="0.25">
      <c r="B448" s="74"/>
      <c r="C448" s="148"/>
      <c r="D448" s="76" t="str">
        <f>D412</f>
        <v>kg</v>
      </c>
      <c r="E448" s="77"/>
      <c r="F448" s="82"/>
      <c r="G448" s="82"/>
      <c r="H448" s="82"/>
      <c r="K448" s="34"/>
    </row>
    <row r="449" spans="2:8" ht="13" hidden="1" outlineLevel="1" x14ac:dyDescent="0.25">
      <c r="B449" s="74"/>
      <c r="C449" s="148"/>
      <c r="D449" s="76" t="str">
        <f>D412</f>
        <v>kg</v>
      </c>
      <c r="E449" s="77"/>
      <c r="F449" s="82"/>
      <c r="G449" s="82"/>
      <c r="H449" s="82"/>
    </row>
    <row r="450" spans="2:8" ht="13" hidden="1" outlineLevel="1" x14ac:dyDescent="0.25">
      <c r="B450" s="74"/>
      <c r="C450" s="148"/>
      <c r="D450" s="76" t="str">
        <f>D412</f>
        <v>kg</v>
      </c>
      <c r="E450" s="77"/>
      <c r="F450" s="82"/>
      <c r="G450" s="82"/>
      <c r="H450" s="82"/>
    </row>
    <row r="451" spans="2:8" ht="13" hidden="1" outlineLevel="1" x14ac:dyDescent="0.25">
      <c r="B451" s="74"/>
      <c r="C451" s="148"/>
      <c r="D451" s="76" t="str">
        <f>D412</f>
        <v>kg</v>
      </c>
      <c r="E451" s="77"/>
      <c r="F451" s="82"/>
      <c r="G451" s="82"/>
      <c r="H451" s="82"/>
    </row>
    <row r="452" spans="2:8" ht="13" hidden="1" outlineLevel="1" x14ac:dyDescent="0.25">
      <c r="B452" s="74"/>
      <c r="C452" s="148"/>
      <c r="D452" s="76" t="str">
        <f>D412</f>
        <v>kg</v>
      </c>
      <c r="E452" s="77"/>
      <c r="F452" s="82"/>
      <c r="G452" s="82"/>
      <c r="H452" s="82"/>
    </row>
    <row r="453" spans="2:8" ht="13" hidden="1" outlineLevel="1" x14ac:dyDescent="0.25">
      <c r="B453" s="74"/>
      <c r="C453" s="148"/>
      <c r="D453" s="76" t="str">
        <f>D412</f>
        <v>kg</v>
      </c>
      <c r="E453" s="77"/>
      <c r="F453" s="82"/>
      <c r="G453" s="82"/>
      <c r="H453" s="82"/>
    </row>
    <row r="454" spans="2:8" ht="13" hidden="1" outlineLevel="1" x14ac:dyDescent="0.25">
      <c r="B454" s="79"/>
      <c r="C454" s="147"/>
      <c r="D454" s="81"/>
      <c r="E454" s="77"/>
      <c r="F454" s="82"/>
      <c r="G454" s="82"/>
      <c r="H454" s="82"/>
    </row>
    <row r="455" spans="2:8" ht="13" hidden="1" outlineLevel="1" x14ac:dyDescent="0.25">
      <c r="B455" s="86" t="s">
        <v>9</v>
      </c>
      <c r="C455" s="149">
        <f>SUM(C436:C453)</f>
        <v>0</v>
      </c>
      <c r="D455" s="91" t="str">
        <f>D412</f>
        <v>kg</v>
      </c>
      <c r="E455" s="98"/>
      <c r="F455" s="82"/>
      <c r="G455" s="82"/>
      <c r="H455" s="82"/>
    </row>
    <row r="456" spans="2:8" ht="13" hidden="1" outlineLevel="1" x14ac:dyDescent="0.25">
      <c r="B456" s="92"/>
      <c r="C456" s="93"/>
      <c r="D456" s="94"/>
      <c r="E456" s="98"/>
      <c r="F456" s="82"/>
      <c r="G456" s="82"/>
      <c r="H456" s="82"/>
    </row>
    <row r="457" spans="2:8" ht="20.5" hidden="1" outlineLevel="1" thickBot="1" x14ac:dyDescent="0.3">
      <c r="B457" s="426" t="s">
        <v>10</v>
      </c>
      <c r="C457" s="427"/>
      <c r="D457" s="428"/>
      <c r="E457" s="98"/>
      <c r="F457" s="82"/>
      <c r="G457" s="82"/>
      <c r="H457" s="82"/>
    </row>
    <row r="458" spans="2:8" ht="13" hidden="1" outlineLevel="1" x14ac:dyDescent="0.25">
      <c r="B458" s="95" t="s">
        <v>23</v>
      </c>
      <c r="C458" s="96"/>
      <c r="D458" s="151">
        <f>SUM(C422:C423)</f>
        <v>0</v>
      </c>
      <c r="E458" s="98"/>
      <c r="F458" s="82"/>
      <c r="G458" s="82"/>
      <c r="H458" s="82"/>
    </row>
    <row r="459" spans="2:8" ht="13" hidden="1" outlineLevel="1" x14ac:dyDescent="0.25">
      <c r="B459" s="99" t="s">
        <v>24</v>
      </c>
      <c r="C459" s="100"/>
      <c r="D459" s="152">
        <f>SUM(C425:C435)</f>
        <v>0</v>
      </c>
      <c r="E459" s="77"/>
      <c r="F459" s="110" t="s">
        <v>86</v>
      </c>
      <c r="G459" s="109" t="s">
        <v>85</v>
      </c>
      <c r="H459" s="110"/>
    </row>
    <row r="460" spans="2:8" ht="13.5" hidden="1" outlineLevel="1" thickBot="1" x14ac:dyDescent="0.3">
      <c r="B460" s="99" t="s">
        <v>25</v>
      </c>
      <c r="C460" s="100"/>
      <c r="D460" s="152">
        <f>SUM(C438:C446)</f>
        <v>0</v>
      </c>
      <c r="E460" s="77"/>
      <c r="F460" s="154"/>
      <c r="G460" s="413"/>
      <c r="H460" s="414"/>
    </row>
    <row r="461" spans="2:8" ht="13" hidden="1" outlineLevel="1" x14ac:dyDescent="0.25">
      <c r="B461" s="102" t="s">
        <v>26</v>
      </c>
      <c r="C461" s="103"/>
      <c r="D461" s="153">
        <f>SUM(C447:C454)</f>
        <v>0</v>
      </c>
      <c r="E461" s="90"/>
      <c r="F461" s="64" t="s">
        <v>45</v>
      </c>
      <c r="G461" s="64" t="s">
        <v>45</v>
      </c>
      <c r="H461" s="155"/>
    </row>
    <row r="462" spans="2:8" ht="18.5" hidden="1" outlineLevel="1" thickTop="1" x14ac:dyDescent="0.25">
      <c r="B462" s="105" t="s">
        <v>11</v>
      </c>
      <c r="C462" s="106"/>
      <c r="D462" s="107" t="e">
        <f>C436/C418</f>
        <v>#DIV/0!</v>
      </c>
      <c r="E462" s="90"/>
      <c r="F462" s="110"/>
      <c r="G462" s="117" t="s">
        <v>46</v>
      </c>
      <c r="H462" s="110"/>
    </row>
    <row r="463" spans="2:8" ht="18" hidden="1" customHeight="1" outlineLevel="1" thickBot="1" x14ac:dyDescent="0.3">
      <c r="B463" s="111" t="s">
        <v>12</v>
      </c>
      <c r="C463" s="112"/>
      <c r="D463" s="113" t="e">
        <f>(D458+D459+D460)/C418</f>
        <v>#DIV/0!</v>
      </c>
      <c r="E463" s="90"/>
      <c r="F463" s="429"/>
      <c r="G463" s="430"/>
      <c r="H463" s="431"/>
    </row>
    <row r="464" spans="2:8" ht="18" hidden="1" outlineLevel="1" x14ac:dyDescent="0.25">
      <c r="B464" s="111" t="s">
        <v>13</v>
      </c>
      <c r="C464" s="112"/>
      <c r="D464" s="113" t="e">
        <f>D460/C418</f>
        <v>#DIV/0!</v>
      </c>
      <c r="E464" s="77"/>
      <c r="F464" s="64" t="s">
        <v>45</v>
      </c>
      <c r="G464" s="64"/>
      <c r="H464" s="82"/>
    </row>
    <row r="465" spans="2:16" ht="18" hidden="1" outlineLevel="1" x14ac:dyDescent="0.25">
      <c r="B465" s="114" t="s">
        <v>14</v>
      </c>
      <c r="C465" s="115"/>
      <c r="D465" s="116" t="e">
        <f>D461/C418</f>
        <v>#DIV/0!</v>
      </c>
      <c r="E465" s="77"/>
      <c r="F465" s="82"/>
      <c r="G465" s="82"/>
      <c r="H465" s="82"/>
    </row>
    <row r="466" spans="2:16" ht="18.5" hidden="1" outlineLevel="1" thickBot="1" x14ac:dyDescent="0.3">
      <c r="B466" s="114" t="s">
        <v>15</v>
      </c>
      <c r="C466" s="119"/>
      <c r="D466" s="116" t="e">
        <f>SUM(D458:D461)/C418</f>
        <v>#DIV/0!</v>
      </c>
      <c r="E466" s="77"/>
      <c r="F466" s="415" t="s">
        <v>61</v>
      </c>
      <c r="G466" s="416"/>
      <c r="H466" s="416"/>
    </row>
    <row r="467" spans="2:16" ht="18.5" hidden="1" outlineLevel="1" thickTop="1" x14ac:dyDescent="0.25">
      <c r="B467" s="120" t="s">
        <v>16</v>
      </c>
      <c r="C467" s="121"/>
      <c r="D467" s="122" t="e">
        <f>((C422*D400)+D459+C423*MAX(1,F420))/C418</f>
        <v>#DIV/0!</v>
      </c>
      <c r="E467" s="77"/>
      <c r="F467" s="416"/>
      <c r="G467" s="416"/>
      <c r="H467" s="416"/>
    </row>
    <row r="468" spans="2:16" ht="18" hidden="1" outlineLevel="1" x14ac:dyDescent="0.25">
      <c r="B468" s="123" t="s">
        <v>17</v>
      </c>
      <c r="C468" s="124"/>
      <c r="D468" s="125" t="e">
        <f>(C422*D401+D459+D460+C423*(MAX(1,F420)+G420))/C418</f>
        <v>#DIV/0!</v>
      </c>
      <c r="E468" s="77"/>
      <c r="F468" s="416"/>
      <c r="G468" s="416"/>
      <c r="H468" s="416"/>
    </row>
    <row r="469" spans="2:16" ht="18" hidden="1" outlineLevel="1" x14ac:dyDescent="0.25">
      <c r="B469" s="123" t="s">
        <v>18</v>
      </c>
      <c r="C469" s="124"/>
      <c r="D469" s="125" t="e">
        <f>((C422*D402)+D460+C423*G420)/C418</f>
        <v>#DIV/0!</v>
      </c>
      <c r="F469" s="416"/>
      <c r="G469" s="416"/>
      <c r="H469" s="416"/>
    </row>
    <row r="470" spans="2:16" ht="18" hidden="1" outlineLevel="1" x14ac:dyDescent="0.25">
      <c r="B470" s="126" t="s">
        <v>19</v>
      </c>
      <c r="C470" s="127"/>
      <c r="D470" s="128" t="e">
        <f>(C422*D403+D461+C423*H420)/C418</f>
        <v>#DIV/0!</v>
      </c>
      <c r="F470" s="416"/>
      <c r="G470" s="416"/>
      <c r="H470" s="416"/>
    </row>
    <row r="471" spans="2:16" ht="18.5" hidden="1" outlineLevel="1" thickBot="1" x14ac:dyDescent="0.3">
      <c r="B471" s="129" t="s">
        <v>20</v>
      </c>
      <c r="C471" s="130"/>
      <c r="D471" s="131" t="e">
        <f>((C422*D404)+SUM(D459:D461)+C423*(MAX(1,F420)+G420+H420))/C418</f>
        <v>#DIV/0!</v>
      </c>
      <c r="F471" s="416"/>
      <c r="G471" s="416"/>
      <c r="H471" s="416"/>
      <c r="N471" s="36"/>
      <c r="O471" s="36"/>
      <c r="P471" s="36"/>
    </row>
    <row r="472" spans="2:16" ht="13.5" hidden="1" outlineLevel="1" thickTop="1" x14ac:dyDescent="0.25">
      <c r="B472" s="156" t="s">
        <v>76</v>
      </c>
      <c r="C472" s="424"/>
      <c r="D472" s="425"/>
      <c r="F472" s="34"/>
      <c r="G472" s="34"/>
      <c r="H472" s="34"/>
      <c r="N472" s="36"/>
      <c r="O472" s="36"/>
      <c r="P472" s="36"/>
    </row>
    <row r="473" spans="2:16" ht="13" hidden="1" outlineLevel="1" x14ac:dyDescent="0.25">
      <c r="B473" s="157" t="s">
        <v>58</v>
      </c>
      <c r="C473" s="422"/>
      <c r="D473" s="423"/>
      <c r="F473" s="34"/>
      <c r="G473" s="34"/>
      <c r="H473" s="34"/>
    </row>
    <row r="474" spans="2:16" ht="21" hidden="1" outlineLevel="1" thickTop="1" thickBot="1" x14ac:dyDescent="0.3">
      <c r="B474" s="158" t="s">
        <v>59</v>
      </c>
      <c r="C474" s="420"/>
      <c r="D474" s="421"/>
      <c r="E474" s="31"/>
      <c r="F474" s="32" t="s">
        <v>27</v>
      </c>
      <c r="G474" s="33"/>
      <c r="H474" s="33"/>
    </row>
    <row r="475" spans="2:16" ht="14.5" hidden="1" outlineLevel="1" thickBot="1" x14ac:dyDescent="0.3">
      <c r="E475" s="40"/>
      <c r="F475" s="41" t="s">
        <v>28</v>
      </c>
      <c r="G475" s="41" t="s">
        <v>21</v>
      </c>
      <c r="H475" s="41" t="s">
        <v>8</v>
      </c>
    </row>
    <row r="476" spans="2:16" hidden="1" outlineLevel="1" x14ac:dyDescent="0.25">
      <c r="C476" s="25" t="s">
        <v>44</v>
      </c>
      <c r="D476" s="25" t="s">
        <v>42</v>
      </c>
      <c r="E476" s="46"/>
      <c r="F476" s="47"/>
      <c r="G476" s="47"/>
      <c r="H476" s="47"/>
    </row>
    <row r="477" spans="2:16" ht="20.5" hidden="1" outlineLevel="1" thickTop="1" x14ac:dyDescent="0.25">
      <c r="B477" s="140" t="s">
        <v>73</v>
      </c>
      <c r="C477" s="29"/>
      <c r="D477" s="141"/>
      <c r="E477" s="46"/>
      <c r="F477" s="47"/>
      <c r="G477" s="47"/>
      <c r="H477" s="47"/>
    </row>
    <row r="478" spans="2:16" ht="14" hidden="1" outlineLevel="1" x14ac:dyDescent="0.25">
      <c r="B478" s="37"/>
      <c r="C478" s="38" t="s">
        <v>0</v>
      </c>
      <c r="D478" s="39" t="s">
        <v>1</v>
      </c>
      <c r="E478" s="46"/>
      <c r="F478" s="47"/>
      <c r="G478" s="47"/>
      <c r="H478" s="47"/>
    </row>
    <row r="479" spans="2:16" ht="14" hidden="1" outlineLevel="1" x14ac:dyDescent="0.25">
      <c r="B479" s="43" t="s">
        <v>65</v>
      </c>
      <c r="C479" s="142"/>
      <c r="D479" s="45" t="s">
        <v>2</v>
      </c>
      <c r="E479" s="57"/>
      <c r="F479" s="58"/>
      <c r="G479" s="58"/>
      <c r="H479" s="58"/>
    </row>
    <row r="480" spans="2:16" ht="13" hidden="1" outlineLevel="1" x14ac:dyDescent="0.25">
      <c r="B480" s="43" t="s">
        <v>64</v>
      </c>
      <c r="C480" s="143"/>
      <c r="D480" s="45" t="s">
        <v>3</v>
      </c>
      <c r="E480" s="46"/>
      <c r="F480" s="47"/>
      <c r="G480" s="47"/>
      <c r="H480" s="47"/>
    </row>
    <row r="481" spans="2:11" ht="13" hidden="1" outlineLevel="1" x14ac:dyDescent="0.25">
      <c r="B481" s="51" t="s">
        <v>63</v>
      </c>
      <c r="C481" s="144">
        <f>C479*C480</f>
        <v>0</v>
      </c>
      <c r="D481" s="45" t="str">
        <f>D479</f>
        <v>kg</v>
      </c>
      <c r="E481" s="59"/>
      <c r="F481" s="47"/>
      <c r="G481" s="47"/>
      <c r="H481" s="47"/>
    </row>
    <row r="482" spans="2:11" ht="14" hidden="1" outlineLevel="1" x14ac:dyDescent="0.25">
      <c r="B482" s="54" t="s">
        <v>37</v>
      </c>
      <c r="C482" s="145">
        <v>1</v>
      </c>
      <c r="D482" s="56"/>
      <c r="E482" s="46"/>
      <c r="F482" s="47"/>
      <c r="G482" s="47"/>
      <c r="H482" s="47"/>
    </row>
    <row r="483" spans="2:11" ht="13" hidden="1" outlineLevel="1" x14ac:dyDescent="0.25">
      <c r="B483" s="43" t="s">
        <v>66</v>
      </c>
      <c r="C483" s="142"/>
      <c r="D483" s="45" t="str">
        <f>D479</f>
        <v>kg</v>
      </c>
      <c r="F483" s="64"/>
      <c r="G483" s="64"/>
      <c r="H483" s="64"/>
    </row>
    <row r="484" spans="2:11" ht="14.5" hidden="1" outlineLevel="1" thickBot="1" x14ac:dyDescent="0.3">
      <c r="B484" s="43" t="s">
        <v>67</v>
      </c>
      <c r="C484" s="143"/>
      <c r="D484" s="45" t="s">
        <v>3</v>
      </c>
      <c r="E484" s="68"/>
      <c r="F484" s="69"/>
      <c r="G484" s="69"/>
      <c r="H484" s="69"/>
    </row>
    <row r="485" spans="2:11" ht="13" hidden="1" outlineLevel="1" x14ac:dyDescent="0.25">
      <c r="B485" s="51" t="s">
        <v>68</v>
      </c>
      <c r="C485" s="144">
        <f>C483*C484</f>
        <v>0</v>
      </c>
      <c r="D485" s="45" t="str">
        <f>D479</f>
        <v>kg</v>
      </c>
      <c r="E485" s="73"/>
      <c r="F485" s="69"/>
      <c r="G485" s="69"/>
      <c r="H485" s="69"/>
    </row>
    <row r="486" spans="2:11" ht="13.5" hidden="1" outlineLevel="1" thickBot="1" x14ac:dyDescent="0.3">
      <c r="B486" s="61"/>
      <c r="C486" s="62"/>
      <c r="D486" s="63"/>
      <c r="E486" s="98"/>
      <c r="F486" s="69"/>
      <c r="G486" s="69"/>
      <c r="H486" s="69"/>
    </row>
    <row r="487" spans="2:11" ht="14.5" hidden="1" outlineLevel="1" thickBot="1" x14ac:dyDescent="0.3">
      <c r="B487" s="65" t="s">
        <v>5</v>
      </c>
      <c r="C487" s="66" t="s">
        <v>6</v>
      </c>
      <c r="D487" s="67" t="s">
        <v>1</v>
      </c>
      <c r="E487" s="77"/>
      <c r="F487" s="78"/>
      <c r="G487" s="78"/>
      <c r="H487" s="78"/>
    </row>
    <row r="488" spans="2:11" ht="13" hidden="1" outlineLevel="1" x14ac:dyDescent="0.25">
      <c r="B488" s="70" t="s">
        <v>43</v>
      </c>
      <c r="C488" s="71"/>
      <c r="D488" s="72"/>
      <c r="E488" s="77"/>
      <c r="F488" s="82"/>
      <c r="G488" s="82"/>
      <c r="H488" s="82"/>
    </row>
    <row r="489" spans="2:11" ht="13" hidden="1" outlineLevel="1" x14ac:dyDescent="0.25">
      <c r="B489" s="74"/>
      <c r="C489" s="146">
        <f>C481</f>
        <v>0</v>
      </c>
      <c r="D489" s="76" t="str">
        <f>D$479</f>
        <v>kg</v>
      </c>
      <c r="E489" s="77"/>
      <c r="F489" s="82"/>
      <c r="G489" s="82"/>
      <c r="H489" s="82"/>
    </row>
    <row r="490" spans="2:11" ht="13" hidden="1" outlineLevel="1" x14ac:dyDescent="0.25">
      <c r="B490" s="74"/>
      <c r="C490" s="146"/>
      <c r="D490" s="76" t="str">
        <f>D$479</f>
        <v>kg</v>
      </c>
      <c r="E490" s="77"/>
      <c r="F490" s="82"/>
      <c r="G490" s="82"/>
      <c r="H490" s="82"/>
    </row>
    <row r="491" spans="2:11" ht="13" hidden="1" outlineLevel="1" x14ac:dyDescent="0.25">
      <c r="B491" s="79" t="s">
        <v>69</v>
      </c>
      <c r="C491" s="147"/>
      <c r="D491" s="81"/>
      <c r="E491" s="77"/>
      <c r="F491" s="82"/>
      <c r="G491" s="82"/>
      <c r="H491" s="82"/>
    </row>
    <row r="492" spans="2:11" ht="13" hidden="1" outlineLevel="1" x14ac:dyDescent="0.25">
      <c r="B492" s="74"/>
      <c r="C492" s="148"/>
      <c r="D492" s="76" t="str">
        <f t="shared" ref="D492:D501" si="0">D$479</f>
        <v>kg</v>
      </c>
      <c r="E492" s="77"/>
      <c r="F492" s="82"/>
      <c r="G492" s="82"/>
      <c r="H492" s="82"/>
    </row>
    <row r="493" spans="2:11" ht="13" hidden="1" outlineLevel="1" x14ac:dyDescent="0.25">
      <c r="B493" s="74"/>
      <c r="C493" s="148"/>
      <c r="D493" s="76" t="str">
        <f t="shared" si="0"/>
        <v>kg</v>
      </c>
      <c r="E493" s="77"/>
      <c r="F493" s="82"/>
      <c r="G493" s="82"/>
      <c r="H493" s="82"/>
    </row>
    <row r="494" spans="2:11" ht="13" hidden="1" outlineLevel="1" x14ac:dyDescent="0.25">
      <c r="B494" s="74"/>
      <c r="C494" s="148"/>
      <c r="D494" s="76" t="str">
        <f t="shared" si="0"/>
        <v>kg</v>
      </c>
      <c r="E494" s="77"/>
      <c r="F494" s="82"/>
      <c r="G494" s="82"/>
      <c r="H494" s="82"/>
    </row>
    <row r="495" spans="2:11" ht="13" hidden="1" outlineLevel="1" x14ac:dyDescent="0.25">
      <c r="B495" s="74"/>
      <c r="C495" s="148"/>
      <c r="D495" s="76" t="str">
        <f t="shared" si="0"/>
        <v>kg</v>
      </c>
      <c r="E495" s="77"/>
      <c r="F495" s="82"/>
      <c r="G495" s="82"/>
      <c r="H495" s="82"/>
    </row>
    <row r="496" spans="2:11" ht="13.4" hidden="1" customHeight="1" outlineLevel="1" x14ac:dyDescent="0.25">
      <c r="B496" s="74"/>
      <c r="C496" s="148"/>
      <c r="D496" s="76" t="str">
        <f t="shared" si="0"/>
        <v>kg</v>
      </c>
      <c r="E496" s="77"/>
      <c r="F496" s="82"/>
      <c r="G496" s="82"/>
      <c r="H496" s="82"/>
      <c r="K496" s="34"/>
    </row>
    <row r="497" spans="2:8" ht="13" hidden="1" outlineLevel="1" x14ac:dyDescent="0.25">
      <c r="B497" s="74"/>
      <c r="C497" s="148"/>
      <c r="D497" s="76" t="str">
        <f t="shared" si="0"/>
        <v>kg</v>
      </c>
      <c r="E497" s="77"/>
      <c r="F497" s="82"/>
      <c r="G497" s="82"/>
      <c r="H497" s="82"/>
    </row>
    <row r="498" spans="2:8" ht="13" hidden="1" outlineLevel="1" x14ac:dyDescent="0.25">
      <c r="B498" s="74"/>
      <c r="C498" s="148"/>
      <c r="D498" s="76" t="str">
        <f t="shared" si="0"/>
        <v>kg</v>
      </c>
      <c r="E498" s="77"/>
      <c r="F498" s="82"/>
      <c r="G498" s="82"/>
      <c r="H498" s="82"/>
    </row>
    <row r="499" spans="2:8" ht="13" hidden="1" outlineLevel="1" x14ac:dyDescent="0.25">
      <c r="B499" s="74"/>
      <c r="C499" s="148"/>
      <c r="D499" s="76" t="str">
        <f t="shared" si="0"/>
        <v>kg</v>
      </c>
      <c r="E499" s="77"/>
      <c r="F499" s="82"/>
      <c r="G499" s="82"/>
      <c r="H499" s="82"/>
    </row>
    <row r="500" spans="2:8" ht="13" hidden="1" outlineLevel="1" x14ac:dyDescent="0.25">
      <c r="B500" s="74"/>
      <c r="C500" s="148"/>
      <c r="D500" s="76" t="str">
        <f t="shared" si="0"/>
        <v>kg</v>
      </c>
      <c r="E500" s="77"/>
      <c r="F500" s="82"/>
      <c r="G500" s="82"/>
      <c r="H500" s="82"/>
    </row>
    <row r="501" spans="2:8" ht="13" hidden="1" outlineLevel="1" x14ac:dyDescent="0.25">
      <c r="B501" s="74"/>
      <c r="C501" s="148"/>
      <c r="D501" s="76" t="str">
        <f t="shared" si="0"/>
        <v>kg</v>
      </c>
      <c r="E501" s="77"/>
      <c r="F501" s="82"/>
      <c r="G501" s="82"/>
      <c r="H501" s="82"/>
    </row>
    <row r="502" spans="2:8" ht="13" hidden="1" outlineLevel="1" x14ac:dyDescent="0.25">
      <c r="B502" s="79"/>
      <c r="C502" s="147"/>
      <c r="D502" s="81"/>
      <c r="E502" s="77"/>
      <c r="F502" s="82"/>
      <c r="G502" s="82"/>
      <c r="H502" s="82"/>
    </row>
    <row r="503" spans="2:8" ht="13" hidden="1" outlineLevel="1" x14ac:dyDescent="0.25">
      <c r="B503" s="86" t="s">
        <v>7</v>
      </c>
      <c r="C503" s="149">
        <f>SUM(C488:C501)</f>
        <v>0</v>
      </c>
      <c r="D503" s="88" t="str">
        <f>D$479</f>
        <v>kg</v>
      </c>
      <c r="E503" s="77"/>
      <c r="F503" s="82"/>
      <c r="G503" s="82"/>
      <c r="H503" s="82"/>
    </row>
    <row r="504" spans="2:8" ht="13" hidden="1" outlineLevel="1" x14ac:dyDescent="0.25">
      <c r="B504" s="79" t="s">
        <v>71</v>
      </c>
      <c r="C504" s="150"/>
      <c r="D504" s="81"/>
      <c r="E504" s="77"/>
      <c r="F504" s="82"/>
      <c r="G504" s="82"/>
      <c r="H504" s="82"/>
    </row>
    <row r="505" spans="2:8" ht="13" hidden="1" outlineLevel="1" x14ac:dyDescent="0.25">
      <c r="B505" s="74"/>
      <c r="C505" s="148"/>
      <c r="D505" s="76" t="str">
        <f t="shared" ref="D505:D512" si="1">D$479</f>
        <v>kg</v>
      </c>
      <c r="E505" s="77"/>
      <c r="F505" s="82"/>
      <c r="G505" s="82"/>
      <c r="H505" s="82"/>
    </row>
    <row r="506" spans="2:8" ht="13" hidden="1" outlineLevel="1" x14ac:dyDescent="0.25">
      <c r="B506" s="74"/>
      <c r="C506" s="148"/>
      <c r="D506" s="76" t="str">
        <f>D$479</f>
        <v>kg</v>
      </c>
      <c r="E506" s="77"/>
      <c r="F506" s="82"/>
      <c r="G506" s="82"/>
      <c r="H506" s="82"/>
    </row>
    <row r="507" spans="2:8" ht="13" hidden="1" outlineLevel="1" x14ac:dyDescent="0.25">
      <c r="B507" s="74"/>
      <c r="C507" s="148"/>
      <c r="D507" s="76" t="str">
        <f>D$479</f>
        <v>kg</v>
      </c>
      <c r="E507" s="77"/>
      <c r="F507" s="82"/>
      <c r="G507" s="82"/>
      <c r="H507" s="82"/>
    </row>
    <row r="508" spans="2:8" ht="13" hidden="1" outlineLevel="1" x14ac:dyDescent="0.25">
      <c r="B508" s="74"/>
      <c r="C508" s="148"/>
      <c r="D508" s="76" t="str">
        <f t="shared" si="1"/>
        <v>kg</v>
      </c>
      <c r="E508" s="77"/>
      <c r="F508" s="82"/>
      <c r="G508" s="82"/>
      <c r="H508" s="82"/>
    </row>
    <row r="509" spans="2:8" ht="13" hidden="1" outlineLevel="1" x14ac:dyDescent="0.25">
      <c r="B509" s="74"/>
      <c r="C509" s="148"/>
      <c r="D509" s="76" t="str">
        <f t="shared" si="1"/>
        <v>kg</v>
      </c>
      <c r="E509" s="77"/>
      <c r="F509" s="82"/>
      <c r="G509" s="82"/>
      <c r="H509" s="82"/>
    </row>
    <row r="510" spans="2:8" ht="13" hidden="1" outlineLevel="1" x14ac:dyDescent="0.25">
      <c r="B510" s="74"/>
      <c r="C510" s="148"/>
      <c r="D510" s="76" t="str">
        <f t="shared" si="1"/>
        <v>kg</v>
      </c>
      <c r="E510" s="90"/>
      <c r="F510" s="82"/>
      <c r="G510" s="82"/>
      <c r="H510" s="82"/>
    </row>
    <row r="511" spans="2:8" ht="13" hidden="1" outlineLevel="1" x14ac:dyDescent="0.25">
      <c r="B511" s="74"/>
      <c r="C511" s="148"/>
      <c r="D511" s="76" t="str">
        <f t="shared" si="1"/>
        <v>kg</v>
      </c>
      <c r="E511" s="77"/>
      <c r="F511" s="82"/>
      <c r="G511" s="82"/>
      <c r="H511" s="82"/>
    </row>
    <row r="512" spans="2:8" ht="13" hidden="1" outlineLevel="1" x14ac:dyDescent="0.25">
      <c r="B512" s="74"/>
      <c r="C512" s="148"/>
      <c r="D512" s="76" t="str">
        <f t="shared" si="1"/>
        <v>kg</v>
      </c>
      <c r="E512" s="77"/>
      <c r="F512" s="82"/>
      <c r="G512" s="82"/>
      <c r="H512" s="82"/>
    </row>
    <row r="513" spans="2:11" ht="13" hidden="1" outlineLevel="1" x14ac:dyDescent="0.25">
      <c r="B513" s="79" t="s">
        <v>70</v>
      </c>
      <c r="C513" s="147"/>
      <c r="D513" s="81"/>
      <c r="E513" s="77"/>
      <c r="F513" s="82"/>
      <c r="G513" s="82"/>
      <c r="H513" s="82"/>
    </row>
    <row r="514" spans="2:11" ht="13" hidden="1" outlineLevel="1" x14ac:dyDescent="0.25">
      <c r="B514" s="74"/>
      <c r="C514" s="148"/>
      <c r="D514" s="76" t="str">
        <f t="shared" ref="D514:D520" si="2">D$479</f>
        <v>kg</v>
      </c>
      <c r="E514" s="77"/>
      <c r="F514" s="82"/>
      <c r="G514" s="82"/>
      <c r="H514" s="82"/>
    </row>
    <row r="515" spans="2:11" ht="13.4" hidden="1" customHeight="1" outlineLevel="1" x14ac:dyDescent="0.25">
      <c r="B515" s="74"/>
      <c r="C515" s="148"/>
      <c r="D515" s="76" t="str">
        <f>D$479</f>
        <v>kg</v>
      </c>
      <c r="E515" s="77"/>
      <c r="F515" s="82"/>
      <c r="G515" s="82"/>
      <c r="H515" s="82"/>
      <c r="K515" s="34"/>
    </row>
    <row r="516" spans="2:11" ht="13" hidden="1" outlineLevel="1" x14ac:dyDescent="0.25">
      <c r="B516" s="74"/>
      <c r="C516" s="148"/>
      <c r="D516" s="76" t="str">
        <f>D$479</f>
        <v>kg</v>
      </c>
      <c r="E516" s="77"/>
      <c r="F516" s="82"/>
      <c r="G516" s="82"/>
      <c r="H516" s="82"/>
    </row>
    <row r="517" spans="2:11" ht="13" hidden="1" outlineLevel="1" x14ac:dyDescent="0.25">
      <c r="B517" s="74"/>
      <c r="C517" s="148"/>
      <c r="D517" s="76" t="str">
        <f>D$479</f>
        <v>kg</v>
      </c>
      <c r="E517" s="77"/>
      <c r="F517" s="82"/>
      <c r="G517" s="82"/>
      <c r="H517" s="82"/>
    </row>
    <row r="518" spans="2:11" ht="21.65" hidden="1" customHeight="1" outlineLevel="1" x14ac:dyDescent="0.25">
      <c r="B518" s="74"/>
      <c r="C518" s="148"/>
      <c r="D518" s="76" t="str">
        <f t="shared" si="2"/>
        <v>kg</v>
      </c>
      <c r="E518" s="77"/>
      <c r="F518" s="82"/>
      <c r="G518" s="82"/>
      <c r="H518" s="82"/>
    </row>
    <row r="519" spans="2:11" ht="13" hidden="1" outlineLevel="1" x14ac:dyDescent="0.25">
      <c r="B519" s="74"/>
      <c r="C519" s="148"/>
      <c r="D519" s="76" t="str">
        <f t="shared" si="2"/>
        <v>kg</v>
      </c>
      <c r="E519" s="77"/>
      <c r="F519" s="82"/>
      <c r="G519" s="82"/>
      <c r="H519" s="82"/>
    </row>
    <row r="520" spans="2:11" ht="13" hidden="1" outlineLevel="1" x14ac:dyDescent="0.25">
      <c r="B520" s="74"/>
      <c r="C520" s="148"/>
      <c r="D520" s="76" t="str">
        <f t="shared" si="2"/>
        <v>kg</v>
      </c>
      <c r="E520" s="77"/>
      <c r="F520" s="82"/>
      <c r="G520" s="82"/>
      <c r="H520" s="82"/>
    </row>
    <row r="521" spans="2:11" ht="13" hidden="1" outlineLevel="1" x14ac:dyDescent="0.25">
      <c r="B521" s="79"/>
      <c r="C521" s="147"/>
      <c r="D521" s="81"/>
      <c r="E521" s="77"/>
      <c r="F521" s="82"/>
      <c r="G521" s="82"/>
      <c r="H521" s="82"/>
    </row>
    <row r="522" spans="2:11" ht="15" hidden="1" customHeight="1" outlineLevel="1" x14ac:dyDescent="0.25">
      <c r="B522" s="86" t="s">
        <v>9</v>
      </c>
      <c r="C522" s="149">
        <f>SUM(C503:C520)</f>
        <v>0</v>
      </c>
      <c r="D522" s="91" t="str">
        <f>D$479</f>
        <v>kg</v>
      </c>
      <c r="E522" s="98"/>
      <c r="F522" s="82"/>
      <c r="G522" s="82"/>
      <c r="H522" s="82"/>
    </row>
    <row r="523" spans="2:11" ht="13" hidden="1" outlineLevel="1" x14ac:dyDescent="0.25">
      <c r="B523" s="92"/>
      <c r="C523" s="93"/>
      <c r="D523" s="94"/>
      <c r="E523" s="98"/>
      <c r="F523" s="82"/>
      <c r="G523" s="82"/>
      <c r="H523" s="82"/>
    </row>
    <row r="524" spans="2:11" ht="20.5" hidden="1" outlineLevel="1" thickBot="1" x14ac:dyDescent="0.3">
      <c r="B524" s="426" t="s">
        <v>10</v>
      </c>
      <c r="C524" s="427"/>
      <c r="D524" s="428"/>
      <c r="E524" s="98"/>
      <c r="F524" s="82"/>
      <c r="G524" s="82"/>
      <c r="H524" s="82"/>
    </row>
    <row r="525" spans="2:11" ht="13" hidden="1" outlineLevel="1" x14ac:dyDescent="0.25">
      <c r="B525" s="95" t="s">
        <v>23</v>
      </c>
      <c r="C525" s="96"/>
      <c r="D525" s="151">
        <f>SUM(C489:C490)</f>
        <v>0</v>
      </c>
      <c r="E525" s="98"/>
      <c r="F525" s="82"/>
      <c r="G525" s="82"/>
      <c r="H525" s="82"/>
    </row>
    <row r="526" spans="2:11" ht="13" hidden="1" outlineLevel="1" x14ac:dyDescent="0.25">
      <c r="B526" s="99" t="s">
        <v>24</v>
      </c>
      <c r="C526" s="100"/>
      <c r="D526" s="152">
        <f>SUM(C492:C502)</f>
        <v>0</v>
      </c>
      <c r="E526" s="77"/>
      <c r="F526" s="110" t="s">
        <v>86</v>
      </c>
      <c r="G526" s="109" t="s">
        <v>85</v>
      </c>
      <c r="H526" s="110"/>
    </row>
    <row r="527" spans="2:11" ht="13.5" hidden="1" outlineLevel="1" thickBot="1" x14ac:dyDescent="0.3">
      <c r="B527" s="99" t="s">
        <v>25</v>
      </c>
      <c r="C527" s="100"/>
      <c r="D527" s="152">
        <f>SUM(C505:C513)</f>
        <v>0</v>
      </c>
      <c r="E527" s="77"/>
      <c r="F527" s="154"/>
      <c r="G527" s="413"/>
      <c r="H527" s="414"/>
    </row>
    <row r="528" spans="2:11" ht="13" hidden="1" outlineLevel="1" x14ac:dyDescent="0.25">
      <c r="B528" s="102" t="s">
        <v>26</v>
      </c>
      <c r="C528" s="103"/>
      <c r="D528" s="153">
        <f>SUM(C514:C521)</f>
        <v>0</v>
      </c>
      <c r="E528" s="90"/>
      <c r="F528" s="64" t="s">
        <v>45</v>
      </c>
      <c r="G528" s="64" t="s">
        <v>45</v>
      </c>
      <c r="H528" s="155"/>
    </row>
    <row r="529" spans="2:16" ht="18.5" hidden="1" outlineLevel="1" thickTop="1" x14ac:dyDescent="0.25">
      <c r="B529" s="105" t="s">
        <v>11</v>
      </c>
      <c r="C529" s="106"/>
      <c r="D529" s="107" t="e">
        <f>C503/C485</f>
        <v>#DIV/0!</v>
      </c>
      <c r="E529" s="90"/>
      <c r="F529" s="110"/>
      <c r="G529" s="117" t="s">
        <v>46</v>
      </c>
      <c r="H529" s="110"/>
    </row>
    <row r="530" spans="2:16" ht="18" hidden="1" customHeight="1" outlineLevel="1" thickBot="1" x14ac:dyDescent="0.3">
      <c r="B530" s="111" t="s">
        <v>12</v>
      </c>
      <c r="C530" s="112"/>
      <c r="D530" s="113" t="e">
        <f>(D525+D526+D527)/C485</f>
        <v>#DIV/0!</v>
      </c>
      <c r="E530" s="90"/>
      <c r="F530" s="429"/>
      <c r="G530" s="430"/>
      <c r="H530" s="431"/>
    </row>
    <row r="531" spans="2:16" ht="18" hidden="1" outlineLevel="1" x14ac:dyDescent="0.25">
      <c r="B531" s="111" t="s">
        <v>13</v>
      </c>
      <c r="C531" s="112"/>
      <c r="D531" s="113" t="e">
        <f>D527/C485</f>
        <v>#DIV/0!</v>
      </c>
      <c r="E531" s="77"/>
      <c r="F531" s="64" t="s">
        <v>45</v>
      </c>
      <c r="G531" s="64"/>
      <c r="H531" s="82"/>
    </row>
    <row r="532" spans="2:16" ht="18" hidden="1" outlineLevel="1" x14ac:dyDescent="0.25">
      <c r="B532" s="114" t="s">
        <v>14</v>
      </c>
      <c r="C532" s="115"/>
      <c r="D532" s="116" t="e">
        <f>D528/C485</f>
        <v>#DIV/0!</v>
      </c>
      <c r="E532" s="77"/>
      <c r="F532" s="82"/>
      <c r="G532" s="82"/>
      <c r="H532" s="82"/>
    </row>
    <row r="533" spans="2:16" ht="18.5" hidden="1" outlineLevel="1" thickBot="1" x14ac:dyDescent="0.3">
      <c r="B533" s="114" t="s">
        <v>15</v>
      </c>
      <c r="C533" s="119"/>
      <c r="D533" s="116" t="e">
        <f>SUM(D525:D528)/C485</f>
        <v>#DIV/0!</v>
      </c>
      <c r="E533" s="77"/>
      <c r="F533" s="415" t="s">
        <v>61</v>
      </c>
      <c r="G533" s="416"/>
      <c r="H533" s="416"/>
    </row>
    <row r="534" spans="2:16" ht="18.5" hidden="1" outlineLevel="1" thickTop="1" x14ac:dyDescent="0.25">
      <c r="B534" s="120" t="s">
        <v>16</v>
      </c>
      <c r="C534" s="121"/>
      <c r="D534" s="122" t="e">
        <f>((C489*D467)+D526+C490*MAX(1,F487))/C485</f>
        <v>#DIV/0!</v>
      </c>
      <c r="E534" s="77"/>
      <c r="F534" s="416"/>
      <c r="G534" s="416"/>
      <c r="H534" s="416"/>
    </row>
    <row r="535" spans="2:16" ht="18" hidden="1" outlineLevel="1" x14ac:dyDescent="0.25">
      <c r="B535" s="123" t="s">
        <v>17</v>
      </c>
      <c r="C535" s="124"/>
      <c r="D535" s="125" t="e">
        <f>(C489*D468+D526+D527+C490*(MAX(1,F487)+G487))/C485</f>
        <v>#DIV/0!</v>
      </c>
      <c r="E535" s="77"/>
      <c r="F535" s="416"/>
      <c r="G535" s="416"/>
      <c r="H535" s="416"/>
    </row>
    <row r="536" spans="2:16" ht="18" hidden="1" outlineLevel="1" x14ac:dyDescent="0.25">
      <c r="B536" s="123" t="s">
        <v>18</v>
      </c>
      <c r="C536" s="124"/>
      <c r="D536" s="125" t="e">
        <f>((C489*D469)+D527+C490*G487)/C485</f>
        <v>#DIV/0!</v>
      </c>
      <c r="F536" s="416"/>
      <c r="G536" s="416"/>
      <c r="H536" s="416"/>
    </row>
    <row r="537" spans="2:16" ht="18" hidden="1" outlineLevel="1" x14ac:dyDescent="0.25">
      <c r="B537" s="126" t="s">
        <v>19</v>
      </c>
      <c r="C537" s="127"/>
      <c r="D537" s="128" t="e">
        <f>(C489*D470+D528+C490*H487)/C485</f>
        <v>#DIV/0!</v>
      </c>
      <c r="F537" s="416"/>
      <c r="G537" s="416"/>
      <c r="H537" s="416"/>
    </row>
    <row r="538" spans="2:16" ht="18.5" hidden="1" outlineLevel="1" thickBot="1" x14ac:dyDescent="0.3">
      <c r="B538" s="129" t="s">
        <v>20</v>
      </c>
      <c r="C538" s="130"/>
      <c r="D538" s="131" t="e">
        <f>((C489*D471)+SUM(D526:D528)+C490*(MAX(1,F487)+G487+H487))/C485</f>
        <v>#DIV/0!</v>
      </c>
      <c r="F538" s="416"/>
      <c r="G538" s="416"/>
      <c r="H538" s="416"/>
      <c r="N538" s="36"/>
      <c r="O538" s="36"/>
      <c r="P538" s="36"/>
    </row>
    <row r="539" spans="2:16" ht="13.5" hidden="1" outlineLevel="1" thickTop="1" x14ac:dyDescent="0.25">
      <c r="B539" s="156" t="s">
        <v>76</v>
      </c>
      <c r="C539" s="424"/>
      <c r="D539" s="425"/>
      <c r="F539" s="34"/>
      <c r="G539" s="34"/>
      <c r="H539" s="34"/>
      <c r="N539" s="36"/>
      <c r="O539" s="36"/>
      <c r="P539" s="36"/>
    </row>
    <row r="540" spans="2:16" ht="13" hidden="1" outlineLevel="1" x14ac:dyDescent="0.25">
      <c r="B540" s="157" t="s">
        <v>58</v>
      </c>
      <c r="C540" s="422"/>
      <c r="D540" s="423"/>
      <c r="F540" s="34"/>
      <c r="G540" s="34"/>
      <c r="H540" s="34"/>
    </row>
    <row r="541" spans="2:16" ht="21" hidden="1" outlineLevel="1" thickTop="1" thickBot="1" x14ac:dyDescent="0.3">
      <c r="B541" s="158" t="s">
        <v>59</v>
      </c>
      <c r="C541" s="420"/>
      <c r="D541" s="421"/>
      <c r="E541" s="31"/>
      <c r="F541" s="32" t="s">
        <v>27</v>
      </c>
      <c r="G541" s="33"/>
      <c r="H541" s="33"/>
    </row>
    <row r="542" spans="2:16" ht="14.5" hidden="1" outlineLevel="1" thickBot="1" x14ac:dyDescent="0.3">
      <c r="E542" s="40"/>
      <c r="F542" s="41" t="s">
        <v>28</v>
      </c>
      <c r="G542" s="41" t="s">
        <v>21</v>
      </c>
      <c r="H542" s="41" t="s">
        <v>8</v>
      </c>
    </row>
    <row r="543" spans="2:16" hidden="1" outlineLevel="1" x14ac:dyDescent="0.25">
      <c r="C543" s="25" t="s">
        <v>44</v>
      </c>
      <c r="D543" s="25" t="s">
        <v>42</v>
      </c>
      <c r="E543" s="46"/>
      <c r="F543" s="47"/>
      <c r="G543" s="47"/>
      <c r="H543" s="47"/>
    </row>
    <row r="544" spans="2:16" ht="20.5" hidden="1" outlineLevel="1" thickTop="1" x14ac:dyDescent="0.25">
      <c r="B544" s="140" t="s">
        <v>73</v>
      </c>
      <c r="C544" s="29"/>
      <c r="D544" s="141"/>
      <c r="E544" s="46"/>
      <c r="F544" s="47"/>
      <c r="G544" s="47"/>
      <c r="H544" s="47"/>
    </row>
    <row r="545" spans="2:8" ht="14" hidden="1" outlineLevel="1" x14ac:dyDescent="0.25">
      <c r="B545" s="37"/>
      <c r="C545" s="38" t="s">
        <v>0</v>
      </c>
      <c r="D545" s="39" t="s">
        <v>1</v>
      </c>
      <c r="E545" s="46"/>
      <c r="F545" s="47"/>
      <c r="G545" s="47"/>
      <c r="H545" s="47"/>
    </row>
    <row r="546" spans="2:8" ht="14" hidden="1" outlineLevel="1" x14ac:dyDescent="0.25">
      <c r="B546" s="43" t="s">
        <v>65</v>
      </c>
      <c r="C546" s="142"/>
      <c r="D546" s="45" t="s">
        <v>2</v>
      </c>
      <c r="E546" s="57"/>
      <c r="F546" s="58"/>
      <c r="G546" s="58"/>
      <c r="H546" s="58"/>
    </row>
    <row r="547" spans="2:8" ht="13" hidden="1" outlineLevel="1" x14ac:dyDescent="0.25">
      <c r="B547" s="43" t="s">
        <v>64</v>
      </c>
      <c r="C547" s="143"/>
      <c r="D547" s="45" t="s">
        <v>3</v>
      </c>
      <c r="E547" s="46"/>
      <c r="F547" s="47"/>
      <c r="G547" s="47"/>
      <c r="H547" s="47"/>
    </row>
    <row r="548" spans="2:8" ht="13" hidden="1" outlineLevel="1" x14ac:dyDescent="0.25">
      <c r="B548" s="51" t="s">
        <v>63</v>
      </c>
      <c r="C548" s="144">
        <f>C546*C547</f>
        <v>0</v>
      </c>
      <c r="D548" s="45" t="str">
        <f>D546</f>
        <v>kg</v>
      </c>
      <c r="E548" s="59"/>
      <c r="F548" s="47"/>
      <c r="G548" s="47"/>
      <c r="H548" s="47"/>
    </row>
    <row r="549" spans="2:8" ht="14" hidden="1" outlineLevel="1" x14ac:dyDescent="0.25">
      <c r="B549" s="54" t="s">
        <v>37</v>
      </c>
      <c r="C549" s="145">
        <v>1</v>
      </c>
      <c r="D549" s="56"/>
      <c r="E549" s="46"/>
      <c r="F549" s="47"/>
      <c r="G549" s="47"/>
      <c r="H549" s="47"/>
    </row>
    <row r="550" spans="2:8" ht="13" hidden="1" outlineLevel="1" x14ac:dyDescent="0.25">
      <c r="B550" s="43" t="s">
        <v>66</v>
      </c>
      <c r="C550" s="142"/>
      <c r="D550" s="45" t="str">
        <f>D546</f>
        <v>kg</v>
      </c>
      <c r="F550" s="64"/>
      <c r="G550" s="64"/>
      <c r="H550" s="64"/>
    </row>
    <row r="551" spans="2:8" ht="14.5" hidden="1" outlineLevel="1" thickBot="1" x14ac:dyDescent="0.3">
      <c r="B551" s="43" t="s">
        <v>67</v>
      </c>
      <c r="C551" s="143"/>
      <c r="D551" s="45" t="s">
        <v>3</v>
      </c>
      <c r="E551" s="68"/>
      <c r="F551" s="69"/>
      <c r="G551" s="69"/>
      <c r="H551" s="69"/>
    </row>
    <row r="552" spans="2:8" ht="13" hidden="1" outlineLevel="1" x14ac:dyDescent="0.25">
      <c r="B552" s="51" t="s">
        <v>68</v>
      </c>
      <c r="C552" s="144">
        <f>C550*C551</f>
        <v>0</v>
      </c>
      <c r="D552" s="45" t="str">
        <f>D546</f>
        <v>kg</v>
      </c>
      <c r="E552" s="73"/>
      <c r="F552" s="69"/>
      <c r="G552" s="69"/>
      <c r="H552" s="69"/>
    </row>
    <row r="553" spans="2:8" ht="13.5" hidden="1" outlineLevel="1" thickBot="1" x14ac:dyDescent="0.3">
      <c r="B553" s="61"/>
      <c r="C553" s="62"/>
      <c r="D553" s="63"/>
      <c r="E553" s="98"/>
      <c r="F553" s="69"/>
      <c r="G553" s="69"/>
      <c r="H553" s="69"/>
    </row>
    <row r="554" spans="2:8" ht="14.5" hidden="1" outlineLevel="1" thickBot="1" x14ac:dyDescent="0.3">
      <c r="B554" s="65" t="s">
        <v>5</v>
      </c>
      <c r="C554" s="66" t="s">
        <v>6</v>
      </c>
      <c r="D554" s="67" t="s">
        <v>1</v>
      </c>
      <c r="E554" s="77"/>
      <c r="F554" s="78"/>
      <c r="G554" s="78"/>
      <c r="H554" s="78"/>
    </row>
    <row r="555" spans="2:8" ht="13" hidden="1" outlineLevel="1" x14ac:dyDescent="0.25">
      <c r="B555" s="70" t="s">
        <v>43</v>
      </c>
      <c r="C555" s="71"/>
      <c r="D555" s="72"/>
      <c r="E555" s="77"/>
      <c r="F555" s="82"/>
      <c r="G555" s="82"/>
      <c r="H555" s="82"/>
    </row>
    <row r="556" spans="2:8" ht="13" hidden="1" outlineLevel="1" x14ac:dyDescent="0.25">
      <c r="B556" s="74"/>
      <c r="C556" s="146">
        <f>C548</f>
        <v>0</v>
      </c>
      <c r="D556" s="76" t="str">
        <f>D546</f>
        <v>kg</v>
      </c>
      <c r="E556" s="77"/>
      <c r="F556" s="82"/>
      <c r="G556" s="82"/>
      <c r="H556" s="82"/>
    </row>
    <row r="557" spans="2:8" ht="13" hidden="1" outlineLevel="1" x14ac:dyDescent="0.25">
      <c r="B557" s="74"/>
      <c r="C557" s="146"/>
      <c r="D557" s="76" t="str">
        <f>D546</f>
        <v>kg</v>
      </c>
      <c r="E557" s="77"/>
      <c r="F557" s="82"/>
      <c r="G557" s="82"/>
      <c r="H557" s="82"/>
    </row>
    <row r="558" spans="2:8" ht="13" hidden="1" outlineLevel="1" x14ac:dyDescent="0.25">
      <c r="B558" s="79" t="s">
        <v>69</v>
      </c>
      <c r="C558" s="147"/>
      <c r="D558" s="81"/>
      <c r="E558" s="77"/>
      <c r="F558" s="82"/>
      <c r="G558" s="82"/>
      <c r="H558" s="82"/>
    </row>
    <row r="559" spans="2:8" ht="13" hidden="1" outlineLevel="1" x14ac:dyDescent="0.25">
      <c r="B559" s="74"/>
      <c r="C559" s="148"/>
      <c r="D559" s="76" t="str">
        <f>D546</f>
        <v>kg</v>
      </c>
      <c r="E559" s="77"/>
      <c r="F559" s="82"/>
      <c r="G559" s="82"/>
      <c r="H559" s="82"/>
    </row>
    <row r="560" spans="2:8" ht="13" hidden="1" outlineLevel="1" x14ac:dyDescent="0.25">
      <c r="B560" s="74"/>
      <c r="C560" s="148"/>
      <c r="D560" s="76" t="str">
        <f>D546</f>
        <v>kg</v>
      </c>
      <c r="E560" s="77"/>
      <c r="F560" s="82"/>
      <c r="G560" s="82"/>
      <c r="H560" s="82"/>
    </row>
    <row r="561" spans="2:11" ht="13" hidden="1" outlineLevel="1" x14ac:dyDescent="0.25">
      <c r="B561" s="74"/>
      <c r="C561" s="148"/>
      <c r="D561" s="76" t="str">
        <f>D546</f>
        <v>kg</v>
      </c>
      <c r="E561" s="77"/>
      <c r="F561" s="82"/>
      <c r="G561" s="82"/>
      <c r="H561" s="82"/>
    </row>
    <row r="562" spans="2:11" ht="13" hidden="1" outlineLevel="1" x14ac:dyDescent="0.25">
      <c r="B562" s="74"/>
      <c r="C562" s="148"/>
      <c r="D562" s="76" t="str">
        <f>D546</f>
        <v>kg</v>
      </c>
      <c r="E562" s="77"/>
      <c r="F562" s="82"/>
      <c r="G562" s="82"/>
      <c r="H562" s="82"/>
    </row>
    <row r="563" spans="2:11" ht="13.4" hidden="1" customHeight="1" outlineLevel="1" x14ac:dyDescent="0.25">
      <c r="B563" s="74"/>
      <c r="C563" s="148"/>
      <c r="D563" s="76" t="str">
        <f>D546</f>
        <v>kg</v>
      </c>
      <c r="E563" s="77"/>
      <c r="F563" s="82"/>
      <c r="G563" s="82"/>
      <c r="H563" s="82"/>
      <c r="K563" s="34"/>
    </row>
    <row r="564" spans="2:11" ht="13" hidden="1" outlineLevel="1" x14ac:dyDescent="0.25">
      <c r="B564" s="74"/>
      <c r="C564" s="148"/>
      <c r="D564" s="76" t="str">
        <f>D546</f>
        <v>kg</v>
      </c>
      <c r="E564" s="77"/>
      <c r="F564" s="82"/>
      <c r="G564" s="82"/>
      <c r="H564" s="82"/>
    </row>
    <row r="565" spans="2:11" ht="13" hidden="1" outlineLevel="1" x14ac:dyDescent="0.25">
      <c r="B565" s="74"/>
      <c r="C565" s="148"/>
      <c r="D565" s="76" t="str">
        <f>D546</f>
        <v>kg</v>
      </c>
      <c r="E565" s="77"/>
      <c r="F565" s="82"/>
      <c r="G565" s="82"/>
      <c r="H565" s="82"/>
    </row>
    <row r="566" spans="2:11" ht="13" hidden="1" outlineLevel="1" x14ac:dyDescent="0.25">
      <c r="B566" s="74"/>
      <c r="C566" s="148"/>
      <c r="D566" s="76" t="str">
        <f>D546</f>
        <v>kg</v>
      </c>
      <c r="E566" s="77"/>
      <c r="F566" s="82"/>
      <c r="G566" s="82"/>
      <c r="H566" s="82"/>
    </row>
    <row r="567" spans="2:11" ht="13" hidden="1" outlineLevel="1" x14ac:dyDescent="0.25">
      <c r="B567" s="74"/>
      <c r="C567" s="148"/>
      <c r="D567" s="76" t="str">
        <f>D546</f>
        <v>kg</v>
      </c>
      <c r="E567" s="77"/>
      <c r="F567" s="82"/>
      <c r="G567" s="82"/>
      <c r="H567" s="82"/>
    </row>
    <row r="568" spans="2:11" ht="13" hidden="1" outlineLevel="1" x14ac:dyDescent="0.25">
      <c r="B568" s="74"/>
      <c r="C568" s="148"/>
      <c r="D568" s="76" t="str">
        <f>D546</f>
        <v>kg</v>
      </c>
      <c r="E568" s="77"/>
      <c r="F568" s="82"/>
      <c r="G568" s="82"/>
      <c r="H568" s="82"/>
    </row>
    <row r="569" spans="2:11" ht="13" hidden="1" outlineLevel="1" x14ac:dyDescent="0.25">
      <c r="B569" s="79"/>
      <c r="C569" s="147"/>
      <c r="D569" s="81"/>
      <c r="E569" s="77"/>
      <c r="F569" s="82"/>
      <c r="G569" s="82"/>
      <c r="H569" s="82"/>
    </row>
    <row r="570" spans="2:11" ht="13" hidden="1" outlineLevel="1" x14ac:dyDescent="0.25">
      <c r="B570" s="86" t="s">
        <v>7</v>
      </c>
      <c r="C570" s="149">
        <f>SUM(C555:C568)</f>
        <v>0</v>
      </c>
      <c r="D570" s="88" t="str">
        <f>D546</f>
        <v>kg</v>
      </c>
      <c r="E570" s="77"/>
      <c r="F570" s="82"/>
      <c r="G570" s="82"/>
      <c r="H570" s="82"/>
    </row>
    <row r="571" spans="2:11" ht="13" hidden="1" outlineLevel="1" x14ac:dyDescent="0.25">
      <c r="B571" s="79" t="s">
        <v>71</v>
      </c>
      <c r="C571" s="150"/>
      <c r="D571" s="81"/>
      <c r="E571" s="77"/>
      <c r="F571" s="82"/>
      <c r="G571" s="82"/>
      <c r="H571" s="82"/>
    </row>
    <row r="572" spans="2:11" ht="13" hidden="1" outlineLevel="1" x14ac:dyDescent="0.25">
      <c r="B572" s="74"/>
      <c r="C572" s="148"/>
      <c r="D572" s="76" t="str">
        <f>D546</f>
        <v>kg</v>
      </c>
      <c r="E572" s="77"/>
      <c r="F572" s="82"/>
      <c r="G572" s="82"/>
      <c r="H572" s="82"/>
    </row>
    <row r="573" spans="2:11" ht="13" hidden="1" outlineLevel="1" x14ac:dyDescent="0.25">
      <c r="B573" s="74"/>
      <c r="C573" s="148"/>
      <c r="D573" s="76" t="str">
        <f>D546</f>
        <v>kg</v>
      </c>
      <c r="E573" s="77"/>
      <c r="F573" s="82"/>
      <c r="G573" s="82"/>
      <c r="H573" s="82"/>
    </row>
    <row r="574" spans="2:11" ht="13" hidden="1" outlineLevel="1" x14ac:dyDescent="0.25">
      <c r="B574" s="74"/>
      <c r="C574" s="148"/>
      <c r="D574" s="76" t="str">
        <f>D546</f>
        <v>kg</v>
      </c>
      <c r="E574" s="77"/>
      <c r="F574" s="82"/>
      <c r="G574" s="82"/>
      <c r="H574" s="82"/>
    </row>
    <row r="575" spans="2:11" ht="13" hidden="1" outlineLevel="1" x14ac:dyDescent="0.25">
      <c r="B575" s="74"/>
      <c r="C575" s="148"/>
      <c r="D575" s="76" t="str">
        <f>D546</f>
        <v>kg</v>
      </c>
      <c r="E575" s="77"/>
      <c r="F575" s="82"/>
      <c r="G575" s="82"/>
      <c r="H575" s="82"/>
    </row>
    <row r="576" spans="2:11" ht="13" hidden="1" outlineLevel="1" x14ac:dyDescent="0.25">
      <c r="B576" s="74"/>
      <c r="C576" s="148"/>
      <c r="D576" s="76" t="str">
        <f>D546</f>
        <v>kg</v>
      </c>
      <c r="E576" s="77"/>
      <c r="F576" s="82"/>
      <c r="G576" s="82"/>
      <c r="H576" s="82"/>
    </row>
    <row r="577" spans="2:11" ht="13" hidden="1" outlineLevel="1" x14ac:dyDescent="0.25">
      <c r="B577" s="74"/>
      <c r="C577" s="148"/>
      <c r="D577" s="76" t="str">
        <f>D546</f>
        <v>kg</v>
      </c>
      <c r="E577" s="90"/>
      <c r="F577" s="82"/>
      <c r="G577" s="82"/>
      <c r="H577" s="82"/>
    </row>
    <row r="578" spans="2:11" ht="13" hidden="1" outlineLevel="1" x14ac:dyDescent="0.25">
      <c r="B578" s="74"/>
      <c r="C578" s="148"/>
      <c r="D578" s="76" t="str">
        <f>D546</f>
        <v>kg</v>
      </c>
      <c r="E578" s="77"/>
      <c r="F578" s="82"/>
      <c r="G578" s="82"/>
      <c r="H578" s="82"/>
    </row>
    <row r="579" spans="2:11" ht="13" hidden="1" outlineLevel="1" x14ac:dyDescent="0.25">
      <c r="B579" s="74"/>
      <c r="C579" s="148"/>
      <c r="D579" s="76" t="str">
        <f>D546</f>
        <v>kg</v>
      </c>
      <c r="E579" s="77"/>
      <c r="F579" s="82"/>
      <c r="G579" s="82"/>
      <c r="H579" s="82"/>
    </row>
    <row r="580" spans="2:11" ht="13" hidden="1" outlineLevel="1" x14ac:dyDescent="0.25">
      <c r="B580" s="79" t="s">
        <v>70</v>
      </c>
      <c r="C580" s="147"/>
      <c r="D580" s="81"/>
      <c r="E580" s="77"/>
      <c r="F580" s="82"/>
      <c r="G580" s="82"/>
      <c r="H580" s="82"/>
    </row>
    <row r="581" spans="2:11" ht="13" hidden="1" outlineLevel="1" x14ac:dyDescent="0.25">
      <c r="B581" s="74"/>
      <c r="C581" s="148"/>
      <c r="D581" s="76" t="str">
        <f>D546</f>
        <v>kg</v>
      </c>
      <c r="E581" s="77"/>
      <c r="F581" s="82"/>
      <c r="G581" s="82"/>
      <c r="H581" s="82"/>
    </row>
    <row r="582" spans="2:11" ht="13.4" hidden="1" customHeight="1" outlineLevel="1" x14ac:dyDescent="0.25">
      <c r="B582" s="74"/>
      <c r="C582" s="148"/>
      <c r="D582" s="76" t="str">
        <f>D546</f>
        <v>kg</v>
      </c>
      <c r="E582" s="77"/>
      <c r="F582" s="82"/>
      <c r="G582" s="82"/>
      <c r="H582" s="82"/>
      <c r="K582" s="34"/>
    </row>
    <row r="583" spans="2:11" ht="13" hidden="1" outlineLevel="1" x14ac:dyDescent="0.25">
      <c r="B583" s="74"/>
      <c r="C583" s="148"/>
      <c r="D583" s="76" t="str">
        <f>D546</f>
        <v>kg</v>
      </c>
      <c r="E583" s="77"/>
      <c r="F583" s="82"/>
      <c r="G583" s="82"/>
      <c r="H583" s="82"/>
    </row>
    <row r="584" spans="2:11" ht="13" hidden="1" outlineLevel="1" x14ac:dyDescent="0.25">
      <c r="B584" s="74"/>
      <c r="C584" s="148"/>
      <c r="D584" s="76" t="str">
        <f>D546</f>
        <v>kg</v>
      </c>
      <c r="E584" s="77"/>
      <c r="F584" s="82"/>
      <c r="G584" s="82"/>
      <c r="H584" s="82"/>
    </row>
    <row r="585" spans="2:11" ht="13" hidden="1" outlineLevel="1" x14ac:dyDescent="0.25">
      <c r="B585" s="74"/>
      <c r="C585" s="148"/>
      <c r="D585" s="76" t="str">
        <f>D546</f>
        <v>kg</v>
      </c>
      <c r="E585" s="77"/>
      <c r="F585" s="82"/>
      <c r="G585" s="82"/>
      <c r="H585" s="82"/>
    </row>
    <row r="586" spans="2:11" ht="13" hidden="1" outlineLevel="1" x14ac:dyDescent="0.25">
      <c r="B586" s="74"/>
      <c r="C586" s="148"/>
      <c r="D586" s="76" t="str">
        <f>D546</f>
        <v>kg</v>
      </c>
      <c r="E586" s="77"/>
      <c r="F586" s="82"/>
      <c r="G586" s="82"/>
      <c r="H586" s="82"/>
    </row>
    <row r="587" spans="2:11" ht="13" hidden="1" outlineLevel="1" x14ac:dyDescent="0.25">
      <c r="B587" s="74"/>
      <c r="C587" s="148"/>
      <c r="D587" s="76" t="str">
        <f>D546</f>
        <v>kg</v>
      </c>
      <c r="E587" s="77"/>
      <c r="F587" s="82"/>
      <c r="G587" s="82"/>
      <c r="H587" s="82"/>
    </row>
    <row r="588" spans="2:11" ht="13" hidden="1" outlineLevel="1" x14ac:dyDescent="0.25">
      <c r="B588" s="79"/>
      <c r="C588" s="147"/>
      <c r="D588" s="81"/>
      <c r="E588" s="77"/>
      <c r="F588" s="82"/>
      <c r="G588" s="82"/>
      <c r="H588" s="82"/>
    </row>
    <row r="589" spans="2:11" ht="13" hidden="1" outlineLevel="1" x14ac:dyDescent="0.25">
      <c r="B589" s="86" t="s">
        <v>9</v>
      </c>
      <c r="C589" s="149">
        <f>SUM(C570:C587)</f>
        <v>0</v>
      </c>
      <c r="D589" s="91" t="str">
        <f>D546</f>
        <v>kg</v>
      </c>
      <c r="E589" s="98"/>
      <c r="F589" s="82"/>
      <c r="G589" s="82"/>
      <c r="H589" s="82"/>
    </row>
    <row r="590" spans="2:11" ht="13" hidden="1" outlineLevel="1" x14ac:dyDescent="0.25">
      <c r="B590" s="92"/>
      <c r="C590" s="93"/>
      <c r="D590" s="94"/>
      <c r="E590" s="98"/>
      <c r="F590" s="82"/>
      <c r="G590" s="82"/>
      <c r="H590" s="82"/>
    </row>
    <row r="591" spans="2:11" ht="20.5" hidden="1" outlineLevel="1" thickBot="1" x14ac:dyDescent="0.3">
      <c r="B591" s="426" t="s">
        <v>10</v>
      </c>
      <c r="C591" s="427"/>
      <c r="D591" s="428"/>
      <c r="E591" s="98"/>
      <c r="F591" s="82"/>
      <c r="G591" s="82"/>
      <c r="H591" s="82"/>
    </row>
    <row r="592" spans="2:11" ht="13" hidden="1" outlineLevel="1" x14ac:dyDescent="0.25">
      <c r="B592" s="95" t="s">
        <v>23</v>
      </c>
      <c r="C592" s="96"/>
      <c r="D592" s="151">
        <f>SUM(C556:C557)</f>
        <v>0</v>
      </c>
      <c r="E592" s="98"/>
      <c r="F592" s="82"/>
      <c r="G592" s="82"/>
      <c r="H592" s="82"/>
    </row>
    <row r="593" spans="2:16" ht="13" hidden="1" outlineLevel="1" x14ac:dyDescent="0.25">
      <c r="B593" s="99" t="s">
        <v>24</v>
      </c>
      <c r="C593" s="100"/>
      <c r="D593" s="152">
        <f>SUM(C559:C569)</f>
        <v>0</v>
      </c>
      <c r="E593" s="77"/>
      <c r="F593" s="110" t="s">
        <v>86</v>
      </c>
      <c r="G593" s="109" t="s">
        <v>85</v>
      </c>
      <c r="H593" s="110"/>
    </row>
    <row r="594" spans="2:16" ht="13.5" hidden="1" outlineLevel="1" thickBot="1" x14ac:dyDescent="0.3">
      <c r="B594" s="99" t="s">
        <v>25</v>
      </c>
      <c r="C594" s="100"/>
      <c r="D594" s="152">
        <f>SUM(C572:C580)</f>
        <v>0</v>
      </c>
      <c r="E594" s="77"/>
      <c r="F594" s="154"/>
      <c r="G594" s="413"/>
      <c r="H594" s="414"/>
    </row>
    <row r="595" spans="2:16" ht="13" hidden="1" outlineLevel="1" x14ac:dyDescent="0.25">
      <c r="B595" s="102" t="s">
        <v>26</v>
      </c>
      <c r="C595" s="103"/>
      <c r="D595" s="153">
        <f>SUM(C581:C588)</f>
        <v>0</v>
      </c>
      <c r="E595" s="90"/>
      <c r="F595" s="64" t="s">
        <v>45</v>
      </c>
      <c r="G595" s="64" t="s">
        <v>45</v>
      </c>
      <c r="H595" s="155"/>
    </row>
    <row r="596" spans="2:16" ht="18.5" hidden="1" outlineLevel="1" thickTop="1" x14ac:dyDescent="0.25">
      <c r="B596" s="105" t="s">
        <v>11</v>
      </c>
      <c r="C596" s="106"/>
      <c r="D596" s="107" t="e">
        <f>C570/C552</f>
        <v>#DIV/0!</v>
      </c>
      <c r="E596" s="90"/>
      <c r="F596" s="110"/>
      <c r="G596" s="117" t="s">
        <v>46</v>
      </c>
      <c r="H596" s="110"/>
    </row>
    <row r="597" spans="2:16" ht="18" hidden="1" customHeight="1" outlineLevel="1" thickBot="1" x14ac:dyDescent="0.3">
      <c r="B597" s="111" t="s">
        <v>12</v>
      </c>
      <c r="C597" s="112"/>
      <c r="D597" s="113" t="e">
        <f>(D592+D593+D594)/C552</f>
        <v>#DIV/0!</v>
      </c>
      <c r="E597" s="90"/>
      <c r="F597" s="429"/>
      <c r="G597" s="430"/>
      <c r="H597" s="431"/>
    </row>
    <row r="598" spans="2:16" ht="18" hidden="1" outlineLevel="1" x14ac:dyDescent="0.25">
      <c r="B598" s="111" t="s">
        <v>13</v>
      </c>
      <c r="C598" s="112"/>
      <c r="D598" s="113" t="e">
        <f>D594/C552</f>
        <v>#DIV/0!</v>
      </c>
      <c r="E598" s="77"/>
      <c r="F598" s="64" t="s">
        <v>45</v>
      </c>
      <c r="G598" s="64"/>
      <c r="H598" s="82"/>
    </row>
    <row r="599" spans="2:16" ht="18" hidden="1" outlineLevel="1" x14ac:dyDescent="0.25">
      <c r="B599" s="114" t="s">
        <v>14</v>
      </c>
      <c r="C599" s="115"/>
      <c r="D599" s="116" t="e">
        <f>D595/C552</f>
        <v>#DIV/0!</v>
      </c>
      <c r="E599" s="77"/>
      <c r="F599" s="82"/>
      <c r="G599" s="82"/>
      <c r="H599" s="82"/>
    </row>
    <row r="600" spans="2:16" ht="18.5" hidden="1" outlineLevel="1" thickBot="1" x14ac:dyDescent="0.3">
      <c r="B600" s="114" t="s">
        <v>15</v>
      </c>
      <c r="C600" s="119"/>
      <c r="D600" s="116" t="e">
        <f>SUM(D592:D595)/C552</f>
        <v>#DIV/0!</v>
      </c>
      <c r="E600" s="77"/>
      <c r="F600" s="415" t="s">
        <v>61</v>
      </c>
      <c r="G600" s="416"/>
      <c r="H600" s="416"/>
    </row>
    <row r="601" spans="2:16" ht="18.5" hidden="1" outlineLevel="1" thickTop="1" x14ac:dyDescent="0.25">
      <c r="B601" s="120" t="s">
        <v>16</v>
      </c>
      <c r="C601" s="121"/>
      <c r="D601" s="122" t="e">
        <f>((C556*D534)+D593+C557*MAX(1,F554))/C552</f>
        <v>#DIV/0!</v>
      </c>
      <c r="E601" s="77"/>
      <c r="F601" s="416"/>
      <c r="G601" s="416"/>
      <c r="H601" s="416"/>
    </row>
    <row r="602" spans="2:16" ht="18" hidden="1" outlineLevel="1" x14ac:dyDescent="0.25">
      <c r="B602" s="123" t="s">
        <v>17</v>
      </c>
      <c r="C602" s="124"/>
      <c r="D602" s="125" t="e">
        <f>(C556*D535+D593+D594+C557*(MAX(1,F554)+G554))/C552</f>
        <v>#DIV/0!</v>
      </c>
      <c r="E602" s="77"/>
      <c r="F602" s="416"/>
      <c r="G602" s="416"/>
      <c r="H602" s="416"/>
    </row>
    <row r="603" spans="2:16" ht="18" hidden="1" outlineLevel="1" x14ac:dyDescent="0.25">
      <c r="B603" s="123" t="s">
        <v>18</v>
      </c>
      <c r="C603" s="124"/>
      <c r="D603" s="125" t="e">
        <f>((C556*D536)+D594+C557*G554)/C552</f>
        <v>#DIV/0!</v>
      </c>
      <c r="F603" s="416"/>
      <c r="G603" s="416"/>
      <c r="H603" s="416"/>
    </row>
    <row r="604" spans="2:16" ht="18" hidden="1" outlineLevel="1" x14ac:dyDescent="0.25">
      <c r="B604" s="126" t="s">
        <v>19</v>
      </c>
      <c r="C604" s="127"/>
      <c r="D604" s="128" t="e">
        <f>(C556*D537+D595+C557*H554)/C552</f>
        <v>#DIV/0!</v>
      </c>
      <c r="F604" s="416"/>
      <c r="G604" s="416"/>
      <c r="H604" s="416"/>
    </row>
    <row r="605" spans="2:16" ht="18.5" hidden="1" outlineLevel="1" thickBot="1" x14ac:dyDescent="0.3">
      <c r="B605" s="129" t="s">
        <v>20</v>
      </c>
      <c r="C605" s="130"/>
      <c r="D605" s="131" t="e">
        <f>((C556*D538)+SUM(D593:D595)+C557*(MAX(1,F554)+G554+H554))/C552</f>
        <v>#DIV/0!</v>
      </c>
      <c r="F605" s="416"/>
      <c r="G605" s="416"/>
      <c r="H605" s="416"/>
      <c r="N605" s="36"/>
      <c r="O605" s="36"/>
      <c r="P605" s="36"/>
    </row>
    <row r="606" spans="2:16" ht="13" hidden="1" outlineLevel="1" thickTop="1" x14ac:dyDescent="0.25">
      <c r="B606" s="156" t="s">
        <v>76</v>
      </c>
      <c r="C606" s="424"/>
      <c r="D606" s="425"/>
      <c r="N606" s="36"/>
      <c r="O606" s="36"/>
      <c r="P606" s="36"/>
    </row>
    <row r="607" spans="2:16" hidden="1" outlineLevel="1" x14ac:dyDescent="0.25">
      <c r="B607" s="157" t="s">
        <v>58</v>
      </c>
      <c r="C607" s="422"/>
      <c r="D607" s="423"/>
    </row>
    <row r="608" spans="2:16" ht="21" hidden="1" outlineLevel="1" thickTop="1" thickBot="1" x14ac:dyDescent="0.3">
      <c r="B608" s="158" t="s">
        <v>59</v>
      </c>
      <c r="C608" s="420"/>
      <c r="D608" s="421"/>
      <c r="E608" s="31"/>
      <c r="F608" s="32" t="s">
        <v>27</v>
      </c>
      <c r="G608" s="33"/>
      <c r="H608" s="33"/>
    </row>
    <row r="609" spans="2:8" ht="14.5" hidden="1" outlineLevel="1" thickBot="1" x14ac:dyDescent="0.3">
      <c r="E609" s="40"/>
      <c r="F609" s="41" t="s">
        <v>28</v>
      </c>
      <c r="G609" s="41" t="s">
        <v>21</v>
      </c>
      <c r="H609" s="41" t="s">
        <v>8</v>
      </c>
    </row>
    <row r="610" spans="2:8" hidden="1" outlineLevel="1" x14ac:dyDescent="0.25">
      <c r="C610" s="25" t="s">
        <v>44</v>
      </c>
      <c r="D610" s="25" t="s">
        <v>42</v>
      </c>
      <c r="E610" s="46"/>
      <c r="F610" s="47"/>
      <c r="G610" s="47"/>
      <c r="H610" s="47"/>
    </row>
    <row r="611" spans="2:8" ht="20.5" hidden="1" outlineLevel="1" thickTop="1" x14ac:dyDescent="0.25">
      <c r="B611" s="140" t="s">
        <v>73</v>
      </c>
      <c r="C611" s="29"/>
      <c r="D611" s="141"/>
      <c r="E611" s="46"/>
      <c r="F611" s="47"/>
      <c r="G611" s="47"/>
      <c r="H611" s="47"/>
    </row>
    <row r="612" spans="2:8" ht="14" hidden="1" outlineLevel="1" x14ac:dyDescent="0.25">
      <c r="B612" s="37"/>
      <c r="C612" s="38" t="s">
        <v>0</v>
      </c>
      <c r="D612" s="39" t="s">
        <v>1</v>
      </c>
      <c r="E612" s="46"/>
      <c r="F612" s="47"/>
      <c r="G612" s="47"/>
      <c r="H612" s="47"/>
    </row>
    <row r="613" spans="2:8" ht="14" hidden="1" outlineLevel="1" x14ac:dyDescent="0.25">
      <c r="B613" s="43" t="s">
        <v>65</v>
      </c>
      <c r="C613" s="142"/>
      <c r="D613" s="45" t="s">
        <v>2</v>
      </c>
      <c r="E613" s="57"/>
      <c r="F613" s="58"/>
      <c r="G613" s="58"/>
      <c r="H613" s="58"/>
    </row>
    <row r="614" spans="2:8" ht="13" hidden="1" outlineLevel="1" x14ac:dyDescent="0.25">
      <c r="B614" s="43" t="s">
        <v>64</v>
      </c>
      <c r="C614" s="143"/>
      <c r="D614" s="45" t="s">
        <v>3</v>
      </c>
      <c r="E614" s="46"/>
      <c r="F614" s="47"/>
      <c r="G614" s="47"/>
      <c r="H614" s="47"/>
    </row>
    <row r="615" spans="2:8" ht="13" hidden="1" outlineLevel="1" x14ac:dyDescent="0.25">
      <c r="B615" s="51" t="s">
        <v>63</v>
      </c>
      <c r="C615" s="144">
        <f>C613*C614</f>
        <v>0</v>
      </c>
      <c r="D615" s="45" t="str">
        <f>D613</f>
        <v>kg</v>
      </c>
      <c r="E615" s="59"/>
      <c r="F615" s="47"/>
      <c r="G615" s="47"/>
      <c r="H615" s="47"/>
    </row>
    <row r="616" spans="2:8" ht="14" hidden="1" outlineLevel="1" x14ac:dyDescent="0.25">
      <c r="B616" s="54" t="s">
        <v>37</v>
      </c>
      <c r="C616" s="145">
        <v>1</v>
      </c>
      <c r="D616" s="56"/>
      <c r="E616" s="46"/>
      <c r="F616" s="47"/>
      <c r="G616" s="47"/>
      <c r="H616" s="47"/>
    </row>
    <row r="617" spans="2:8" ht="13" hidden="1" outlineLevel="1" x14ac:dyDescent="0.25">
      <c r="B617" s="43" t="s">
        <v>66</v>
      </c>
      <c r="C617" s="142"/>
      <c r="D617" s="45" t="str">
        <f>D613</f>
        <v>kg</v>
      </c>
      <c r="F617" s="64"/>
      <c r="G617" s="64"/>
      <c r="H617" s="64"/>
    </row>
    <row r="618" spans="2:8" ht="14.5" hidden="1" outlineLevel="1" thickBot="1" x14ac:dyDescent="0.3">
      <c r="B618" s="43" t="s">
        <v>67</v>
      </c>
      <c r="C618" s="143"/>
      <c r="D618" s="45" t="s">
        <v>3</v>
      </c>
      <c r="E618" s="68"/>
      <c r="F618" s="69"/>
      <c r="G618" s="69"/>
      <c r="H618" s="69"/>
    </row>
    <row r="619" spans="2:8" ht="13" hidden="1" outlineLevel="1" x14ac:dyDescent="0.25">
      <c r="B619" s="51" t="s">
        <v>68</v>
      </c>
      <c r="C619" s="144">
        <f>C617*C618</f>
        <v>0</v>
      </c>
      <c r="D619" s="45" t="str">
        <f>D613</f>
        <v>kg</v>
      </c>
      <c r="E619" s="73"/>
      <c r="F619" s="69"/>
      <c r="G619" s="69"/>
      <c r="H619" s="69"/>
    </row>
    <row r="620" spans="2:8" ht="13.5" hidden="1" outlineLevel="1" thickBot="1" x14ac:dyDescent="0.3">
      <c r="B620" s="61"/>
      <c r="C620" s="62"/>
      <c r="D620" s="63"/>
      <c r="E620" s="98"/>
      <c r="F620" s="69"/>
      <c r="G620" s="69"/>
      <c r="H620" s="69"/>
    </row>
    <row r="621" spans="2:8" ht="14.5" hidden="1" outlineLevel="1" thickBot="1" x14ac:dyDescent="0.3">
      <c r="B621" s="65" t="s">
        <v>5</v>
      </c>
      <c r="C621" s="66" t="s">
        <v>6</v>
      </c>
      <c r="D621" s="67" t="s">
        <v>1</v>
      </c>
      <c r="E621" s="77"/>
      <c r="F621" s="78"/>
      <c r="G621" s="78"/>
      <c r="H621" s="78"/>
    </row>
    <row r="622" spans="2:8" ht="13" hidden="1" outlineLevel="1" x14ac:dyDescent="0.25">
      <c r="B622" s="70" t="s">
        <v>43</v>
      </c>
      <c r="C622" s="71"/>
      <c r="D622" s="72"/>
      <c r="E622" s="77"/>
      <c r="F622" s="82"/>
      <c r="G622" s="82"/>
      <c r="H622" s="82"/>
    </row>
    <row r="623" spans="2:8" ht="13" hidden="1" outlineLevel="1" x14ac:dyDescent="0.25">
      <c r="B623" s="74"/>
      <c r="C623" s="146">
        <f>C615</f>
        <v>0</v>
      </c>
      <c r="D623" s="76" t="str">
        <f>D613</f>
        <v>kg</v>
      </c>
      <c r="E623" s="77"/>
      <c r="F623" s="82"/>
      <c r="G623" s="82"/>
      <c r="H623" s="82"/>
    </row>
    <row r="624" spans="2:8" ht="13" hidden="1" outlineLevel="1" x14ac:dyDescent="0.25">
      <c r="B624" s="74"/>
      <c r="C624" s="146"/>
      <c r="D624" s="76" t="str">
        <f>D613</f>
        <v>kg</v>
      </c>
      <c r="E624" s="77"/>
      <c r="F624" s="82"/>
      <c r="G624" s="82"/>
      <c r="H624" s="82"/>
    </row>
    <row r="625" spans="2:11" ht="13" hidden="1" outlineLevel="1" x14ac:dyDescent="0.25">
      <c r="B625" s="79" t="s">
        <v>69</v>
      </c>
      <c r="C625" s="147"/>
      <c r="D625" s="81"/>
      <c r="E625" s="77"/>
      <c r="F625" s="82"/>
      <c r="G625" s="82"/>
      <c r="H625" s="82"/>
    </row>
    <row r="626" spans="2:11" ht="13" hidden="1" outlineLevel="1" x14ac:dyDescent="0.25">
      <c r="B626" s="74"/>
      <c r="C626" s="148"/>
      <c r="D626" s="76" t="str">
        <f>D613</f>
        <v>kg</v>
      </c>
      <c r="E626" s="77"/>
      <c r="F626" s="82"/>
      <c r="G626" s="82"/>
      <c r="H626" s="82"/>
    </row>
    <row r="627" spans="2:11" ht="13" hidden="1" outlineLevel="1" x14ac:dyDescent="0.25">
      <c r="B627" s="74"/>
      <c r="C627" s="148"/>
      <c r="D627" s="76" t="str">
        <f>D613</f>
        <v>kg</v>
      </c>
      <c r="E627" s="77"/>
      <c r="F627" s="82"/>
      <c r="G627" s="82"/>
      <c r="H627" s="82"/>
    </row>
    <row r="628" spans="2:11" ht="13" hidden="1" outlineLevel="1" x14ac:dyDescent="0.25">
      <c r="B628" s="74"/>
      <c r="C628" s="148"/>
      <c r="D628" s="76" t="str">
        <f>D613</f>
        <v>kg</v>
      </c>
      <c r="E628" s="77"/>
      <c r="F628" s="82"/>
      <c r="G628" s="82"/>
      <c r="H628" s="82"/>
    </row>
    <row r="629" spans="2:11" ht="13" hidden="1" outlineLevel="1" x14ac:dyDescent="0.25">
      <c r="B629" s="74"/>
      <c r="C629" s="148"/>
      <c r="D629" s="76" t="str">
        <f>D613</f>
        <v>kg</v>
      </c>
      <c r="E629" s="77"/>
      <c r="F629" s="82"/>
      <c r="G629" s="82"/>
      <c r="H629" s="82"/>
    </row>
    <row r="630" spans="2:11" ht="13.4" hidden="1" customHeight="1" outlineLevel="1" x14ac:dyDescent="0.25">
      <c r="B630" s="74"/>
      <c r="C630" s="148"/>
      <c r="D630" s="76" t="str">
        <f>D613</f>
        <v>kg</v>
      </c>
      <c r="E630" s="77"/>
      <c r="F630" s="82"/>
      <c r="G630" s="82"/>
      <c r="H630" s="82"/>
      <c r="K630" s="34"/>
    </row>
    <row r="631" spans="2:11" ht="13" hidden="1" outlineLevel="1" x14ac:dyDescent="0.25">
      <c r="B631" s="74"/>
      <c r="C631" s="148"/>
      <c r="D631" s="76" t="str">
        <f>D613</f>
        <v>kg</v>
      </c>
      <c r="E631" s="77"/>
      <c r="F631" s="82"/>
      <c r="G631" s="82"/>
      <c r="H631" s="82"/>
    </row>
    <row r="632" spans="2:11" ht="13" hidden="1" outlineLevel="1" x14ac:dyDescent="0.25">
      <c r="B632" s="74"/>
      <c r="C632" s="148"/>
      <c r="D632" s="76" t="str">
        <f>D613</f>
        <v>kg</v>
      </c>
      <c r="E632" s="77"/>
      <c r="F632" s="82"/>
      <c r="G632" s="82"/>
      <c r="H632" s="82"/>
    </row>
    <row r="633" spans="2:11" ht="13" hidden="1" outlineLevel="1" x14ac:dyDescent="0.25">
      <c r="B633" s="74"/>
      <c r="C633" s="148"/>
      <c r="D633" s="76" t="str">
        <f>D613</f>
        <v>kg</v>
      </c>
      <c r="E633" s="77"/>
      <c r="F633" s="82"/>
      <c r="G633" s="82"/>
      <c r="H633" s="82"/>
    </row>
    <row r="634" spans="2:11" ht="13" hidden="1" outlineLevel="1" x14ac:dyDescent="0.25">
      <c r="B634" s="74"/>
      <c r="C634" s="148"/>
      <c r="D634" s="76" t="str">
        <f>D613</f>
        <v>kg</v>
      </c>
      <c r="E634" s="77"/>
      <c r="F634" s="82"/>
      <c r="G634" s="82"/>
      <c r="H634" s="82"/>
    </row>
    <row r="635" spans="2:11" ht="13" hidden="1" outlineLevel="1" x14ac:dyDescent="0.25">
      <c r="B635" s="74"/>
      <c r="C635" s="148"/>
      <c r="D635" s="76" t="str">
        <f>D613</f>
        <v>kg</v>
      </c>
      <c r="E635" s="77"/>
      <c r="F635" s="82"/>
      <c r="G635" s="82"/>
      <c r="H635" s="82"/>
    </row>
    <row r="636" spans="2:11" ht="13" hidden="1" outlineLevel="1" x14ac:dyDescent="0.25">
      <c r="B636" s="79"/>
      <c r="C636" s="147"/>
      <c r="D636" s="81"/>
      <c r="E636" s="77"/>
      <c r="F636" s="82"/>
      <c r="G636" s="82"/>
      <c r="H636" s="82"/>
    </row>
    <row r="637" spans="2:11" ht="13" hidden="1" outlineLevel="1" x14ac:dyDescent="0.25">
      <c r="B637" s="86" t="s">
        <v>7</v>
      </c>
      <c r="C637" s="149">
        <f>SUM(C622:C635)</f>
        <v>0</v>
      </c>
      <c r="D637" s="88" t="str">
        <f>D613</f>
        <v>kg</v>
      </c>
      <c r="E637" s="77"/>
      <c r="F637" s="82"/>
      <c r="G637" s="82"/>
      <c r="H637" s="82"/>
    </row>
    <row r="638" spans="2:11" ht="13" hidden="1" outlineLevel="1" x14ac:dyDescent="0.25">
      <c r="B638" s="79" t="s">
        <v>71</v>
      </c>
      <c r="C638" s="150"/>
      <c r="D638" s="81"/>
      <c r="E638" s="77"/>
      <c r="F638" s="82"/>
      <c r="G638" s="82"/>
      <c r="H638" s="82"/>
    </row>
    <row r="639" spans="2:11" ht="13" hidden="1" outlineLevel="1" x14ac:dyDescent="0.25">
      <c r="B639" s="74"/>
      <c r="C639" s="148"/>
      <c r="D639" s="76" t="str">
        <f>D613</f>
        <v>kg</v>
      </c>
      <c r="E639" s="77"/>
      <c r="F639" s="82"/>
      <c r="G639" s="82"/>
      <c r="H639" s="82"/>
    </row>
    <row r="640" spans="2:11" ht="13" hidden="1" outlineLevel="1" x14ac:dyDescent="0.25">
      <c r="B640" s="74"/>
      <c r="C640" s="148"/>
      <c r="D640" s="76" t="str">
        <f>D613</f>
        <v>kg</v>
      </c>
      <c r="E640" s="77"/>
      <c r="F640" s="82"/>
      <c r="G640" s="82"/>
      <c r="H640" s="82"/>
    </row>
    <row r="641" spans="2:11" ht="13" hidden="1" outlineLevel="1" x14ac:dyDescent="0.25">
      <c r="B641" s="74"/>
      <c r="C641" s="148"/>
      <c r="D641" s="76" t="str">
        <f>D613</f>
        <v>kg</v>
      </c>
      <c r="E641" s="77"/>
      <c r="F641" s="82"/>
      <c r="G641" s="82"/>
      <c r="H641" s="82"/>
    </row>
    <row r="642" spans="2:11" ht="13" hidden="1" outlineLevel="1" x14ac:dyDescent="0.25">
      <c r="B642" s="74"/>
      <c r="C642" s="148"/>
      <c r="D642" s="76" t="str">
        <f>D613</f>
        <v>kg</v>
      </c>
      <c r="E642" s="77"/>
      <c r="F642" s="82"/>
      <c r="G642" s="82"/>
      <c r="H642" s="82"/>
    </row>
    <row r="643" spans="2:11" ht="13" hidden="1" outlineLevel="1" x14ac:dyDescent="0.25">
      <c r="B643" s="74"/>
      <c r="C643" s="148"/>
      <c r="D643" s="76" t="str">
        <f>D613</f>
        <v>kg</v>
      </c>
      <c r="E643" s="77"/>
      <c r="F643" s="82"/>
      <c r="G643" s="82"/>
      <c r="H643" s="82"/>
    </row>
    <row r="644" spans="2:11" ht="13" hidden="1" outlineLevel="1" x14ac:dyDescent="0.25">
      <c r="B644" s="74"/>
      <c r="C644" s="148"/>
      <c r="D644" s="76" t="str">
        <f>D613</f>
        <v>kg</v>
      </c>
      <c r="E644" s="90"/>
      <c r="F644" s="82"/>
      <c r="G644" s="82"/>
      <c r="H644" s="82"/>
    </row>
    <row r="645" spans="2:11" ht="13" hidden="1" outlineLevel="1" x14ac:dyDescent="0.25">
      <c r="B645" s="74"/>
      <c r="C645" s="148"/>
      <c r="D645" s="76" t="str">
        <f>D613</f>
        <v>kg</v>
      </c>
      <c r="E645" s="77"/>
      <c r="F645" s="82"/>
      <c r="G645" s="82"/>
      <c r="H645" s="82"/>
    </row>
    <row r="646" spans="2:11" ht="13" hidden="1" outlineLevel="1" x14ac:dyDescent="0.25">
      <c r="B646" s="74"/>
      <c r="C646" s="148"/>
      <c r="D646" s="76" t="str">
        <f>D613</f>
        <v>kg</v>
      </c>
      <c r="E646" s="77"/>
      <c r="F646" s="82"/>
      <c r="G646" s="82"/>
      <c r="H646" s="82"/>
    </row>
    <row r="647" spans="2:11" ht="13" hidden="1" outlineLevel="1" x14ac:dyDescent="0.25">
      <c r="B647" s="79" t="s">
        <v>70</v>
      </c>
      <c r="C647" s="147"/>
      <c r="D647" s="81"/>
      <c r="E647" s="77"/>
      <c r="F647" s="82"/>
      <c r="G647" s="82"/>
      <c r="H647" s="82"/>
    </row>
    <row r="648" spans="2:11" ht="13" hidden="1" outlineLevel="1" x14ac:dyDescent="0.25">
      <c r="B648" s="74"/>
      <c r="C648" s="148"/>
      <c r="D648" s="76" t="str">
        <f>D613</f>
        <v>kg</v>
      </c>
      <c r="E648" s="77"/>
      <c r="F648" s="82"/>
      <c r="G648" s="82"/>
      <c r="H648" s="82"/>
    </row>
    <row r="649" spans="2:11" ht="13.4" hidden="1" customHeight="1" outlineLevel="1" x14ac:dyDescent="0.25">
      <c r="B649" s="74"/>
      <c r="C649" s="148"/>
      <c r="D649" s="76" t="str">
        <f>D613</f>
        <v>kg</v>
      </c>
      <c r="E649" s="77"/>
      <c r="F649" s="82"/>
      <c r="G649" s="82"/>
      <c r="H649" s="82"/>
      <c r="K649" s="34"/>
    </row>
    <row r="650" spans="2:11" ht="13" hidden="1" outlineLevel="1" x14ac:dyDescent="0.25">
      <c r="B650" s="74"/>
      <c r="C650" s="148"/>
      <c r="D650" s="76" t="str">
        <f>D613</f>
        <v>kg</v>
      </c>
      <c r="E650" s="77"/>
      <c r="F650" s="82"/>
      <c r="G650" s="82"/>
      <c r="H650" s="82"/>
    </row>
    <row r="651" spans="2:11" ht="13" hidden="1" outlineLevel="1" x14ac:dyDescent="0.25">
      <c r="B651" s="74"/>
      <c r="C651" s="148"/>
      <c r="D651" s="76" t="str">
        <f>D613</f>
        <v>kg</v>
      </c>
      <c r="E651" s="77"/>
      <c r="F651" s="82"/>
      <c r="G651" s="82"/>
      <c r="H651" s="82"/>
    </row>
    <row r="652" spans="2:11" ht="13" hidden="1" outlineLevel="1" x14ac:dyDescent="0.25">
      <c r="B652" s="74"/>
      <c r="C652" s="148"/>
      <c r="D652" s="76" t="str">
        <f>D613</f>
        <v>kg</v>
      </c>
      <c r="E652" s="77"/>
      <c r="F652" s="82"/>
      <c r="G652" s="82"/>
      <c r="H652" s="82"/>
    </row>
    <row r="653" spans="2:11" ht="13" hidden="1" outlineLevel="1" x14ac:dyDescent="0.25">
      <c r="B653" s="74"/>
      <c r="C653" s="148"/>
      <c r="D653" s="76" t="str">
        <f>D613</f>
        <v>kg</v>
      </c>
      <c r="E653" s="77"/>
      <c r="F653" s="82"/>
      <c r="G653" s="82"/>
      <c r="H653" s="82"/>
    </row>
    <row r="654" spans="2:11" ht="13" hidden="1" outlineLevel="1" x14ac:dyDescent="0.25">
      <c r="B654" s="74"/>
      <c r="C654" s="148"/>
      <c r="D654" s="76" t="str">
        <f>D613</f>
        <v>kg</v>
      </c>
      <c r="E654" s="77"/>
      <c r="F654" s="82"/>
      <c r="G654" s="82"/>
      <c r="H654" s="82"/>
    </row>
    <row r="655" spans="2:11" ht="13" hidden="1" outlineLevel="1" x14ac:dyDescent="0.25">
      <c r="B655" s="79"/>
      <c r="C655" s="147"/>
      <c r="D655" s="81"/>
      <c r="E655" s="77"/>
      <c r="F655" s="82"/>
      <c r="G655" s="82"/>
      <c r="H655" s="82"/>
    </row>
    <row r="656" spans="2:11" ht="13" hidden="1" outlineLevel="1" x14ac:dyDescent="0.25">
      <c r="B656" s="86" t="s">
        <v>9</v>
      </c>
      <c r="C656" s="149">
        <f>SUM(C637:C654)</f>
        <v>0</v>
      </c>
      <c r="D656" s="91" t="str">
        <f>D613</f>
        <v>kg</v>
      </c>
      <c r="E656" s="98"/>
      <c r="F656" s="82"/>
      <c r="G656" s="82"/>
      <c r="H656" s="82"/>
    </row>
    <row r="657" spans="2:8" ht="13" hidden="1" outlineLevel="1" x14ac:dyDescent="0.25">
      <c r="B657" s="92"/>
      <c r="C657" s="93"/>
      <c r="D657" s="94"/>
      <c r="E657" s="98"/>
      <c r="F657" s="82"/>
      <c r="G657" s="82"/>
      <c r="H657" s="82"/>
    </row>
    <row r="658" spans="2:8" ht="20.5" hidden="1" outlineLevel="1" thickBot="1" x14ac:dyDescent="0.3">
      <c r="B658" s="426" t="s">
        <v>10</v>
      </c>
      <c r="C658" s="427"/>
      <c r="D658" s="428"/>
      <c r="E658" s="98"/>
      <c r="F658" s="82"/>
      <c r="G658" s="82"/>
      <c r="H658" s="82"/>
    </row>
    <row r="659" spans="2:8" ht="13" hidden="1" outlineLevel="1" x14ac:dyDescent="0.25">
      <c r="B659" s="95" t="s">
        <v>23</v>
      </c>
      <c r="C659" s="96"/>
      <c r="D659" s="151">
        <f>SUM(C623:C624)</f>
        <v>0</v>
      </c>
      <c r="E659" s="98"/>
      <c r="F659" s="82"/>
      <c r="G659" s="82"/>
      <c r="H659" s="82"/>
    </row>
    <row r="660" spans="2:8" ht="13" hidden="1" outlineLevel="1" x14ac:dyDescent="0.25">
      <c r="B660" s="99" t="s">
        <v>24</v>
      </c>
      <c r="C660" s="100"/>
      <c r="D660" s="152">
        <f>SUM(C626:C636)</f>
        <v>0</v>
      </c>
      <c r="E660" s="77"/>
      <c r="F660" s="110" t="s">
        <v>86</v>
      </c>
      <c r="G660" s="109" t="s">
        <v>85</v>
      </c>
      <c r="H660" s="110"/>
    </row>
    <row r="661" spans="2:8" ht="13.5" hidden="1" outlineLevel="1" thickBot="1" x14ac:dyDescent="0.3">
      <c r="B661" s="99" t="s">
        <v>25</v>
      </c>
      <c r="C661" s="100"/>
      <c r="D661" s="152">
        <f>SUM(C639:C647)</f>
        <v>0</v>
      </c>
      <c r="E661" s="77"/>
      <c r="F661" s="154"/>
      <c r="G661" s="413"/>
      <c r="H661" s="414"/>
    </row>
    <row r="662" spans="2:8" ht="13" hidden="1" outlineLevel="1" x14ac:dyDescent="0.25">
      <c r="B662" s="102" t="s">
        <v>26</v>
      </c>
      <c r="C662" s="103"/>
      <c r="D662" s="153">
        <f>SUM(C648:C655)</f>
        <v>0</v>
      </c>
      <c r="E662" s="90"/>
      <c r="F662" s="64" t="s">
        <v>45</v>
      </c>
      <c r="G662" s="64" t="s">
        <v>45</v>
      </c>
      <c r="H662" s="155"/>
    </row>
    <row r="663" spans="2:8" ht="18.5" hidden="1" outlineLevel="1" thickTop="1" x14ac:dyDescent="0.25">
      <c r="B663" s="105" t="s">
        <v>11</v>
      </c>
      <c r="C663" s="106"/>
      <c r="D663" s="107" t="e">
        <f>C637/C619</f>
        <v>#DIV/0!</v>
      </c>
      <c r="E663" s="90"/>
      <c r="F663" s="110"/>
      <c r="G663" s="117" t="s">
        <v>46</v>
      </c>
      <c r="H663" s="110"/>
    </row>
    <row r="664" spans="2:8" ht="18" hidden="1" customHeight="1" outlineLevel="1" thickBot="1" x14ac:dyDescent="0.3">
      <c r="B664" s="111" t="s">
        <v>12</v>
      </c>
      <c r="C664" s="112"/>
      <c r="D664" s="113" t="e">
        <f>(D659+D660+D661)/C619</f>
        <v>#DIV/0!</v>
      </c>
      <c r="E664" s="90"/>
      <c r="F664" s="429"/>
      <c r="G664" s="430"/>
      <c r="H664" s="431"/>
    </row>
    <row r="665" spans="2:8" ht="18" hidden="1" outlineLevel="1" x14ac:dyDescent="0.25">
      <c r="B665" s="111" t="s">
        <v>13</v>
      </c>
      <c r="C665" s="112"/>
      <c r="D665" s="113" t="e">
        <f>D661/C619</f>
        <v>#DIV/0!</v>
      </c>
      <c r="E665" s="77"/>
      <c r="F665" s="64" t="s">
        <v>45</v>
      </c>
      <c r="G665" s="64"/>
      <c r="H665" s="82"/>
    </row>
    <row r="666" spans="2:8" ht="18" hidden="1" outlineLevel="1" x14ac:dyDescent="0.25">
      <c r="B666" s="114" t="s">
        <v>14</v>
      </c>
      <c r="C666" s="115"/>
      <c r="D666" s="116" t="e">
        <f>D662/C619</f>
        <v>#DIV/0!</v>
      </c>
      <c r="E666" s="77"/>
      <c r="F666" s="82"/>
      <c r="G666" s="82"/>
      <c r="H666" s="82"/>
    </row>
    <row r="667" spans="2:8" ht="18.5" hidden="1" outlineLevel="1" thickBot="1" x14ac:dyDescent="0.3">
      <c r="B667" s="114" t="s">
        <v>15</v>
      </c>
      <c r="C667" s="119"/>
      <c r="D667" s="116" t="e">
        <f>SUM(D659:D662)/C619</f>
        <v>#DIV/0!</v>
      </c>
      <c r="E667" s="77"/>
      <c r="F667" s="415" t="s">
        <v>61</v>
      </c>
      <c r="G667" s="416"/>
      <c r="H667" s="416"/>
    </row>
    <row r="668" spans="2:8" ht="18.5" hidden="1" outlineLevel="1" thickTop="1" x14ac:dyDescent="0.25">
      <c r="B668" s="120" t="s">
        <v>16</v>
      </c>
      <c r="C668" s="121"/>
      <c r="D668" s="122" t="e">
        <f>((C623*D601)+D660+C624*MAX(1,F621))/C619</f>
        <v>#DIV/0!</v>
      </c>
      <c r="E668" s="77"/>
      <c r="F668" s="416"/>
      <c r="G668" s="416"/>
      <c r="H668" s="416"/>
    </row>
    <row r="669" spans="2:8" ht="18" hidden="1" outlineLevel="1" x14ac:dyDescent="0.25">
      <c r="B669" s="123" t="s">
        <v>17</v>
      </c>
      <c r="C669" s="124"/>
      <c r="D669" s="125" t="e">
        <f>(C623*D602+D660+D661+C624*(MAX(1,F621)+G621))/C619</f>
        <v>#DIV/0!</v>
      </c>
      <c r="E669" s="77"/>
      <c r="F669" s="416"/>
      <c r="G669" s="416"/>
      <c r="H669" s="416"/>
    </row>
    <row r="670" spans="2:8" ht="18" hidden="1" outlineLevel="1" x14ac:dyDescent="0.25">
      <c r="B670" s="123" t="s">
        <v>18</v>
      </c>
      <c r="C670" s="124"/>
      <c r="D670" s="125" t="e">
        <f>((C623*D603)+D661+C624*G621)/C619</f>
        <v>#DIV/0!</v>
      </c>
      <c r="F670" s="416"/>
      <c r="G670" s="416"/>
      <c r="H670" s="416"/>
    </row>
    <row r="671" spans="2:8" ht="18" hidden="1" outlineLevel="1" x14ac:dyDescent="0.25">
      <c r="B671" s="126" t="s">
        <v>19</v>
      </c>
      <c r="C671" s="127"/>
      <c r="D671" s="128" t="e">
        <f>(C623*D604+D662+C624*H621)/C619</f>
        <v>#DIV/0!</v>
      </c>
      <c r="F671" s="416"/>
      <c r="G671" s="416"/>
      <c r="H671" s="416"/>
    </row>
    <row r="672" spans="2:8" ht="18.5" hidden="1" outlineLevel="1" thickBot="1" x14ac:dyDescent="0.3">
      <c r="B672" s="129" t="s">
        <v>20</v>
      </c>
      <c r="C672" s="130"/>
      <c r="D672" s="131" t="e">
        <f>((C623*D605)+SUM(D660:D662)+C624*(MAX(1,F621)+G621+H621))/C619</f>
        <v>#DIV/0!</v>
      </c>
      <c r="F672" s="416"/>
      <c r="G672" s="416"/>
      <c r="H672" s="416"/>
    </row>
    <row r="673" spans="2:8" ht="13" hidden="1" outlineLevel="1" thickTop="1" x14ac:dyDescent="0.25">
      <c r="B673" s="156" t="s">
        <v>76</v>
      </c>
      <c r="C673" s="424"/>
      <c r="D673" s="425"/>
    </row>
    <row r="674" spans="2:8" hidden="1" outlineLevel="1" x14ac:dyDescent="0.25">
      <c r="B674" s="157" t="s">
        <v>58</v>
      </c>
      <c r="C674" s="422"/>
      <c r="D674" s="423"/>
    </row>
    <row r="675" spans="2:8" ht="21" hidden="1" outlineLevel="1" thickTop="1" thickBot="1" x14ac:dyDescent="0.3">
      <c r="B675" s="158" t="s">
        <v>59</v>
      </c>
      <c r="C675" s="420"/>
      <c r="D675" s="421"/>
      <c r="E675" s="31"/>
      <c r="F675" s="32" t="s">
        <v>27</v>
      </c>
      <c r="G675" s="33"/>
      <c r="H675" s="33"/>
    </row>
    <row r="676" spans="2:8" ht="14.5" hidden="1" outlineLevel="1" thickBot="1" x14ac:dyDescent="0.3">
      <c r="E676" s="40"/>
      <c r="F676" s="41" t="s">
        <v>28</v>
      </c>
      <c r="G676" s="41" t="s">
        <v>21</v>
      </c>
      <c r="H676" s="41" t="s">
        <v>8</v>
      </c>
    </row>
    <row r="677" spans="2:8" hidden="1" outlineLevel="1" x14ac:dyDescent="0.25">
      <c r="C677" s="25" t="s">
        <v>44</v>
      </c>
      <c r="D677" s="25" t="s">
        <v>42</v>
      </c>
      <c r="E677" s="46"/>
      <c r="F677" s="47"/>
      <c r="G677" s="47"/>
      <c r="H677" s="47"/>
    </row>
    <row r="678" spans="2:8" ht="20.5" hidden="1" outlineLevel="1" thickTop="1" x14ac:dyDescent="0.25">
      <c r="B678" s="140" t="s">
        <v>73</v>
      </c>
      <c r="C678" s="29"/>
      <c r="D678" s="141"/>
      <c r="E678" s="46"/>
      <c r="F678" s="47"/>
      <c r="G678" s="47"/>
      <c r="H678" s="47"/>
    </row>
    <row r="679" spans="2:8" ht="14" hidden="1" outlineLevel="1" x14ac:dyDescent="0.25">
      <c r="B679" s="37"/>
      <c r="C679" s="38" t="s">
        <v>0</v>
      </c>
      <c r="D679" s="39" t="s">
        <v>1</v>
      </c>
      <c r="E679" s="46"/>
      <c r="F679" s="47"/>
      <c r="G679" s="47"/>
      <c r="H679" s="47"/>
    </row>
    <row r="680" spans="2:8" ht="14" hidden="1" outlineLevel="1" x14ac:dyDescent="0.25">
      <c r="B680" s="43" t="s">
        <v>65</v>
      </c>
      <c r="C680" s="142"/>
      <c r="D680" s="45" t="s">
        <v>2</v>
      </c>
      <c r="E680" s="57"/>
      <c r="F680" s="58"/>
      <c r="G680" s="58"/>
      <c r="H680" s="58"/>
    </row>
    <row r="681" spans="2:8" ht="13" hidden="1" outlineLevel="1" x14ac:dyDescent="0.25">
      <c r="B681" s="43" t="s">
        <v>64</v>
      </c>
      <c r="C681" s="143"/>
      <c r="D681" s="45" t="s">
        <v>3</v>
      </c>
      <c r="E681" s="46"/>
      <c r="F681" s="47"/>
      <c r="G681" s="47"/>
      <c r="H681" s="47"/>
    </row>
    <row r="682" spans="2:8" ht="13" hidden="1" outlineLevel="1" x14ac:dyDescent="0.25">
      <c r="B682" s="51" t="s">
        <v>63</v>
      </c>
      <c r="C682" s="144">
        <f>C680*C681</f>
        <v>0</v>
      </c>
      <c r="D682" s="45" t="str">
        <f>D680</f>
        <v>kg</v>
      </c>
      <c r="E682" s="59"/>
      <c r="F682" s="47"/>
      <c r="G682" s="47"/>
      <c r="H682" s="47"/>
    </row>
    <row r="683" spans="2:8" ht="14" hidden="1" outlineLevel="1" x14ac:dyDescent="0.25">
      <c r="B683" s="54" t="s">
        <v>37</v>
      </c>
      <c r="C683" s="145">
        <v>1</v>
      </c>
      <c r="D683" s="56"/>
      <c r="E683" s="46"/>
      <c r="F683" s="47"/>
      <c r="G683" s="47"/>
      <c r="H683" s="47"/>
    </row>
    <row r="684" spans="2:8" ht="13" hidden="1" outlineLevel="1" x14ac:dyDescent="0.25">
      <c r="B684" s="43" t="s">
        <v>66</v>
      </c>
      <c r="C684" s="142"/>
      <c r="D684" s="45" t="str">
        <f>D680</f>
        <v>kg</v>
      </c>
      <c r="F684" s="64"/>
      <c r="G684" s="64"/>
      <c r="H684" s="64"/>
    </row>
    <row r="685" spans="2:8" ht="14.5" hidden="1" outlineLevel="1" thickBot="1" x14ac:dyDescent="0.3">
      <c r="B685" s="43" t="s">
        <v>67</v>
      </c>
      <c r="C685" s="143"/>
      <c r="D685" s="45" t="s">
        <v>3</v>
      </c>
      <c r="E685" s="68"/>
      <c r="F685" s="69"/>
      <c r="G685" s="69"/>
      <c r="H685" s="69"/>
    </row>
    <row r="686" spans="2:8" ht="13" hidden="1" outlineLevel="1" x14ac:dyDescent="0.25">
      <c r="B686" s="51" t="s">
        <v>68</v>
      </c>
      <c r="C686" s="144">
        <f>C684*C685</f>
        <v>0</v>
      </c>
      <c r="D686" s="45" t="str">
        <f>D680</f>
        <v>kg</v>
      </c>
      <c r="E686" s="73"/>
      <c r="F686" s="69"/>
      <c r="G686" s="69"/>
      <c r="H686" s="69"/>
    </row>
    <row r="687" spans="2:8" ht="13.5" hidden="1" outlineLevel="1" thickBot="1" x14ac:dyDescent="0.3">
      <c r="B687" s="61"/>
      <c r="C687" s="62"/>
      <c r="D687" s="63"/>
      <c r="E687" s="98"/>
      <c r="F687" s="69"/>
      <c r="G687" s="69"/>
      <c r="H687" s="69"/>
    </row>
    <row r="688" spans="2:8" ht="14.5" hidden="1" outlineLevel="1" thickBot="1" x14ac:dyDescent="0.3">
      <c r="B688" s="65" t="s">
        <v>5</v>
      </c>
      <c r="C688" s="66" t="s">
        <v>6</v>
      </c>
      <c r="D688" s="67" t="s">
        <v>1</v>
      </c>
      <c r="E688" s="77"/>
      <c r="F688" s="78"/>
      <c r="G688" s="78"/>
      <c r="H688" s="78"/>
    </row>
    <row r="689" spans="2:8" ht="13" hidden="1" outlineLevel="1" x14ac:dyDescent="0.25">
      <c r="B689" s="70" t="s">
        <v>43</v>
      </c>
      <c r="C689" s="71"/>
      <c r="D689" s="72"/>
      <c r="E689" s="77"/>
      <c r="F689" s="82"/>
      <c r="G689" s="82"/>
      <c r="H689" s="82"/>
    </row>
    <row r="690" spans="2:8" ht="13" hidden="1" outlineLevel="1" x14ac:dyDescent="0.25">
      <c r="B690" s="74"/>
      <c r="C690" s="146">
        <f>C682</f>
        <v>0</v>
      </c>
      <c r="D690" s="76" t="str">
        <f>D680</f>
        <v>kg</v>
      </c>
      <c r="E690" s="77"/>
      <c r="F690" s="82"/>
      <c r="G690" s="82"/>
      <c r="H690" s="82"/>
    </row>
    <row r="691" spans="2:8" ht="13" hidden="1" outlineLevel="1" x14ac:dyDescent="0.25">
      <c r="B691" s="74"/>
      <c r="C691" s="146"/>
      <c r="D691" s="76" t="str">
        <f>D680</f>
        <v>kg</v>
      </c>
      <c r="E691" s="77"/>
      <c r="F691" s="82"/>
      <c r="G691" s="82"/>
      <c r="H691" s="82"/>
    </row>
    <row r="692" spans="2:8" ht="13" hidden="1" outlineLevel="1" x14ac:dyDescent="0.25">
      <c r="B692" s="79" t="s">
        <v>69</v>
      </c>
      <c r="C692" s="147"/>
      <c r="D692" s="81"/>
      <c r="E692" s="77"/>
      <c r="F692" s="82"/>
      <c r="G692" s="82"/>
      <c r="H692" s="82"/>
    </row>
    <row r="693" spans="2:8" ht="13" hidden="1" outlineLevel="1" x14ac:dyDescent="0.25">
      <c r="B693" s="74"/>
      <c r="C693" s="148"/>
      <c r="D693" s="76" t="str">
        <f>D680</f>
        <v>kg</v>
      </c>
      <c r="E693" s="77"/>
      <c r="F693" s="82"/>
      <c r="G693" s="82"/>
      <c r="H693" s="82"/>
    </row>
    <row r="694" spans="2:8" ht="13" hidden="1" outlineLevel="1" x14ac:dyDescent="0.25">
      <c r="B694" s="74"/>
      <c r="C694" s="148"/>
      <c r="D694" s="76" t="str">
        <f>D680</f>
        <v>kg</v>
      </c>
      <c r="E694" s="77"/>
      <c r="F694" s="82"/>
      <c r="G694" s="82"/>
      <c r="H694" s="82"/>
    </row>
    <row r="695" spans="2:8" ht="13" hidden="1" outlineLevel="1" x14ac:dyDescent="0.25">
      <c r="B695" s="74"/>
      <c r="C695" s="148"/>
      <c r="D695" s="76" t="str">
        <f>D680</f>
        <v>kg</v>
      </c>
      <c r="E695" s="77"/>
      <c r="F695" s="82"/>
      <c r="G695" s="82"/>
      <c r="H695" s="82"/>
    </row>
    <row r="696" spans="2:8" ht="13" hidden="1" outlineLevel="1" x14ac:dyDescent="0.25">
      <c r="B696" s="74"/>
      <c r="C696" s="148"/>
      <c r="D696" s="76" t="str">
        <f>D680</f>
        <v>kg</v>
      </c>
      <c r="E696" s="77"/>
      <c r="F696" s="82"/>
      <c r="G696" s="82"/>
      <c r="H696" s="82"/>
    </row>
    <row r="697" spans="2:8" ht="13" hidden="1" outlineLevel="1" x14ac:dyDescent="0.25">
      <c r="B697" s="74"/>
      <c r="C697" s="148"/>
      <c r="D697" s="76" t="str">
        <f>D680</f>
        <v>kg</v>
      </c>
      <c r="E697" s="77"/>
      <c r="F697" s="82"/>
      <c r="G697" s="82"/>
      <c r="H697" s="82"/>
    </row>
    <row r="698" spans="2:8" ht="13" hidden="1" outlineLevel="1" x14ac:dyDescent="0.25">
      <c r="B698" s="74"/>
      <c r="C698" s="148"/>
      <c r="D698" s="76" t="str">
        <f>D680</f>
        <v>kg</v>
      </c>
      <c r="E698" s="77"/>
      <c r="F698" s="82"/>
      <c r="G698" s="82"/>
      <c r="H698" s="82"/>
    </row>
    <row r="699" spans="2:8" ht="13" hidden="1" outlineLevel="1" x14ac:dyDescent="0.25">
      <c r="B699" s="74"/>
      <c r="C699" s="148"/>
      <c r="D699" s="76" t="str">
        <f>D680</f>
        <v>kg</v>
      </c>
      <c r="E699" s="77"/>
      <c r="F699" s="82"/>
      <c r="G699" s="82"/>
      <c r="H699" s="82"/>
    </row>
    <row r="700" spans="2:8" ht="13" hidden="1" outlineLevel="1" x14ac:dyDescent="0.25">
      <c r="B700" s="74"/>
      <c r="C700" s="148"/>
      <c r="D700" s="76" t="str">
        <f>D680</f>
        <v>kg</v>
      </c>
      <c r="E700" s="77"/>
      <c r="F700" s="82"/>
      <c r="G700" s="82"/>
      <c r="H700" s="82"/>
    </row>
    <row r="701" spans="2:8" ht="13" hidden="1" outlineLevel="1" x14ac:dyDescent="0.25">
      <c r="B701" s="74"/>
      <c r="C701" s="148"/>
      <c r="D701" s="76" t="str">
        <f>D680</f>
        <v>kg</v>
      </c>
      <c r="E701" s="77"/>
      <c r="F701" s="82"/>
      <c r="G701" s="82"/>
      <c r="H701" s="82"/>
    </row>
    <row r="702" spans="2:8" ht="13" hidden="1" outlineLevel="1" x14ac:dyDescent="0.25">
      <c r="B702" s="74"/>
      <c r="C702" s="148"/>
      <c r="D702" s="76" t="str">
        <f>D680</f>
        <v>kg</v>
      </c>
      <c r="E702" s="77"/>
      <c r="F702" s="82"/>
      <c r="G702" s="82"/>
      <c r="H702" s="82"/>
    </row>
    <row r="703" spans="2:8" ht="13" hidden="1" outlineLevel="1" x14ac:dyDescent="0.25">
      <c r="B703" s="79"/>
      <c r="C703" s="147"/>
      <c r="D703" s="81"/>
      <c r="E703" s="77"/>
      <c r="F703" s="82"/>
      <c r="G703" s="82"/>
      <c r="H703" s="82"/>
    </row>
    <row r="704" spans="2:8" ht="13" hidden="1" outlineLevel="1" x14ac:dyDescent="0.25">
      <c r="B704" s="86" t="s">
        <v>7</v>
      </c>
      <c r="C704" s="149">
        <f>SUM(C689:C702)</f>
        <v>0</v>
      </c>
      <c r="D704" s="88" t="str">
        <f>D680</f>
        <v>kg</v>
      </c>
      <c r="E704" s="77"/>
      <c r="F704" s="82"/>
      <c r="G704" s="82"/>
      <c r="H704" s="82"/>
    </row>
    <row r="705" spans="2:8" ht="13" hidden="1" outlineLevel="1" x14ac:dyDescent="0.25">
      <c r="B705" s="79" t="s">
        <v>71</v>
      </c>
      <c r="C705" s="150"/>
      <c r="D705" s="81"/>
      <c r="E705" s="77"/>
      <c r="F705" s="82"/>
      <c r="G705" s="82"/>
      <c r="H705" s="82"/>
    </row>
    <row r="706" spans="2:8" ht="13" hidden="1" outlineLevel="1" x14ac:dyDescent="0.25">
      <c r="B706" s="74"/>
      <c r="C706" s="148"/>
      <c r="D706" s="76" t="str">
        <f>D680</f>
        <v>kg</v>
      </c>
      <c r="E706" s="77"/>
      <c r="F706" s="82"/>
      <c r="G706" s="82"/>
      <c r="H706" s="82"/>
    </row>
    <row r="707" spans="2:8" ht="13" hidden="1" outlineLevel="1" x14ac:dyDescent="0.25">
      <c r="B707" s="74"/>
      <c r="C707" s="148"/>
      <c r="D707" s="76" t="str">
        <f>D680</f>
        <v>kg</v>
      </c>
      <c r="E707" s="77"/>
      <c r="F707" s="82"/>
      <c r="G707" s="82"/>
      <c r="H707" s="82"/>
    </row>
    <row r="708" spans="2:8" ht="13" hidden="1" outlineLevel="1" x14ac:dyDescent="0.25">
      <c r="B708" s="74"/>
      <c r="C708" s="148"/>
      <c r="D708" s="76" t="str">
        <f>D680</f>
        <v>kg</v>
      </c>
      <c r="E708" s="77"/>
      <c r="F708" s="82"/>
      <c r="G708" s="82"/>
      <c r="H708" s="82"/>
    </row>
    <row r="709" spans="2:8" ht="13" hidden="1" outlineLevel="1" x14ac:dyDescent="0.25">
      <c r="B709" s="74"/>
      <c r="C709" s="148"/>
      <c r="D709" s="76" t="str">
        <f>D680</f>
        <v>kg</v>
      </c>
      <c r="E709" s="77"/>
      <c r="F709" s="82"/>
      <c r="G709" s="82"/>
      <c r="H709" s="82"/>
    </row>
    <row r="710" spans="2:8" ht="13" hidden="1" outlineLevel="1" x14ac:dyDescent="0.25">
      <c r="B710" s="74"/>
      <c r="C710" s="148"/>
      <c r="D710" s="76" t="str">
        <f>D680</f>
        <v>kg</v>
      </c>
      <c r="E710" s="77"/>
      <c r="F710" s="82"/>
      <c r="G710" s="82"/>
      <c r="H710" s="82"/>
    </row>
    <row r="711" spans="2:8" ht="13" hidden="1" outlineLevel="1" x14ac:dyDescent="0.25">
      <c r="B711" s="74"/>
      <c r="C711" s="148"/>
      <c r="D711" s="76" t="str">
        <f>D680</f>
        <v>kg</v>
      </c>
      <c r="E711" s="90"/>
      <c r="F711" s="82"/>
      <c r="G711" s="82"/>
      <c r="H711" s="82"/>
    </row>
    <row r="712" spans="2:8" ht="13" hidden="1" outlineLevel="1" x14ac:dyDescent="0.25">
      <c r="B712" s="74"/>
      <c r="C712" s="148"/>
      <c r="D712" s="76" t="str">
        <f>D680</f>
        <v>kg</v>
      </c>
      <c r="E712" s="77"/>
      <c r="F712" s="82"/>
      <c r="G712" s="82"/>
      <c r="H712" s="82"/>
    </row>
    <row r="713" spans="2:8" ht="13" hidden="1" outlineLevel="1" x14ac:dyDescent="0.25">
      <c r="B713" s="74"/>
      <c r="C713" s="148"/>
      <c r="D713" s="76" t="str">
        <f>D680</f>
        <v>kg</v>
      </c>
      <c r="E713" s="77"/>
      <c r="F713" s="82"/>
      <c r="G713" s="82"/>
      <c r="H713" s="82"/>
    </row>
    <row r="714" spans="2:8" ht="13" hidden="1" outlineLevel="1" x14ac:dyDescent="0.25">
      <c r="B714" s="79" t="s">
        <v>70</v>
      </c>
      <c r="C714" s="147"/>
      <c r="D714" s="81"/>
      <c r="E714" s="77"/>
      <c r="F714" s="82"/>
      <c r="G714" s="82"/>
      <c r="H714" s="82"/>
    </row>
    <row r="715" spans="2:8" ht="13" hidden="1" outlineLevel="1" x14ac:dyDescent="0.25">
      <c r="B715" s="74"/>
      <c r="C715" s="148"/>
      <c r="D715" s="76" t="str">
        <f>D680</f>
        <v>kg</v>
      </c>
      <c r="E715" s="77"/>
      <c r="F715" s="82"/>
      <c r="G715" s="82"/>
      <c r="H715" s="82"/>
    </row>
    <row r="716" spans="2:8" ht="13" hidden="1" outlineLevel="1" x14ac:dyDescent="0.25">
      <c r="B716" s="74"/>
      <c r="C716" s="148"/>
      <c r="D716" s="76" t="str">
        <f>D680</f>
        <v>kg</v>
      </c>
      <c r="E716" s="77"/>
      <c r="F716" s="82"/>
      <c r="G716" s="82"/>
      <c r="H716" s="82"/>
    </row>
    <row r="717" spans="2:8" ht="13" hidden="1" outlineLevel="1" x14ac:dyDescent="0.25">
      <c r="B717" s="74"/>
      <c r="C717" s="148"/>
      <c r="D717" s="76" t="str">
        <f>D680</f>
        <v>kg</v>
      </c>
      <c r="E717" s="77"/>
      <c r="F717" s="82"/>
      <c r="G717" s="82"/>
      <c r="H717" s="82"/>
    </row>
    <row r="718" spans="2:8" ht="13" hidden="1" outlineLevel="1" x14ac:dyDescent="0.25">
      <c r="B718" s="74"/>
      <c r="C718" s="148"/>
      <c r="D718" s="76" t="str">
        <f>D680</f>
        <v>kg</v>
      </c>
      <c r="E718" s="77"/>
      <c r="F718" s="82"/>
      <c r="G718" s="82"/>
      <c r="H718" s="82"/>
    </row>
    <row r="719" spans="2:8" ht="13" hidden="1" outlineLevel="1" x14ac:dyDescent="0.25">
      <c r="B719" s="74"/>
      <c r="C719" s="148"/>
      <c r="D719" s="76" t="str">
        <f>D680</f>
        <v>kg</v>
      </c>
      <c r="E719" s="77"/>
      <c r="F719" s="82"/>
      <c r="G719" s="82"/>
      <c r="H719" s="82"/>
    </row>
    <row r="720" spans="2:8" ht="13" hidden="1" outlineLevel="1" x14ac:dyDescent="0.25">
      <c r="B720" s="74"/>
      <c r="C720" s="148"/>
      <c r="D720" s="76" t="str">
        <f>D680</f>
        <v>kg</v>
      </c>
      <c r="E720" s="77"/>
      <c r="F720" s="82"/>
      <c r="G720" s="82"/>
      <c r="H720" s="82"/>
    </row>
    <row r="721" spans="2:8" ht="13" hidden="1" outlineLevel="1" x14ac:dyDescent="0.25">
      <c r="B721" s="74"/>
      <c r="C721" s="148"/>
      <c r="D721" s="76" t="str">
        <f>D680</f>
        <v>kg</v>
      </c>
      <c r="E721" s="77"/>
      <c r="F721" s="82"/>
      <c r="G721" s="82"/>
      <c r="H721" s="82"/>
    </row>
    <row r="722" spans="2:8" ht="13" hidden="1" outlineLevel="1" x14ac:dyDescent="0.25">
      <c r="B722" s="79"/>
      <c r="C722" s="147"/>
      <c r="D722" s="81"/>
      <c r="E722" s="77"/>
      <c r="F722" s="82"/>
      <c r="G722" s="82"/>
      <c r="H722" s="82"/>
    </row>
    <row r="723" spans="2:8" ht="13" hidden="1" outlineLevel="1" x14ac:dyDescent="0.25">
      <c r="B723" s="86" t="s">
        <v>9</v>
      </c>
      <c r="C723" s="149">
        <f>SUM(C704:C721)</f>
        <v>0</v>
      </c>
      <c r="D723" s="91" t="str">
        <f>D680</f>
        <v>kg</v>
      </c>
      <c r="E723" s="98"/>
      <c r="F723" s="82"/>
      <c r="G723" s="82"/>
      <c r="H723" s="82"/>
    </row>
    <row r="724" spans="2:8" ht="13" hidden="1" outlineLevel="1" x14ac:dyDescent="0.25">
      <c r="B724" s="92"/>
      <c r="C724" s="93"/>
      <c r="D724" s="94"/>
      <c r="E724" s="98"/>
      <c r="F724" s="82"/>
      <c r="G724" s="82"/>
      <c r="H724" s="82"/>
    </row>
    <row r="725" spans="2:8" ht="20.5" hidden="1" outlineLevel="1" thickBot="1" x14ac:dyDescent="0.3">
      <c r="B725" s="426" t="s">
        <v>10</v>
      </c>
      <c r="C725" s="427"/>
      <c r="D725" s="428"/>
      <c r="E725" s="98"/>
      <c r="F725" s="82"/>
      <c r="G725" s="82"/>
      <c r="H725" s="82"/>
    </row>
    <row r="726" spans="2:8" ht="13" hidden="1" outlineLevel="1" x14ac:dyDescent="0.25">
      <c r="B726" s="95" t="s">
        <v>23</v>
      </c>
      <c r="C726" s="96"/>
      <c r="D726" s="151">
        <f>SUM(C690:C691)</f>
        <v>0</v>
      </c>
      <c r="E726" s="98"/>
      <c r="F726" s="82"/>
      <c r="G726" s="82"/>
      <c r="H726" s="82"/>
    </row>
    <row r="727" spans="2:8" ht="13" hidden="1" outlineLevel="1" x14ac:dyDescent="0.25">
      <c r="B727" s="99" t="s">
        <v>24</v>
      </c>
      <c r="C727" s="100"/>
      <c r="D727" s="152">
        <f>SUM(C693:C703)</f>
        <v>0</v>
      </c>
      <c r="E727" s="77"/>
      <c r="F727" s="110" t="s">
        <v>86</v>
      </c>
      <c r="G727" s="109" t="s">
        <v>85</v>
      </c>
      <c r="H727" s="110"/>
    </row>
    <row r="728" spans="2:8" ht="13.5" hidden="1" outlineLevel="1" thickBot="1" x14ac:dyDescent="0.3">
      <c r="B728" s="99" t="s">
        <v>25</v>
      </c>
      <c r="C728" s="100"/>
      <c r="D728" s="152">
        <f>SUM(C706:C714)</f>
        <v>0</v>
      </c>
      <c r="E728" s="77"/>
      <c r="F728" s="154"/>
      <c r="G728" s="413"/>
      <c r="H728" s="414"/>
    </row>
    <row r="729" spans="2:8" ht="13" hidden="1" outlineLevel="1" x14ac:dyDescent="0.25">
      <c r="B729" s="102" t="s">
        <v>26</v>
      </c>
      <c r="C729" s="103"/>
      <c r="D729" s="153">
        <f>SUM(C715:C722)</f>
        <v>0</v>
      </c>
      <c r="E729" s="90"/>
      <c r="F729" s="64" t="s">
        <v>45</v>
      </c>
      <c r="G729" s="64" t="s">
        <v>45</v>
      </c>
      <c r="H729" s="155"/>
    </row>
    <row r="730" spans="2:8" ht="18.5" hidden="1" outlineLevel="1" thickTop="1" x14ac:dyDescent="0.25">
      <c r="B730" s="105" t="s">
        <v>11</v>
      </c>
      <c r="C730" s="106"/>
      <c r="D730" s="107" t="e">
        <f>C704/C686</f>
        <v>#DIV/0!</v>
      </c>
      <c r="E730" s="90"/>
      <c r="F730" s="110"/>
      <c r="G730" s="117" t="s">
        <v>46</v>
      </c>
      <c r="H730" s="110"/>
    </row>
    <row r="731" spans="2:8" ht="18" hidden="1" customHeight="1" outlineLevel="1" thickBot="1" x14ac:dyDescent="0.3">
      <c r="B731" s="111" t="s">
        <v>12</v>
      </c>
      <c r="C731" s="112"/>
      <c r="D731" s="113" t="e">
        <f>(D726+D727+D728)/C686</f>
        <v>#DIV/0!</v>
      </c>
      <c r="E731" s="90"/>
      <c r="F731" s="429"/>
      <c r="G731" s="430"/>
      <c r="H731" s="431"/>
    </row>
    <row r="732" spans="2:8" ht="18" hidden="1" outlineLevel="1" x14ac:dyDescent="0.25">
      <c r="B732" s="111" t="s">
        <v>13</v>
      </c>
      <c r="C732" s="112"/>
      <c r="D732" s="113" t="e">
        <f>D728/C686</f>
        <v>#DIV/0!</v>
      </c>
      <c r="E732" s="77"/>
      <c r="F732" s="64" t="s">
        <v>45</v>
      </c>
      <c r="G732" s="64"/>
      <c r="H732" s="82"/>
    </row>
    <row r="733" spans="2:8" ht="18" hidden="1" outlineLevel="1" x14ac:dyDescent="0.25">
      <c r="B733" s="114" t="s">
        <v>14</v>
      </c>
      <c r="C733" s="115"/>
      <c r="D733" s="116" t="e">
        <f>D729/C686</f>
        <v>#DIV/0!</v>
      </c>
      <c r="E733" s="77"/>
      <c r="F733" s="82"/>
      <c r="G733" s="82"/>
      <c r="H733" s="82"/>
    </row>
    <row r="734" spans="2:8" ht="18.5" hidden="1" outlineLevel="1" thickBot="1" x14ac:dyDescent="0.3">
      <c r="B734" s="114" t="s">
        <v>15</v>
      </c>
      <c r="C734" s="119"/>
      <c r="D734" s="116" t="e">
        <f>SUM(D726:D729)/C686</f>
        <v>#DIV/0!</v>
      </c>
      <c r="E734" s="77"/>
      <c r="F734" s="415" t="s">
        <v>61</v>
      </c>
      <c r="G734" s="416"/>
      <c r="H734" s="416"/>
    </row>
    <row r="735" spans="2:8" ht="18.5" hidden="1" outlineLevel="1" thickTop="1" x14ac:dyDescent="0.25">
      <c r="B735" s="120" t="s">
        <v>16</v>
      </c>
      <c r="C735" s="121"/>
      <c r="D735" s="122" t="e">
        <f>((C690*D668)+D727+C691*MAX(1,F688))/C686</f>
        <v>#DIV/0!</v>
      </c>
      <c r="E735" s="77"/>
      <c r="F735" s="416"/>
      <c r="G735" s="416"/>
      <c r="H735" s="416"/>
    </row>
    <row r="736" spans="2:8" ht="18" hidden="1" outlineLevel="1" x14ac:dyDescent="0.25">
      <c r="B736" s="123" t="s">
        <v>17</v>
      </c>
      <c r="C736" s="124"/>
      <c r="D736" s="125" t="e">
        <f>(C690*D669+D727+D728+C691*(MAX(1,F688)+G688))/C686</f>
        <v>#DIV/0!</v>
      </c>
      <c r="E736" s="77"/>
      <c r="F736" s="416"/>
      <c r="G736" s="416"/>
      <c r="H736" s="416"/>
    </row>
    <row r="737" spans="2:8" ht="18" hidden="1" outlineLevel="1" x14ac:dyDescent="0.25">
      <c r="B737" s="123" t="s">
        <v>18</v>
      </c>
      <c r="C737" s="124"/>
      <c r="D737" s="125" t="e">
        <f>((C690*D670)+D728+C691*G688)/C686</f>
        <v>#DIV/0!</v>
      </c>
      <c r="F737" s="416"/>
      <c r="G737" s="416"/>
      <c r="H737" s="416"/>
    </row>
    <row r="738" spans="2:8" ht="18" hidden="1" outlineLevel="1" x14ac:dyDescent="0.25">
      <c r="B738" s="126" t="s">
        <v>19</v>
      </c>
      <c r="C738" s="127"/>
      <c r="D738" s="128" t="e">
        <f>(C690*D671+D729+C691*H688)/C686</f>
        <v>#DIV/0!</v>
      </c>
      <c r="F738" s="416"/>
      <c r="G738" s="416"/>
      <c r="H738" s="416"/>
    </row>
    <row r="739" spans="2:8" ht="18.5" hidden="1" outlineLevel="1" thickBot="1" x14ac:dyDescent="0.3">
      <c r="B739" s="129" t="s">
        <v>20</v>
      </c>
      <c r="C739" s="130"/>
      <c r="D739" s="131" t="e">
        <f>((C690*D672)+SUM(D727:D729)+C691*(MAX(1,F688)+G688+H688))/C686</f>
        <v>#DIV/0!</v>
      </c>
      <c r="F739" s="416"/>
      <c r="G739" s="416"/>
      <c r="H739" s="416"/>
    </row>
    <row r="740" spans="2:8" ht="13" hidden="1" outlineLevel="1" thickTop="1" x14ac:dyDescent="0.25">
      <c r="B740" s="156" t="s">
        <v>76</v>
      </c>
      <c r="C740" s="424"/>
      <c r="D740" s="425"/>
    </row>
    <row r="741" spans="2:8" hidden="1" outlineLevel="1" x14ac:dyDescent="0.25">
      <c r="B741" s="157" t="s">
        <v>58</v>
      </c>
      <c r="C741" s="422"/>
      <c r="D741" s="423"/>
    </row>
    <row r="742" spans="2:8" ht="21" hidden="1" outlineLevel="1" thickTop="1" thickBot="1" x14ac:dyDescent="0.3">
      <c r="B742" s="158" t="s">
        <v>59</v>
      </c>
      <c r="C742" s="420"/>
      <c r="D742" s="421"/>
      <c r="E742" s="31"/>
      <c r="F742" s="32" t="s">
        <v>27</v>
      </c>
      <c r="G742" s="33"/>
      <c r="H742" s="33"/>
    </row>
    <row r="743" spans="2:8" ht="14.5" hidden="1" outlineLevel="1" thickBot="1" x14ac:dyDescent="0.3">
      <c r="E743" s="40"/>
      <c r="F743" s="41" t="s">
        <v>28</v>
      </c>
      <c r="G743" s="41" t="s">
        <v>21</v>
      </c>
      <c r="H743" s="41" t="s">
        <v>8</v>
      </c>
    </row>
    <row r="744" spans="2:8" hidden="1" outlineLevel="1" x14ac:dyDescent="0.25">
      <c r="C744" s="25" t="s">
        <v>44</v>
      </c>
      <c r="D744" s="25" t="s">
        <v>42</v>
      </c>
      <c r="E744" s="46"/>
      <c r="F744" s="47"/>
      <c r="G744" s="47"/>
      <c r="H744" s="47"/>
    </row>
    <row r="745" spans="2:8" ht="20.5" hidden="1" outlineLevel="1" thickTop="1" x14ac:dyDescent="0.25">
      <c r="B745" s="140" t="s">
        <v>73</v>
      </c>
      <c r="C745" s="29"/>
      <c r="D745" s="141"/>
      <c r="E745" s="46"/>
      <c r="F745" s="47"/>
      <c r="G745" s="47"/>
      <c r="H745" s="47"/>
    </row>
    <row r="746" spans="2:8" ht="14" hidden="1" outlineLevel="1" x14ac:dyDescent="0.25">
      <c r="B746" s="37"/>
      <c r="C746" s="38" t="s">
        <v>0</v>
      </c>
      <c r="D746" s="39" t="s">
        <v>1</v>
      </c>
      <c r="E746" s="46"/>
      <c r="F746" s="47"/>
      <c r="G746" s="47"/>
      <c r="H746" s="47"/>
    </row>
    <row r="747" spans="2:8" ht="14" hidden="1" outlineLevel="1" x14ac:dyDescent="0.25">
      <c r="B747" s="43" t="s">
        <v>65</v>
      </c>
      <c r="C747" s="142"/>
      <c r="D747" s="45" t="s">
        <v>2</v>
      </c>
      <c r="E747" s="57"/>
      <c r="F747" s="58"/>
      <c r="G747" s="58"/>
      <c r="H747" s="58"/>
    </row>
    <row r="748" spans="2:8" ht="13" hidden="1" outlineLevel="1" x14ac:dyDescent="0.25">
      <c r="B748" s="43" t="s">
        <v>64</v>
      </c>
      <c r="C748" s="143"/>
      <c r="D748" s="45" t="s">
        <v>3</v>
      </c>
      <c r="E748" s="46"/>
      <c r="F748" s="47"/>
      <c r="G748" s="47"/>
      <c r="H748" s="47"/>
    </row>
    <row r="749" spans="2:8" ht="13" hidden="1" outlineLevel="1" x14ac:dyDescent="0.25">
      <c r="B749" s="51" t="s">
        <v>63</v>
      </c>
      <c r="C749" s="144">
        <f>C747*C748</f>
        <v>0</v>
      </c>
      <c r="D749" s="45" t="str">
        <f>D747</f>
        <v>kg</v>
      </c>
      <c r="E749" s="59"/>
      <c r="F749" s="47"/>
      <c r="G749" s="47"/>
      <c r="H749" s="47"/>
    </row>
    <row r="750" spans="2:8" ht="14" hidden="1" outlineLevel="1" x14ac:dyDescent="0.25">
      <c r="B750" s="54" t="s">
        <v>37</v>
      </c>
      <c r="C750" s="145">
        <v>1</v>
      </c>
      <c r="D750" s="56"/>
      <c r="E750" s="46"/>
      <c r="F750" s="47"/>
      <c r="G750" s="47"/>
      <c r="H750" s="47"/>
    </row>
    <row r="751" spans="2:8" ht="13" hidden="1" outlineLevel="1" x14ac:dyDescent="0.25">
      <c r="B751" s="43" t="s">
        <v>66</v>
      </c>
      <c r="C751" s="142"/>
      <c r="D751" s="45" t="str">
        <f>D747</f>
        <v>kg</v>
      </c>
      <c r="F751" s="64"/>
      <c r="G751" s="64"/>
      <c r="H751" s="64"/>
    </row>
    <row r="752" spans="2:8" ht="14.5" hidden="1" outlineLevel="1" thickBot="1" x14ac:dyDescent="0.3">
      <c r="B752" s="43" t="s">
        <v>67</v>
      </c>
      <c r="C752" s="143"/>
      <c r="D752" s="45" t="s">
        <v>3</v>
      </c>
      <c r="E752" s="68"/>
      <c r="F752" s="69"/>
      <c r="G752" s="69"/>
      <c r="H752" s="69"/>
    </row>
    <row r="753" spans="2:8" ht="13" hidden="1" outlineLevel="1" x14ac:dyDescent="0.25">
      <c r="B753" s="51" t="s">
        <v>68</v>
      </c>
      <c r="C753" s="144">
        <f>C751*C752</f>
        <v>0</v>
      </c>
      <c r="D753" s="45" t="str">
        <f>D747</f>
        <v>kg</v>
      </c>
      <c r="E753" s="73"/>
      <c r="F753" s="69"/>
      <c r="G753" s="69"/>
      <c r="H753" s="69"/>
    </row>
    <row r="754" spans="2:8" ht="13.5" hidden="1" outlineLevel="1" thickBot="1" x14ac:dyDescent="0.3">
      <c r="B754" s="61"/>
      <c r="C754" s="62"/>
      <c r="D754" s="63"/>
      <c r="E754" s="98"/>
      <c r="F754" s="69"/>
      <c r="G754" s="69"/>
      <c r="H754" s="69"/>
    </row>
    <row r="755" spans="2:8" ht="14.5" hidden="1" outlineLevel="1" thickBot="1" x14ac:dyDescent="0.3">
      <c r="B755" s="65" t="s">
        <v>5</v>
      </c>
      <c r="C755" s="66" t="s">
        <v>6</v>
      </c>
      <c r="D755" s="67" t="s">
        <v>1</v>
      </c>
      <c r="E755" s="77"/>
      <c r="F755" s="78"/>
      <c r="G755" s="78"/>
      <c r="H755" s="78"/>
    </row>
    <row r="756" spans="2:8" ht="13" hidden="1" outlineLevel="1" x14ac:dyDescent="0.25">
      <c r="B756" s="70" t="s">
        <v>43</v>
      </c>
      <c r="C756" s="71"/>
      <c r="D756" s="72"/>
      <c r="E756" s="77"/>
      <c r="F756" s="82"/>
      <c r="G756" s="82"/>
      <c r="H756" s="82"/>
    </row>
    <row r="757" spans="2:8" ht="13" hidden="1" outlineLevel="1" x14ac:dyDescent="0.25">
      <c r="B757" s="74"/>
      <c r="C757" s="146">
        <f>C749</f>
        <v>0</v>
      </c>
      <c r="D757" s="76" t="str">
        <f>D747</f>
        <v>kg</v>
      </c>
      <c r="E757" s="77"/>
      <c r="F757" s="82"/>
      <c r="G757" s="82"/>
      <c r="H757" s="82"/>
    </row>
    <row r="758" spans="2:8" ht="13" hidden="1" outlineLevel="1" x14ac:dyDescent="0.25">
      <c r="B758" s="74"/>
      <c r="C758" s="146"/>
      <c r="D758" s="76" t="str">
        <f>D747</f>
        <v>kg</v>
      </c>
      <c r="E758" s="77"/>
      <c r="F758" s="82"/>
      <c r="G758" s="82"/>
      <c r="H758" s="82"/>
    </row>
    <row r="759" spans="2:8" ht="13" hidden="1" outlineLevel="1" x14ac:dyDescent="0.25">
      <c r="B759" s="79" t="s">
        <v>69</v>
      </c>
      <c r="C759" s="147"/>
      <c r="D759" s="81"/>
      <c r="E759" s="77"/>
      <c r="F759" s="82"/>
      <c r="G759" s="82"/>
      <c r="H759" s="82"/>
    </row>
    <row r="760" spans="2:8" ht="13" hidden="1" outlineLevel="1" x14ac:dyDescent="0.25">
      <c r="B760" s="74"/>
      <c r="C760" s="148"/>
      <c r="D760" s="76" t="str">
        <f>D747</f>
        <v>kg</v>
      </c>
      <c r="E760" s="77"/>
      <c r="F760" s="82"/>
      <c r="G760" s="82"/>
      <c r="H760" s="82"/>
    </row>
    <row r="761" spans="2:8" ht="13" hidden="1" outlineLevel="1" x14ac:dyDescent="0.25">
      <c r="B761" s="74"/>
      <c r="C761" s="148"/>
      <c r="D761" s="76" t="str">
        <f>D747</f>
        <v>kg</v>
      </c>
      <c r="E761" s="77"/>
      <c r="F761" s="82"/>
      <c r="G761" s="82"/>
      <c r="H761" s="82"/>
    </row>
    <row r="762" spans="2:8" ht="13" hidden="1" outlineLevel="1" x14ac:dyDescent="0.25">
      <c r="B762" s="74"/>
      <c r="C762" s="148"/>
      <c r="D762" s="76" t="str">
        <f>D747</f>
        <v>kg</v>
      </c>
      <c r="E762" s="77"/>
      <c r="F762" s="82"/>
      <c r="G762" s="82"/>
      <c r="H762" s="82"/>
    </row>
    <row r="763" spans="2:8" ht="13" hidden="1" outlineLevel="1" x14ac:dyDescent="0.25">
      <c r="B763" s="74"/>
      <c r="C763" s="148"/>
      <c r="D763" s="76" t="str">
        <f>D747</f>
        <v>kg</v>
      </c>
      <c r="E763" s="77"/>
      <c r="F763" s="82"/>
      <c r="G763" s="82"/>
      <c r="H763" s="82"/>
    </row>
    <row r="764" spans="2:8" ht="13" hidden="1" outlineLevel="1" x14ac:dyDescent="0.25">
      <c r="B764" s="74"/>
      <c r="C764" s="148"/>
      <c r="D764" s="76" t="str">
        <f>D747</f>
        <v>kg</v>
      </c>
      <c r="E764" s="77"/>
      <c r="F764" s="82"/>
      <c r="G764" s="82"/>
      <c r="H764" s="82"/>
    </row>
    <row r="765" spans="2:8" ht="13" hidden="1" outlineLevel="1" x14ac:dyDescent="0.25">
      <c r="B765" s="74"/>
      <c r="C765" s="148"/>
      <c r="D765" s="76" t="str">
        <f>D747</f>
        <v>kg</v>
      </c>
      <c r="E765" s="77"/>
      <c r="F765" s="82"/>
      <c r="G765" s="82"/>
      <c r="H765" s="82"/>
    </row>
    <row r="766" spans="2:8" ht="13" hidden="1" outlineLevel="1" x14ac:dyDescent="0.25">
      <c r="B766" s="74"/>
      <c r="C766" s="148"/>
      <c r="D766" s="76" t="str">
        <f>D747</f>
        <v>kg</v>
      </c>
      <c r="E766" s="77"/>
      <c r="F766" s="82"/>
      <c r="G766" s="82"/>
      <c r="H766" s="82"/>
    </row>
    <row r="767" spans="2:8" ht="13" hidden="1" outlineLevel="1" x14ac:dyDescent="0.25">
      <c r="B767" s="74"/>
      <c r="C767" s="148"/>
      <c r="D767" s="76" t="str">
        <f>D747</f>
        <v>kg</v>
      </c>
      <c r="E767" s="77"/>
      <c r="F767" s="82"/>
      <c r="G767" s="82"/>
      <c r="H767" s="82"/>
    </row>
    <row r="768" spans="2:8" ht="13" hidden="1" outlineLevel="1" x14ac:dyDescent="0.25">
      <c r="B768" s="74"/>
      <c r="C768" s="148"/>
      <c r="D768" s="76" t="str">
        <f>D747</f>
        <v>kg</v>
      </c>
      <c r="E768" s="77"/>
      <c r="F768" s="82"/>
      <c r="G768" s="82"/>
      <c r="H768" s="82"/>
    </row>
    <row r="769" spans="2:8" ht="13" hidden="1" outlineLevel="1" x14ac:dyDescent="0.25">
      <c r="B769" s="74"/>
      <c r="C769" s="148"/>
      <c r="D769" s="76" t="str">
        <f>D747</f>
        <v>kg</v>
      </c>
      <c r="E769" s="77"/>
      <c r="F769" s="82"/>
      <c r="G769" s="82"/>
      <c r="H769" s="82"/>
    </row>
    <row r="770" spans="2:8" ht="13" hidden="1" outlineLevel="1" x14ac:dyDescent="0.25">
      <c r="B770" s="79"/>
      <c r="C770" s="147"/>
      <c r="D770" s="81"/>
      <c r="E770" s="77"/>
      <c r="F770" s="82"/>
      <c r="G770" s="82"/>
      <c r="H770" s="82"/>
    </row>
    <row r="771" spans="2:8" ht="13" hidden="1" outlineLevel="1" x14ac:dyDescent="0.25">
      <c r="B771" s="86" t="s">
        <v>7</v>
      </c>
      <c r="C771" s="149">
        <f>SUM(C756:C769)</f>
        <v>0</v>
      </c>
      <c r="D771" s="88" t="str">
        <f>D747</f>
        <v>kg</v>
      </c>
      <c r="E771" s="77"/>
      <c r="F771" s="82"/>
      <c r="G771" s="82"/>
      <c r="H771" s="82"/>
    </row>
    <row r="772" spans="2:8" ht="13" hidden="1" outlineLevel="1" x14ac:dyDescent="0.25">
      <c r="B772" s="79" t="s">
        <v>71</v>
      </c>
      <c r="C772" s="150"/>
      <c r="D772" s="81"/>
      <c r="E772" s="77"/>
      <c r="F772" s="82"/>
      <c r="G772" s="82"/>
      <c r="H772" s="82"/>
    </row>
    <row r="773" spans="2:8" ht="13" hidden="1" outlineLevel="1" x14ac:dyDescent="0.25">
      <c r="B773" s="74"/>
      <c r="C773" s="148"/>
      <c r="D773" s="76" t="str">
        <f>D747</f>
        <v>kg</v>
      </c>
      <c r="E773" s="77"/>
      <c r="F773" s="82"/>
      <c r="G773" s="82"/>
      <c r="H773" s="82"/>
    </row>
    <row r="774" spans="2:8" ht="13" hidden="1" outlineLevel="1" x14ac:dyDescent="0.25">
      <c r="B774" s="74"/>
      <c r="C774" s="148"/>
      <c r="D774" s="76" t="str">
        <f>D747</f>
        <v>kg</v>
      </c>
      <c r="E774" s="77"/>
      <c r="F774" s="82"/>
      <c r="G774" s="82"/>
      <c r="H774" s="82"/>
    </row>
    <row r="775" spans="2:8" ht="13" hidden="1" outlineLevel="1" x14ac:dyDescent="0.25">
      <c r="B775" s="74"/>
      <c r="C775" s="148"/>
      <c r="D775" s="76" t="str">
        <f>D747</f>
        <v>kg</v>
      </c>
      <c r="E775" s="77"/>
      <c r="F775" s="82"/>
      <c r="G775" s="82"/>
      <c r="H775" s="82"/>
    </row>
    <row r="776" spans="2:8" ht="13" hidden="1" outlineLevel="1" x14ac:dyDescent="0.25">
      <c r="B776" s="74"/>
      <c r="C776" s="148"/>
      <c r="D776" s="76" t="str">
        <f>D747</f>
        <v>kg</v>
      </c>
      <c r="E776" s="77"/>
      <c r="F776" s="82"/>
      <c r="G776" s="82"/>
      <c r="H776" s="82"/>
    </row>
    <row r="777" spans="2:8" ht="13" hidden="1" outlineLevel="1" x14ac:dyDescent="0.25">
      <c r="B777" s="74"/>
      <c r="C777" s="148"/>
      <c r="D777" s="76" t="str">
        <f>D747</f>
        <v>kg</v>
      </c>
      <c r="E777" s="77"/>
      <c r="F777" s="82"/>
      <c r="G777" s="82"/>
      <c r="H777" s="82"/>
    </row>
    <row r="778" spans="2:8" ht="13" hidden="1" outlineLevel="1" x14ac:dyDescent="0.25">
      <c r="B778" s="74"/>
      <c r="C778" s="148"/>
      <c r="D778" s="76" t="str">
        <f>D747</f>
        <v>kg</v>
      </c>
      <c r="E778" s="90"/>
      <c r="F778" s="82"/>
      <c r="G778" s="82"/>
      <c r="H778" s="82"/>
    </row>
    <row r="779" spans="2:8" ht="13" hidden="1" outlineLevel="1" x14ac:dyDescent="0.25">
      <c r="B779" s="74"/>
      <c r="C779" s="148"/>
      <c r="D779" s="76" t="str">
        <f>D747</f>
        <v>kg</v>
      </c>
      <c r="E779" s="77"/>
      <c r="F779" s="82"/>
      <c r="G779" s="82"/>
      <c r="H779" s="82"/>
    </row>
    <row r="780" spans="2:8" ht="13" hidden="1" outlineLevel="1" x14ac:dyDescent="0.25">
      <c r="B780" s="74"/>
      <c r="C780" s="148"/>
      <c r="D780" s="76" t="str">
        <f>D747</f>
        <v>kg</v>
      </c>
      <c r="E780" s="77"/>
      <c r="F780" s="82"/>
      <c r="G780" s="82"/>
      <c r="H780" s="82"/>
    </row>
    <row r="781" spans="2:8" ht="13" hidden="1" outlineLevel="1" x14ac:dyDescent="0.25">
      <c r="B781" s="79" t="s">
        <v>70</v>
      </c>
      <c r="C781" s="147"/>
      <c r="D781" s="81"/>
      <c r="E781" s="77"/>
      <c r="F781" s="82"/>
      <c r="G781" s="82"/>
      <c r="H781" s="82"/>
    </row>
    <row r="782" spans="2:8" ht="13" hidden="1" outlineLevel="1" x14ac:dyDescent="0.25">
      <c r="B782" s="74"/>
      <c r="C782" s="148"/>
      <c r="D782" s="76" t="str">
        <f>D747</f>
        <v>kg</v>
      </c>
      <c r="E782" s="77"/>
      <c r="F782" s="82"/>
      <c r="G782" s="82"/>
      <c r="H782" s="82"/>
    </row>
    <row r="783" spans="2:8" ht="13" hidden="1" outlineLevel="1" x14ac:dyDescent="0.25">
      <c r="B783" s="74"/>
      <c r="C783" s="148"/>
      <c r="D783" s="76" t="str">
        <f>D747</f>
        <v>kg</v>
      </c>
      <c r="E783" s="77"/>
      <c r="F783" s="82"/>
      <c r="G783" s="82"/>
      <c r="H783" s="82"/>
    </row>
    <row r="784" spans="2:8" ht="13" hidden="1" outlineLevel="1" x14ac:dyDescent="0.25">
      <c r="B784" s="74"/>
      <c r="C784" s="148"/>
      <c r="D784" s="76" t="str">
        <f>D747</f>
        <v>kg</v>
      </c>
      <c r="E784" s="77"/>
      <c r="F784" s="82"/>
      <c r="G784" s="82"/>
      <c r="H784" s="82"/>
    </row>
    <row r="785" spans="2:8" ht="13" hidden="1" outlineLevel="1" x14ac:dyDescent="0.25">
      <c r="B785" s="74"/>
      <c r="C785" s="148"/>
      <c r="D785" s="76" t="str">
        <f>D747</f>
        <v>kg</v>
      </c>
      <c r="E785" s="77"/>
      <c r="F785" s="82"/>
      <c r="G785" s="82"/>
      <c r="H785" s="82"/>
    </row>
    <row r="786" spans="2:8" ht="13" hidden="1" outlineLevel="1" x14ac:dyDescent="0.25">
      <c r="B786" s="74"/>
      <c r="C786" s="148"/>
      <c r="D786" s="76" t="str">
        <f>D747</f>
        <v>kg</v>
      </c>
      <c r="E786" s="77"/>
      <c r="F786" s="82"/>
      <c r="G786" s="82"/>
      <c r="H786" s="82"/>
    </row>
    <row r="787" spans="2:8" ht="13" hidden="1" outlineLevel="1" x14ac:dyDescent="0.25">
      <c r="B787" s="74"/>
      <c r="C787" s="148"/>
      <c r="D787" s="76" t="str">
        <f>D747</f>
        <v>kg</v>
      </c>
      <c r="E787" s="77"/>
      <c r="F787" s="82"/>
      <c r="G787" s="82"/>
      <c r="H787" s="82"/>
    </row>
    <row r="788" spans="2:8" ht="13" hidden="1" outlineLevel="1" x14ac:dyDescent="0.25">
      <c r="B788" s="74"/>
      <c r="C788" s="148"/>
      <c r="D788" s="76" t="str">
        <f>D747</f>
        <v>kg</v>
      </c>
      <c r="E788" s="77"/>
      <c r="F788" s="82"/>
      <c r="G788" s="82"/>
      <c r="H788" s="82"/>
    </row>
    <row r="789" spans="2:8" ht="13" hidden="1" outlineLevel="1" x14ac:dyDescent="0.25">
      <c r="B789" s="79"/>
      <c r="C789" s="147"/>
      <c r="D789" s="81"/>
      <c r="E789" s="77"/>
      <c r="F789" s="82"/>
      <c r="G789" s="82"/>
      <c r="H789" s="82"/>
    </row>
    <row r="790" spans="2:8" ht="13" hidden="1" outlineLevel="1" x14ac:dyDescent="0.25">
      <c r="B790" s="86" t="s">
        <v>9</v>
      </c>
      <c r="C790" s="149">
        <f>SUM(C771:C788)</f>
        <v>0</v>
      </c>
      <c r="D790" s="91" t="str">
        <f>D747</f>
        <v>kg</v>
      </c>
      <c r="E790" s="98"/>
      <c r="F790" s="82"/>
      <c r="G790" s="82"/>
      <c r="H790" s="82"/>
    </row>
    <row r="791" spans="2:8" ht="13" hidden="1" outlineLevel="1" x14ac:dyDescent="0.25">
      <c r="B791" s="92"/>
      <c r="C791" s="93"/>
      <c r="D791" s="94"/>
      <c r="E791" s="98"/>
      <c r="F791" s="82"/>
      <c r="G791" s="82"/>
      <c r="H791" s="82"/>
    </row>
    <row r="792" spans="2:8" ht="20.5" hidden="1" outlineLevel="1" thickBot="1" x14ac:dyDescent="0.3">
      <c r="B792" s="426" t="s">
        <v>10</v>
      </c>
      <c r="C792" s="427"/>
      <c r="D792" s="428"/>
      <c r="E792" s="98"/>
      <c r="F792" s="82"/>
      <c r="G792" s="82"/>
      <c r="H792" s="82"/>
    </row>
    <row r="793" spans="2:8" ht="13" hidden="1" outlineLevel="1" x14ac:dyDescent="0.25">
      <c r="B793" s="95" t="s">
        <v>23</v>
      </c>
      <c r="C793" s="96"/>
      <c r="D793" s="151">
        <f>SUM(C757:C758)</f>
        <v>0</v>
      </c>
      <c r="E793" s="98"/>
      <c r="F793" s="82"/>
      <c r="G793" s="82"/>
      <c r="H793" s="82"/>
    </row>
    <row r="794" spans="2:8" ht="13" hidden="1" outlineLevel="1" x14ac:dyDescent="0.25">
      <c r="B794" s="99" t="s">
        <v>24</v>
      </c>
      <c r="C794" s="100"/>
      <c r="D794" s="152">
        <f>SUM(C760:C770)</f>
        <v>0</v>
      </c>
      <c r="E794" s="77"/>
      <c r="F794" s="110" t="s">
        <v>86</v>
      </c>
      <c r="G794" s="109" t="s">
        <v>85</v>
      </c>
      <c r="H794" s="110"/>
    </row>
    <row r="795" spans="2:8" ht="13.5" hidden="1" outlineLevel="1" thickBot="1" x14ac:dyDescent="0.3">
      <c r="B795" s="99" t="s">
        <v>25</v>
      </c>
      <c r="C795" s="100"/>
      <c r="D795" s="152">
        <f>SUM(C773:C781)</f>
        <v>0</v>
      </c>
      <c r="E795" s="77"/>
      <c r="F795" s="154"/>
      <c r="G795" s="413"/>
      <c r="H795" s="414"/>
    </row>
    <row r="796" spans="2:8" ht="13" hidden="1" outlineLevel="1" x14ac:dyDescent="0.25">
      <c r="B796" s="102" t="s">
        <v>26</v>
      </c>
      <c r="C796" s="103"/>
      <c r="D796" s="153">
        <f>SUM(C782:C789)</f>
        <v>0</v>
      </c>
      <c r="E796" s="90"/>
      <c r="F796" s="64" t="s">
        <v>45</v>
      </c>
      <c r="G796" s="64" t="s">
        <v>45</v>
      </c>
      <c r="H796" s="155"/>
    </row>
    <row r="797" spans="2:8" ht="18.5" hidden="1" outlineLevel="1" thickTop="1" x14ac:dyDescent="0.25">
      <c r="B797" s="105" t="s">
        <v>11</v>
      </c>
      <c r="C797" s="106"/>
      <c r="D797" s="107" t="e">
        <f>C771/C753</f>
        <v>#DIV/0!</v>
      </c>
      <c r="E797" s="90"/>
      <c r="F797" s="110"/>
      <c r="G797" s="117" t="s">
        <v>46</v>
      </c>
      <c r="H797" s="110"/>
    </row>
    <row r="798" spans="2:8" ht="18" hidden="1" customHeight="1" outlineLevel="1" thickBot="1" x14ac:dyDescent="0.3">
      <c r="B798" s="111" t="s">
        <v>12</v>
      </c>
      <c r="C798" s="112"/>
      <c r="D798" s="113" t="e">
        <f>(D793+D794+D795)/C753</f>
        <v>#DIV/0!</v>
      </c>
      <c r="E798" s="90"/>
      <c r="F798" s="429"/>
      <c r="G798" s="430"/>
      <c r="H798" s="431"/>
    </row>
    <row r="799" spans="2:8" ht="18" hidden="1" outlineLevel="1" x14ac:dyDescent="0.25">
      <c r="B799" s="111" t="s">
        <v>13</v>
      </c>
      <c r="C799" s="112"/>
      <c r="D799" s="113" t="e">
        <f>D795/C753</f>
        <v>#DIV/0!</v>
      </c>
      <c r="E799" s="77"/>
      <c r="F799" s="64" t="s">
        <v>45</v>
      </c>
      <c r="G799" s="64"/>
      <c r="H799" s="82"/>
    </row>
    <row r="800" spans="2:8" ht="18" hidden="1" outlineLevel="1" x14ac:dyDescent="0.25">
      <c r="B800" s="114" t="s">
        <v>14</v>
      </c>
      <c r="C800" s="115"/>
      <c r="D800" s="116" t="e">
        <f>D796/C753</f>
        <v>#DIV/0!</v>
      </c>
      <c r="E800" s="77"/>
      <c r="F800" s="82"/>
      <c r="G800" s="82"/>
      <c r="H800" s="82"/>
    </row>
    <row r="801" spans="2:8" ht="18.5" hidden="1" outlineLevel="1" thickBot="1" x14ac:dyDescent="0.3">
      <c r="B801" s="114" t="s">
        <v>15</v>
      </c>
      <c r="C801" s="119"/>
      <c r="D801" s="116" t="e">
        <f>SUM(D793:D796)/C753</f>
        <v>#DIV/0!</v>
      </c>
      <c r="E801" s="77"/>
      <c r="F801" s="415" t="s">
        <v>61</v>
      </c>
      <c r="G801" s="416"/>
      <c r="H801" s="416"/>
    </row>
    <row r="802" spans="2:8" ht="18.5" hidden="1" outlineLevel="1" thickTop="1" x14ac:dyDescent="0.25">
      <c r="B802" s="120" t="s">
        <v>16</v>
      </c>
      <c r="C802" s="121"/>
      <c r="D802" s="122" t="e">
        <f>((C757*D735)+D794+C758*MAX(1,F755))/C753</f>
        <v>#DIV/0!</v>
      </c>
      <c r="E802" s="77"/>
      <c r="F802" s="416"/>
      <c r="G802" s="416"/>
      <c r="H802" s="416"/>
    </row>
    <row r="803" spans="2:8" ht="18" hidden="1" outlineLevel="1" x14ac:dyDescent="0.25">
      <c r="B803" s="123" t="s">
        <v>17</v>
      </c>
      <c r="C803" s="124"/>
      <c r="D803" s="125" t="e">
        <f>(C757*D736+D794+D795+C758*(MAX(1,F755)+G755))/C753</f>
        <v>#DIV/0!</v>
      </c>
      <c r="E803" s="77"/>
      <c r="F803" s="416"/>
      <c r="G803" s="416"/>
      <c r="H803" s="416"/>
    </row>
    <row r="804" spans="2:8" ht="18" hidden="1" outlineLevel="1" x14ac:dyDescent="0.25">
      <c r="B804" s="123" t="s">
        <v>18</v>
      </c>
      <c r="C804" s="124"/>
      <c r="D804" s="125" t="e">
        <f>((C757*D737)+D795+C758*G755)/C753</f>
        <v>#DIV/0!</v>
      </c>
      <c r="F804" s="416"/>
      <c r="G804" s="416"/>
      <c r="H804" s="416"/>
    </row>
    <row r="805" spans="2:8" ht="18" hidden="1" outlineLevel="1" x14ac:dyDescent="0.25">
      <c r="B805" s="126" t="s">
        <v>19</v>
      </c>
      <c r="C805" s="127"/>
      <c r="D805" s="128" t="e">
        <f>(C757*D738+D796+C758*H755)/C753</f>
        <v>#DIV/0!</v>
      </c>
      <c r="F805" s="416"/>
      <c r="G805" s="416"/>
      <c r="H805" s="416"/>
    </row>
    <row r="806" spans="2:8" ht="18.5" hidden="1" outlineLevel="1" thickBot="1" x14ac:dyDescent="0.3">
      <c r="B806" s="129" t="s">
        <v>20</v>
      </c>
      <c r="C806" s="130"/>
      <c r="D806" s="131" t="e">
        <f>((C757*D739)+SUM(D794:D796)+C758*(MAX(1,F755)+G755+H755))/C753</f>
        <v>#DIV/0!</v>
      </c>
      <c r="F806" s="416"/>
      <c r="G806" s="416"/>
      <c r="H806" s="416"/>
    </row>
    <row r="807" spans="2:8" ht="13" hidden="1" outlineLevel="1" thickTop="1" x14ac:dyDescent="0.25">
      <c r="B807" s="156" t="s">
        <v>76</v>
      </c>
      <c r="C807" s="424"/>
      <c r="D807" s="425"/>
    </row>
    <row r="808" spans="2:8" hidden="1" outlineLevel="1" x14ac:dyDescent="0.25">
      <c r="B808" s="157" t="s">
        <v>58</v>
      </c>
      <c r="C808" s="422"/>
      <c r="D808" s="423"/>
    </row>
    <row r="809" spans="2:8" ht="21" hidden="1" outlineLevel="1" thickTop="1" thickBot="1" x14ac:dyDescent="0.3">
      <c r="B809" s="158" t="s">
        <v>59</v>
      </c>
      <c r="C809" s="420"/>
      <c r="D809" s="421"/>
      <c r="E809" s="31"/>
      <c r="F809" s="32" t="s">
        <v>27</v>
      </c>
      <c r="G809" s="33"/>
      <c r="H809" s="33"/>
    </row>
    <row r="810" spans="2:8" ht="14.5" hidden="1" outlineLevel="1" thickBot="1" x14ac:dyDescent="0.3">
      <c r="E810" s="40"/>
      <c r="F810" s="41" t="s">
        <v>28</v>
      </c>
      <c r="G810" s="41" t="s">
        <v>21</v>
      </c>
      <c r="H810" s="41" t="s">
        <v>8</v>
      </c>
    </row>
    <row r="811" spans="2:8" hidden="1" outlineLevel="1" x14ac:dyDescent="0.25">
      <c r="C811" s="118" t="s">
        <v>44</v>
      </c>
      <c r="D811" s="118" t="s">
        <v>42</v>
      </c>
      <c r="E811" s="46"/>
      <c r="F811" s="47"/>
      <c r="G811" s="47"/>
      <c r="H811" s="47"/>
    </row>
    <row r="812" spans="2:8" ht="20.5" hidden="1" outlineLevel="1" thickTop="1" x14ac:dyDescent="0.25">
      <c r="B812" s="140" t="s">
        <v>73</v>
      </c>
      <c r="C812" s="29"/>
      <c r="D812" s="141"/>
      <c r="E812" s="46"/>
      <c r="F812" s="47"/>
      <c r="G812" s="47"/>
      <c r="H812" s="47"/>
    </row>
    <row r="813" spans="2:8" ht="14" hidden="1" outlineLevel="1" x14ac:dyDescent="0.25">
      <c r="B813" s="37"/>
      <c r="C813" s="38" t="s">
        <v>0</v>
      </c>
      <c r="D813" s="39" t="s">
        <v>1</v>
      </c>
      <c r="E813" s="46"/>
      <c r="F813" s="47"/>
      <c r="G813" s="47"/>
      <c r="H813" s="47"/>
    </row>
    <row r="814" spans="2:8" ht="14" hidden="1" outlineLevel="1" x14ac:dyDescent="0.25">
      <c r="B814" s="43" t="s">
        <v>65</v>
      </c>
      <c r="C814" s="142"/>
      <c r="D814" s="45" t="s">
        <v>2</v>
      </c>
      <c r="E814" s="57"/>
      <c r="F814" s="58"/>
      <c r="G814" s="58"/>
      <c r="H814" s="58"/>
    </row>
    <row r="815" spans="2:8" ht="13" hidden="1" outlineLevel="1" x14ac:dyDescent="0.25">
      <c r="B815" s="43" t="s">
        <v>64</v>
      </c>
      <c r="C815" s="143"/>
      <c r="D815" s="45" t="s">
        <v>3</v>
      </c>
      <c r="E815" s="46"/>
      <c r="F815" s="47"/>
      <c r="G815" s="47"/>
      <c r="H815" s="47"/>
    </row>
    <row r="816" spans="2:8" ht="13" hidden="1" outlineLevel="1" x14ac:dyDescent="0.25">
      <c r="B816" s="51" t="s">
        <v>63</v>
      </c>
      <c r="C816" s="144">
        <f>C814*C815</f>
        <v>0</v>
      </c>
      <c r="D816" s="45" t="str">
        <f>D814</f>
        <v>kg</v>
      </c>
      <c r="E816" s="59"/>
      <c r="F816" s="47"/>
      <c r="G816" s="47"/>
      <c r="H816" s="47"/>
    </row>
    <row r="817" spans="2:8" ht="14" hidden="1" outlineLevel="1" x14ac:dyDescent="0.25">
      <c r="B817" s="54" t="s">
        <v>37</v>
      </c>
      <c r="C817" s="145">
        <v>1</v>
      </c>
      <c r="D817" s="56"/>
      <c r="E817" s="46"/>
      <c r="F817" s="47"/>
      <c r="G817" s="47"/>
      <c r="H817" s="47"/>
    </row>
    <row r="818" spans="2:8" ht="13" hidden="1" outlineLevel="1" x14ac:dyDescent="0.25">
      <c r="B818" s="43" t="s">
        <v>66</v>
      </c>
      <c r="C818" s="142"/>
      <c r="D818" s="45" t="str">
        <f>D814</f>
        <v>kg</v>
      </c>
      <c r="F818" s="64"/>
      <c r="G818" s="64"/>
      <c r="H818" s="64"/>
    </row>
    <row r="819" spans="2:8" ht="14.5" hidden="1" outlineLevel="1" thickBot="1" x14ac:dyDescent="0.3">
      <c r="B819" s="43" t="s">
        <v>67</v>
      </c>
      <c r="C819" s="143"/>
      <c r="D819" s="45" t="s">
        <v>3</v>
      </c>
      <c r="E819" s="68"/>
      <c r="F819" s="69"/>
      <c r="G819" s="69"/>
      <c r="H819" s="69"/>
    </row>
    <row r="820" spans="2:8" ht="13" hidden="1" outlineLevel="1" x14ac:dyDescent="0.25">
      <c r="B820" s="51" t="s">
        <v>68</v>
      </c>
      <c r="C820" s="144">
        <f>C818*C819</f>
        <v>0</v>
      </c>
      <c r="D820" s="45" t="str">
        <f>D814</f>
        <v>kg</v>
      </c>
      <c r="E820" s="73"/>
      <c r="F820" s="69"/>
      <c r="G820" s="69"/>
      <c r="H820" s="69"/>
    </row>
    <row r="821" spans="2:8" ht="13.5" hidden="1" outlineLevel="1" thickBot="1" x14ac:dyDescent="0.3">
      <c r="B821" s="61"/>
      <c r="C821" s="62"/>
      <c r="D821" s="63"/>
      <c r="E821" s="98"/>
      <c r="F821" s="69"/>
      <c r="G821" s="69"/>
      <c r="H821" s="69"/>
    </row>
    <row r="822" spans="2:8" ht="14.5" hidden="1" outlineLevel="1" thickBot="1" x14ac:dyDescent="0.3">
      <c r="B822" s="65" t="s">
        <v>5</v>
      </c>
      <c r="C822" s="66" t="s">
        <v>6</v>
      </c>
      <c r="D822" s="67" t="s">
        <v>1</v>
      </c>
      <c r="E822" s="77"/>
      <c r="F822" s="78"/>
      <c r="G822" s="78"/>
      <c r="H822" s="78"/>
    </row>
    <row r="823" spans="2:8" ht="13" hidden="1" outlineLevel="1" x14ac:dyDescent="0.25">
      <c r="B823" s="70" t="s">
        <v>43</v>
      </c>
      <c r="C823" s="71"/>
      <c r="D823" s="72"/>
      <c r="E823" s="77"/>
      <c r="F823" s="82"/>
      <c r="G823" s="82"/>
      <c r="H823" s="82"/>
    </row>
    <row r="824" spans="2:8" ht="13" hidden="1" outlineLevel="1" x14ac:dyDescent="0.25">
      <c r="B824" s="74"/>
      <c r="C824" s="146">
        <f>C816</f>
        <v>0</v>
      </c>
      <c r="D824" s="76" t="str">
        <f>D814</f>
        <v>kg</v>
      </c>
      <c r="E824" s="77"/>
      <c r="F824" s="82"/>
      <c r="G824" s="82"/>
      <c r="H824" s="82"/>
    </row>
    <row r="825" spans="2:8" ht="13" hidden="1" outlineLevel="1" x14ac:dyDescent="0.25">
      <c r="B825" s="74"/>
      <c r="C825" s="146"/>
      <c r="D825" s="76" t="str">
        <f>D814</f>
        <v>kg</v>
      </c>
      <c r="E825" s="77"/>
      <c r="F825" s="82"/>
      <c r="G825" s="82"/>
      <c r="H825" s="82"/>
    </row>
    <row r="826" spans="2:8" ht="13" hidden="1" outlineLevel="1" x14ac:dyDescent="0.25">
      <c r="B826" s="79" t="s">
        <v>69</v>
      </c>
      <c r="C826" s="147"/>
      <c r="D826" s="81"/>
      <c r="E826" s="77"/>
      <c r="F826" s="82"/>
      <c r="G826" s="82"/>
      <c r="H826" s="82"/>
    </row>
    <row r="827" spans="2:8" ht="13" hidden="1" outlineLevel="1" x14ac:dyDescent="0.25">
      <c r="B827" s="74"/>
      <c r="C827" s="148"/>
      <c r="D827" s="76" t="str">
        <f>D814</f>
        <v>kg</v>
      </c>
      <c r="E827" s="77"/>
      <c r="F827" s="82"/>
      <c r="G827" s="82"/>
      <c r="H827" s="82"/>
    </row>
    <row r="828" spans="2:8" ht="13" hidden="1" outlineLevel="1" x14ac:dyDescent="0.25">
      <c r="B828" s="74"/>
      <c r="C828" s="148"/>
      <c r="D828" s="76" t="str">
        <f>D814</f>
        <v>kg</v>
      </c>
      <c r="E828" s="77"/>
      <c r="F828" s="82"/>
      <c r="G828" s="82"/>
      <c r="H828" s="82"/>
    </row>
    <row r="829" spans="2:8" ht="13" hidden="1" outlineLevel="1" x14ac:dyDescent="0.25">
      <c r="B829" s="74"/>
      <c r="C829" s="148"/>
      <c r="D829" s="76" t="str">
        <f>D814</f>
        <v>kg</v>
      </c>
      <c r="E829" s="77"/>
      <c r="F829" s="82"/>
      <c r="G829" s="82"/>
      <c r="H829" s="82"/>
    </row>
    <row r="830" spans="2:8" ht="13" hidden="1" outlineLevel="1" x14ac:dyDescent="0.25">
      <c r="B830" s="74"/>
      <c r="C830" s="148"/>
      <c r="D830" s="76" t="str">
        <f>D814</f>
        <v>kg</v>
      </c>
      <c r="E830" s="77"/>
      <c r="F830" s="82"/>
      <c r="G830" s="82"/>
      <c r="H830" s="82"/>
    </row>
    <row r="831" spans="2:8" ht="13" hidden="1" outlineLevel="1" x14ac:dyDescent="0.25">
      <c r="B831" s="74"/>
      <c r="C831" s="148"/>
      <c r="D831" s="76" t="str">
        <f>D814</f>
        <v>kg</v>
      </c>
      <c r="E831" s="77"/>
      <c r="F831" s="82"/>
      <c r="G831" s="82"/>
      <c r="H831" s="82"/>
    </row>
    <row r="832" spans="2:8" ht="13" hidden="1" outlineLevel="1" x14ac:dyDescent="0.25">
      <c r="B832" s="74"/>
      <c r="C832" s="148"/>
      <c r="D832" s="76" t="str">
        <f>D814</f>
        <v>kg</v>
      </c>
      <c r="E832" s="77"/>
      <c r="F832" s="82"/>
      <c r="G832" s="82"/>
      <c r="H832" s="82"/>
    </row>
    <row r="833" spans="2:8" ht="13" hidden="1" outlineLevel="1" x14ac:dyDescent="0.25">
      <c r="B833" s="74"/>
      <c r="C833" s="148"/>
      <c r="D833" s="76" t="str">
        <f>D814</f>
        <v>kg</v>
      </c>
      <c r="E833" s="77"/>
      <c r="F833" s="82"/>
      <c r="G833" s="82"/>
      <c r="H833" s="82"/>
    </row>
    <row r="834" spans="2:8" ht="13" hidden="1" outlineLevel="1" x14ac:dyDescent="0.25">
      <c r="B834" s="74"/>
      <c r="C834" s="148"/>
      <c r="D834" s="76" t="str">
        <f>D814</f>
        <v>kg</v>
      </c>
      <c r="E834" s="77"/>
      <c r="F834" s="82"/>
      <c r="G834" s="82"/>
      <c r="H834" s="82"/>
    </row>
    <row r="835" spans="2:8" ht="13" hidden="1" outlineLevel="1" x14ac:dyDescent="0.25">
      <c r="B835" s="74"/>
      <c r="C835" s="148"/>
      <c r="D835" s="76" t="str">
        <f>D814</f>
        <v>kg</v>
      </c>
      <c r="E835" s="77"/>
      <c r="F835" s="82"/>
      <c r="G835" s="82"/>
      <c r="H835" s="82"/>
    </row>
    <row r="836" spans="2:8" ht="13" hidden="1" outlineLevel="1" x14ac:dyDescent="0.25">
      <c r="B836" s="74"/>
      <c r="C836" s="148"/>
      <c r="D836" s="76" t="str">
        <f>D814</f>
        <v>kg</v>
      </c>
      <c r="E836" s="77"/>
      <c r="F836" s="82"/>
      <c r="G836" s="82"/>
      <c r="H836" s="82"/>
    </row>
    <row r="837" spans="2:8" ht="13" hidden="1" outlineLevel="1" x14ac:dyDescent="0.25">
      <c r="B837" s="79"/>
      <c r="C837" s="147"/>
      <c r="D837" s="81"/>
      <c r="E837" s="77"/>
      <c r="F837" s="82"/>
      <c r="G837" s="82"/>
      <c r="H837" s="82"/>
    </row>
    <row r="838" spans="2:8" ht="13" hidden="1" outlineLevel="1" x14ac:dyDescent="0.25">
      <c r="B838" s="86" t="s">
        <v>7</v>
      </c>
      <c r="C838" s="149">
        <f>SUM(C823:C836)</f>
        <v>0</v>
      </c>
      <c r="D838" s="88" t="str">
        <f>D814</f>
        <v>kg</v>
      </c>
      <c r="E838" s="77"/>
      <c r="F838" s="82"/>
      <c r="G838" s="82"/>
      <c r="H838" s="82"/>
    </row>
    <row r="839" spans="2:8" ht="13" hidden="1" outlineLevel="1" x14ac:dyDescent="0.25">
      <c r="B839" s="79" t="s">
        <v>71</v>
      </c>
      <c r="C839" s="150"/>
      <c r="D839" s="81"/>
      <c r="E839" s="77"/>
      <c r="F839" s="82"/>
      <c r="G839" s="82"/>
      <c r="H839" s="82"/>
    </row>
    <row r="840" spans="2:8" ht="13" hidden="1" outlineLevel="1" x14ac:dyDescent="0.25">
      <c r="B840" s="74"/>
      <c r="C840" s="148"/>
      <c r="D840" s="76" t="str">
        <f>D814</f>
        <v>kg</v>
      </c>
      <c r="E840" s="77"/>
      <c r="F840" s="82"/>
      <c r="G840" s="82"/>
      <c r="H840" s="82"/>
    </row>
    <row r="841" spans="2:8" ht="13" hidden="1" outlineLevel="1" x14ac:dyDescent="0.25">
      <c r="B841" s="74"/>
      <c r="C841" s="148"/>
      <c r="D841" s="76" t="str">
        <f>D814</f>
        <v>kg</v>
      </c>
      <c r="E841" s="77"/>
      <c r="F841" s="82"/>
      <c r="G841" s="82"/>
      <c r="H841" s="82"/>
    </row>
    <row r="842" spans="2:8" ht="13" hidden="1" outlineLevel="1" x14ac:dyDescent="0.25">
      <c r="B842" s="74"/>
      <c r="C842" s="148"/>
      <c r="D842" s="76" t="str">
        <f>D814</f>
        <v>kg</v>
      </c>
      <c r="E842" s="77"/>
      <c r="F842" s="82"/>
      <c r="G842" s="82"/>
      <c r="H842" s="82"/>
    </row>
    <row r="843" spans="2:8" ht="13" hidden="1" outlineLevel="1" x14ac:dyDescent="0.25">
      <c r="B843" s="74"/>
      <c r="C843" s="148"/>
      <c r="D843" s="76" t="str">
        <f>D814</f>
        <v>kg</v>
      </c>
      <c r="E843" s="77"/>
      <c r="F843" s="82"/>
      <c r="G843" s="82"/>
      <c r="H843" s="82"/>
    </row>
    <row r="844" spans="2:8" ht="13" hidden="1" outlineLevel="1" x14ac:dyDescent="0.25">
      <c r="B844" s="74"/>
      <c r="C844" s="148"/>
      <c r="D844" s="76" t="str">
        <f>D814</f>
        <v>kg</v>
      </c>
      <c r="E844" s="77"/>
      <c r="F844" s="82"/>
      <c r="G844" s="82"/>
      <c r="H844" s="82"/>
    </row>
    <row r="845" spans="2:8" ht="13" hidden="1" outlineLevel="1" x14ac:dyDescent="0.25">
      <c r="B845" s="74"/>
      <c r="C845" s="148"/>
      <c r="D845" s="76" t="str">
        <f>D814</f>
        <v>kg</v>
      </c>
      <c r="E845" s="90"/>
      <c r="F845" s="82"/>
      <c r="G845" s="82"/>
      <c r="H845" s="82"/>
    </row>
    <row r="846" spans="2:8" ht="13" hidden="1" outlineLevel="1" x14ac:dyDescent="0.25">
      <c r="B846" s="74"/>
      <c r="C846" s="148"/>
      <c r="D846" s="76" t="str">
        <f>D814</f>
        <v>kg</v>
      </c>
      <c r="E846" s="77"/>
      <c r="F846" s="82"/>
      <c r="G846" s="82"/>
      <c r="H846" s="82"/>
    </row>
    <row r="847" spans="2:8" ht="13" hidden="1" outlineLevel="1" x14ac:dyDescent="0.25">
      <c r="B847" s="74"/>
      <c r="C847" s="148"/>
      <c r="D847" s="76" t="str">
        <f>D814</f>
        <v>kg</v>
      </c>
      <c r="E847" s="77"/>
      <c r="F847" s="82"/>
      <c r="G847" s="82"/>
      <c r="H847" s="82"/>
    </row>
    <row r="848" spans="2:8" ht="13" hidden="1" outlineLevel="1" x14ac:dyDescent="0.25">
      <c r="B848" s="79" t="s">
        <v>70</v>
      </c>
      <c r="C848" s="147"/>
      <c r="D848" s="81"/>
      <c r="E848" s="77"/>
      <c r="F848" s="82"/>
      <c r="G848" s="82"/>
      <c r="H848" s="82"/>
    </row>
    <row r="849" spans="2:8" ht="13" hidden="1" outlineLevel="1" x14ac:dyDescent="0.25">
      <c r="B849" s="74"/>
      <c r="C849" s="148"/>
      <c r="D849" s="76" t="str">
        <f>D814</f>
        <v>kg</v>
      </c>
      <c r="E849" s="77"/>
      <c r="F849" s="82"/>
      <c r="G849" s="82"/>
      <c r="H849" s="82"/>
    </row>
    <row r="850" spans="2:8" ht="13" hidden="1" outlineLevel="1" x14ac:dyDescent="0.25">
      <c r="B850" s="74"/>
      <c r="C850" s="148"/>
      <c r="D850" s="76" t="str">
        <f>D814</f>
        <v>kg</v>
      </c>
      <c r="E850" s="77"/>
      <c r="F850" s="82"/>
      <c r="G850" s="82"/>
      <c r="H850" s="82"/>
    </row>
    <row r="851" spans="2:8" ht="13" hidden="1" outlineLevel="1" x14ac:dyDescent="0.25">
      <c r="B851" s="74"/>
      <c r="C851" s="148"/>
      <c r="D851" s="76" t="str">
        <f>D814</f>
        <v>kg</v>
      </c>
      <c r="E851" s="77"/>
      <c r="F851" s="82"/>
      <c r="G851" s="82"/>
      <c r="H851" s="82"/>
    </row>
    <row r="852" spans="2:8" ht="13" hidden="1" outlineLevel="1" x14ac:dyDescent="0.25">
      <c r="B852" s="74"/>
      <c r="C852" s="148"/>
      <c r="D852" s="76" t="str">
        <f>D814</f>
        <v>kg</v>
      </c>
      <c r="E852" s="77"/>
      <c r="F852" s="82"/>
      <c r="G852" s="82"/>
      <c r="H852" s="82"/>
    </row>
    <row r="853" spans="2:8" ht="13" hidden="1" outlineLevel="1" x14ac:dyDescent="0.25">
      <c r="B853" s="74"/>
      <c r="C853" s="148"/>
      <c r="D853" s="76" t="str">
        <f>D814</f>
        <v>kg</v>
      </c>
      <c r="E853" s="77"/>
      <c r="F853" s="82"/>
      <c r="G853" s="82"/>
      <c r="H853" s="82"/>
    </row>
    <row r="854" spans="2:8" ht="13" hidden="1" outlineLevel="1" x14ac:dyDescent="0.25">
      <c r="B854" s="74"/>
      <c r="C854" s="148"/>
      <c r="D854" s="76" t="str">
        <f>D814</f>
        <v>kg</v>
      </c>
      <c r="E854" s="77"/>
      <c r="F854" s="82"/>
      <c r="G854" s="82"/>
      <c r="H854" s="82"/>
    </row>
    <row r="855" spans="2:8" ht="13" hidden="1" outlineLevel="1" x14ac:dyDescent="0.25">
      <c r="B855" s="74"/>
      <c r="C855" s="148"/>
      <c r="D855" s="76" t="str">
        <f>D814</f>
        <v>kg</v>
      </c>
      <c r="E855" s="77"/>
      <c r="F855" s="82"/>
      <c r="G855" s="82"/>
      <c r="H855" s="82"/>
    </row>
    <row r="856" spans="2:8" ht="13" hidden="1" outlineLevel="1" x14ac:dyDescent="0.25">
      <c r="B856" s="79"/>
      <c r="C856" s="147"/>
      <c r="D856" s="81"/>
      <c r="E856" s="77"/>
      <c r="F856" s="82"/>
      <c r="G856" s="82"/>
      <c r="H856" s="82"/>
    </row>
    <row r="857" spans="2:8" ht="13" hidden="1" outlineLevel="1" x14ac:dyDescent="0.25">
      <c r="B857" s="86" t="s">
        <v>9</v>
      </c>
      <c r="C857" s="149">
        <f>SUM(C838:C855)</f>
        <v>0</v>
      </c>
      <c r="D857" s="91" t="str">
        <f>D814</f>
        <v>kg</v>
      </c>
      <c r="E857" s="98"/>
      <c r="F857" s="82"/>
      <c r="G857" s="82"/>
      <c r="H857" s="82"/>
    </row>
    <row r="858" spans="2:8" ht="13" hidden="1" outlineLevel="1" x14ac:dyDescent="0.25">
      <c r="B858" s="92"/>
      <c r="C858" s="93"/>
      <c r="D858" s="94"/>
      <c r="E858" s="98"/>
      <c r="F858" s="82"/>
      <c r="G858" s="82"/>
      <c r="H858" s="82"/>
    </row>
    <row r="859" spans="2:8" ht="20.5" hidden="1" outlineLevel="1" thickBot="1" x14ac:dyDescent="0.3">
      <c r="B859" s="426" t="s">
        <v>10</v>
      </c>
      <c r="C859" s="427"/>
      <c r="D859" s="428"/>
      <c r="E859" s="98"/>
      <c r="F859" s="82"/>
      <c r="G859" s="82"/>
      <c r="H859" s="82"/>
    </row>
    <row r="860" spans="2:8" ht="13" hidden="1" outlineLevel="1" x14ac:dyDescent="0.25">
      <c r="B860" s="95" t="s">
        <v>23</v>
      </c>
      <c r="C860" s="96"/>
      <c r="D860" s="151">
        <f>SUM(C824:C825)</f>
        <v>0</v>
      </c>
      <c r="E860" s="98"/>
      <c r="F860" s="82"/>
      <c r="G860" s="82"/>
      <c r="H860" s="82"/>
    </row>
    <row r="861" spans="2:8" ht="13" hidden="1" outlineLevel="1" x14ac:dyDescent="0.25">
      <c r="B861" s="99" t="s">
        <v>24</v>
      </c>
      <c r="C861" s="100"/>
      <c r="D861" s="152">
        <f>SUM(C827:C837)</f>
        <v>0</v>
      </c>
      <c r="E861" s="77"/>
      <c r="F861" s="110" t="s">
        <v>86</v>
      </c>
      <c r="G861" s="109" t="s">
        <v>85</v>
      </c>
      <c r="H861" s="110"/>
    </row>
    <row r="862" spans="2:8" ht="13.5" hidden="1" outlineLevel="1" thickBot="1" x14ac:dyDescent="0.3">
      <c r="B862" s="99" t="s">
        <v>25</v>
      </c>
      <c r="C862" s="100"/>
      <c r="D862" s="152">
        <f>SUM(C840:C848)</f>
        <v>0</v>
      </c>
      <c r="E862" s="77"/>
      <c r="F862" s="154"/>
      <c r="G862" s="413"/>
      <c r="H862" s="414"/>
    </row>
    <row r="863" spans="2:8" ht="13" hidden="1" outlineLevel="1" x14ac:dyDescent="0.25">
      <c r="B863" s="102" t="s">
        <v>26</v>
      </c>
      <c r="C863" s="103"/>
      <c r="D863" s="153">
        <f>SUM(C849:C856)</f>
        <v>0</v>
      </c>
      <c r="E863" s="90"/>
      <c r="F863" s="64" t="s">
        <v>45</v>
      </c>
      <c r="G863" s="64" t="s">
        <v>45</v>
      </c>
      <c r="H863" s="155"/>
    </row>
    <row r="864" spans="2:8" ht="18.5" hidden="1" outlineLevel="1" thickTop="1" x14ac:dyDescent="0.25">
      <c r="B864" s="105" t="s">
        <v>11</v>
      </c>
      <c r="C864" s="106"/>
      <c r="D864" s="107" t="e">
        <f>C838/C820</f>
        <v>#DIV/0!</v>
      </c>
      <c r="E864" s="90"/>
      <c r="F864" s="110"/>
      <c r="G864" s="117" t="s">
        <v>46</v>
      </c>
      <c r="H864" s="110"/>
    </row>
    <row r="865" spans="2:8" ht="18" hidden="1" customHeight="1" outlineLevel="1" thickBot="1" x14ac:dyDescent="0.3">
      <c r="B865" s="111" t="s">
        <v>12</v>
      </c>
      <c r="C865" s="112"/>
      <c r="D865" s="113" t="e">
        <f>(D860+D861+D862)/C820</f>
        <v>#DIV/0!</v>
      </c>
      <c r="E865" s="90"/>
      <c r="F865" s="429"/>
      <c r="G865" s="430"/>
      <c r="H865" s="431"/>
    </row>
    <row r="866" spans="2:8" ht="18" hidden="1" outlineLevel="1" x14ac:dyDescent="0.25">
      <c r="B866" s="111" t="s">
        <v>13</v>
      </c>
      <c r="C866" s="112"/>
      <c r="D866" s="113" t="e">
        <f>D862/C820</f>
        <v>#DIV/0!</v>
      </c>
      <c r="E866" s="77"/>
      <c r="F866" s="64" t="s">
        <v>45</v>
      </c>
      <c r="G866" s="64"/>
      <c r="H866" s="82"/>
    </row>
    <row r="867" spans="2:8" ht="18" hidden="1" outlineLevel="1" x14ac:dyDescent="0.25">
      <c r="B867" s="114" t="s">
        <v>14</v>
      </c>
      <c r="C867" s="115"/>
      <c r="D867" s="116" t="e">
        <f>D863/C820</f>
        <v>#DIV/0!</v>
      </c>
      <c r="E867" s="77"/>
      <c r="F867" s="82"/>
      <c r="G867" s="82"/>
      <c r="H867" s="82"/>
    </row>
    <row r="868" spans="2:8" ht="18.5" hidden="1" outlineLevel="1" thickBot="1" x14ac:dyDescent="0.3">
      <c r="B868" s="114" t="s">
        <v>15</v>
      </c>
      <c r="C868" s="119"/>
      <c r="D868" s="116" t="e">
        <f>SUM(D860:D863)/C820</f>
        <v>#DIV/0!</v>
      </c>
      <c r="E868" s="77"/>
      <c r="F868" s="415" t="s">
        <v>61</v>
      </c>
      <c r="G868" s="416"/>
      <c r="H868" s="416"/>
    </row>
    <row r="869" spans="2:8" ht="18.5" hidden="1" outlineLevel="1" thickTop="1" x14ac:dyDescent="0.25">
      <c r="B869" s="120" t="s">
        <v>16</v>
      </c>
      <c r="C869" s="121"/>
      <c r="D869" s="122" t="e">
        <f>((C824*D802)+D861+C825*MAX(1,F822))/C820</f>
        <v>#DIV/0!</v>
      </c>
      <c r="E869" s="77"/>
      <c r="F869" s="416"/>
      <c r="G869" s="416"/>
      <c r="H869" s="416"/>
    </row>
    <row r="870" spans="2:8" ht="18" hidden="1" outlineLevel="1" x14ac:dyDescent="0.25">
      <c r="B870" s="123" t="s">
        <v>17</v>
      </c>
      <c r="C870" s="124"/>
      <c r="D870" s="125" t="e">
        <f>(C824*D803+D861+D862+C825*(MAX(1,F822)+G822))/C820</f>
        <v>#DIV/0!</v>
      </c>
      <c r="E870" s="77"/>
      <c r="F870" s="416"/>
      <c r="G870" s="416"/>
      <c r="H870" s="416"/>
    </row>
    <row r="871" spans="2:8" ht="18" hidden="1" outlineLevel="1" x14ac:dyDescent="0.25">
      <c r="B871" s="123" t="s">
        <v>18</v>
      </c>
      <c r="C871" s="124"/>
      <c r="D871" s="125" t="e">
        <f>((C824*D804)+D862+C825*G822)/C820</f>
        <v>#DIV/0!</v>
      </c>
      <c r="F871" s="416"/>
      <c r="G871" s="416"/>
      <c r="H871" s="416"/>
    </row>
    <row r="872" spans="2:8" ht="18" hidden="1" outlineLevel="1" x14ac:dyDescent="0.25">
      <c r="B872" s="126" t="s">
        <v>19</v>
      </c>
      <c r="C872" s="127"/>
      <c r="D872" s="128" t="e">
        <f>(C824*D805+D863+C825*H822)/C820</f>
        <v>#DIV/0!</v>
      </c>
      <c r="F872" s="416"/>
      <c r="G872" s="416"/>
      <c r="H872" s="416"/>
    </row>
    <row r="873" spans="2:8" ht="18.5" hidden="1" outlineLevel="1" thickBot="1" x14ac:dyDescent="0.3">
      <c r="B873" s="129" t="s">
        <v>20</v>
      </c>
      <c r="C873" s="130"/>
      <c r="D873" s="131" t="e">
        <f>((C824*D806)+SUM(D861:D863)+C825*(MAX(1,F822)+G822+H822))/C820</f>
        <v>#DIV/0!</v>
      </c>
      <c r="F873" s="416"/>
      <c r="G873" s="416"/>
      <c r="H873" s="416"/>
    </row>
    <row r="874" spans="2:8" ht="13" hidden="1" outlineLevel="1" thickTop="1" x14ac:dyDescent="0.25">
      <c r="B874" s="156" t="s">
        <v>76</v>
      </c>
      <c r="C874" s="424"/>
      <c r="D874" s="425"/>
    </row>
    <row r="875" spans="2:8" hidden="1" outlineLevel="1" x14ac:dyDescent="0.25">
      <c r="B875" s="157" t="s">
        <v>58</v>
      </c>
      <c r="C875" s="422"/>
      <c r="D875" s="423"/>
    </row>
    <row r="876" spans="2:8" ht="21" hidden="1" outlineLevel="1" thickTop="1" thickBot="1" x14ac:dyDescent="0.3">
      <c r="B876" s="158" t="s">
        <v>59</v>
      </c>
      <c r="C876" s="420"/>
      <c r="D876" s="421"/>
      <c r="E876" s="31"/>
      <c r="F876" s="32" t="s">
        <v>27</v>
      </c>
      <c r="G876" s="33"/>
      <c r="H876" s="33"/>
    </row>
    <row r="877" spans="2:8" ht="14.5" hidden="1" outlineLevel="1" thickBot="1" x14ac:dyDescent="0.3">
      <c r="E877" s="40"/>
      <c r="F877" s="41" t="s">
        <v>28</v>
      </c>
      <c r="G877" s="41" t="s">
        <v>21</v>
      </c>
      <c r="H877" s="41" t="s">
        <v>8</v>
      </c>
    </row>
    <row r="878" spans="2:8" hidden="1" outlineLevel="1" x14ac:dyDescent="0.25">
      <c r="C878" s="118" t="s">
        <v>44</v>
      </c>
      <c r="D878" s="118" t="s">
        <v>42</v>
      </c>
      <c r="E878" s="46"/>
      <c r="F878" s="47"/>
      <c r="G878" s="47"/>
      <c r="H878" s="47"/>
    </row>
    <row r="879" spans="2:8" ht="20.5" hidden="1" outlineLevel="1" thickTop="1" x14ac:dyDescent="0.25">
      <c r="B879" s="140" t="s">
        <v>73</v>
      </c>
      <c r="C879" s="29"/>
      <c r="D879" s="141"/>
      <c r="E879" s="46"/>
      <c r="F879" s="47"/>
      <c r="G879" s="47"/>
      <c r="H879" s="47"/>
    </row>
    <row r="880" spans="2:8" ht="14" hidden="1" outlineLevel="1" x14ac:dyDescent="0.25">
      <c r="B880" s="37"/>
      <c r="C880" s="38" t="s">
        <v>0</v>
      </c>
      <c r="D880" s="39" t="s">
        <v>1</v>
      </c>
      <c r="E880" s="46"/>
      <c r="F880" s="47"/>
      <c r="G880" s="47"/>
      <c r="H880" s="47"/>
    </row>
    <row r="881" spans="2:8" ht="14" hidden="1" outlineLevel="1" x14ac:dyDescent="0.25">
      <c r="B881" s="43" t="s">
        <v>65</v>
      </c>
      <c r="C881" s="142"/>
      <c r="D881" s="45" t="s">
        <v>2</v>
      </c>
      <c r="E881" s="57"/>
      <c r="F881" s="58"/>
      <c r="G881" s="58"/>
      <c r="H881" s="58"/>
    </row>
    <row r="882" spans="2:8" ht="13" hidden="1" outlineLevel="1" x14ac:dyDescent="0.25">
      <c r="B882" s="43" t="s">
        <v>64</v>
      </c>
      <c r="C882" s="143"/>
      <c r="D882" s="45" t="s">
        <v>3</v>
      </c>
      <c r="E882" s="46"/>
      <c r="F882" s="47"/>
      <c r="G882" s="47"/>
      <c r="H882" s="47"/>
    </row>
    <row r="883" spans="2:8" ht="13" hidden="1" outlineLevel="1" x14ac:dyDescent="0.25">
      <c r="B883" s="51" t="s">
        <v>63</v>
      </c>
      <c r="C883" s="144">
        <f>C881*C882</f>
        <v>0</v>
      </c>
      <c r="D883" s="45" t="str">
        <f>D881</f>
        <v>kg</v>
      </c>
      <c r="E883" s="59"/>
      <c r="F883" s="47"/>
      <c r="G883" s="47"/>
      <c r="H883" s="47"/>
    </row>
    <row r="884" spans="2:8" ht="14" hidden="1" outlineLevel="1" x14ac:dyDescent="0.25">
      <c r="B884" s="54" t="s">
        <v>37</v>
      </c>
      <c r="C884" s="145">
        <v>1</v>
      </c>
      <c r="D884" s="56"/>
      <c r="E884" s="46"/>
      <c r="F884" s="47"/>
      <c r="G884" s="47"/>
      <c r="H884" s="47"/>
    </row>
    <row r="885" spans="2:8" ht="13" hidden="1" outlineLevel="1" x14ac:dyDescent="0.25">
      <c r="B885" s="43" t="s">
        <v>66</v>
      </c>
      <c r="C885" s="142"/>
      <c r="D885" s="45" t="str">
        <f>D881</f>
        <v>kg</v>
      </c>
      <c r="F885" s="64"/>
      <c r="G885" s="64"/>
      <c r="H885" s="64"/>
    </row>
    <row r="886" spans="2:8" ht="14.5" hidden="1" outlineLevel="1" thickBot="1" x14ac:dyDescent="0.3">
      <c r="B886" s="43" t="s">
        <v>67</v>
      </c>
      <c r="C886" s="143"/>
      <c r="D886" s="45" t="s">
        <v>3</v>
      </c>
      <c r="E886" s="68"/>
      <c r="F886" s="69"/>
      <c r="G886" s="69"/>
      <c r="H886" s="69"/>
    </row>
    <row r="887" spans="2:8" ht="13" hidden="1" outlineLevel="1" x14ac:dyDescent="0.25">
      <c r="B887" s="51" t="s">
        <v>68</v>
      </c>
      <c r="C887" s="144">
        <f>C885*C886</f>
        <v>0</v>
      </c>
      <c r="D887" s="45" t="str">
        <f>D881</f>
        <v>kg</v>
      </c>
      <c r="E887" s="73"/>
      <c r="F887" s="69"/>
      <c r="G887" s="69"/>
      <c r="H887" s="69"/>
    </row>
    <row r="888" spans="2:8" ht="13.5" hidden="1" outlineLevel="1" thickBot="1" x14ac:dyDescent="0.3">
      <c r="B888" s="61"/>
      <c r="C888" s="62"/>
      <c r="D888" s="63"/>
      <c r="E888" s="98"/>
      <c r="F888" s="69"/>
      <c r="G888" s="69"/>
      <c r="H888" s="69"/>
    </row>
    <row r="889" spans="2:8" ht="14.5" hidden="1" outlineLevel="1" thickBot="1" x14ac:dyDescent="0.3">
      <c r="B889" s="65" t="s">
        <v>5</v>
      </c>
      <c r="C889" s="66" t="s">
        <v>6</v>
      </c>
      <c r="D889" s="67" t="s">
        <v>1</v>
      </c>
      <c r="E889" s="77"/>
      <c r="F889" s="78"/>
      <c r="G889" s="78"/>
      <c r="H889" s="78"/>
    </row>
    <row r="890" spans="2:8" ht="13" hidden="1" outlineLevel="1" x14ac:dyDescent="0.25">
      <c r="B890" s="70" t="s">
        <v>43</v>
      </c>
      <c r="C890" s="71"/>
      <c r="D890" s="72"/>
      <c r="E890" s="77"/>
      <c r="F890" s="82"/>
      <c r="G890" s="82"/>
      <c r="H890" s="82"/>
    </row>
    <row r="891" spans="2:8" ht="13" hidden="1" outlineLevel="1" x14ac:dyDescent="0.25">
      <c r="B891" s="74"/>
      <c r="C891" s="146">
        <f>C883</f>
        <v>0</v>
      </c>
      <c r="D891" s="76" t="str">
        <f>D881</f>
        <v>kg</v>
      </c>
      <c r="E891" s="77"/>
      <c r="F891" s="82"/>
      <c r="G891" s="82"/>
      <c r="H891" s="82"/>
    </row>
    <row r="892" spans="2:8" ht="13" hidden="1" outlineLevel="1" x14ac:dyDescent="0.25">
      <c r="B892" s="74"/>
      <c r="C892" s="146"/>
      <c r="D892" s="76" t="str">
        <f>D881</f>
        <v>kg</v>
      </c>
      <c r="E892" s="77"/>
      <c r="F892" s="82"/>
      <c r="G892" s="82"/>
      <c r="H892" s="82"/>
    </row>
    <row r="893" spans="2:8" ht="13" hidden="1" outlineLevel="1" x14ac:dyDescent="0.25">
      <c r="B893" s="79" t="s">
        <v>69</v>
      </c>
      <c r="C893" s="147"/>
      <c r="D893" s="81"/>
      <c r="E893" s="77"/>
      <c r="F893" s="82"/>
      <c r="G893" s="82"/>
      <c r="H893" s="82"/>
    </row>
    <row r="894" spans="2:8" ht="13" hidden="1" outlineLevel="1" x14ac:dyDescent="0.25">
      <c r="B894" s="74"/>
      <c r="C894" s="148"/>
      <c r="D894" s="76" t="str">
        <f>D881</f>
        <v>kg</v>
      </c>
      <c r="E894" s="77"/>
      <c r="F894" s="82"/>
      <c r="G894" s="82"/>
      <c r="H894" s="82"/>
    </row>
    <row r="895" spans="2:8" ht="13" hidden="1" outlineLevel="1" x14ac:dyDescent="0.25">
      <c r="B895" s="74"/>
      <c r="C895" s="148"/>
      <c r="D895" s="76" t="str">
        <f>D881</f>
        <v>kg</v>
      </c>
      <c r="E895" s="77"/>
      <c r="F895" s="82"/>
      <c r="G895" s="82"/>
      <c r="H895" s="82"/>
    </row>
    <row r="896" spans="2:8" ht="13" hidden="1" outlineLevel="1" x14ac:dyDescent="0.25">
      <c r="B896" s="74"/>
      <c r="C896" s="148"/>
      <c r="D896" s="76" t="str">
        <f>D881</f>
        <v>kg</v>
      </c>
      <c r="E896" s="77"/>
      <c r="F896" s="82"/>
      <c r="G896" s="82"/>
      <c r="H896" s="82"/>
    </row>
    <row r="897" spans="2:8" ht="13" hidden="1" outlineLevel="1" x14ac:dyDescent="0.25">
      <c r="B897" s="74"/>
      <c r="C897" s="148"/>
      <c r="D897" s="76" t="str">
        <f>D881</f>
        <v>kg</v>
      </c>
      <c r="E897" s="77"/>
      <c r="F897" s="82"/>
      <c r="G897" s="82"/>
      <c r="H897" s="82"/>
    </row>
    <row r="898" spans="2:8" ht="13" hidden="1" outlineLevel="1" x14ac:dyDescent="0.25">
      <c r="B898" s="74"/>
      <c r="C898" s="148"/>
      <c r="D898" s="76" t="str">
        <f>D881</f>
        <v>kg</v>
      </c>
      <c r="E898" s="77"/>
      <c r="F898" s="82"/>
      <c r="G898" s="82"/>
      <c r="H898" s="82"/>
    </row>
    <row r="899" spans="2:8" ht="13" hidden="1" outlineLevel="1" x14ac:dyDescent="0.25">
      <c r="B899" s="74"/>
      <c r="C899" s="148"/>
      <c r="D899" s="76" t="str">
        <f>D881</f>
        <v>kg</v>
      </c>
      <c r="E899" s="77"/>
      <c r="F899" s="82"/>
      <c r="G899" s="82"/>
      <c r="H899" s="82"/>
    </row>
    <row r="900" spans="2:8" ht="13" hidden="1" outlineLevel="1" x14ac:dyDescent="0.25">
      <c r="B900" s="74"/>
      <c r="C900" s="148"/>
      <c r="D900" s="76" t="str">
        <f>D881</f>
        <v>kg</v>
      </c>
      <c r="E900" s="77"/>
      <c r="F900" s="82"/>
      <c r="G900" s="82"/>
      <c r="H900" s="82"/>
    </row>
    <row r="901" spans="2:8" ht="13" hidden="1" outlineLevel="1" x14ac:dyDescent="0.25">
      <c r="B901" s="74"/>
      <c r="C901" s="148"/>
      <c r="D901" s="76" t="str">
        <f>D881</f>
        <v>kg</v>
      </c>
      <c r="E901" s="77"/>
      <c r="F901" s="82"/>
      <c r="G901" s="82"/>
      <c r="H901" s="82"/>
    </row>
    <row r="902" spans="2:8" ht="13" hidden="1" outlineLevel="1" x14ac:dyDescent="0.25">
      <c r="B902" s="74"/>
      <c r="C902" s="148"/>
      <c r="D902" s="76" t="str">
        <f>D881</f>
        <v>kg</v>
      </c>
      <c r="E902" s="77"/>
      <c r="F902" s="82"/>
      <c r="G902" s="82"/>
      <c r="H902" s="82"/>
    </row>
    <row r="903" spans="2:8" ht="13" hidden="1" outlineLevel="1" x14ac:dyDescent="0.25">
      <c r="B903" s="74"/>
      <c r="C903" s="148"/>
      <c r="D903" s="76" t="str">
        <f>D881</f>
        <v>kg</v>
      </c>
      <c r="E903" s="77"/>
      <c r="F903" s="82"/>
      <c r="G903" s="82"/>
      <c r="H903" s="82"/>
    </row>
    <row r="904" spans="2:8" ht="13" hidden="1" outlineLevel="1" x14ac:dyDescent="0.25">
      <c r="B904" s="79"/>
      <c r="C904" s="147"/>
      <c r="D904" s="81"/>
      <c r="E904" s="77"/>
      <c r="F904" s="82"/>
      <c r="G904" s="82"/>
      <c r="H904" s="82"/>
    </row>
    <row r="905" spans="2:8" ht="13" hidden="1" outlineLevel="1" x14ac:dyDescent="0.25">
      <c r="B905" s="86" t="s">
        <v>7</v>
      </c>
      <c r="C905" s="149">
        <f>SUM(C890:C903)</f>
        <v>0</v>
      </c>
      <c r="D905" s="88" t="str">
        <f>D881</f>
        <v>kg</v>
      </c>
      <c r="E905" s="77"/>
      <c r="F905" s="82"/>
      <c r="G905" s="82"/>
      <c r="H905" s="82"/>
    </row>
    <row r="906" spans="2:8" ht="13" hidden="1" outlineLevel="1" x14ac:dyDescent="0.25">
      <c r="B906" s="79" t="s">
        <v>71</v>
      </c>
      <c r="C906" s="150"/>
      <c r="D906" s="81"/>
      <c r="E906" s="77"/>
      <c r="F906" s="82"/>
      <c r="G906" s="82"/>
      <c r="H906" s="82"/>
    </row>
    <row r="907" spans="2:8" ht="13" hidden="1" outlineLevel="1" x14ac:dyDescent="0.25">
      <c r="B907" s="74"/>
      <c r="C907" s="148"/>
      <c r="D907" s="76" t="str">
        <f>D881</f>
        <v>kg</v>
      </c>
      <c r="E907" s="77"/>
      <c r="F907" s="82"/>
      <c r="G907" s="82"/>
      <c r="H907" s="82"/>
    </row>
    <row r="908" spans="2:8" ht="13" hidden="1" outlineLevel="1" x14ac:dyDescent="0.25">
      <c r="B908" s="74"/>
      <c r="C908" s="148"/>
      <c r="D908" s="76" t="str">
        <f>D881</f>
        <v>kg</v>
      </c>
      <c r="E908" s="77"/>
      <c r="F908" s="82"/>
      <c r="G908" s="82"/>
      <c r="H908" s="82"/>
    </row>
    <row r="909" spans="2:8" ht="13" hidden="1" outlineLevel="1" x14ac:dyDescent="0.25">
      <c r="B909" s="74"/>
      <c r="C909" s="148"/>
      <c r="D909" s="76" t="str">
        <f>D881</f>
        <v>kg</v>
      </c>
      <c r="E909" s="77"/>
      <c r="F909" s="82"/>
      <c r="G909" s="82"/>
      <c r="H909" s="82"/>
    </row>
    <row r="910" spans="2:8" ht="13" hidden="1" outlineLevel="1" x14ac:dyDescent="0.25">
      <c r="B910" s="74"/>
      <c r="C910" s="148"/>
      <c r="D910" s="76" t="str">
        <f>D881</f>
        <v>kg</v>
      </c>
      <c r="E910" s="77"/>
      <c r="F910" s="82"/>
      <c r="G910" s="82"/>
      <c r="H910" s="82"/>
    </row>
    <row r="911" spans="2:8" ht="13" hidden="1" outlineLevel="1" x14ac:dyDescent="0.25">
      <c r="B911" s="74"/>
      <c r="C911" s="148"/>
      <c r="D911" s="76" t="str">
        <f>D881</f>
        <v>kg</v>
      </c>
      <c r="E911" s="77"/>
      <c r="F911" s="82"/>
      <c r="G911" s="82"/>
      <c r="H911" s="82"/>
    </row>
    <row r="912" spans="2:8" ht="13" hidden="1" outlineLevel="1" x14ac:dyDescent="0.25">
      <c r="B912" s="74"/>
      <c r="C912" s="148"/>
      <c r="D912" s="76" t="str">
        <f>D881</f>
        <v>kg</v>
      </c>
      <c r="E912" s="90"/>
      <c r="F912" s="82"/>
      <c r="G912" s="82"/>
      <c r="H912" s="82"/>
    </row>
    <row r="913" spans="2:8" ht="13" hidden="1" outlineLevel="1" x14ac:dyDescent="0.25">
      <c r="B913" s="74"/>
      <c r="C913" s="148"/>
      <c r="D913" s="76" t="str">
        <f>D881</f>
        <v>kg</v>
      </c>
      <c r="E913" s="77"/>
      <c r="F913" s="82"/>
      <c r="G913" s="82"/>
      <c r="H913" s="82"/>
    </row>
    <row r="914" spans="2:8" ht="13" hidden="1" outlineLevel="1" x14ac:dyDescent="0.25">
      <c r="B914" s="74"/>
      <c r="C914" s="148"/>
      <c r="D914" s="76" t="str">
        <f>D881</f>
        <v>kg</v>
      </c>
      <c r="E914" s="77"/>
      <c r="F914" s="82"/>
      <c r="G914" s="82"/>
      <c r="H914" s="82"/>
    </row>
    <row r="915" spans="2:8" ht="13" hidden="1" outlineLevel="1" x14ac:dyDescent="0.25">
      <c r="B915" s="79" t="s">
        <v>70</v>
      </c>
      <c r="C915" s="147"/>
      <c r="D915" s="81"/>
      <c r="E915" s="77"/>
      <c r="F915" s="82"/>
      <c r="G915" s="82"/>
      <c r="H915" s="82"/>
    </row>
    <row r="916" spans="2:8" ht="13" hidden="1" outlineLevel="1" x14ac:dyDescent="0.25">
      <c r="B916" s="74"/>
      <c r="C916" s="148"/>
      <c r="D916" s="76" t="str">
        <f>D881</f>
        <v>kg</v>
      </c>
      <c r="E916" s="77"/>
      <c r="F916" s="82"/>
      <c r="G916" s="82"/>
      <c r="H916" s="82"/>
    </row>
    <row r="917" spans="2:8" ht="13" hidden="1" outlineLevel="1" x14ac:dyDescent="0.25">
      <c r="B917" s="74"/>
      <c r="C917" s="148"/>
      <c r="D917" s="76" t="str">
        <f>D881</f>
        <v>kg</v>
      </c>
      <c r="E917" s="77"/>
      <c r="F917" s="82"/>
      <c r="G917" s="82"/>
      <c r="H917" s="82"/>
    </row>
    <row r="918" spans="2:8" ht="13" hidden="1" outlineLevel="1" x14ac:dyDescent="0.25">
      <c r="B918" s="74"/>
      <c r="C918" s="148"/>
      <c r="D918" s="76" t="str">
        <f>D881</f>
        <v>kg</v>
      </c>
      <c r="E918" s="77"/>
      <c r="F918" s="82"/>
      <c r="G918" s="82"/>
      <c r="H918" s="82"/>
    </row>
    <row r="919" spans="2:8" ht="13" hidden="1" outlineLevel="1" x14ac:dyDescent="0.25">
      <c r="B919" s="74"/>
      <c r="C919" s="148"/>
      <c r="D919" s="76" t="str">
        <f>D881</f>
        <v>kg</v>
      </c>
      <c r="E919" s="77"/>
      <c r="F919" s="82"/>
      <c r="G919" s="82"/>
      <c r="H919" s="82"/>
    </row>
    <row r="920" spans="2:8" ht="13" hidden="1" outlineLevel="1" x14ac:dyDescent="0.25">
      <c r="B920" s="74"/>
      <c r="C920" s="148"/>
      <c r="D920" s="76" t="str">
        <f>D881</f>
        <v>kg</v>
      </c>
      <c r="E920" s="77"/>
      <c r="F920" s="82"/>
      <c r="G920" s="82"/>
      <c r="H920" s="82"/>
    </row>
    <row r="921" spans="2:8" ht="13" hidden="1" outlineLevel="1" x14ac:dyDescent="0.25">
      <c r="B921" s="74"/>
      <c r="C921" s="148"/>
      <c r="D921" s="76" t="str">
        <f>D881</f>
        <v>kg</v>
      </c>
      <c r="E921" s="77"/>
      <c r="F921" s="82"/>
      <c r="G921" s="82"/>
      <c r="H921" s="82"/>
    </row>
    <row r="922" spans="2:8" ht="13" hidden="1" outlineLevel="1" x14ac:dyDescent="0.25">
      <c r="B922" s="74"/>
      <c r="C922" s="148"/>
      <c r="D922" s="76" t="str">
        <f>D881</f>
        <v>kg</v>
      </c>
      <c r="E922" s="77"/>
      <c r="F922" s="82"/>
      <c r="G922" s="82"/>
      <c r="H922" s="82"/>
    </row>
    <row r="923" spans="2:8" ht="13" hidden="1" outlineLevel="1" x14ac:dyDescent="0.25">
      <c r="B923" s="79"/>
      <c r="C923" s="147"/>
      <c r="D923" s="81"/>
      <c r="E923" s="77"/>
      <c r="F923" s="82"/>
      <c r="G923" s="82"/>
      <c r="H923" s="82"/>
    </row>
    <row r="924" spans="2:8" ht="13" hidden="1" outlineLevel="1" x14ac:dyDescent="0.25">
      <c r="B924" s="86" t="s">
        <v>9</v>
      </c>
      <c r="C924" s="149">
        <f>SUM(C905:C922)</f>
        <v>0</v>
      </c>
      <c r="D924" s="91" t="str">
        <f>D881</f>
        <v>kg</v>
      </c>
      <c r="E924" s="98"/>
      <c r="F924" s="82"/>
      <c r="G924" s="82"/>
      <c r="H924" s="82"/>
    </row>
    <row r="925" spans="2:8" ht="13" hidden="1" outlineLevel="1" x14ac:dyDescent="0.25">
      <c r="B925" s="92"/>
      <c r="C925" s="93"/>
      <c r="D925" s="94"/>
      <c r="E925" s="98"/>
      <c r="F925" s="82"/>
      <c r="G925" s="82"/>
      <c r="H925" s="82"/>
    </row>
    <row r="926" spans="2:8" ht="20.5" hidden="1" outlineLevel="1" thickBot="1" x14ac:dyDescent="0.3">
      <c r="B926" s="426" t="s">
        <v>10</v>
      </c>
      <c r="C926" s="427"/>
      <c r="D926" s="428"/>
      <c r="E926" s="98"/>
      <c r="F926" s="82"/>
      <c r="G926" s="82"/>
      <c r="H926" s="82"/>
    </row>
    <row r="927" spans="2:8" ht="13" hidden="1" outlineLevel="1" x14ac:dyDescent="0.25">
      <c r="B927" s="95" t="s">
        <v>23</v>
      </c>
      <c r="C927" s="96"/>
      <c r="D927" s="151">
        <f>SUM(C891:C892)</f>
        <v>0</v>
      </c>
      <c r="E927" s="98"/>
      <c r="F927" s="82"/>
      <c r="G927" s="82"/>
      <c r="H927" s="82"/>
    </row>
    <row r="928" spans="2:8" ht="13" hidden="1" outlineLevel="1" x14ac:dyDescent="0.25">
      <c r="B928" s="99" t="s">
        <v>24</v>
      </c>
      <c r="C928" s="100"/>
      <c r="D928" s="152">
        <f>SUM(C894:C904)</f>
        <v>0</v>
      </c>
      <c r="E928" s="77"/>
      <c r="F928" s="110" t="s">
        <v>86</v>
      </c>
      <c r="G928" s="109" t="s">
        <v>85</v>
      </c>
      <c r="H928" s="110"/>
    </row>
    <row r="929" spans="2:8" ht="13.5" hidden="1" outlineLevel="1" thickBot="1" x14ac:dyDescent="0.3">
      <c r="B929" s="99" t="s">
        <v>25</v>
      </c>
      <c r="C929" s="100"/>
      <c r="D929" s="152">
        <f>SUM(C907:C915)</f>
        <v>0</v>
      </c>
      <c r="E929" s="77"/>
      <c r="F929" s="154"/>
      <c r="G929" s="413"/>
      <c r="H929" s="414"/>
    </row>
    <row r="930" spans="2:8" ht="13" hidden="1" outlineLevel="1" x14ac:dyDescent="0.25">
      <c r="B930" s="102" t="s">
        <v>26</v>
      </c>
      <c r="C930" s="103"/>
      <c r="D930" s="153">
        <f>SUM(C916:C923)</f>
        <v>0</v>
      </c>
      <c r="E930" s="90"/>
      <c r="F930" s="64" t="s">
        <v>45</v>
      </c>
      <c r="G930" s="64" t="s">
        <v>45</v>
      </c>
      <c r="H930" s="155"/>
    </row>
    <row r="931" spans="2:8" ht="18.5" hidden="1" outlineLevel="1" thickTop="1" x14ac:dyDescent="0.25">
      <c r="B931" s="105" t="s">
        <v>11</v>
      </c>
      <c r="C931" s="106"/>
      <c r="D931" s="107" t="e">
        <f>C905/C887</f>
        <v>#DIV/0!</v>
      </c>
      <c r="E931" s="90"/>
      <c r="F931" s="110"/>
      <c r="G931" s="117" t="s">
        <v>46</v>
      </c>
      <c r="H931" s="110"/>
    </row>
    <row r="932" spans="2:8" ht="18" hidden="1" customHeight="1" outlineLevel="1" thickBot="1" x14ac:dyDescent="0.3">
      <c r="B932" s="111" t="s">
        <v>12</v>
      </c>
      <c r="C932" s="112"/>
      <c r="D932" s="113" t="e">
        <f>(D927+D928+D929)/C887</f>
        <v>#DIV/0!</v>
      </c>
      <c r="E932" s="90"/>
      <c r="F932" s="429"/>
      <c r="G932" s="430"/>
      <c r="H932" s="431"/>
    </row>
    <row r="933" spans="2:8" ht="18" hidden="1" outlineLevel="1" x14ac:dyDescent="0.25">
      <c r="B933" s="111" t="s">
        <v>13</v>
      </c>
      <c r="C933" s="112"/>
      <c r="D933" s="113" t="e">
        <f>D929/C887</f>
        <v>#DIV/0!</v>
      </c>
      <c r="E933" s="77"/>
      <c r="F933" s="64" t="s">
        <v>45</v>
      </c>
      <c r="G933" s="64"/>
      <c r="H933" s="82"/>
    </row>
    <row r="934" spans="2:8" ht="18" hidden="1" outlineLevel="1" x14ac:dyDescent="0.25">
      <c r="B934" s="114" t="s">
        <v>14</v>
      </c>
      <c r="C934" s="115"/>
      <c r="D934" s="116" t="e">
        <f>D930/C887</f>
        <v>#DIV/0!</v>
      </c>
      <c r="E934" s="77"/>
      <c r="F934" s="82"/>
      <c r="G934" s="82"/>
      <c r="H934" s="82"/>
    </row>
    <row r="935" spans="2:8" ht="18.5" hidden="1" outlineLevel="1" thickBot="1" x14ac:dyDescent="0.3">
      <c r="B935" s="114" t="s">
        <v>15</v>
      </c>
      <c r="C935" s="119"/>
      <c r="D935" s="116" t="e">
        <f>SUM(D927:D930)/C887</f>
        <v>#DIV/0!</v>
      </c>
      <c r="E935" s="77"/>
      <c r="F935" s="415" t="s">
        <v>61</v>
      </c>
      <c r="G935" s="416"/>
      <c r="H935" s="416"/>
    </row>
    <row r="936" spans="2:8" ht="18.5" hidden="1" outlineLevel="1" thickTop="1" x14ac:dyDescent="0.25">
      <c r="B936" s="120" t="s">
        <v>16</v>
      </c>
      <c r="C936" s="121"/>
      <c r="D936" s="122" t="e">
        <f>((C891*D869)+D928+C892*MAX(1,F889))/C887</f>
        <v>#DIV/0!</v>
      </c>
      <c r="E936" s="77"/>
      <c r="F936" s="416"/>
      <c r="G936" s="416"/>
      <c r="H936" s="416"/>
    </row>
    <row r="937" spans="2:8" ht="18" hidden="1" outlineLevel="1" x14ac:dyDescent="0.25">
      <c r="B937" s="123" t="s">
        <v>17</v>
      </c>
      <c r="C937" s="124"/>
      <c r="D937" s="125" t="e">
        <f>(C891*D870+D928+D929+C892*(MAX(1,F889)+G889))/C887</f>
        <v>#DIV/0!</v>
      </c>
      <c r="E937" s="77"/>
      <c r="F937" s="416"/>
      <c r="G937" s="416"/>
      <c r="H937" s="416"/>
    </row>
    <row r="938" spans="2:8" ht="18" hidden="1" outlineLevel="1" x14ac:dyDescent="0.25">
      <c r="B938" s="123" t="s">
        <v>18</v>
      </c>
      <c r="C938" s="124"/>
      <c r="D938" s="125" t="e">
        <f>((C891*D871)+D929+C892*G889)/C887</f>
        <v>#DIV/0!</v>
      </c>
      <c r="F938" s="416"/>
      <c r="G938" s="416"/>
      <c r="H938" s="416"/>
    </row>
    <row r="939" spans="2:8" ht="18" hidden="1" outlineLevel="1" x14ac:dyDescent="0.25">
      <c r="B939" s="126" t="s">
        <v>19</v>
      </c>
      <c r="C939" s="127"/>
      <c r="D939" s="128" t="e">
        <f>(C891*D872+D930+C892*H889)/C887</f>
        <v>#DIV/0!</v>
      </c>
      <c r="F939" s="416"/>
      <c r="G939" s="416"/>
      <c r="H939" s="416"/>
    </row>
    <row r="940" spans="2:8" ht="18.5" hidden="1" outlineLevel="1" thickBot="1" x14ac:dyDescent="0.3">
      <c r="B940" s="129" t="s">
        <v>20</v>
      </c>
      <c r="C940" s="130"/>
      <c r="D940" s="131" t="e">
        <f>((C891*D873)+SUM(D928:D930)+C892*(MAX(1,F889)+G889+H889))/C887</f>
        <v>#DIV/0!</v>
      </c>
      <c r="F940" s="416"/>
      <c r="G940" s="416"/>
      <c r="H940" s="416"/>
    </row>
    <row r="941" spans="2:8" ht="13" hidden="1" outlineLevel="1" thickTop="1" x14ac:dyDescent="0.25">
      <c r="B941" s="156" t="s">
        <v>76</v>
      </c>
      <c r="C941" s="424"/>
      <c r="D941" s="425"/>
    </row>
    <row r="942" spans="2:8" hidden="1" outlineLevel="1" x14ac:dyDescent="0.25">
      <c r="B942" s="157" t="s">
        <v>58</v>
      </c>
      <c r="C942" s="422"/>
      <c r="D942" s="423"/>
    </row>
    <row r="943" spans="2:8" ht="13" hidden="1" outlineLevel="1" thickBot="1" x14ac:dyDescent="0.3">
      <c r="B943" s="158" t="s">
        <v>59</v>
      </c>
      <c r="C943" s="420"/>
      <c r="D943" s="421"/>
    </row>
    <row r="944" spans="2:8" hidden="1" outlineLevel="1" x14ac:dyDescent="0.25"/>
    <row r="945" hidden="1" outlineLevel="1" x14ac:dyDescent="0.25"/>
    <row r="946" hidden="1" outlineLevel="1" x14ac:dyDescent="0.25"/>
    <row r="947" hidden="1" outlineLevel="1" x14ac:dyDescent="0.25"/>
    <row r="948" hidden="1" outlineLevel="1" x14ac:dyDescent="0.25"/>
    <row r="949" hidden="1" outlineLevel="1" x14ac:dyDescent="0.25"/>
    <row r="950" hidden="1" outlineLevel="1" x14ac:dyDescent="0.25"/>
    <row r="951" hidden="1" outlineLevel="1" x14ac:dyDescent="0.25"/>
    <row r="952" hidden="1" outlineLevel="1" x14ac:dyDescent="0.25"/>
    <row r="953" hidden="1" outlineLevel="1" x14ac:dyDescent="0.25"/>
    <row r="954" hidden="1" outlineLevel="1" x14ac:dyDescent="0.25"/>
    <row r="955" hidden="1" outlineLevel="1" x14ac:dyDescent="0.25"/>
    <row r="956" hidden="1" outlineLevel="1" x14ac:dyDescent="0.25"/>
    <row r="957" hidden="1" outlineLevel="1" x14ac:dyDescent="0.25"/>
    <row r="958" hidden="1" outlineLevel="1" x14ac:dyDescent="0.25"/>
    <row r="959" hidden="1" outlineLevel="1" x14ac:dyDescent="0.25"/>
    <row r="960" hidden="1" outlineLevel="1" x14ac:dyDescent="0.25"/>
    <row r="961" hidden="1" outlineLevel="1" x14ac:dyDescent="0.25"/>
    <row r="962" hidden="1" outlineLevel="1" x14ac:dyDescent="0.25"/>
    <row r="963" hidden="1" outlineLevel="1" x14ac:dyDescent="0.25"/>
    <row r="964" hidden="1" outlineLevel="1" x14ac:dyDescent="0.25"/>
    <row r="965" hidden="1" outlineLevel="1" x14ac:dyDescent="0.25"/>
    <row r="966" hidden="1" outlineLevel="1" x14ac:dyDescent="0.25"/>
    <row r="967" hidden="1" outlineLevel="1" x14ac:dyDescent="0.25"/>
    <row r="968" hidden="1" outlineLevel="1" x14ac:dyDescent="0.25"/>
    <row r="969" hidden="1" outlineLevel="1" x14ac:dyDescent="0.25"/>
    <row r="970" hidden="1" outlineLevel="1" x14ac:dyDescent="0.25"/>
    <row r="971" hidden="1" outlineLevel="1" x14ac:dyDescent="0.25"/>
    <row r="972" hidden="1" outlineLevel="1" x14ac:dyDescent="0.25"/>
    <row r="973" hidden="1" outlineLevel="1" x14ac:dyDescent="0.25"/>
    <row r="974" hidden="1" outlineLevel="1" x14ac:dyDescent="0.25"/>
    <row r="975" hidden="1" outlineLevel="1" x14ac:dyDescent="0.25"/>
    <row r="976" hidden="1" outlineLevel="1" x14ac:dyDescent="0.25"/>
    <row r="977" hidden="1" outlineLevel="1" x14ac:dyDescent="0.25"/>
    <row r="978" hidden="1" outlineLevel="1" x14ac:dyDescent="0.25"/>
    <row r="979" hidden="1" outlineLevel="1" x14ac:dyDescent="0.25"/>
    <row r="980" hidden="1" outlineLevel="1" x14ac:dyDescent="0.25"/>
    <row r="981" hidden="1" outlineLevel="1" x14ac:dyDescent="0.25"/>
    <row r="982" hidden="1" outlineLevel="1" x14ac:dyDescent="0.25"/>
    <row r="983" hidden="1" outlineLevel="1" x14ac:dyDescent="0.25"/>
    <row r="984" hidden="1" outlineLevel="1" x14ac:dyDescent="0.25"/>
    <row r="985" hidden="1" outlineLevel="1" x14ac:dyDescent="0.25"/>
    <row r="986" hidden="1" outlineLevel="1" x14ac:dyDescent="0.25"/>
    <row r="987" hidden="1" outlineLevel="1" x14ac:dyDescent="0.25"/>
    <row r="988" hidden="1" outlineLevel="1" x14ac:dyDescent="0.25"/>
    <row r="989" hidden="1" outlineLevel="1" x14ac:dyDescent="0.25"/>
    <row r="990" hidden="1" outlineLevel="1" x14ac:dyDescent="0.25"/>
    <row r="991" hidden="1" outlineLevel="1" x14ac:dyDescent="0.25"/>
    <row r="992" hidden="1" outlineLevel="1" x14ac:dyDescent="0.25"/>
    <row r="993" hidden="1" outlineLevel="1" x14ac:dyDescent="0.25"/>
    <row r="994" hidden="1" outlineLevel="1" x14ac:dyDescent="0.25"/>
    <row r="995" hidden="1" outlineLevel="1" x14ac:dyDescent="0.25"/>
    <row r="996" hidden="1" outlineLevel="1" x14ac:dyDescent="0.25"/>
    <row r="997" hidden="1" outlineLevel="1" x14ac:dyDescent="0.25"/>
    <row r="998" hidden="1" outlineLevel="1" x14ac:dyDescent="0.25"/>
    <row r="999" hidden="1" outlineLevel="1" x14ac:dyDescent="0.25"/>
    <row r="1000" hidden="1" outlineLevel="1" x14ac:dyDescent="0.25"/>
    <row r="1001" hidden="1" outlineLevel="1" x14ac:dyDescent="0.25"/>
    <row r="1002" hidden="1" outlineLevel="1" x14ac:dyDescent="0.25"/>
    <row r="1003" hidden="1" outlineLevel="1" x14ac:dyDescent="0.25"/>
    <row r="1004" hidden="1" outlineLevel="1" x14ac:dyDescent="0.25"/>
    <row r="1005" hidden="1" outlineLevel="1" x14ac:dyDescent="0.25"/>
    <row r="1006" hidden="1" outlineLevel="1" x14ac:dyDescent="0.25"/>
    <row r="1007" hidden="1" outlineLevel="1" x14ac:dyDescent="0.25"/>
    <row r="1008" hidden="1" outlineLevel="1" x14ac:dyDescent="0.25"/>
    <row r="1009" hidden="1" outlineLevel="1" x14ac:dyDescent="0.25"/>
    <row r="1010" hidden="1" outlineLevel="1" x14ac:dyDescent="0.25"/>
    <row r="1011" hidden="1" outlineLevel="1" x14ac:dyDescent="0.25"/>
    <row r="1012" hidden="1" outlineLevel="1" x14ac:dyDescent="0.25"/>
    <row r="1013" hidden="1" outlineLevel="1" x14ac:dyDescent="0.25"/>
    <row r="1014" hidden="1" outlineLevel="1" x14ac:dyDescent="0.25"/>
    <row r="1015" hidden="1" outlineLevel="1" x14ac:dyDescent="0.25"/>
    <row r="1016" hidden="1" outlineLevel="1" x14ac:dyDescent="0.25"/>
    <row r="1017" hidden="1" outlineLevel="1" x14ac:dyDescent="0.25"/>
    <row r="1018" hidden="1" outlineLevel="1" x14ac:dyDescent="0.25"/>
    <row r="1019" hidden="1" outlineLevel="1" x14ac:dyDescent="0.25"/>
    <row r="1020" hidden="1" outlineLevel="1" x14ac:dyDescent="0.25"/>
    <row r="1021" hidden="1" outlineLevel="1" x14ac:dyDescent="0.25"/>
    <row r="1022" hidden="1" outlineLevel="1" x14ac:dyDescent="0.25"/>
    <row r="1023" hidden="1" outlineLevel="1" x14ac:dyDescent="0.25"/>
    <row r="1024" hidden="1" outlineLevel="1" x14ac:dyDescent="0.25"/>
    <row r="1025" hidden="1" outlineLevel="1" x14ac:dyDescent="0.25"/>
    <row r="1026" hidden="1" outlineLevel="1" x14ac:dyDescent="0.25"/>
    <row r="1027" hidden="1" outlineLevel="1" x14ac:dyDescent="0.25"/>
    <row r="1028" hidden="1" outlineLevel="1" x14ac:dyDescent="0.25"/>
    <row r="1029" hidden="1" outlineLevel="1" x14ac:dyDescent="0.25"/>
    <row r="1030" hidden="1" outlineLevel="1" x14ac:dyDescent="0.25"/>
    <row r="1031" hidden="1" outlineLevel="1" x14ac:dyDescent="0.25"/>
    <row r="1032" hidden="1" outlineLevel="1" x14ac:dyDescent="0.25"/>
    <row r="1033" hidden="1" outlineLevel="1" x14ac:dyDescent="0.25"/>
    <row r="1034" hidden="1" outlineLevel="1" x14ac:dyDescent="0.25"/>
    <row r="1035" hidden="1" outlineLevel="1" x14ac:dyDescent="0.25"/>
    <row r="1036" hidden="1" outlineLevel="1" x14ac:dyDescent="0.25"/>
    <row r="1037" hidden="1" outlineLevel="1" x14ac:dyDescent="0.25"/>
    <row r="1038" hidden="1" outlineLevel="1" x14ac:dyDescent="0.25"/>
    <row r="1039" hidden="1" outlineLevel="1" x14ac:dyDescent="0.25"/>
    <row r="1040" hidden="1" outlineLevel="1" x14ac:dyDescent="0.25"/>
    <row r="1041" hidden="1" outlineLevel="1" x14ac:dyDescent="0.25"/>
    <row r="1042" hidden="1" outlineLevel="1" x14ac:dyDescent="0.25"/>
    <row r="1043" hidden="1" outlineLevel="1" x14ac:dyDescent="0.25"/>
    <row r="1044" hidden="1" outlineLevel="1" x14ac:dyDescent="0.25"/>
    <row r="1045" hidden="1" outlineLevel="1" x14ac:dyDescent="0.25"/>
    <row r="1046" hidden="1" outlineLevel="1" x14ac:dyDescent="0.25"/>
    <row r="1047" hidden="1" outlineLevel="1" x14ac:dyDescent="0.25"/>
    <row r="1048" hidden="1" outlineLevel="1" x14ac:dyDescent="0.25"/>
    <row r="1049" hidden="1" outlineLevel="1" x14ac:dyDescent="0.25"/>
    <row r="1050" hidden="1" outlineLevel="1" x14ac:dyDescent="0.25"/>
    <row r="1051" hidden="1" outlineLevel="1" x14ac:dyDescent="0.25"/>
    <row r="1052" hidden="1" outlineLevel="1" x14ac:dyDescent="0.25"/>
    <row r="1053" hidden="1" outlineLevel="1" x14ac:dyDescent="0.25"/>
    <row r="1054" hidden="1" outlineLevel="1" x14ac:dyDescent="0.25"/>
    <row r="1055" hidden="1" outlineLevel="1" x14ac:dyDescent="0.25"/>
    <row r="1056" hidden="1" outlineLevel="1" x14ac:dyDescent="0.25"/>
    <row r="1057" hidden="1" outlineLevel="1" x14ac:dyDescent="0.25"/>
    <row r="1058" hidden="1" outlineLevel="1" x14ac:dyDescent="0.25"/>
    <row r="1059" hidden="1" outlineLevel="1" x14ac:dyDescent="0.25"/>
    <row r="1060" hidden="1" outlineLevel="1" x14ac:dyDescent="0.25"/>
    <row r="1061" hidden="1" outlineLevel="1" x14ac:dyDescent="0.25"/>
    <row r="1062" hidden="1" outlineLevel="1" x14ac:dyDescent="0.25"/>
    <row r="1063" hidden="1" outlineLevel="1" x14ac:dyDescent="0.25"/>
    <row r="1064" hidden="1" outlineLevel="1" x14ac:dyDescent="0.25"/>
    <row r="1065" hidden="1" outlineLevel="1" x14ac:dyDescent="0.25"/>
    <row r="1066" hidden="1" outlineLevel="1" x14ac:dyDescent="0.25"/>
    <row r="1067" hidden="1" outlineLevel="1" x14ac:dyDescent="0.25"/>
    <row r="1068" hidden="1" outlineLevel="1" x14ac:dyDescent="0.25"/>
    <row r="1069" hidden="1" outlineLevel="1" x14ac:dyDescent="0.25"/>
    <row r="1070" hidden="1" outlineLevel="1" x14ac:dyDescent="0.25"/>
    <row r="1071" hidden="1" outlineLevel="1" x14ac:dyDescent="0.25"/>
    <row r="1072" hidden="1" outlineLevel="1" x14ac:dyDescent="0.25"/>
    <row r="1073" hidden="1" outlineLevel="1" x14ac:dyDescent="0.25"/>
    <row r="1074" hidden="1" outlineLevel="1" x14ac:dyDescent="0.25"/>
    <row r="1075" hidden="1" outlineLevel="1" x14ac:dyDescent="0.25"/>
    <row r="1076" hidden="1" outlineLevel="1" x14ac:dyDescent="0.25"/>
    <row r="1077" hidden="1" outlineLevel="1" x14ac:dyDescent="0.25"/>
    <row r="1078" hidden="1" outlineLevel="1" x14ac:dyDescent="0.25"/>
    <row r="1079" hidden="1" outlineLevel="1" x14ac:dyDescent="0.25"/>
    <row r="1080" hidden="1" outlineLevel="1" x14ac:dyDescent="0.25"/>
    <row r="1081" hidden="1" outlineLevel="1" x14ac:dyDescent="0.25"/>
    <row r="1082" hidden="1" outlineLevel="1" x14ac:dyDescent="0.25"/>
    <row r="1083" hidden="1" outlineLevel="1" x14ac:dyDescent="0.25"/>
    <row r="1084" hidden="1" outlineLevel="1" x14ac:dyDescent="0.25"/>
    <row r="1085" hidden="1" outlineLevel="1" x14ac:dyDescent="0.25"/>
    <row r="1086" hidden="1" outlineLevel="1" x14ac:dyDescent="0.25"/>
    <row r="1087" hidden="1" outlineLevel="1" x14ac:dyDescent="0.25"/>
    <row r="1088" hidden="1" outlineLevel="1" x14ac:dyDescent="0.25"/>
    <row r="1089" hidden="1" outlineLevel="1" x14ac:dyDescent="0.25"/>
    <row r="1090" hidden="1" outlineLevel="1" x14ac:dyDescent="0.25"/>
    <row r="1091" hidden="1" outlineLevel="1" x14ac:dyDescent="0.25"/>
    <row r="1092" hidden="1" outlineLevel="1" x14ac:dyDescent="0.25"/>
    <row r="1093" hidden="1" outlineLevel="1" x14ac:dyDescent="0.25"/>
    <row r="1094" hidden="1" outlineLevel="1" x14ac:dyDescent="0.25"/>
    <row r="1095" hidden="1" outlineLevel="1" x14ac:dyDescent="0.25"/>
    <row r="1096" hidden="1" outlineLevel="1" x14ac:dyDescent="0.25"/>
    <row r="1097" hidden="1" outlineLevel="1" x14ac:dyDescent="0.25"/>
    <row r="1098" hidden="1" outlineLevel="1" x14ac:dyDescent="0.25"/>
    <row r="1099" hidden="1" outlineLevel="1" x14ac:dyDescent="0.25"/>
    <row r="1100" hidden="1" outlineLevel="1" x14ac:dyDescent="0.25"/>
    <row r="1101" hidden="1" outlineLevel="1" x14ac:dyDescent="0.25"/>
    <row r="1102" hidden="1" outlineLevel="1" x14ac:dyDescent="0.25"/>
    <row r="1103" hidden="1" outlineLevel="1" x14ac:dyDescent="0.25"/>
    <row r="1104" hidden="1" outlineLevel="1" x14ac:dyDescent="0.25"/>
    <row r="1105" hidden="1" outlineLevel="1" x14ac:dyDescent="0.25"/>
    <row r="1106" hidden="1" outlineLevel="1" x14ac:dyDescent="0.25"/>
    <row r="1107" hidden="1" outlineLevel="1" x14ac:dyDescent="0.25"/>
    <row r="1108" hidden="1" outlineLevel="1" x14ac:dyDescent="0.25"/>
    <row r="1109" hidden="1" outlineLevel="1" x14ac:dyDescent="0.25"/>
    <row r="1110" hidden="1" outlineLevel="1" x14ac:dyDescent="0.25"/>
    <row r="1111" hidden="1" outlineLevel="1" x14ac:dyDescent="0.25"/>
    <row r="1112" hidden="1" outlineLevel="1" x14ac:dyDescent="0.25"/>
    <row r="1113" hidden="1" outlineLevel="1" x14ac:dyDescent="0.25"/>
    <row r="1114" hidden="1" outlineLevel="1" x14ac:dyDescent="0.25"/>
    <row r="1115" hidden="1" outlineLevel="1" x14ac:dyDescent="0.25"/>
    <row r="1116" hidden="1" outlineLevel="1" x14ac:dyDescent="0.25"/>
    <row r="1117" hidden="1" outlineLevel="1" x14ac:dyDescent="0.25"/>
    <row r="1118" hidden="1" outlineLevel="1" x14ac:dyDescent="0.25"/>
    <row r="1119" hidden="1" outlineLevel="1" x14ac:dyDescent="0.25"/>
    <row r="1120" hidden="1" outlineLevel="1" x14ac:dyDescent="0.25"/>
    <row r="1121" hidden="1" outlineLevel="1" x14ac:dyDescent="0.25"/>
    <row r="1122" hidden="1" outlineLevel="1" x14ac:dyDescent="0.25"/>
    <row r="1123" hidden="1" outlineLevel="1" x14ac:dyDescent="0.25"/>
    <row r="1124" hidden="1" outlineLevel="1" x14ac:dyDescent="0.25"/>
    <row r="1125" hidden="1" outlineLevel="1" x14ac:dyDescent="0.25"/>
    <row r="1126" hidden="1" outlineLevel="1" x14ac:dyDescent="0.25"/>
    <row r="1127" hidden="1" outlineLevel="1" x14ac:dyDescent="0.25"/>
    <row r="1128" hidden="1" outlineLevel="1" x14ac:dyDescent="0.25"/>
    <row r="1129" hidden="1" outlineLevel="1" x14ac:dyDescent="0.25"/>
    <row r="1130" hidden="1" outlineLevel="1" x14ac:dyDescent="0.25"/>
    <row r="1131" hidden="1" outlineLevel="1" x14ac:dyDescent="0.25"/>
    <row r="1132" hidden="1" outlineLevel="1" x14ac:dyDescent="0.25"/>
    <row r="1133" hidden="1" outlineLevel="1" x14ac:dyDescent="0.25"/>
    <row r="1134" hidden="1" outlineLevel="1" x14ac:dyDescent="0.25"/>
    <row r="1135" hidden="1" outlineLevel="1" x14ac:dyDescent="0.25"/>
    <row r="1136" hidden="1" outlineLevel="1" x14ac:dyDescent="0.25"/>
    <row r="1137" hidden="1" outlineLevel="1" x14ac:dyDescent="0.25"/>
    <row r="1138" hidden="1" outlineLevel="1" x14ac:dyDescent="0.25"/>
    <row r="1139" hidden="1" outlineLevel="1" x14ac:dyDescent="0.25"/>
    <row r="1140" hidden="1" outlineLevel="1" x14ac:dyDescent="0.25"/>
    <row r="1141" hidden="1" outlineLevel="1" x14ac:dyDescent="0.25"/>
    <row r="1142" hidden="1" outlineLevel="1" x14ac:dyDescent="0.25"/>
    <row r="1143" hidden="1" outlineLevel="1" x14ac:dyDescent="0.25"/>
    <row r="1144" hidden="1" outlineLevel="1" x14ac:dyDescent="0.25"/>
    <row r="1145" hidden="1" outlineLevel="1" x14ac:dyDescent="0.25"/>
    <row r="1146" hidden="1" outlineLevel="1" x14ac:dyDescent="0.25"/>
    <row r="1147" hidden="1" outlineLevel="1" x14ac:dyDescent="0.25"/>
    <row r="1148" hidden="1" outlineLevel="1" x14ac:dyDescent="0.25"/>
    <row r="1149" hidden="1" outlineLevel="1" x14ac:dyDescent="0.25"/>
    <row r="1150" hidden="1" outlineLevel="1" x14ac:dyDescent="0.25"/>
    <row r="1151" hidden="1" outlineLevel="1" x14ac:dyDescent="0.25"/>
    <row r="1152" hidden="1" outlineLevel="1" x14ac:dyDescent="0.25"/>
    <row r="1153" hidden="1" outlineLevel="1" x14ac:dyDescent="0.25"/>
    <row r="1154" hidden="1" outlineLevel="1" x14ac:dyDescent="0.25"/>
    <row r="1155" hidden="1" outlineLevel="1" x14ac:dyDescent="0.25"/>
    <row r="1156" hidden="1" outlineLevel="1" x14ac:dyDescent="0.25"/>
    <row r="1157" hidden="1" outlineLevel="1" x14ac:dyDescent="0.25"/>
    <row r="1158" hidden="1" outlineLevel="1" x14ac:dyDescent="0.25"/>
    <row r="1159" hidden="1" outlineLevel="1" x14ac:dyDescent="0.25"/>
    <row r="1160" hidden="1" outlineLevel="1" x14ac:dyDescent="0.25"/>
    <row r="1161" hidden="1" outlineLevel="1" x14ac:dyDescent="0.25"/>
    <row r="1162" hidden="1" outlineLevel="1" x14ac:dyDescent="0.25"/>
    <row r="1163" hidden="1" outlineLevel="1" x14ac:dyDescent="0.25"/>
    <row r="1164" hidden="1" outlineLevel="1" x14ac:dyDescent="0.25"/>
    <row r="1165" hidden="1" outlineLevel="1" x14ac:dyDescent="0.25"/>
    <row r="1166" hidden="1" outlineLevel="1" x14ac:dyDescent="0.25"/>
    <row r="1167" hidden="1" outlineLevel="1" x14ac:dyDescent="0.25"/>
    <row r="1168" hidden="1" outlineLevel="1" x14ac:dyDescent="0.25"/>
    <row r="1169" hidden="1" outlineLevel="1" x14ac:dyDescent="0.25"/>
    <row r="1170" hidden="1" outlineLevel="1" x14ac:dyDescent="0.25"/>
    <row r="1171" hidden="1" outlineLevel="1" x14ac:dyDescent="0.25"/>
    <row r="1172" hidden="1" outlineLevel="1" x14ac:dyDescent="0.25"/>
    <row r="1173" hidden="1" outlineLevel="1" x14ac:dyDescent="0.25"/>
    <row r="1174" hidden="1" outlineLevel="1" x14ac:dyDescent="0.25"/>
    <row r="1175" hidden="1" outlineLevel="1" x14ac:dyDescent="0.25"/>
    <row r="1176" hidden="1" outlineLevel="1" x14ac:dyDescent="0.25"/>
    <row r="1177" hidden="1" outlineLevel="1" x14ac:dyDescent="0.25"/>
    <row r="1178" hidden="1" outlineLevel="1" x14ac:dyDescent="0.25"/>
    <row r="1179" hidden="1" outlineLevel="1" x14ac:dyDescent="0.25"/>
    <row r="1180" hidden="1" outlineLevel="1" x14ac:dyDescent="0.25"/>
    <row r="1181" hidden="1" outlineLevel="1" x14ac:dyDescent="0.25"/>
    <row r="1182" hidden="1" outlineLevel="1" x14ac:dyDescent="0.25"/>
    <row r="1183" hidden="1" outlineLevel="1" x14ac:dyDescent="0.25"/>
    <row r="1184" hidden="1" outlineLevel="1" x14ac:dyDescent="0.25"/>
    <row r="1185" hidden="1" outlineLevel="1" x14ac:dyDescent="0.25"/>
    <row r="1186" hidden="1" outlineLevel="1" x14ac:dyDescent="0.25"/>
    <row r="1187" hidden="1" outlineLevel="1" x14ac:dyDescent="0.25"/>
    <row r="1188" hidden="1" outlineLevel="1" x14ac:dyDescent="0.25"/>
    <row r="1189" hidden="1" outlineLevel="1" x14ac:dyDescent="0.25"/>
    <row r="1190" hidden="1" outlineLevel="1" x14ac:dyDescent="0.25"/>
    <row r="1191" hidden="1" outlineLevel="1" x14ac:dyDescent="0.25"/>
    <row r="1192" hidden="1" outlineLevel="1" x14ac:dyDescent="0.25"/>
    <row r="1193" hidden="1" outlineLevel="1" x14ac:dyDescent="0.25"/>
    <row r="1194" hidden="1" outlineLevel="1" x14ac:dyDescent="0.25"/>
    <row r="1195" hidden="1" outlineLevel="1" x14ac:dyDescent="0.25"/>
    <row r="1196" hidden="1" outlineLevel="1" x14ac:dyDescent="0.25"/>
    <row r="1197" hidden="1" outlineLevel="1" x14ac:dyDescent="0.25"/>
    <row r="1198" hidden="1" outlineLevel="1" x14ac:dyDescent="0.25"/>
    <row r="1199" hidden="1" outlineLevel="1" x14ac:dyDescent="0.25"/>
    <row r="1200" hidden="1" outlineLevel="1" x14ac:dyDescent="0.25"/>
    <row r="1201" hidden="1" outlineLevel="1" x14ac:dyDescent="0.25"/>
    <row r="1202" hidden="1" outlineLevel="1" x14ac:dyDescent="0.25"/>
    <row r="1203" hidden="1" outlineLevel="1" x14ac:dyDescent="0.25"/>
    <row r="1204" hidden="1" outlineLevel="1" x14ac:dyDescent="0.25"/>
    <row r="1205" hidden="1" outlineLevel="1" x14ac:dyDescent="0.25"/>
    <row r="1206" hidden="1" outlineLevel="1" x14ac:dyDescent="0.25"/>
    <row r="1207" hidden="1" outlineLevel="1" x14ac:dyDescent="0.25"/>
    <row r="1208" hidden="1" outlineLevel="1" x14ac:dyDescent="0.25"/>
    <row r="1209" hidden="1" outlineLevel="1" x14ac:dyDescent="0.25"/>
    <row r="1210" hidden="1" outlineLevel="1" x14ac:dyDescent="0.25"/>
    <row r="1211" hidden="1" outlineLevel="1" x14ac:dyDescent="0.25"/>
    <row r="1212" hidden="1" outlineLevel="1" x14ac:dyDescent="0.25"/>
    <row r="1213" hidden="1" outlineLevel="1" x14ac:dyDescent="0.25"/>
    <row r="1214" hidden="1" outlineLevel="1" x14ac:dyDescent="0.25"/>
    <row r="1215" hidden="1" outlineLevel="1" x14ac:dyDescent="0.25"/>
    <row r="1216" hidden="1" outlineLevel="1" x14ac:dyDescent="0.25"/>
    <row r="1217" hidden="1" outlineLevel="1" x14ac:dyDescent="0.25"/>
    <row r="1218" hidden="1" outlineLevel="1" x14ac:dyDescent="0.25"/>
    <row r="1219" hidden="1" outlineLevel="1" x14ac:dyDescent="0.25"/>
    <row r="1220" hidden="1" outlineLevel="1" x14ac:dyDescent="0.25"/>
    <row r="1221" hidden="1" outlineLevel="1" x14ac:dyDescent="0.25"/>
    <row r="1222" hidden="1" outlineLevel="1" x14ac:dyDescent="0.25"/>
    <row r="1223" hidden="1" outlineLevel="1" x14ac:dyDescent="0.25"/>
    <row r="1224" hidden="1" outlineLevel="1" x14ac:dyDescent="0.25"/>
    <row r="1225" hidden="1" outlineLevel="1" x14ac:dyDescent="0.25"/>
    <row r="1226" hidden="1" outlineLevel="1" x14ac:dyDescent="0.25"/>
    <row r="1227" hidden="1" outlineLevel="1" x14ac:dyDescent="0.25"/>
    <row r="1228" hidden="1" outlineLevel="1" x14ac:dyDescent="0.25"/>
    <row r="1229" hidden="1" outlineLevel="1" x14ac:dyDescent="0.25"/>
    <row r="1230" hidden="1" outlineLevel="1" x14ac:dyDescent="0.25"/>
    <row r="1231" hidden="1" outlineLevel="1" x14ac:dyDescent="0.25"/>
    <row r="1232" hidden="1" outlineLevel="1" x14ac:dyDescent="0.25"/>
    <row r="1233" hidden="1" outlineLevel="1" x14ac:dyDescent="0.25"/>
    <row r="1234" hidden="1" outlineLevel="1" x14ac:dyDescent="0.25"/>
    <row r="1235" hidden="1" outlineLevel="1" x14ac:dyDescent="0.25"/>
    <row r="1236" hidden="1" outlineLevel="1" x14ac:dyDescent="0.25"/>
    <row r="1237" hidden="1" outlineLevel="1" x14ac:dyDescent="0.25"/>
    <row r="1238" hidden="1" outlineLevel="1" x14ac:dyDescent="0.25"/>
    <row r="1239" hidden="1" outlineLevel="1" x14ac:dyDescent="0.25"/>
    <row r="1240" hidden="1" outlineLevel="1" x14ac:dyDescent="0.25"/>
    <row r="1241" hidden="1" outlineLevel="1" x14ac:dyDescent="0.25"/>
    <row r="1242" hidden="1" outlineLevel="1" x14ac:dyDescent="0.25"/>
    <row r="1243" hidden="1" outlineLevel="1" x14ac:dyDescent="0.25"/>
    <row r="1244" hidden="1" outlineLevel="1" x14ac:dyDescent="0.25"/>
    <row r="1245" hidden="1" outlineLevel="1" x14ac:dyDescent="0.25"/>
    <row r="1246" hidden="1" outlineLevel="1" x14ac:dyDescent="0.25"/>
    <row r="1247" hidden="1" outlineLevel="1" x14ac:dyDescent="0.25"/>
    <row r="1248" hidden="1" outlineLevel="1" x14ac:dyDescent="0.25"/>
    <row r="1249" hidden="1" outlineLevel="1" x14ac:dyDescent="0.25"/>
    <row r="1250" hidden="1" outlineLevel="1" x14ac:dyDescent="0.25"/>
    <row r="1251" hidden="1" outlineLevel="1" x14ac:dyDescent="0.25"/>
    <row r="1252" hidden="1" outlineLevel="1" x14ac:dyDescent="0.25"/>
    <row r="1253" hidden="1" outlineLevel="1" x14ac:dyDescent="0.25"/>
    <row r="1254" hidden="1" outlineLevel="1" x14ac:dyDescent="0.25"/>
    <row r="1255" hidden="1" outlineLevel="1" x14ac:dyDescent="0.25"/>
    <row r="1256" hidden="1" outlineLevel="1" x14ac:dyDescent="0.25"/>
    <row r="1257" hidden="1" outlineLevel="1" x14ac:dyDescent="0.25"/>
    <row r="1258" hidden="1" outlineLevel="1" x14ac:dyDescent="0.25"/>
    <row r="1259" hidden="1" outlineLevel="1" x14ac:dyDescent="0.25"/>
    <row r="1260" hidden="1" outlineLevel="1" x14ac:dyDescent="0.25"/>
    <row r="1261" hidden="1" outlineLevel="1" x14ac:dyDescent="0.25"/>
    <row r="1262" hidden="1" outlineLevel="1" x14ac:dyDescent="0.25"/>
    <row r="1263" hidden="1" outlineLevel="1" x14ac:dyDescent="0.25"/>
    <row r="1264" hidden="1" outlineLevel="1" x14ac:dyDescent="0.25"/>
    <row r="1265" hidden="1" outlineLevel="1" x14ac:dyDescent="0.25"/>
    <row r="1266" hidden="1" outlineLevel="1" x14ac:dyDescent="0.25"/>
    <row r="1267" hidden="1" outlineLevel="1" x14ac:dyDescent="0.25"/>
    <row r="1268" hidden="1" outlineLevel="1" x14ac:dyDescent="0.25"/>
    <row r="1269" hidden="1" outlineLevel="1" x14ac:dyDescent="0.25"/>
    <row r="1270" hidden="1" outlineLevel="1" x14ac:dyDescent="0.25"/>
    <row r="1271" hidden="1" outlineLevel="1" x14ac:dyDescent="0.25"/>
    <row r="1272" hidden="1" outlineLevel="1" x14ac:dyDescent="0.25"/>
    <row r="1273" hidden="1" outlineLevel="1" x14ac:dyDescent="0.25"/>
    <row r="1274" hidden="1" outlineLevel="1" x14ac:dyDescent="0.25"/>
    <row r="1275" hidden="1" outlineLevel="1" x14ac:dyDescent="0.25"/>
    <row r="1276" hidden="1" outlineLevel="1" x14ac:dyDescent="0.25"/>
    <row r="1277" hidden="1" outlineLevel="1" x14ac:dyDescent="0.25"/>
    <row r="1278" hidden="1" outlineLevel="1" x14ac:dyDescent="0.25"/>
    <row r="1279" hidden="1" outlineLevel="1" x14ac:dyDescent="0.25"/>
    <row r="1280" hidden="1" outlineLevel="1" x14ac:dyDescent="0.25"/>
    <row r="1281" hidden="1" outlineLevel="1" x14ac:dyDescent="0.25"/>
    <row r="1282" hidden="1" outlineLevel="1" x14ac:dyDescent="0.25"/>
    <row r="1283" hidden="1" outlineLevel="1" x14ac:dyDescent="0.25"/>
    <row r="1284" hidden="1" outlineLevel="1" x14ac:dyDescent="0.25"/>
    <row r="1285" hidden="1" outlineLevel="1" x14ac:dyDescent="0.25"/>
    <row r="1286" hidden="1" outlineLevel="1" x14ac:dyDescent="0.25"/>
    <row r="1287" hidden="1" outlineLevel="1" x14ac:dyDescent="0.25"/>
    <row r="1288" hidden="1" outlineLevel="1" x14ac:dyDescent="0.25"/>
    <row r="1289" hidden="1" outlineLevel="1" x14ac:dyDescent="0.25"/>
    <row r="1290" hidden="1" outlineLevel="1" x14ac:dyDescent="0.25"/>
    <row r="1291" hidden="1" outlineLevel="1" x14ac:dyDescent="0.25"/>
    <row r="1292" hidden="1" outlineLevel="1" x14ac:dyDescent="0.25"/>
    <row r="1293" hidden="1" outlineLevel="1" x14ac:dyDescent="0.25"/>
    <row r="1294" hidden="1" outlineLevel="1" x14ac:dyDescent="0.25"/>
    <row r="1295" hidden="1" outlineLevel="1" x14ac:dyDescent="0.25"/>
    <row r="1296" hidden="1" outlineLevel="1" x14ac:dyDescent="0.25"/>
    <row r="1297" hidden="1" outlineLevel="1" x14ac:dyDescent="0.25"/>
    <row r="1298" hidden="1" outlineLevel="1" x14ac:dyDescent="0.25"/>
    <row r="1299" hidden="1" outlineLevel="1" x14ac:dyDescent="0.25"/>
    <row r="1300" collapsed="1" x14ac:dyDescent="0.25"/>
  </sheetData>
  <sheetProtection algorithmName="SHA-512" hashValue="6gUiF5I7bKweNW0uJnPQIBGKeN4zsGipUJVy4z1aaeShHgLGIcBMtN89cmHHHSqu2jZivNVmZDCUep6AktBvTw==" saltValue="LeKa1p23rAXj/B3a6nTV8Q==" spinCount="100000" sheet="1" objects="1" scenarios="1" selectLockedCells="1" selectUnlockedCells="1"/>
  <mergeCells count="94">
    <mergeCell ref="G192:H192"/>
    <mergeCell ref="F54:H54"/>
    <mergeCell ref="B55:D55"/>
    <mergeCell ref="N60:P69"/>
    <mergeCell ref="B122:D122"/>
    <mergeCell ref="G125:H125"/>
    <mergeCell ref="F128:H128"/>
    <mergeCell ref="F131:H136"/>
    <mergeCell ref="C137:D137"/>
    <mergeCell ref="C138:D138"/>
    <mergeCell ref="C139:D139"/>
    <mergeCell ref="B189:D189"/>
    <mergeCell ref="C273:D273"/>
    <mergeCell ref="F195:H195"/>
    <mergeCell ref="F198:H203"/>
    <mergeCell ref="C204:D204"/>
    <mergeCell ref="C205:D205"/>
    <mergeCell ref="C206:D206"/>
    <mergeCell ref="B256:D256"/>
    <mergeCell ref="G259:H259"/>
    <mergeCell ref="F262:H262"/>
    <mergeCell ref="F265:H270"/>
    <mergeCell ref="C271:D271"/>
    <mergeCell ref="C272:D272"/>
    <mergeCell ref="C405:D405"/>
    <mergeCell ref="B323:D323"/>
    <mergeCell ref="G326:H326"/>
    <mergeCell ref="F329:H329"/>
    <mergeCell ref="F332:H337"/>
    <mergeCell ref="C338:D338"/>
    <mergeCell ref="C339:D339"/>
    <mergeCell ref="C340:D340"/>
    <mergeCell ref="B390:D390"/>
    <mergeCell ref="G393:H393"/>
    <mergeCell ref="F396:H396"/>
    <mergeCell ref="F399:H404"/>
    <mergeCell ref="F530:H530"/>
    <mergeCell ref="C406:D406"/>
    <mergeCell ref="C407:D407"/>
    <mergeCell ref="B457:D457"/>
    <mergeCell ref="G460:H460"/>
    <mergeCell ref="F463:H463"/>
    <mergeCell ref="F466:H471"/>
    <mergeCell ref="C472:D472"/>
    <mergeCell ref="C473:D473"/>
    <mergeCell ref="C474:D474"/>
    <mergeCell ref="B524:D524"/>
    <mergeCell ref="G527:H527"/>
    <mergeCell ref="B658:D658"/>
    <mergeCell ref="F533:H538"/>
    <mergeCell ref="C539:D539"/>
    <mergeCell ref="C540:D540"/>
    <mergeCell ref="C541:D541"/>
    <mergeCell ref="B591:D591"/>
    <mergeCell ref="G594:H594"/>
    <mergeCell ref="F597:H597"/>
    <mergeCell ref="F600:H605"/>
    <mergeCell ref="C606:D606"/>
    <mergeCell ref="C607:D607"/>
    <mergeCell ref="C608:D608"/>
    <mergeCell ref="C741:D741"/>
    <mergeCell ref="G661:H661"/>
    <mergeCell ref="F664:H664"/>
    <mergeCell ref="F667:H672"/>
    <mergeCell ref="C673:D673"/>
    <mergeCell ref="C674:D674"/>
    <mergeCell ref="C675:D675"/>
    <mergeCell ref="B725:D725"/>
    <mergeCell ref="G728:H728"/>
    <mergeCell ref="F731:H731"/>
    <mergeCell ref="F734:H739"/>
    <mergeCell ref="C740:D740"/>
    <mergeCell ref="F868:H873"/>
    <mergeCell ref="C742:D742"/>
    <mergeCell ref="B792:D792"/>
    <mergeCell ref="G795:H795"/>
    <mergeCell ref="F798:H798"/>
    <mergeCell ref="F801:H806"/>
    <mergeCell ref="C807:D807"/>
    <mergeCell ref="C808:D808"/>
    <mergeCell ref="C809:D809"/>
    <mergeCell ref="B859:D859"/>
    <mergeCell ref="G862:H862"/>
    <mergeCell ref="F865:H865"/>
    <mergeCell ref="F935:H940"/>
    <mergeCell ref="C941:D941"/>
    <mergeCell ref="C942:D942"/>
    <mergeCell ref="C943:D943"/>
    <mergeCell ref="C874:D874"/>
    <mergeCell ref="C875:D875"/>
    <mergeCell ref="C876:D876"/>
    <mergeCell ref="B926:D926"/>
    <mergeCell ref="G929:H929"/>
    <mergeCell ref="F932:H932"/>
  </mergeCells>
  <dataValidations count="2">
    <dataValidation allowBlank="1" showInputMessage="1" showErrorMessage="1" sqref="F18:H18 F152:H152 F85:H85 F219:H219 F353:H353 F286:H286 F420:H420 F487:H487 F554:H554 F621:H621 G14:H17" xr:uid="{4C7393E8-4DA5-48E5-A910-B3BC6256C17F}"/>
    <dataValidation type="list" allowBlank="1" showInputMessage="1" showErrorMessage="1" sqref="D4 D77 D144 D211 D278 D345 D412 D479 D546 D613 D680 D747 D814 D881" xr:uid="{7CCCD803-C234-42D3-847D-C08828808380}">
      <formula1>Units</formula1>
    </dataValidation>
  </dataValidations>
  <pageMargins left="0.25" right="0.25" top="1" bottom="1" header="0.5" footer="0.5"/>
  <pageSetup paperSize="9" scale="64" fitToHeight="0" orientation="portrait" r:id="rId1"/>
  <headerFooter alignWithMargins="0">
    <oddHeader>&amp;CProcess Mass Intensity Calculator</oddHeader>
    <oddFooter>&amp;LThe ACS GCI Pharmaceutical Roundtable or American Chemical Society does not guarantee the accuracy of the calculations and accepts no responsibility for any consequence of their use. Comments may be sent to gcipr@acs.org. 2011 Copyright ACS GCI.</oddFooter>
  </headerFooter>
  <rowBreaks count="9" manualBreakCount="9">
    <brk id="65" max="16383" man="1"/>
    <brk id="132" max="16383" man="1"/>
    <brk id="199" max="16383" man="1"/>
    <brk id="266" max="16383" man="1"/>
    <brk id="333" max="16383" man="1"/>
    <brk id="400" max="16383" man="1"/>
    <brk id="467" max="16383" man="1"/>
    <brk id="534" max="16383" man="1"/>
    <brk id="601"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3A362-C0B8-4F19-AF0E-30C145F109B4}">
  <sheetPr>
    <tabColor rgb="FF38DC8E"/>
    <pageSetUpPr fitToPage="1"/>
  </sheetPr>
  <dimension ref="B1:P1300"/>
  <sheetViews>
    <sheetView showGridLines="0" zoomScale="80" zoomScaleNormal="80" zoomScaleSheetLayoutView="100" workbookViewId="0">
      <selection activeCell="P11" sqref="P11"/>
    </sheetView>
  </sheetViews>
  <sheetFormatPr defaultColWidth="9.453125" defaultRowHeight="12.5" outlineLevelRow="1" x14ac:dyDescent="0.25"/>
  <cols>
    <col min="1" max="1" width="2.453125" style="36" customWidth="1"/>
    <col min="2" max="2" width="64.453125" style="139" bestFit="1" customWidth="1"/>
    <col min="3" max="3" width="17.54296875" style="36" customWidth="1"/>
    <col min="4" max="4" width="10.453125" style="36" bestFit="1" customWidth="1"/>
    <col min="5" max="5" width="10.453125" style="36" hidden="1" customWidth="1"/>
    <col min="6" max="8" width="10.453125" style="36" customWidth="1"/>
    <col min="9" max="12" width="10.453125" style="36" hidden="1" customWidth="1"/>
    <col min="13" max="13" width="10.453125" style="36" customWidth="1"/>
    <col min="14" max="15" width="9.453125" style="36" customWidth="1"/>
    <col min="16" max="16384" width="9.453125" style="36"/>
  </cols>
  <sheetData>
    <row r="1" spans="2:16" s="26" customFormat="1" ht="18.5" thickBot="1" x14ac:dyDescent="0.3">
      <c r="B1" s="24"/>
      <c r="C1" s="25"/>
      <c r="D1" s="25"/>
      <c r="I1" s="27"/>
      <c r="J1" s="27"/>
      <c r="N1" s="160"/>
      <c r="O1" s="160"/>
      <c r="P1" s="160"/>
    </row>
    <row r="2" spans="2:16" ht="21" thickTop="1" thickBot="1" x14ac:dyDescent="0.3">
      <c r="B2" s="28" t="s">
        <v>74</v>
      </c>
      <c r="C2" s="29"/>
      <c r="D2" s="30" t="s">
        <v>98</v>
      </c>
      <c r="E2" s="31"/>
      <c r="F2" s="32" t="s">
        <v>27</v>
      </c>
      <c r="G2" s="33"/>
      <c r="H2" s="33"/>
      <c r="I2" s="34"/>
      <c r="J2" s="35"/>
      <c r="K2" s="34"/>
      <c r="L2" s="35"/>
      <c r="N2" s="60"/>
      <c r="O2" s="60"/>
      <c r="P2" s="60"/>
    </row>
    <row r="3" spans="2:16" ht="14.5" thickBot="1" x14ac:dyDescent="0.3">
      <c r="B3" s="37"/>
      <c r="C3" s="38" t="s">
        <v>0</v>
      </c>
      <c r="D3" s="39" t="s">
        <v>1</v>
      </c>
      <c r="E3" s="40"/>
      <c r="F3" s="41" t="s">
        <v>28</v>
      </c>
      <c r="G3" s="41" t="s">
        <v>21</v>
      </c>
      <c r="H3" s="41" t="s">
        <v>8</v>
      </c>
      <c r="I3" s="42"/>
      <c r="J3" s="42"/>
      <c r="K3" s="34"/>
    </row>
    <row r="4" spans="2:16" ht="13" x14ac:dyDescent="0.25">
      <c r="B4" s="43" t="s">
        <v>65</v>
      </c>
      <c r="C4" s="161">
        <v>8.15</v>
      </c>
      <c r="D4" s="45" t="s">
        <v>22</v>
      </c>
      <c r="E4" s="46"/>
      <c r="F4" s="47"/>
      <c r="G4" s="47"/>
      <c r="H4" s="47"/>
      <c r="I4" s="48"/>
      <c r="J4" s="48"/>
      <c r="K4" s="34"/>
      <c r="N4" s="60"/>
      <c r="O4" s="60"/>
      <c r="P4" s="60"/>
    </row>
    <row r="5" spans="2:16" ht="13" x14ac:dyDescent="0.25">
      <c r="B5" s="43" t="s">
        <v>64</v>
      </c>
      <c r="C5" s="162">
        <v>1</v>
      </c>
      <c r="D5" s="45" t="s">
        <v>3</v>
      </c>
      <c r="E5" s="46"/>
      <c r="F5" s="47"/>
      <c r="G5" s="47"/>
      <c r="H5" s="47"/>
      <c r="I5" s="50"/>
      <c r="J5" s="50"/>
      <c r="N5" s="60"/>
      <c r="O5" s="60"/>
      <c r="P5" s="60"/>
    </row>
    <row r="6" spans="2:16" ht="13" x14ac:dyDescent="0.25">
      <c r="B6" s="51" t="s">
        <v>63</v>
      </c>
      <c r="C6" s="163">
        <f>C4*C5</f>
        <v>8.15</v>
      </c>
      <c r="D6" s="45" t="str">
        <f>D4</f>
        <v>g</v>
      </c>
      <c r="E6" s="46"/>
      <c r="F6" s="47"/>
      <c r="G6" s="47"/>
      <c r="H6" s="47"/>
      <c r="I6" s="53"/>
      <c r="J6" s="53"/>
      <c r="N6" s="60"/>
      <c r="O6" s="60"/>
      <c r="P6" s="60"/>
    </row>
    <row r="7" spans="2:16" ht="14" x14ac:dyDescent="0.25">
      <c r="B7" s="54" t="s">
        <v>4</v>
      </c>
      <c r="C7" s="164">
        <v>0.8</v>
      </c>
      <c r="D7" s="56"/>
      <c r="E7" s="57"/>
      <c r="F7" s="58"/>
      <c r="G7" s="58"/>
      <c r="H7" s="58"/>
      <c r="I7" s="34"/>
      <c r="J7" s="53"/>
      <c r="L7" s="53"/>
      <c r="N7" s="60"/>
      <c r="O7" s="60"/>
      <c r="P7" s="60"/>
    </row>
    <row r="8" spans="2:16" ht="13" x14ac:dyDescent="0.25">
      <c r="B8" s="43" t="s">
        <v>66</v>
      </c>
      <c r="C8" s="161">
        <v>5.2</v>
      </c>
      <c r="D8" s="45" t="str">
        <f>D4</f>
        <v>g</v>
      </c>
      <c r="E8" s="46"/>
      <c r="F8" s="47"/>
      <c r="G8" s="47"/>
      <c r="H8" s="47"/>
      <c r="I8" s="34"/>
      <c r="J8" s="53"/>
      <c r="L8" s="53"/>
      <c r="N8" s="60"/>
      <c r="O8" s="60"/>
      <c r="P8" s="60"/>
    </row>
    <row r="9" spans="2:16" ht="13" x14ac:dyDescent="0.25">
      <c r="B9" s="43" t="s">
        <v>67</v>
      </c>
      <c r="C9" s="162">
        <v>1</v>
      </c>
      <c r="D9" s="45" t="s">
        <v>3</v>
      </c>
      <c r="E9" s="59"/>
      <c r="F9" s="47"/>
      <c r="G9" s="47"/>
      <c r="H9" s="47"/>
      <c r="I9" s="34"/>
      <c r="J9" s="53"/>
      <c r="L9" s="53"/>
      <c r="N9" s="60"/>
      <c r="O9" s="60"/>
      <c r="P9" s="60"/>
    </row>
    <row r="10" spans="2:16" ht="13.5" thickBot="1" x14ac:dyDescent="0.3">
      <c r="B10" s="51" t="s">
        <v>68</v>
      </c>
      <c r="C10" s="163">
        <f>C8*C9</f>
        <v>5.2</v>
      </c>
      <c r="D10" s="45" t="str">
        <f>D4</f>
        <v>g</v>
      </c>
      <c r="E10" s="46"/>
      <c r="F10" s="47"/>
      <c r="G10" s="47"/>
      <c r="H10" s="47"/>
      <c r="I10" s="53"/>
      <c r="J10" s="53"/>
      <c r="N10" s="60"/>
      <c r="O10" s="60"/>
      <c r="P10" s="60"/>
    </row>
    <row r="11" spans="2:16" ht="13.5" thickBot="1" x14ac:dyDescent="0.3">
      <c r="B11" s="61"/>
      <c r="C11" s="62"/>
      <c r="D11" s="63"/>
      <c r="F11" s="64"/>
      <c r="G11" s="64"/>
      <c r="H11" s="64"/>
      <c r="N11" s="60"/>
      <c r="O11" s="60"/>
      <c r="P11" s="60"/>
    </row>
    <row r="12" spans="2:16" ht="14.5" thickBot="1" x14ac:dyDescent="0.3">
      <c r="B12" s="65" t="s">
        <v>5</v>
      </c>
      <c r="C12" s="66" t="s">
        <v>6</v>
      </c>
      <c r="D12" s="67" t="s">
        <v>1</v>
      </c>
      <c r="E12" s="68"/>
      <c r="F12" s="69"/>
      <c r="G12" s="69"/>
      <c r="H12" s="69"/>
      <c r="N12" s="60"/>
      <c r="O12" s="60"/>
      <c r="P12" s="60"/>
    </row>
    <row r="13" spans="2:16" ht="13.5" thickBot="1" x14ac:dyDescent="0.3">
      <c r="B13" s="70" t="s">
        <v>136</v>
      </c>
      <c r="C13" s="71"/>
      <c r="D13" s="72"/>
      <c r="E13" s="73"/>
      <c r="F13" s="69"/>
      <c r="G13" s="69"/>
      <c r="H13" s="69"/>
      <c r="K13" s="34"/>
      <c r="N13" s="60"/>
      <c r="O13" s="60"/>
      <c r="P13" s="60"/>
    </row>
    <row r="14" spans="2:16" ht="13.5" thickBot="1" x14ac:dyDescent="0.3">
      <c r="B14" s="74" t="s">
        <v>99</v>
      </c>
      <c r="C14" s="75">
        <f>C6</f>
        <v>8.15</v>
      </c>
      <c r="D14" s="76" t="str">
        <f>D4</f>
        <v>g</v>
      </c>
      <c r="E14" s="77"/>
      <c r="F14" s="78"/>
      <c r="G14" s="78"/>
      <c r="H14" s="78"/>
      <c r="N14" s="60"/>
      <c r="O14" s="60"/>
      <c r="P14" s="60"/>
    </row>
    <row r="15" spans="2:16" ht="13.5" thickBot="1" x14ac:dyDescent="0.3">
      <c r="B15" s="74"/>
      <c r="C15" s="75"/>
      <c r="D15" s="76" t="str">
        <f>D4</f>
        <v>g</v>
      </c>
      <c r="E15" s="77"/>
      <c r="F15" s="78"/>
      <c r="G15" s="78"/>
      <c r="H15" s="78"/>
      <c r="N15" s="60"/>
      <c r="O15" s="60"/>
      <c r="P15" s="60"/>
    </row>
    <row r="16" spans="2:16" ht="13.5" thickBot="1" x14ac:dyDescent="0.3">
      <c r="B16" s="79" t="s">
        <v>69</v>
      </c>
      <c r="C16" s="80"/>
      <c r="D16" s="81"/>
      <c r="E16" s="77"/>
      <c r="F16" s="82"/>
      <c r="G16" s="82"/>
      <c r="H16" s="82"/>
      <c r="N16" s="60"/>
      <c r="O16" s="60"/>
      <c r="P16" s="60"/>
    </row>
    <row r="17" spans="2:16" ht="13" x14ac:dyDescent="0.25">
      <c r="B17" s="74" t="s">
        <v>101</v>
      </c>
      <c r="C17" s="83">
        <f>20*0.693*0.231</f>
        <v>3.20166</v>
      </c>
      <c r="D17" s="76" t="str">
        <f>D4</f>
        <v>g</v>
      </c>
      <c r="E17" s="77"/>
      <c r="F17" s="82"/>
      <c r="G17" s="82"/>
      <c r="H17" s="82"/>
      <c r="N17" s="432" t="s">
        <v>103</v>
      </c>
      <c r="O17" s="445"/>
      <c r="P17" s="446"/>
    </row>
    <row r="18" spans="2:16" ht="13" x14ac:dyDescent="0.25">
      <c r="B18" s="74" t="s">
        <v>104</v>
      </c>
      <c r="C18" s="83">
        <v>9.4030000000000005</v>
      </c>
      <c r="D18" s="76" t="str">
        <f>D4</f>
        <v>g</v>
      </c>
      <c r="E18" s="77"/>
      <c r="F18" s="82"/>
      <c r="G18" s="82"/>
      <c r="H18" s="82"/>
      <c r="N18" s="447"/>
      <c r="O18" s="448"/>
      <c r="P18" s="449"/>
    </row>
    <row r="19" spans="2:16" ht="12.75" customHeight="1" x14ac:dyDescent="0.25">
      <c r="B19" s="74"/>
      <c r="C19" s="83"/>
      <c r="D19" s="76" t="str">
        <f>D4</f>
        <v>g</v>
      </c>
      <c r="E19" s="77"/>
      <c r="F19" s="82"/>
      <c r="G19" s="82"/>
      <c r="H19" s="82"/>
      <c r="N19" s="447"/>
      <c r="O19" s="448"/>
      <c r="P19" s="449"/>
    </row>
    <row r="20" spans="2:16" ht="12.75" customHeight="1" x14ac:dyDescent="0.25">
      <c r="B20" s="74" t="s">
        <v>107</v>
      </c>
      <c r="C20" s="83">
        <f>100*1.0585*(36.458/1058.5)</f>
        <v>3.6457999999999995</v>
      </c>
      <c r="D20" s="76" t="str">
        <f>D4</f>
        <v>g</v>
      </c>
      <c r="E20" s="77"/>
      <c r="F20" s="82"/>
      <c r="G20" s="82"/>
      <c r="H20" s="82"/>
      <c r="N20" s="447"/>
      <c r="O20" s="448"/>
      <c r="P20" s="449"/>
    </row>
    <row r="21" spans="2:16" ht="12.75" customHeight="1" x14ac:dyDescent="0.25">
      <c r="B21" s="165"/>
      <c r="C21" s="83"/>
      <c r="D21" s="76" t="str">
        <f>D4</f>
        <v>g</v>
      </c>
      <c r="E21" s="77"/>
      <c r="F21" s="82"/>
      <c r="G21" s="82"/>
      <c r="H21" s="82"/>
      <c r="N21" s="447"/>
      <c r="O21" s="448"/>
      <c r="P21" s="449"/>
    </row>
    <row r="22" spans="2:16" ht="12.75" customHeight="1" thickBot="1" x14ac:dyDescent="0.3">
      <c r="B22" s="74" t="s">
        <v>110</v>
      </c>
      <c r="C22" s="83">
        <f>90*1.04*(40/1040)</f>
        <v>3.6000000000000005</v>
      </c>
      <c r="D22" s="76" t="str">
        <f>D4</f>
        <v>g</v>
      </c>
      <c r="E22" s="77"/>
      <c r="F22" s="82"/>
      <c r="G22" s="82"/>
      <c r="H22" s="82"/>
      <c r="N22" s="450"/>
      <c r="O22" s="451"/>
      <c r="P22" s="452"/>
    </row>
    <row r="23" spans="2:16" ht="12.75" customHeight="1" x14ac:dyDescent="0.25">
      <c r="B23" s="74" t="s">
        <v>113</v>
      </c>
      <c r="C23" s="83">
        <f>1.2*2*0.36</f>
        <v>0.86399999999999999</v>
      </c>
      <c r="D23" s="76" t="str">
        <f>D4</f>
        <v>g</v>
      </c>
      <c r="E23" s="77"/>
      <c r="F23" s="82"/>
      <c r="G23" s="82"/>
      <c r="H23" s="82"/>
      <c r="N23" s="60"/>
      <c r="O23" s="60"/>
      <c r="P23" s="60"/>
    </row>
    <row r="24" spans="2:16" ht="12.75" customHeight="1" x14ac:dyDescent="0.25">
      <c r="B24" s="74"/>
      <c r="C24" s="83"/>
      <c r="D24" s="76" t="str">
        <f>D4</f>
        <v>g</v>
      </c>
      <c r="E24" s="77"/>
      <c r="F24" s="82"/>
      <c r="G24" s="82"/>
      <c r="H24" s="82"/>
      <c r="N24" s="60"/>
      <c r="O24" s="60"/>
      <c r="P24" s="60"/>
    </row>
    <row r="25" spans="2:16" ht="12.75" customHeight="1" x14ac:dyDescent="0.25">
      <c r="B25" s="166" t="s">
        <v>114</v>
      </c>
      <c r="C25" s="83">
        <f>0.05*0.5*150*0.713</f>
        <v>2.6737500000000001</v>
      </c>
      <c r="D25" s="76" t="str">
        <f>D4</f>
        <v>g</v>
      </c>
      <c r="E25" s="77"/>
      <c r="F25" s="82"/>
      <c r="G25" s="82"/>
      <c r="H25" s="82"/>
      <c r="N25" s="60"/>
      <c r="O25" s="60"/>
      <c r="P25" s="60"/>
    </row>
    <row r="26" spans="2:16" ht="12.75" customHeight="1" x14ac:dyDescent="0.25">
      <c r="B26" s="74"/>
      <c r="C26" s="83"/>
      <c r="D26" s="76" t="str">
        <f>D4</f>
        <v>g</v>
      </c>
      <c r="E26" s="77"/>
      <c r="F26" s="82"/>
      <c r="G26" s="82"/>
      <c r="H26" s="82"/>
      <c r="N26" s="60"/>
      <c r="O26" s="60"/>
      <c r="P26" s="60"/>
    </row>
    <row r="27" spans="2:16" ht="12.75" customHeight="1" x14ac:dyDescent="0.25">
      <c r="B27" s="84"/>
      <c r="C27" s="85"/>
      <c r="D27" s="76" t="str">
        <f>D4</f>
        <v>g</v>
      </c>
      <c r="E27" s="77"/>
      <c r="F27" s="82"/>
      <c r="G27" s="82"/>
      <c r="H27" s="82"/>
      <c r="N27" s="60"/>
      <c r="O27" s="60"/>
      <c r="P27" s="60"/>
    </row>
    <row r="28" spans="2:16" ht="12.75" customHeight="1" x14ac:dyDescent="0.25">
      <c r="B28" s="86" t="s">
        <v>7</v>
      </c>
      <c r="C28" s="87">
        <f>SUM(C14:C27)</f>
        <v>31.538210000000007</v>
      </c>
      <c r="D28" s="88" t="str">
        <f>D4</f>
        <v>g</v>
      </c>
      <c r="E28" s="77"/>
      <c r="F28" s="82"/>
      <c r="G28" s="82"/>
      <c r="H28" s="82"/>
      <c r="K28" s="34"/>
      <c r="N28" s="60"/>
      <c r="O28" s="60"/>
      <c r="P28" s="60"/>
    </row>
    <row r="29" spans="2:16" ht="12.75" customHeight="1" x14ac:dyDescent="0.25">
      <c r="B29" s="79" t="s">
        <v>71</v>
      </c>
      <c r="C29" s="89"/>
      <c r="D29" s="81"/>
      <c r="E29" s="77"/>
      <c r="F29" s="82"/>
      <c r="G29" s="82"/>
      <c r="H29" s="82"/>
      <c r="N29" s="60"/>
      <c r="O29" s="60"/>
      <c r="P29" s="60"/>
    </row>
    <row r="30" spans="2:16" ht="12.75" customHeight="1" x14ac:dyDescent="0.25">
      <c r="B30" s="74" t="s">
        <v>100</v>
      </c>
      <c r="C30" s="83">
        <f>20*0.888</f>
        <v>17.760000000000002</v>
      </c>
      <c r="D30" s="76" t="str">
        <f>D4</f>
        <v>g</v>
      </c>
      <c r="E30" s="77"/>
      <c r="F30" s="82"/>
      <c r="G30" s="82"/>
      <c r="H30" s="82"/>
      <c r="N30" s="60"/>
      <c r="O30" s="60"/>
      <c r="P30" s="60"/>
    </row>
    <row r="31" spans="2:16" ht="12.75" customHeight="1" x14ac:dyDescent="0.25">
      <c r="B31" s="74" t="s">
        <v>102</v>
      </c>
      <c r="C31" s="83">
        <f>20*0.693*0.769</f>
        <v>10.658339999999999</v>
      </c>
      <c r="D31" s="76" t="str">
        <f>D4</f>
        <v>g</v>
      </c>
      <c r="E31" s="77"/>
      <c r="F31" s="82"/>
      <c r="G31" s="82"/>
      <c r="H31" s="82"/>
      <c r="N31" s="60"/>
      <c r="O31" s="60"/>
      <c r="P31" s="60"/>
    </row>
    <row r="32" spans="2:16" ht="12.75" customHeight="1" x14ac:dyDescent="0.25">
      <c r="B32" s="74" t="s">
        <v>105</v>
      </c>
      <c r="C32" s="83">
        <f>10*0.888</f>
        <v>8.8800000000000008</v>
      </c>
      <c r="D32" s="76" t="str">
        <f>D4</f>
        <v>g</v>
      </c>
      <c r="E32" s="77"/>
      <c r="F32" s="82"/>
      <c r="G32" s="82"/>
      <c r="H32" s="82"/>
      <c r="N32" s="60"/>
      <c r="O32" s="60"/>
      <c r="P32" s="60"/>
    </row>
    <row r="33" spans="2:16" ht="12.75" customHeight="1" x14ac:dyDescent="0.25">
      <c r="B33" s="74"/>
      <c r="C33" s="83"/>
      <c r="D33" s="76" t="str">
        <f>D4</f>
        <v>g</v>
      </c>
      <c r="E33" s="77"/>
      <c r="F33" s="82"/>
      <c r="G33" s="82"/>
      <c r="H33" s="82"/>
      <c r="N33" s="60"/>
      <c r="O33" s="60"/>
      <c r="P33" s="60"/>
    </row>
    <row r="34" spans="2:16" ht="12.75" customHeight="1" x14ac:dyDescent="0.25">
      <c r="B34" s="166" t="s">
        <v>109</v>
      </c>
      <c r="C34" s="83">
        <f>0.5*0.713*350</f>
        <v>124.77499999999999</v>
      </c>
      <c r="D34" s="76" t="str">
        <f>D4</f>
        <v>g</v>
      </c>
      <c r="E34" s="77"/>
      <c r="F34" s="82"/>
      <c r="G34" s="82"/>
      <c r="H34" s="82"/>
      <c r="N34" s="60"/>
      <c r="O34" s="60"/>
      <c r="P34" s="60"/>
    </row>
    <row r="35" spans="2:16" ht="12.75" customHeight="1" x14ac:dyDescent="0.25">
      <c r="B35" s="166" t="s">
        <v>115</v>
      </c>
      <c r="C35" s="83">
        <f>3*C25</f>
        <v>8.0212500000000002</v>
      </c>
      <c r="D35" s="76" t="str">
        <f>D4</f>
        <v>g</v>
      </c>
      <c r="E35" s="77"/>
      <c r="F35" s="82"/>
      <c r="G35" s="82"/>
      <c r="H35" s="82"/>
      <c r="N35" s="60"/>
      <c r="O35" s="60"/>
      <c r="P35" s="60"/>
    </row>
    <row r="36" spans="2:16" ht="12.75" customHeight="1" x14ac:dyDescent="0.25">
      <c r="B36" s="74"/>
      <c r="C36" s="83"/>
      <c r="D36" s="76" t="str">
        <f>D4</f>
        <v>g</v>
      </c>
      <c r="E36" s="77"/>
      <c r="F36" s="82"/>
      <c r="G36" s="82"/>
      <c r="H36" s="82"/>
      <c r="N36" s="60"/>
      <c r="O36" s="60"/>
      <c r="P36" s="60"/>
    </row>
    <row r="37" spans="2:16" ht="12.75" customHeight="1" x14ac:dyDescent="0.25">
      <c r="B37" s="74"/>
      <c r="C37" s="83"/>
      <c r="D37" s="76" t="str">
        <f>D4</f>
        <v>g</v>
      </c>
      <c r="E37" s="77"/>
      <c r="F37" s="82"/>
      <c r="G37" s="82"/>
      <c r="H37" s="82"/>
      <c r="N37" s="60"/>
      <c r="O37" s="60"/>
      <c r="P37" s="60"/>
    </row>
    <row r="38" spans="2:16" ht="12.75" customHeight="1" x14ac:dyDescent="0.25">
      <c r="B38" s="79" t="s">
        <v>70</v>
      </c>
      <c r="C38" s="80"/>
      <c r="D38" s="81"/>
      <c r="E38" s="90"/>
      <c r="F38" s="82"/>
      <c r="G38" s="82"/>
      <c r="H38" s="82"/>
      <c r="N38" s="60"/>
      <c r="O38" s="60"/>
      <c r="P38" s="60"/>
    </row>
    <row r="39" spans="2:16" ht="12.75" customHeight="1" x14ac:dyDescent="0.25">
      <c r="B39" s="74" t="s">
        <v>106</v>
      </c>
      <c r="C39" s="83">
        <f>105.85-C20</f>
        <v>102.2042</v>
      </c>
      <c r="D39" s="76" t="str">
        <f>D4</f>
        <v>g</v>
      </c>
      <c r="E39" s="77"/>
      <c r="F39" s="82"/>
      <c r="G39" s="82"/>
      <c r="H39" s="82"/>
      <c r="N39" s="60"/>
      <c r="O39" s="60"/>
      <c r="P39" s="60"/>
    </row>
    <row r="40" spans="2:16" ht="12.75" customHeight="1" x14ac:dyDescent="0.25">
      <c r="B40" s="74"/>
      <c r="C40" s="83"/>
      <c r="D40" s="76" t="str">
        <f>D4</f>
        <v>g</v>
      </c>
      <c r="E40" s="77"/>
      <c r="F40" s="82"/>
      <c r="G40" s="82"/>
      <c r="H40" s="82"/>
      <c r="N40" s="60"/>
      <c r="O40" s="60"/>
      <c r="P40" s="60"/>
    </row>
    <row r="41" spans="2:16" ht="12.75" customHeight="1" x14ac:dyDescent="0.25">
      <c r="B41" s="74" t="s">
        <v>108</v>
      </c>
      <c r="C41" s="83">
        <f>90*1.04-C22</f>
        <v>90.000000000000014</v>
      </c>
      <c r="D41" s="76" t="str">
        <f>D4</f>
        <v>g</v>
      </c>
      <c r="E41" s="77"/>
      <c r="F41" s="82"/>
      <c r="G41" s="82"/>
      <c r="H41" s="82"/>
      <c r="N41" s="60"/>
      <c r="O41" s="60"/>
      <c r="P41" s="60"/>
    </row>
    <row r="42" spans="2:16" ht="12.75" customHeight="1" x14ac:dyDescent="0.25">
      <c r="B42" s="74" t="s">
        <v>111</v>
      </c>
      <c r="C42" s="83">
        <f>1.2*2*0.64</f>
        <v>1.536</v>
      </c>
      <c r="D42" s="76" t="str">
        <f>D4</f>
        <v>g</v>
      </c>
      <c r="E42" s="77"/>
      <c r="F42" s="82"/>
      <c r="G42" s="82"/>
      <c r="H42" s="82"/>
      <c r="N42" s="60"/>
      <c r="O42" s="60"/>
      <c r="P42" s="60"/>
    </row>
    <row r="43" spans="2:16" ht="12.75" customHeight="1" x14ac:dyDescent="0.25">
      <c r="B43" s="74" t="s">
        <v>112</v>
      </c>
      <c r="C43" s="83">
        <f>0.5*150*0.713</f>
        <v>53.474999999999994</v>
      </c>
      <c r="D43" s="76" t="str">
        <f>D4</f>
        <v>g</v>
      </c>
      <c r="E43" s="77"/>
      <c r="F43" s="82"/>
      <c r="G43" s="82"/>
      <c r="H43" s="82"/>
      <c r="N43" s="60"/>
      <c r="O43" s="60"/>
      <c r="P43" s="60"/>
    </row>
    <row r="44" spans="2:16" ht="12.75" customHeight="1" x14ac:dyDescent="0.25">
      <c r="B44" s="74"/>
      <c r="C44" s="83"/>
      <c r="D44" s="76" t="str">
        <f>D4</f>
        <v>g</v>
      </c>
      <c r="E44" s="77"/>
      <c r="F44" s="82"/>
      <c r="G44" s="82"/>
      <c r="H44" s="82"/>
      <c r="N44" s="60"/>
      <c r="O44" s="60"/>
      <c r="P44" s="60"/>
    </row>
    <row r="45" spans="2:16" ht="12.75" customHeight="1" x14ac:dyDescent="0.25">
      <c r="B45" s="74"/>
      <c r="C45" s="83"/>
      <c r="D45" s="76" t="str">
        <f>D4</f>
        <v>g</v>
      </c>
      <c r="E45" s="77"/>
      <c r="F45" s="82"/>
      <c r="G45" s="82"/>
      <c r="H45" s="82"/>
      <c r="K45" s="34"/>
      <c r="N45" s="60"/>
      <c r="O45" s="60"/>
      <c r="P45" s="60"/>
    </row>
    <row r="46" spans="2:16" ht="12.75" customHeight="1" x14ac:dyDescent="0.25">
      <c r="B46" s="84"/>
      <c r="C46" s="85"/>
      <c r="D46" s="76" t="str">
        <f>D4</f>
        <v>g</v>
      </c>
      <c r="E46" s="77"/>
      <c r="F46" s="82"/>
      <c r="G46" s="82"/>
      <c r="H46" s="82"/>
      <c r="K46" s="34"/>
      <c r="N46" s="60"/>
      <c r="O46" s="60"/>
      <c r="P46" s="60"/>
    </row>
    <row r="47" spans="2:16" ht="12.75" customHeight="1" x14ac:dyDescent="0.25">
      <c r="B47" s="86" t="s">
        <v>9</v>
      </c>
      <c r="C47" s="87">
        <f>SUM(C28:C46)</f>
        <v>448.84799999999996</v>
      </c>
      <c r="D47" s="91" t="str">
        <f>D4</f>
        <v>g</v>
      </c>
      <c r="E47" s="77"/>
      <c r="F47" s="82"/>
      <c r="G47" s="82"/>
      <c r="H47" s="82"/>
      <c r="N47" s="60"/>
      <c r="O47" s="60"/>
      <c r="P47" s="60"/>
    </row>
    <row r="48" spans="2:16" ht="13.5" thickBot="1" x14ac:dyDescent="0.3">
      <c r="B48" s="92"/>
      <c r="C48" s="93"/>
      <c r="D48" s="94"/>
      <c r="E48" s="77"/>
      <c r="F48" s="82"/>
      <c r="G48" s="82"/>
      <c r="H48" s="82"/>
      <c r="N48" s="60"/>
      <c r="O48" s="60"/>
      <c r="P48" s="60"/>
    </row>
    <row r="49" spans="2:16" ht="20.5" thickBot="1" x14ac:dyDescent="0.3">
      <c r="B49" s="426" t="s">
        <v>10</v>
      </c>
      <c r="C49" s="427"/>
      <c r="D49" s="428"/>
      <c r="E49" s="77"/>
      <c r="F49" s="82"/>
      <c r="G49" s="82"/>
      <c r="H49" s="82"/>
      <c r="N49" s="60"/>
      <c r="O49" s="60"/>
      <c r="P49" s="60"/>
    </row>
    <row r="50" spans="2:16" ht="13" x14ac:dyDescent="0.25">
      <c r="B50" s="95" t="s">
        <v>23</v>
      </c>
      <c r="C50" s="96"/>
      <c r="D50" s="97">
        <f>SUM(C14:C15)</f>
        <v>8.15</v>
      </c>
      <c r="E50" s="98"/>
      <c r="F50" s="82"/>
      <c r="G50" s="82"/>
      <c r="H50" s="82"/>
      <c r="N50" s="60"/>
      <c r="O50" s="60"/>
      <c r="P50" s="60"/>
    </row>
    <row r="51" spans="2:16" ht="13" x14ac:dyDescent="0.25">
      <c r="B51" s="99" t="s">
        <v>24</v>
      </c>
      <c r="C51" s="100"/>
      <c r="D51" s="101">
        <f>SUM(C17:C27)</f>
        <v>23.388210000000001</v>
      </c>
      <c r="E51" s="98"/>
      <c r="F51" s="82"/>
      <c r="G51" s="82"/>
      <c r="H51" s="82"/>
      <c r="N51" s="60"/>
      <c r="O51" s="60"/>
      <c r="P51" s="60"/>
    </row>
    <row r="52" spans="2:16" ht="13" x14ac:dyDescent="0.25">
      <c r="B52" s="99" t="s">
        <v>25</v>
      </c>
      <c r="C52" s="100"/>
      <c r="D52" s="101">
        <f>SUM(C30:C38)</f>
        <v>170.09459000000001</v>
      </c>
      <c r="E52" s="98"/>
      <c r="F52" s="82"/>
      <c r="G52" s="82"/>
      <c r="H52" s="82"/>
      <c r="N52" s="60"/>
      <c r="O52" s="60"/>
      <c r="P52" s="60"/>
    </row>
    <row r="53" spans="2:16" ht="13.5" thickBot="1" x14ac:dyDescent="0.3">
      <c r="B53" s="102" t="s">
        <v>26</v>
      </c>
      <c r="C53" s="103"/>
      <c r="D53" s="104">
        <f>SUM(C39:C46)</f>
        <v>247.21520000000001</v>
      </c>
      <c r="E53" s="98"/>
      <c r="F53" s="82"/>
      <c r="G53" s="82"/>
      <c r="H53" s="82"/>
      <c r="N53" s="60"/>
      <c r="O53" s="60"/>
      <c r="P53" s="60"/>
    </row>
    <row r="54" spans="2:16" ht="18.5" thickTop="1" x14ac:dyDescent="0.25">
      <c r="B54" s="105" t="s">
        <v>11</v>
      </c>
      <c r="C54" s="106"/>
      <c r="D54" s="107">
        <f>C28/C10</f>
        <v>6.0650403846153855</v>
      </c>
      <c r="E54" s="77"/>
      <c r="F54" s="82"/>
      <c r="G54" s="82"/>
      <c r="H54" s="82"/>
      <c r="N54" s="60"/>
      <c r="O54" s="60"/>
      <c r="P54" s="60"/>
    </row>
    <row r="55" spans="2:16" ht="18" x14ac:dyDescent="0.25">
      <c r="B55" s="111" t="s">
        <v>12</v>
      </c>
      <c r="C55" s="112"/>
      <c r="D55" s="113">
        <f>(D50+D51+D52)/C10</f>
        <v>38.77553846153846</v>
      </c>
      <c r="E55" s="77"/>
      <c r="F55" s="82"/>
      <c r="G55" s="82"/>
      <c r="H55" s="82"/>
      <c r="N55" s="60"/>
      <c r="O55" s="60"/>
      <c r="P55" s="60"/>
    </row>
    <row r="56" spans="2:16" ht="18" x14ac:dyDescent="0.25">
      <c r="B56" s="111" t="s">
        <v>13</v>
      </c>
      <c r="C56" s="112"/>
      <c r="D56" s="113">
        <f>D52/C10</f>
        <v>32.710498076923081</v>
      </c>
      <c r="E56" s="90"/>
      <c r="F56" s="82"/>
      <c r="G56" s="82"/>
      <c r="H56" s="82"/>
      <c r="N56" s="60"/>
      <c r="O56" s="60"/>
      <c r="P56" s="60"/>
    </row>
    <row r="57" spans="2:16" ht="18" x14ac:dyDescent="0.25">
      <c r="B57" s="114" t="s">
        <v>14</v>
      </c>
      <c r="C57" s="115"/>
      <c r="D57" s="116">
        <f>D53/C10</f>
        <v>47.541384615384615</v>
      </c>
      <c r="E57" s="90"/>
      <c r="F57" s="82"/>
      <c r="G57" s="82"/>
      <c r="H57" s="82"/>
      <c r="N57" s="60"/>
      <c r="O57" s="60"/>
      <c r="P57" s="60"/>
    </row>
    <row r="58" spans="2:16" ht="18.5" thickBot="1" x14ac:dyDescent="0.3">
      <c r="B58" s="114" t="s">
        <v>15</v>
      </c>
      <c r="C58" s="119"/>
      <c r="D58" s="116">
        <f>SUM(D50:D53)/C10</f>
        <v>86.316923076923075</v>
      </c>
      <c r="E58" s="90"/>
      <c r="F58" s="82"/>
      <c r="G58" s="82"/>
      <c r="H58" s="82"/>
      <c r="N58" s="60"/>
      <c r="O58" s="60"/>
      <c r="P58" s="60"/>
    </row>
    <row r="59" spans="2:16" ht="18.5" thickTop="1" x14ac:dyDescent="0.25">
      <c r="B59" s="120" t="s">
        <v>16</v>
      </c>
      <c r="C59" s="121"/>
      <c r="D59" s="122">
        <f>(D51+C14*MAX(1,F14)+C15*MAX(1,F15))/C10</f>
        <v>6.0650403846153846</v>
      </c>
      <c r="E59" s="77"/>
      <c r="F59" s="82"/>
      <c r="G59" s="82"/>
      <c r="H59" s="82"/>
      <c r="N59" s="60"/>
      <c r="O59" s="60"/>
      <c r="P59" s="60"/>
    </row>
    <row r="60" spans="2:16" ht="18" x14ac:dyDescent="0.25">
      <c r="B60" s="123" t="s">
        <v>17</v>
      </c>
      <c r="C60" s="124"/>
      <c r="D60" s="125">
        <f>(D51+D52+C14*MAX(1,F14)+C15*MAX(1,F15)+SUMPRODUCT(C14:C15,G14:G15))/C10</f>
        <v>38.77553846153846</v>
      </c>
      <c r="E60" s="77"/>
      <c r="F60" s="82"/>
      <c r="G60" s="82"/>
      <c r="H60" s="82"/>
      <c r="N60" s="60"/>
      <c r="O60" s="60"/>
      <c r="P60" s="60"/>
    </row>
    <row r="61" spans="2:16" ht="18" customHeight="1" x14ac:dyDescent="0.25">
      <c r="B61" s="123" t="s">
        <v>18</v>
      </c>
      <c r="C61" s="124"/>
      <c r="D61" s="125">
        <f>(D52+SUMPRODUCT(C14:C15,G14:G15))/C10</f>
        <v>32.710498076923081</v>
      </c>
      <c r="E61" s="77"/>
      <c r="F61" s="82"/>
      <c r="G61" s="82"/>
      <c r="H61" s="82"/>
      <c r="N61" s="60"/>
      <c r="O61" s="60"/>
      <c r="P61" s="60"/>
    </row>
    <row r="62" spans="2:16" ht="18" x14ac:dyDescent="0.25">
      <c r="B62" s="126" t="s">
        <v>19</v>
      </c>
      <c r="C62" s="127"/>
      <c r="D62" s="128">
        <f>(D53+SUMPRODUCT(C14:C15,H14:H15))/C10</f>
        <v>47.541384615384615</v>
      </c>
      <c r="E62" s="77"/>
      <c r="F62" s="82"/>
      <c r="G62" s="82"/>
      <c r="H62" s="82"/>
      <c r="K62" s="34"/>
      <c r="N62" s="60"/>
      <c r="O62" s="60"/>
      <c r="P62" s="60"/>
    </row>
    <row r="63" spans="2:16" ht="18.5" thickBot="1" x14ac:dyDescent="0.3">
      <c r="B63" s="129" t="s">
        <v>20</v>
      </c>
      <c r="C63" s="130"/>
      <c r="D63" s="131">
        <f>(SUM(D51:D53)+C14*MAX(1,F14)+C15*MAX(1,F15)+SUMPRODUCT(C14:C15,G14:G15)+SUMPRODUCT(C14:C15,H14:H15))/C10</f>
        <v>86.316923076923061</v>
      </c>
      <c r="E63" s="77"/>
      <c r="F63" s="82"/>
      <c r="G63" s="82"/>
      <c r="H63" s="82"/>
      <c r="I63" s="132"/>
      <c r="N63" s="60"/>
      <c r="O63" s="60"/>
      <c r="P63" s="60"/>
    </row>
    <row r="64" spans="2:16" ht="13" thickTop="1" x14ac:dyDescent="0.25">
      <c r="B64" s="256"/>
      <c r="C64" s="256"/>
      <c r="D64" s="256"/>
      <c r="E64" s="256"/>
      <c r="F64" s="256"/>
      <c r="G64" s="256"/>
      <c r="H64" s="256"/>
      <c r="N64" s="60"/>
      <c r="O64" s="60"/>
      <c r="P64" s="60"/>
    </row>
    <row r="65" spans="2:16" x14ac:dyDescent="0.25">
      <c r="B65" s="256"/>
      <c r="C65" s="256"/>
      <c r="D65" s="256"/>
      <c r="E65" s="256"/>
      <c r="F65" s="256"/>
      <c r="G65" s="256"/>
      <c r="H65" s="256"/>
      <c r="N65" s="60"/>
      <c r="O65" s="60"/>
      <c r="P65" s="60"/>
    </row>
    <row r="66" spans="2:16" x14ac:dyDescent="0.25">
      <c r="B66" s="256"/>
      <c r="C66" s="256"/>
      <c r="D66" s="256"/>
      <c r="E66" s="256"/>
      <c r="F66" s="256"/>
      <c r="G66" s="256"/>
      <c r="H66" s="256"/>
      <c r="N66" s="60"/>
      <c r="O66" s="60"/>
      <c r="P66" s="60"/>
    </row>
    <row r="67" spans="2:16" ht="13" x14ac:dyDescent="0.25">
      <c r="B67" s="34"/>
      <c r="C67" s="34"/>
      <c r="D67" s="34"/>
      <c r="E67" s="34"/>
      <c r="F67" s="34"/>
      <c r="G67" s="34"/>
      <c r="H67" s="34"/>
      <c r="N67" s="60"/>
      <c r="O67" s="60"/>
      <c r="P67" s="60"/>
    </row>
    <row r="68" spans="2:16" ht="13" hidden="1" outlineLevel="1" x14ac:dyDescent="0.25">
      <c r="C68" s="25" t="s">
        <v>44</v>
      </c>
      <c r="D68" s="25" t="s">
        <v>42</v>
      </c>
      <c r="E68" s="46"/>
      <c r="F68" s="34"/>
      <c r="G68" s="34"/>
      <c r="H68" s="34"/>
      <c r="N68" s="60"/>
      <c r="O68" s="60"/>
      <c r="P68" s="60"/>
    </row>
    <row r="69" spans="2:16" ht="21" hidden="1" outlineLevel="1" thickTop="1" thickBot="1" x14ac:dyDescent="0.3">
      <c r="B69" s="140" t="s">
        <v>73</v>
      </c>
      <c r="C69" s="29"/>
      <c r="D69" s="141"/>
      <c r="E69" s="31"/>
      <c r="F69" s="32" t="s">
        <v>27</v>
      </c>
      <c r="G69" s="33"/>
      <c r="H69" s="33"/>
      <c r="I69" s="34"/>
      <c r="N69" s="60"/>
      <c r="O69" s="60"/>
      <c r="P69" s="60"/>
    </row>
    <row r="70" spans="2:16" ht="14.5" hidden="1" outlineLevel="1" thickBot="1" x14ac:dyDescent="0.3">
      <c r="B70" s="37"/>
      <c r="C70" s="38" t="s">
        <v>0</v>
      </c>
      <c r="D70" s="39" t="s">
        <v>1</v>
      </c>
      <c r="E70" s="40"/>
      <c r="F70" s="41" t="s">
        <v>28</v>
      </c>
      <c r="G70" s="41" t="s">
        <v>21</v>
      </c>
      <c r="H70" s="41" t="s">
        <v>8</v>
      </c>
      <c r="K70" s="34"/>
      <c r="N70" s="60"/>
      <c r="O70" s="60"/>
      <c r="P70" s="60"/>
    </row>
    <row r="71" spans="2:16" ht="13" hidden="1" outlineLevel="1" x14ac:dyDescent="0.25">
      <c r="B71" s="43" t="s">
        <v>65</v>
      </c>
      <c r="C71" s="142"/>
      <c r="D71" s="45" t="s">
        <v>2</v>
      </c>
      <c r="E71" s="46"/>
      <c r="F71" s="47"/>
      <c r="G71" s="47"/>
      <c r="H71" s="47"/>
      <c r="N71" s="60"/>
      <c r="O71" s="60"/>
      <c r="P71" s="60"/>
    </row>
    <row r="72" spans="2:16" ht="13" hidden="1" outlineLevel="1" x14ac:dyDescent="0.25">
      <c r="B72" s="43" t="s">
        <v>64</v>
      </c>
      <c r="C72" s="143"/>
      <c r="D72" s="45" t="s">
        <v>3</v>
      </c>
      <c r="E72" s="46"/>
      <c r="F72" s="47"/>
      <c r="G72" s="47"/>
      <c r="H72" s="47"/>
      <c r="N72" s="60"/>
      <c r="O72" s="60"/>
      <c r="P72" s="60"/>
    </row>
    <row r="73" spans="2:16" ht="13" hidden="1" outlineLevel="1" x14ac:dyDescent="0.25">
      <c r="B73" s="51" t="s">
        <v>63</v>
      </c>
      <c r="C73" s="144">
        <f>C71*C72</f>
        <v>0</v>
      </c>
      <c r="D73" s="45" t="str">
        <f>D71</f>
        <v>kg</v>
      </c>
      <c r="E73" s="46"/>
      <c r="F73" s="47"/>
      <c r="G73" s="47"/>
      <c r="H73" s="47"/>
      <c r="N73" s="60"/>
      <c r="O73" s="60"/>
      <c r="P73" s="60"/>
    </row>
    <row r="74" spans="2:16" ht="14" hidden="1" outlineLevel="1" x14ac:dyDescent="0.25">
      <c r="B74" s="54" t="s">
        <v>37</v>
      </c>
      <c r="C74" s="145">
        <v>1</v>
      </c>
      <c r="D74" s="56"/>
      <c r="E74" s="57"/>
      <c r="F74" s="58"/>
      <c r="G74" s="58"/>
      <c r="H74" s="58"/>
      <c r="N74" s="60"/>
      <c r="O74" s="60"/>
      <c r="P74" s="60"/>
    </row>
    <row r="75" spans="2:16" ht="13" hidden="1" outlineLevel="1" x14ac:dyDescent="0.25">
      <c r="B75" s="43" t="s">
        <v>66</v>
      </c>
      <c r="C75" s="142"/>
      <c r="D75" s="45" t="str">
        <f>D71</f>
        <v>kg</v>
      </c>
      <c r="E75" s="46"/>
      <c r="F75" s="47"/>
      <c r="G75" s="47"/>
      <c r="H75" s="47"/>
      <c r="K75" s="34"/>
      <c r="N75" s="60"/>
      <c r="O75" s="60"/>
      <c r="P75" s="60"/>
    </row>
    <row r="76" spans="2:16" ht="13" hidden="1" outlineLevel="1" x14ac:dyDescent="0.25">
      <c r="B76" s="43" t="s">
        <v>67</v>
      </c>
      <c r="C76" s="143"/>
      <c r="D76" s="45" t="s">
        <v>3</v>
      </c>
      <c r="E76" s="59"/>
      <c r="F76" s="47"/>
      <c r="G76" s="47"/>
      <c r="H76" s="47"/>
      <c r="N76" s="60"/>
      <c r="O76" s="60"/>
      <c r="P76" s="60"/>
    </row>
    <row r="77" spans="2:16" ht="13" hidden="1" outlineLevel="1" x14ac:dyDescent="0.25">
      <c r="B77" s="51" t="s">
        <v>68</v>
      </c>
      <c r="C77" s="144">
        <f>C75*C76</f>
        <v>0</v>
      </c>
      <c r="D77" s="45" t="str">
        <f>D71</f>
        <v>kg</v>
      </c>
      <c r="E77" s="46"/>
      <c r="F77" s="47"/>
      <c r="G77" s="47"/>
      <c r="H77" s="47"/>
      <c r="N77" s="60"/>
      <c r="O77" s="60"/>
      <c r="P77" s="60"/>
    </row>
    <row r="78" spans="2:16" ht="13.5" hidden="1" outlineLevel="1" thickBot="1" x14ac:dyDescent="0.3">
      <c r="B78" s="61"/>
      <c r="C78" s="62"/>
      <c r="D78" s="63"/>
      <c r="F78" s="64"/>
      <c r="G78" s="64"/>
      <c r="H78" s="64"/>
      <c r="N78" s="60"/>
      <c r="O78" s="60"/>
      <c r="P78" s="60"/>
    </row>
    <row r="79" spans="2:16" ht="14.5" hidden="1" outlineLevel="1" thickBot="1" x14ac:dyDescent="0.3">
      <c r="B79" s="65" t="s">
        <v>5</v>
      </c>
      <c r="C79" s="66" t="s">
        <v>6</v>
      </c>
      <c r="D79" s="67" t="s">
        <v>1</v>
      </c>
      <c r="E79" s="68"/>
      <c r="F79" s="69"/>
      <c r="G79" s="69"/>
      <c r="H79" s="69"/>
      <c r="N79" s="60"/>
      <c r="O79" s="60"/>
      <c r="P79" s="60"/>
    </row>
    <row r="80" spans="2:16" ht="13" hidden="1" outlineLevel="1" x14ac:dyDescent="0.25">
      <c r="B80" s="70" t="s">
        <v>43</v>
      </c>
      <c r="C80" s="71"/>
      <c r="D80" s="72"/>
      <c r="E80" s="73"/>
      <c r="F80" s="69"/>
      <c r="G80" s="69"/>
      <c r="H80" s="69"/>
      <c r="N80" s="60"/>
      <c r="O80" s="60"/>
      <c r="P80" s="60"/>
    </row>
    <row r="81" spans="2:16" ht="13" hidden="1" outlineLevel="1" x14ac:dyDescent="0.25">
      <c r="B81" s="74"/>
      <c r="C81" s="146">
        <f>C73</f>
        <v>0</v>
      </c>
      <c r="D81" s="76" t="str">
        <f>D71</f>
        <v>kg</v>
      </c>
      <c r="E81" s="98"/>
      <c r="F81" s="69"/>
      <c r="G81" s="69"/>
      <c r="H81" s="69"/>
      <c r="N81" s="60"/>
      <c r="O81" s="60"/>
      <c r="P81" s="60"/>
    </row>
    <row r="82" spans="2:16" ht="13.5" hidden="1" outlineLevel="1" thickBot="1" x14ac:dyDescent="0.3">
      <c r="B82" s="74"/>
      <c r="C82" s="146"/>
      <c r="D82" s="76" t="str">
        <f>D71</f>
        <v>kg</v>
      </c>
      <c r="E82" s="77"/>
      <c r="F82" s="78"/>
      <c r="G82" s="78"/>
      <c r="H82" s="78"/>
      <c r="N82" s="60"/>
      <c r="O82" s="60"/>
      <c r="P82" s="60"/>
    </row>
    <row r="83" spans="2:16" ht="13" hidden="1" outlineLevel="1" x14ac:dyDescent="0.25">
      <c r="B83" s="79" t="s">
        <v>69</v>
      </c>
      <c r="C83" s="147"/>
      <c r="D83" s="81"/>
      <c r="E83" s="77"/>
      <c r="F83" s="82"/>
      <c r="G83" s="82"/>
      <c r="H83" s="82"/>
      <c r="N83" s="60"/>
      <c r="O83" s="60"/>
      <c r="P83" s="60"/>
    </row>
    <row r="84" spans="2:16" ht="13" hidden="1" outlineLevel="1" x14ac:dyDescent="0.25">
      <c r="B84" s="74"/>
      <c r="C84" s="148"/>
      <c r="D84" s="76" t="str">
        <f>D71</f>
        <v>kg</v>
      </c>
      <c r="E84" s="77"/>
      <c r="F84" s="82"/>
      <c r="G84" s="82"/>
      <c r="H84" s="82"/>
      <c r="N84" s="60"/>
      <c r="O84" s="60"/>
      <c r="P84" s="60"/>
    </row>
    <row r="85" spans="2:16" ht="13" hidden="1" outlineLevel="1" x14ac:dyDescent="0.25">
      <c r="B85" s="74"/>
      <c r="C85" s="148"/>
      <c r="D85" s="76" t="str">
        <f>D71</f>
        <v>kg</v>
      </c>
      <c r="E85" s="77"/>
      <c r="F85" s="82"/>
      <c r="G85" s="82"/>
      <c r="H85" s="82"/>
      <c r="N85" s="60"/>
      <c r="O85" s="60"/>
      <c r="P85" s="60"/>
    </row>
    <row r="86" spans="2:16" ht="13" hidden="1" outlineLevel="1" x14ac:dyDescent="0.25">
      <c r="B86" s="74"/>
      <c r="C86" s="148"/>
      <c r="D86" s="76" t="str">
        <f>D71</f>
        <v>kg</v>
      </c>
      <c r="E86" s="77"/>
      <c r="F86" s="82"/>
      <c r="G86" s="82"/>
      <c r="H86" s="82"/>
      <c r="N86" s="60"/>
      <c r="O86" s="60"/>
      <c r="P86" s="60"/>
    </row>
    <row r="87" spans="2:16" ht="13" hidden="1" outlineLevel="1" x14ac:dyDescent="0.25">
      <c r="B87" s="74"/>
      <c r="C87" s="148"/>
      <c r="D87" s="76" t="str">
        <f>D71</f>
        <v>kg</v>
      </c>
      <c r="E87" s="77"/>
      <c r="F87" s="82"/>
      <c r="G87" s="82"/>
      <c r="H87" s="82"/>
      <c r="N87" s="60"/>
      <c r="O87" s="60"/>
      <c r="P87" s="60"/>
    </row>
    <row r="88" spans="2:16" ht="13" hidden="1" outlineLevel="1" x14ac:dyDescent="0.25">
      <c r="B88" s="74"/>
      <c r="C88" s="148"/>
      <c r="D88" s="76" t="str">
        <f>D71</f>
        <v>kg</v>
      </c>
      <c r="E88" s="77"/>
      <c r="F88" s="82"/>
      <c r="G88" s="82"/>
      <c r="H88" s="82"/>
      <c r="N88" s="60"/>
      <c r="O88" s="60"/>
      <c r="P88" s="60"/>
    </row>
    <row r="89" spans="2:16" ht="13" hidden="1" outlineLevel="1" x14ac:dyDescent="0.25">
      <c r="B89" s="74"/>
      <c r="C89" s="148"/>
      <c r="D89" s="76" t="str">
        <f>D71</f>
        <v>kg</v>
      </c>
      <c r="E89" s="77"/>
      <c r="F89" s="82"/>
      <c r="G89" s="82"/>
      <c r="H89" s="82"/>
      <c r="N89" s="60"/>
      <c r="O89" s="60"/>
      <c r="P89" s="60"/>
    </row>
    <row r="90" spans="2:16" ht="13" hidden="1" outlineLevel="1" x14ac:dyDescent="0.25">
      <c r="B90" s="74"/>
      <c r="C90" s="148"/>
      <c r="D90" s="76" t="str">
        <f>D71</f>
        <v>kg</v>
      </c>
      <c r="E90" s="77"/>
      <c r="F90" s="82"/>
      <c r="G90" s="82"/>
      <c r="H90" s="82"/>
      <c r="N90" s="60"/>
      <c r="O90" s="60"/>
      <c r="P90" s="60"/>
    </row>
    <row r="91" spans="2:16" ht="13" hidden="1" outlineLevel="1" x14ac:dyDescent="0.25">
      <c r="B91" s="74"/>
      <c r="C91" s="148"/>
      <c r="D91" s="76" t="str">
        <f>D71</f>
        <v>kg</v>
      </c>
      <c r="E91" s="77"/>
      <c r="F91" s="82"/>
      <c r="G91" s="82"/>
      <c r="H91" s="82"/>
      <c r="N91" s="60"/>
      <c r="O91" s="60"/>
      <c r="P91" s="60"/>
    </row>
    <row r="92" spans="2:16" ht="13" hidden="1" outlineLevel="1" x14ac:dyDescent="0.25">
      <c r="B92" s="74"/>
      <c r="C92" s="148"/>
      <c r="D92" s="76" t="str">
        <f>D71</f>
        <v>kg</v>
      </c>
      <c r="E92" s="77"/>
      <c r="F92" s="82"/>
      <c r="G92" s="82"/>
      <c r="H92" s="82"/>
      <c r="N92" s="60"/>
      <c r="O92" s="60"/>
      <c r="P92" s="60"/>
    </row>
    <row r="93" spans="2:16" ht="13" hidden="1" outlineLevel="1" x14ac:dyDescent="0.25">
      <c r="B93" s="74"/>
      <c r="C93" s="148"/>
      <c r="D93" s="76" t="str">
        <f>D71</f>
        <v>kg</v>
      </c>
      <c r="E93" s="77"/>
      <c r="F93" s="82"/>
      <c r="G93" s="82"/>
      <c r="H93" s="82"/>
      <c r="N93" s="60"/>
      <c r="O93" s="60"/>
      <c r="P93" s="60"/>
    </row>
    <row r="94" spans="2:16" ht="13.4" hidden="1" customHeight="1" outlineLevel="1" x14ac:dyDescent="0.25">
      <c r="B94" s="79"/>
      <c r="C94" s="147"/>
      <c r="D94" s="81"/>
      <c r="E94" s="77"/>
      <c r="F94" s="82"/>
      <c r="G94" s="82"/>
      <c r="H94" s="82"/>
      <c r="K94" s="34"/>
      <c r="N94" s="60"/>
      <c r="O94" s="60"/>
      <c r="P94" s="60"/>
    </row>
    <row r="95" spans="2:16" ht="13" hidden="1" outlineLevel="1" x14ac:dyDescent="0.25">
      <c r="B95" s="86" t="s">
        <v>7</v>
      </c>
      <c r="C95" s="149">
        <f>SUM(C80:C93)</f>
        <v>0</v>
      </c>
      <c r="D95" s="88" t="str">
        <f>D71</f>
        <v>kg</v>
      </c>
      <c r="E95" s="77"/>
      <c r="F95" s="82"/>
      <c r="G95" s="82"/>
      <c r="H95" s="82"/>
      <c r="N95" s="60"/>
      <c r="O95" s="60"/>
      <c r="P95" s="60"/>
    </row>
    <row r="96" spans="2:16" ht="13" hidden="1" outlineLevel="1" x14ac:dyDescent="0.25">
      <c r="B96" s="79" t="s">
        <v>71</v>
      </c>
      <c r="C96" s="150"/>
      <c r="D96" s="81"/>
      <c r="E96" s="77"/>
      <c r="F96" s="82"/>
      <c r="G96" s="82"/>
      <c r="H96" s="82"/>
      <c r="I96" s="34"/>
      <c r="J96" s="53"/>
      <c r="L96" s="53"/>
      <c r="N96" s="60"/>
      <c r="O96" s="60"/>
      <c r="P96" s="60"/>
    </row>
    <row r="97" spans="2:16" ht="13" hidden="1" outlineLevel="1" x14ac:dyDescent="0.25">
      <c r="B97" s="74"/>
      <c r="C97" s="148"/>
      <c r="D97" s="76" t="str">
        <f>D71</f>
        <v>kg</v>
      </c>
      <c r="E97" s="77"/>
      <c r="F97" s="82"/>
      <c r="G97" s="82"/>
      <c r="H97" s="82"/>
      <c r="N97" s="60"/>
      <c r="O97" s="60"/>
      <c r="P97" s="60"/>
    </row>
    <row r="98" spans="2:16" ht="13" hidden="1" outlineLevel="1" x14ac:dyDescent="0.25">
      <c r="B98" s="74"/>
      <c r="C98" s="148"/>
      <c r="D98" s="76" t="str">
        <f>D71</f>
        <v>kg</v>
      </c>
      <c r="E98" s="77"/>
      <c r="F98" s="82"/>
      <c r="G98" s="82"/>
      <c r="H98" s="82"/>
      <c r="N98" s="60"/>
      <c r="O98" s="60"/>
      <c r="P98" s="60"/>
    </row>
    <row r="99" spans="2:16" ht="13" hidden="1" outlineLevel="1" x14ac:dyDescent="0.25">
      <c r="B99" s="74"/>
      <c r="C99" s="148"/>
      <c r="D99" s="76" t="str">
        <f>D71</f>
        <v>kg</v>
      </c>
      <c r="E99" s="77"/>
      <c r="F99" s="82"/>
      <c r="G99" s="82"/>
      <c r="H99" s="82"/>
      <c r="N99" s="60"/>
      <c r="O99" s="60"/>
      <c r="P99" s="60"/>
    </row>
    <row r="100" spans="2:16" ht="13" hidden="1" outlineLevel="1" x14ac:dyDescent="0.25">
      <c r="B100" s="74"/>
      <c r="C100" s="148"/>
      <c r="D100" s="76" t="str">
        <f>D71</f>
        <v>kg</v>
      </c>
      <c r="E100" s="77"/>
      <c r="F100" s="82"/>
      <c r="G100" s="82"/>
      <c r="H100" s="82"/>
      <c r="N100" s="60"/>
      <c r="O100" s="60"/>
      <c r="P100" s="60"/>
    </row>
    <row r="101" spans="2:16" ht="13" hidden="1" outlineLevel="1" x14ac:dyDescent="0.25">
      <c r="B101" s="74"/>
      <c r="C101" s="148"/>
      <c r="D101" s="76" t="str">
        <f>D71</f>
        <v>kg</v>
      </c>
      <c r="E101" s="77"/>
      <c r="F101" s="82"/>
      <c r="G101" s="82"/>
      <c r="H101" s="82"/>
      <c r="N101" s="60"/>
      <c r="O101" s="60"/>
      <c r="P101" s="60"/>
    </row>
    <row r="102" spans="2:16" ht="13" hidden="1" outlineLevel="1" x14ac:dyDescent="0.25">
      <c r="B102" s="74"/>
      <c r="C102" s="148"/>
      <c r="D102" s="76" t="str">
        <f>D71</f>
        <v>kg</v>
      </c>
      <c r="E102" s="77"/>
      <c r="F102" s="82"/>
      <c r="G102" s="82"/>
      <c r="H102" s="82"/>
      <c r="N102" s="60"/>
      <c r="O102" s="60"/>
      <c r="P102" s="60"/>
    </row>
    <row r="103" spans="2:16" ht="13" hidden="1" outlineLevel="1" x14ac:dyDescent="0.25">
      <c r="B103" s="74"/>
      <c r="C103" s="148"/>
      <c r="D103" s="76" t="str">
        <f>D71</f>
        <v>kg</v>
      </c>
      <c r="E103" s="77"/>
      <c r="F103" s="82"/>
      <c r="G103" s="82"/>
      <c r="H103" s="82"/>
      <c r="N103" s="60"/>
      <c r="O103" s="60"/>
      <c r="P103" s="60"/>
    </row>
    <row r="104" spans="2:16" ht="13" hidden="1" outlineLevel="1" x14ac:dyDescent="0.25">
      <c r="B104" s="74"/>
      <c r="C104" s="148"/>
      <c r="D104" s="76" t="str">
        <f>D71</f>
        <v>kg</v>
      </c>
      <c r="E104" s="77"/>
      <c r="F104" s="82"/>
      <c r="G104" s="82"/>
      <c r="H104" s="82"/>
      <c r="N104" s="60"/>
      <c r="O104" s="60"/>
      <c r="P104" s="60"/>
    </row>
    <row r="105" spans="2:16" ht="13" hidden="1" outlineLevel="1" x14ac:dyDescent="0.25">
      <c r="B105" s="79" t="s">
        <v>70</v>
      </c>
      <c r="C105" s="147"/>
      <c r="D105" s="81"/>
      <c r="E105" s="90"/>
      <c r="F105" s="82"/>
      <c r="G105" s="82"/>
      <c r="H105" s="82"/>
      <c r="N105" s="60"/>
      <c r="O105" s="60"/>
      <c r="P105" s="60"/>
    </row>
    <row r="106" spans="2:16" ht="13" hidden="1" outlineLevel="1" x14ac:dyDescent="0.25">
      <c r="B106" s="74"/>
      <c r="C106" s="148"/>
      <c r="D106" s="76" t="str">
        <f>D71</f>
        <v>kg</v>
      </c>
      <c r="E106" s="77"/>
      <c r="F106" s="82"/>
      <c r="G106" s="82"/>
      <c r="H106" s="82"/>
      <c r="N106" s="60"/>
      <c r="O106" s="60"/>
      <c r="P106" s="60"/>
    </row>
    <row r="107" spans="2:16" ht="13" hidden="1" outlineLevel="1" x14ac:dyDescent="0.25">
      <c r="B107" s="74"/>
      <c r="C107" s="148"/>
      <c r="D107" s="76" t="str">
        <f>D71</f>
        <v>kg</v>
      </c>
      <c r="E107" s="77"/>
      <c r="F107" s="82"/>
      <c r="G107" s="82"/>
      <c r="H107" s="82"/>
      <c r="N107" s="60"/>
      <c r="O107" s="60"/>
      <c r="P107" s="60"/>
    </row>
    <row r="108" spans="2:16" ht="13" hidden="1" outlineLevel="1" x14ac:dyDescent="0.25">
      <c r="B108" s="74"/>
      <c r="C108" s="148"/>
      <c r="D108" s="76" t="str">
        <f>D71</f>
        <v>kg</v>
      </c>
      <c r="E108" s="77"/>
      <c r="F108" s="82"/>
      <c r="G108" s="82"/>
      <c r="H108" s="82"/>
      <c r="N108" s="60"/>
      <c r="O108" s="60"/>
      <c r="P108" s="60"/>
    </row>
    <row r="109" spans="2:16" ht="13" hidden="1" outlineLevel="1" x14ac:dyDescent="0.25">
      <c r="B109" s="74"/>
      <c r="C109" s="148"/>
      <c r="D109" s="76" t="str">
        <f>D71</f>
        <v>kg</v>
      </c>
      <c r="E109" s="77"/>
      <c r="F109" s="82"/>
      <c r="G109" s="82"/>
      <c r="H109" s="82"/>
      <c r="N109" s="60"/>
      <c r="O109" s="60"/>
      <c r="P109" s="60"/>
    </row>
    <row r="110" spans="2:16" ht="13" hidden="1" outlineLevel="1" x14ac:dyDescent="0.25">
      <c r="B110" s="74"/>
      <c r="C110" s="148"/>
      <c r="D110" s="76" t="str">
        <f>D73</f>
        <v>kg</v>
      </c>
      <c r="E110" s="77"/>
      <c r="F110" s="82"/>
      <c r="G110" s="82"/>
      <c r="H110" s="82"/>
      <c r="N110" s="60"/>
      <c r="O110" s="60"/>
      <c r="P110" s="60"/>
    </row>
    <row r="111" spans="2:16" ht="13" hidden="1" outlineLevel="1" x14ac:dyDescent="0.25">
      <c r="B111" s="74"/>
      <c r="C111" s="148"/>
      <c r="D111" s="76" t="str">
        <f>D71</f>
        <v>kg</v>
      </c>
      <c r="E111" s="77"/>
      <c r="F111" s="82"/>
      <c r="G111" s="82"/>
      <c r="H111" s="82"/>
      <c r="N111" s="60"/>
      <c r="O111" s="60"/>
      <c r="P111" s="60"/>
    </row>
    <row r="112" spans="2:16" ht="13" hidden="1" outlineLevel="1" x14ac:dyDescent="0.25">
      <c r="B112" s="74"/>
      <c r="C112" s="148"/>
      <c r="D112" s="76" t="str">
        <f>D71</f>
        <v>kg</v>
      </c>
      <c r="E112" s="77"/>
      <c r="F112" s="82"/>
      <c r="G112" s="82"/>
      <c r="H112" s="82"/>
      <c r="N112" s="60"/>
      <c r="O112" s="60"/>
      <c r="P112" s="60"/>
    </row>
    <row r="113" spans="2:16" ht="13.4" hidden="1" customHeight="1" outlineLevel="1" x14ac:dyDescent="0.25">
      <c r="B113" s="79"/>
      <c r="C113" s="147"/>
      <c r="D113" s="81"/>
      <c r="E113" s="77"/>
      <c r="F113" s="82"/>
      <c r="G113" s="82"/>
      <c r="H113" s="82"/>
      <c r="K113" s="34"/>
      <c r="N113" s="60"/>
      <c r="O113" s="60"/>
      <c r="P113" s="60"/>
    </row>
    <row r="114" spans="2:16" ht="13" hidden="1" outlineLevel="1" x14ac:dyDescent="0.25">
      <c r="B114" s="86" t="s">
        <v>9</v>
      </c>
      <c r="C114" s="149">
        <f>SUM(C95:C112)</f>
        <v>0</v>
      </c>
      <c r="D114" s="91" t="str">
        <f>D71</f>
        <v>kg</v>
      </c>
      <c r="E114" s="77"/>
      <c r="F114" s="82"/>
      <c r="G114" s="82"/>
      <c r="H114" s="82"/>
      <c r="N114" s="60"/>
      <c r="O114" s="60"/>
      <c r="P114" s="60"/>
    </row>
    <row r="115" spans="2:16" ht="13" hidden="1" outlineLevel="1" x14ac:dyDescent="0.25">
      <c r="B115" s="92"/>
      <c r="C115" s="93"/>
      <c r="D115" s="94"/>
      <c r="E115" s="77"/>
      <c r="F115" s="82"/>
      <c r="G115" s="82"/>
      <c r="H115" s="82"/>
      <c r="N115" s="60"/>
      <c r="O115" s="60"/>
      <c r="P115" s="60"/>
    </row>
    <row r="116" spans="2:16" ht="20.5" hidden="1" outlineLevel="1" thickBot="1" x14ac:dyDescent="0.3">
      <c r="B116" s="426" t="s">
        <v>10</v>
      </c>
      <c r="C116" s="427"/>
      <c r="D116" s="428"/>
      <c r="E116" s="77"/>
      <c r="F116" s="82"/>
      <c r="G116" s="82"/>
      <c r="H116" s="82"/>
      <c r="N116" s="60"/>
      <c r="O116" s="60"/>
      <c r="P116" s="60"/>
    </row>
    <row r="117" spans="2:16" ht="13" hidden="1" outlineLevel="1" x14ac:dyDescent="0.25">
      <c r="B117" s="95" t="s">
        <v>23</v>
      </c>
      <c r="C117" s="96"/>
      <c r="D117" s="151">
        <f>SUM(C81:C82)</f>
        <v>0</v>
      </c>
      <c r="E117" s="98"/>
      <c r="F117" s="82"/>
      <c r="G117" s="82"/>
      <c r="H117" s="82"/>
      <c r="N117" s="60"/>
      <c r="O117" s="60"/>
      <c r="P117" s="60"/>
    </row>
    <row r="118" spans="2:16" ht="13" hidden="1" outlineLevel="1" x14ac:dyDescent="0.25">
      <c r="B118" s="99" t="s">
        <v>24</v>
      </c>
      <c r="C118" s="100"/>
      <c r="D118" s="152">
        <f>SUM(C84:C94)</f>
        <v>0</v>
      </c>
      <c r="E118" s="98"/>
      <c r="F118" s="82"/>
      <c r="G118" s="82"/>
      <c r="H118" s="82"/>
      <c r="N118" s="60"/>
      <c r="O118" s="60"/>
      <c r="P118" s="60"/>
    </row>
    <row r="119" spans="2:16" ht="13" hidden="1" outlineLevel="1" x14ac:dyDescent="0.25">
      <c r="B119" s="99" t="s">
        <v>25</v>
      </c>
      <c r="C119" s="100"/>
      <c r="D119" s="152">
        <f>SUM(C97:C105)</f>
        <v>0</v>
      </c>
      <c r="E119" s="98"/>
      <c r="F119" s="82"/>
      <c r="G119" s="82"/>
      <c r="H119" s="82"/>
      <c r="N119" s="60"/>
      <c r="O119" s="60"/>
      <c r="P119" s="60"/>
    </row>
    <row r="120" spans="2:16" ht="13" hidden="1" outlineLevel="1" x14ac:dyDescent="0.25">
      <c r="B120" s="102" t="s">
        <v>26</v>
      </c>
      <c r="C120" s="103"/>
      <c r="D120" s="153">
        <f>SUM(C106:C113)</f>
        <v>0</v>
      </c>
      <c r="E120" s="98"/>
      <c r="F120" s="82"/>
      <c r="G120" s="82"/>
      <c r="H120" s="82"/>
      <c r="N120" s="60"/>
      <c r="O120" s="60"/>
      <c r="P120" s="60"/>
    </row>
    <row r="121" spans="2:16" ht="18.5" hidden="1" outlineLevel="1" thickTop="1" x14ac:dyDescent="0.25">
      <c r="B121" s="105" t="s">
        <v>11</v>
      </c>
      <c r="C121" s="106"/>
      <c r="D121" s="107" t="e">
        <f>C95/C77</f>
        <v>#DIV/0!</v>
      </c>
      <c r="E121" s="77"/>
      <c r="F121" s="110" t="s">
        <v>86</v>
      </c>
      <c r="G121" s="109" t="s">
        <v>85</v>
      </c>
      <c r="H121" s="110"/>
      <c r="N121" s="60"/>
      <c r="O121" s="60"/>
      <c r="P121" s="60"/>
    </row>
    <row r="122" spans="2:16" ht="18.5" hidden="1" outlineLevel="1" thickBot="1" x14ac:dyDescent="0.3">
      <c r="B122" s="111" t="s">
        <v>12</v>
      </c>
      <c r="C122" s="112"/>
      <c r="D122" s="113" t="e">
        <f>(D117+D118+D119)/C77</f>
        <v>#DIV/0!</v>
      </c>
      <c r="E122" s="77"/>
      <c r="F122" s="154"/>
      <c r="G122" s="413"/>
      <c r="H122" s="414"/>
      <c r="N122" s="60"/>
      <c r="O122" s="60"/>
      <c r="P122" s="60"/>
    </row>
    <row r="123" spans="2:16" ht="18" hidden="1" outlineLevel="1" x14ac:dyDescent="0.25">
      <c r="B123" s="111" t="s">
        <v>13</v>
      </c>
      <c r="C123" s="112"/>
      <c r="D123" s="113" t="e">
        <f>D119/C77</f>
        <v>#DIV/0!</v>
      </c>
      <c r="E123" s="90"/>
      <c r="F123" s="64" t="s">
        <v>45</v>
      </c>
      <c r="G123" s="64" t="s">
        <v>45</v>
      </c>
      <c r="H123" s="155"/>
      <c r="N123" s="60"/>
      <c r="O123" s="60"/>
      <c r="P123" s="60"/>
    </row>
    <row r="124" spans="2:16" ht="18" hidden="1" outlineLevel="1" x14ac:dyDescent="0.25">
      <c r="B124" s="114" t="s">
        <v>14</v>
      </c>
      <c r="C124" s="115"/>
      <c r="D124" s="116" t="e">
        <f>D120/C77</f>
        <v>#DIV/0!</v>
      </c>
      <c r="E124" s="90"/>
      <c r="F124" s="110"/>
      <c r="G124" s="117" t="s">
        <v>46</v>
      </c>
      <c r="H124" s="110"/>
      <c r="N124" s="60"/>
      <c r="O124" s="60"/>
      <c r="P124" s="60"/>
    </row>
    <row r="125" spans="2:16" ht="18.5" hidden="1" outlineLevel="1" thickBot="1" x14ac:dyDescent="0.3">
      <c r="B125" s="114" t="s">
        <v>15</v>
      </c>
      <c r="C125" s="119"/>
      <c r="D125" s="116" t="e">
        <f>SUM(D117:D120)/C77</f>
        <v>#DIV/0!</v>
      </c>
      <c r="E125" s="90"/>
      <c r="F125" s="429"/>
      <c r="G125" s="430"/>
      <c r="H125" s="431"/>
      <c r="N125" s="60"/>
      <c r="O125" s="60"/>
      <c r="P125" s="60"/>
    </row>
    <row r="126" spans="2:16" ht="18.5" hidden="1" outlineLevel="1" thickTop="1" x14ac:dyDescent="0.25">
      <c r="B126" s="120" t="s">
        <v>16</v>
      </c>
      <c r="C126" s="121"/>
      <c r="D126" s="122" t="e">
        <f>((C81*D59)+D118+C82*MAX(1,F82))/C77</f>
        <v>#DIV/0!</v>
      </c>
      <c r="E126" s="77"/>
      <c r="F126" s="64" t="s">
        <v>45</v>
      </c>
      <c r="G126" s="64"/>
      <c r="H126" s="82"/>
      <c r="N126" s="60"/>
      <c r="O126" s="60"/>
      <c r="P126" s="60"/>
    </row>
    <row r="127" spans="2:16" ht="18" hidden="1" outlineLevel="1" x14ac:dyDescent="0.25">
      <c r="B127" s="123" t="s">
        <v>17</v>
      </c>
      <c r="C127" s="124"/>
      <c r="D127" s="125" t="e">
        <f>(C81*D60+D118+D119+C82*(MAX(1,F82)+G82))/C77</f>
        <v>#DIV/0!</v>
      </c>
      <c r="E127" s="77"/>
      <c r="F127" s="82"/>
      <c r="G127" s="82"/>
      <c r="H127" s="82"/>
      <c r="N127" s="60"/>
      <c r="O127" s="60"/>
      <c r="P127" s="60"/>
    </row>
    <row r="128" spans="2:16" ht="18" hidden="1" customHeight="1" outlineLevel="1" x14ac:dyDescent="0.25">
      <c r="B128" s="123" t="s">
        <v>18</v>
      </c>
      <c r="C128" s="124"/>
      <c r="D128" s="125" t="e">
        <f>((C81*D61)+D119+C82*G82)/C77</f>
        <v>#DIV/0!</v>
      </c>
      <c r="E128" s="77"/>
      <c r="F128" s="415" t="s">
        <v>61</v>
      </c>
      <c r="G128" s="416"/>
      <c r="H128" s="416"/>
      <c r="N128" s="60"/>
      <c r="O128" s="60"/>
      <c r="P128" s="60"/>
    </row>
    <row r="129" spans="2:16" ht="18" hidden="1" outlineLevel="1" x14ac:dyDescent="0.25">
      <c r="B129" s="126" t="s">
        <v>19</v>
      </c>
      <c r="C129" s="127"/>
      <c r="D129" s="128" t="e">
        <f>(C81*D62+D120+C82*H82)/C77</f>
        <v>#DIV/0!</v>
      </c>
      <c r="E129" s="77"/>
      <c r="F129" s="416"/>
      <c r="G129" s="416"/>
      <c r="H129" s="416"/>
      <c r="N129" s="60"/>
      <c r="O129" s="60"/>
      <c r="P129" s="60"/>
    </row>
    <row r="130" spans="2:16" ht="18.5" hidden="1" outlineLevel="1" thickBot="1" x14ac:dyDescent="0.3">
      <c r="B130" s="129" t="s">
        <v>20</v>
      </c>
      <c r="C130" s="130"/>
      <c r="D130" s="131" t="e">
        <f>((C81*D63)+SUM(D118:D120)+C82*(MAX(1,F82)+G82+H82))/C77</f>
        <v>#DIV/0!</v>
      </c>
      <c r="E130" s="77"/>
      <c r="F130" s="416"/>
      <c r="G130" s="416"/>
      <c r="H130" s="416"/>
      <c r="N130" s="60"/>
      <c r="O130" s="60"/>
      <c r="P130" s="60"/>
    </row>
    <row r="131" spans="2:16" ht="13" hidden="1" outlineLevel="1" thickTop="1" x14ac:dyDescent="0.25">
      <c r="B131" s="156" t="s">
        <v>76</v>
      </c>
      <c r="C131" s="424"/>
      <c r="D131" s="425"/>
      <c r="E131" s="46"/>
      <c r="F131" s="416"/>
      <c r="G131" s="416"/>
      <c r="H131" s="416"/>
      <c r="N131" s="60"/>
      <c r="O131" s="60"/>
      <c r="P131" s="60"/>
    </row>
    <row r="132" spans="2:16" hidden="1" outlineLevel="1" x14ac:dyDescent="0.25">
      <c r="B132" s="157" t="s">
        <v>58</v>
      </c>
      <c r="C132" s="422"/>
      <c r="D132" s="423"/>
      <c r="E132" s="46"/>
      <c r="F132" s="416"/>
      <c r="G132" s="416"/>
      <c r="H132" s="416"/>
      <c r="N132" s="60"/>
      <c r="O132" s="60"/>
      <c r="P132" s="60"/>
    </row>
    <row r="133" spans="2:16" ht="13" hidden="1" outlineLevel="1" thickBot="1" x14ac:dyDescent="0.3">
      <c r="B133" s="158" t="s">
        <v>59</v>
      </c>
      <c r="C133" s="420"/>
      <c r="D133" s="421"/>
      <c r="E133" s="46"/>
      <c r="F133" s="416"/>
      <c r="G133" s="416"/>
      <c r="H133" s="416"/>
      <c r="N133" s="60"/>
      <c r="O133" s="60"/>
      <c r="P133" s="60"/>
    </row>
    <row r="134" spans="2:16" ht="13" hidden="1" outlineLevel="1" x14ac:dyDescent="0.25">
      <c r="E134" s="46"/>
      <c r="F134" s="34"/>
      <c r="G134" s="34"/>
      <c r="H134" s="34"/>
      <c r="N134" s="60"/>
      <c r="O134" s="60"/>
      <c r="P134" s="60"/>
    </row>
    <row r="135" spans="2:16" ht="13" hidden="1" outlineLevel="1" x14ac:dyDescent="0.25">
      <c r="C135" s="25" t="s">
        <v>44</v>
      </c>
      <c r="D135" s="25" t="s">
        <v>42</v>
      </c>
      <c r="E135" s="46"/>
      <c r="F135" s="34"/>
      <c r="G135" s="34"/>
      <c r="H135" s="34"/>
      <c r="N135" s="60"/>
      <c r="O135" s="60"/>
      <c r="P135" s="60"/>
    </row>
    <row r="136" spans="2:16" ht="21" hidden="1" outlineLevel="1" thickTop="1" thickBot="1" x14ac:dyDescent="0.3">
      <c r="B136" s="140" t="s">
        <v>73</v>
      </c>
      <c r="C136" s="29"/>
      <c r="D136" s="141"/>
      <c r="E136" s="31"/>
      <c r="F136" s="32" t="s">
        <v>27</v>
      </c>
      <c r="G136" s="33"/>
      <c r="H136" s="33"/>
      <c r="I136" s="34"/>
    </row>
    <row r="137" spans="2:16" ht="14.5" hidden="1" outlineLevel="1" thickBot="1" x14ac:dyDescent="0.3">
      <c r="B137" s="37"/>
      <c r="C137" s="38" t="s">
        <v>0</v>
      </c>
      <c r="D137" s="39" t="s">
        <v>1</v>
      </c>
      <c r="E137" s="40"/>
      <c r="F137" s="41" t="s">
        <v>28</v>
      </c>
      <c r="G137" s="41" t="s">
        <v>21</v>
      </c>
      <c r="H137" s="41" t="s">
        <v>8</v>
      </c>
    </row>
    <row r="138" spans="2:16" ht="13" hidden="1" outlineLevel="1" x14ac:dyDescent="0.25">
      <c r="B138" s="43" t="s">
        <v>65</v>
      </c>
      <c r="C138" s="142"/>
      <c r="D138" s="45" t="s">
        <v>2</v>
      </c>
      <c r="E138" s="46"/>
      <c r="F138" s="47"/>
      <c r="G138" s="47"/>
      <c r="H138" s="47"/>
      <c r="N138" s="60"/>
      <c r="O138" s="60"/>
      <c r="P138" s="60"/>
    </row>
    <row r="139" spans="2:16" ht="13" hidden="1" outlineLevel="1" x14ac:dyDescent="0.25">
      <c r="B139" s="43" t="s">
        <v>64</v>
      </c>
      <c r="C139" s="143"/>
      <c r="D139" s="45" t="s">
        <v>3</v>
      </c>
      <c r="E139" s="46"/>
      <c r="F139" s="47"/>
      <c r="G139" s="47"/>
      <c r="H139" s="47"/>
      <c r="N139" s="60"/>
      <c r="O139" s="60"/>
      <c r="P139" s="60"/>
    </row>
    <row r="140" spans="2:16" ht="13" hidden="1" outlineLevel="1" x14ac:dyDescent="0.25">
      <c r="B140" s="51" t="s">
        <v>63</v>
      </c>
      <c r="C140" s="144">
        <f>C138*C139</f>
        <v>0</v>
      </c>
      <c r="D140" s="45" t="str">
        <f>D138</f>
        <v>kg</v>
      </c>
      <c r="E140" s="46"/>
      <c r="F140" s="47"/>
      <c r="G140" s="47"/>
      <c r="H140" s="47"/>
      <c r="N140" s="60"/>
      <c r="O140" s="60"/>
      <c r="P140" s="60"/>
    </row>
    <row r="141" spans="2:16" ht="14" hidden="1" outlineLevel="1" x14ac:dyDescent="0.25">
      <c r="B141" s="54" t="s">
        <v>37</v>
      </c>
      <c r="C141" s="145">
        <v>1</v>
      </c>
      <c r="D141" s="56"/>
      <c r="E141" s="57"/>
      <c r="F141" s="58"/>
      <c r="G141" s="58"/>
      <c r="H141" s="58"/>
      <c r="N141" s="60"/>
      <c r="O141" s="60"/>
      <c r="P141" s="60"/>
    </row>
    <row r="142" spans="2:16" ht="13" hidden="1" outlineLevel="1" x14ac:dyDescent="0.25">
      <c r="B142" s="43" t="s">
        <v>66</v>
      </c>
      <c r="C142" s="142"/>
      <c r="D142" s="45" t="str">
        <f>D138</f>
        <v>kg</v>
      </c>
      <c r="E142" s="46"/>
      <c r="F142" s="47"/>
      <c r="G142" s="47"/>
      <c r="H142" s="47"/>
      <c r="N142" s="60"/>
      <c r="O142" s="60"/>
      <c r="P142" s="60"/>
    </row>
    <row r="143" spans="2:16" ht="13" hidden="1" outlineLevel="1" x14ac:dyDescent="0.25">
      <c r="B143" s="43" t="s">
        <v>67</v>
      </c>
      <c r="C143" s="143"/>
      <c r="D143" s="45" t="s">
        <v>3</v>
      </c>
      <c r="E143" s="59"/>
      <c r="F143" s="47"/>
      <c r="G143" s="47"/>
      <c r="H143" s="47"/>
      <c r="N143" s="60"/>
      <c r="O143" s="60"/>
      <c r="P143" s="60"/>
    </row>
    <row r="144" spans="2:16" ht="13" hidden="1" outlineLevel="1" x14ac:dyDescent="0.25">
      <c r="B144" s="51" t="s">
        <v>68</v>
      </c>
      <c r="C144" s="144">
        <f>C142*C143</f>
        <v>0</v>
      </c>
      <c r="D144" s="45" t="str">
        <f>D138</f>
        <v>kg</v>
      </c>
      <c r="E144" s="46"/>
      <c r="F144" s="47"/>
      <c r="G144" s="47"/>
      <c r="H144" s="47"/>
      <c r="N144" s="60"/>
      <c r="O144" s="60"/>
      <c r="P144" s="60"/>
    </row>
    <row r="145" spans="2:16" ht="13.5" hidden="1" outlineLevel="1" thickBot="1" x14ac:dyDescent="0.3">
      <c r="B145" s="61"/>
      <c r="C145" s="62"/>
      <c r="D145" s="63"/>
      <c r="F145" s="64"/>
      <c r="G145" s="64"/>
      <c r="H145" s="64"/>
      <c r="N145" s="60"/>
      <c r="O145" s="60"/>
      <c r="P145" s="60"/>
    </row>
    <row r="146" spans="2:16" ht="14.5" hidden="1" outlineLevel="1" thickBot="1" x14ac:dyDescent="0.3">
      <c r="B146" s="65" t="s">
        <v>5</v>
      </c>
      <c r="C146" s="66" t="s">
        <v>6</v>
      </c>
      <c r="D146" s="67" t="s">
        <v>1</v>
      </c>
      <c r="E146" s="68"/>
      <c r="F146" s="69"/>
      <c r="G146" s="69"/>
      <c r="H146" s="69"/>
      <c r="N146" s="60"/>
      <c r="O146" s="60"/>
      <c r="P146" s="60"/>
    </row>
    <row r="147" spans="2:16" ht="13" hidden="1" outlineLevel="1" x14ac:dyDescent="0.25">
      <c r="B147" s="70" t="s">
        <v>43</v>
      </c>
      <c r="C147" s="71"/>
      <c r="D147" s="72"/>
      <c r="E147" s="73"/>
      <c r="F147" s="69"/>
      <c r="G147" s="69"/>
      <c r="H147" s="69"/>
      <c r="N147" s="60"/>
      <c r="O147" s="60"/>
      <c r="P147" s="60"/>
    </row>
    <row r="148" spans="2:16" ht="13" hidden="1" outlineLevel="1" x14ac:dyDescent="0.25">
      <c r="B148" s="74"/>
      <c r="C148" s="146">
        <f>C140</f>
        <v>0</v>
      </c>
      <c r="D148" s="76" t="str">
        <f>D138</f>
        <v>kg</v>
      </c>
      <c r="E148" s="98"/>
      <c r="F148" s="69"/>
      <c r="G148" s="69"/>
      <c r="H148" s="69"/>
      <c r="N148" s="60"/>
      <c r="O148" s="60"/>
      <c r="P148" s="60"/>
    </row>
    <row r="149" spans="2:16" ht="13.5" hidden="1" outlineLevel="1" thickBot="1" x14ac:dyDescent="0.3">
      <c r="B149" s="74"/>
      <c r="C149" s="146"/>
      <c r="D149" s="76" t="str">
        <f>D138</f>
        <v>kg</v>
      </c>
      <c r="E149" s="77"/>
      <c r="F149" s="78"/>
      <c r="G149" s="78"/>
      <c r="H149" s="78"/>
      <c r="N149" s="60"/>
      <c r="O149" s="60"/>
      <c r="P149" s="60"/>
    </row>
    <row r="150" spans="2:16" ht="13" hidden="1" outlineLevel="1" x14ac:dyDescent="0.25">
      <c r="B150" s="79" t="s">
        <v>69</v>
      </c>
      <c r="C150" s="147"/>
      <c r="D150" s="81"/>
      <c r="E150" s="77"/>
      <c r="F150" s="82"/>
      <c r="G150" s="82"/>
      <c r="H150" s="82"/>
      <c r="N150" s="60"/>
      <c r="O150" s="60"/>
      <c r="P150" s="60"/>
    </row>
    <row r="151" spans="2:16" ht="13" hidden="1" outlineLevel="1" x14ac:dyDescent="0.25">
      <c r="B151" s="74"/>
      <c r="C151" s="148"/>
      <c r="D151" s="76" t="str">
        <f>D138</f>
        <v>kg</v>
      </c>
      <c r="E151" s="77"/>
      <c r="F151" s="82"/>
      <c r="G151" s="82"/>
      <c r="H151" s="82"/>
      <c r="N151" s="60"/>
      <c r="O151" s="60"/>
      <c r="P151" s="60"/>
    </row>
    <row r="152" spans="2:16" ht="13" hidden="1" outlineLevel="1" x14ac:dyDescent="0.25">
      <c r="B152" s="74"/>
      <c r="C152" s="148"/>
      <c r="D152" s="76" t="str">
        <f>D138</f>
        <v>kg</v>
      </c>
      <c r="E152" s="77"/>
      <c r="F152" s="82"/>
      <c r="G152" s="82"/>
      <c r="H152" s="82"/>
      <c r="N152" s="60"/>
      <c r="O152" s="60"/>
      <c r="P152" s="60"/>
    </row>
    <row r="153" spans="2:16" ht="13" hidden="1" outlineLevel="1" x14ac:dyDescent="0.25">
      <c r="B153" s="74"/>
      <c r="C153" s="148"/>
      <c r="D153" s="76" t="str">
        <f>D138</f>
        <v>kg</v>
      </c>
      <c r="E153" s="77"/>
      <c r="F153" s="82"/>
      <c r="G153" s="82"/>
      <c r="H153" s="82"/>
      <c r="N153" s="60"/>
      <c r="O153" s="60"/>
      <c r="P153" s="60"/>
    </row>
    <row r="154" spans="2:16" ht="13" hidden="1" outlineLevel="1" x14ac:dyDescent="0.25">
      <c r="B154" s="74"/>
      <c r="C154" s="148"/>
      <c r="D154" s="76" t="str">
        <f>D138</f>
        <v>kg</v>
      </c>
      <c r="E154" s="77"/>
      <c r="F154" s="82"/>
      <c r="G154" s="82"/>
      <c r="H154" s="82"/>
      <c r="N154" s="60"/>
      <c r="O154" s="60"/>
      <c r="P154" s="60"/>
    </row>
    <row r="155" spans="2:16" ht="13" hidden="1" outlineLevel="1" x14ac:dyDescent="0.25">
      <c r="B155" s="74"/>
      <c r="C155" s="148"/>
      <c r="D155" s="76" t="str">
        <f>D138</f>
        <v>kg</v>
      </c>
      <c r="E155" s="77"/>
      <c r="F155" s="82"/>
      <c r="G155" s="82"/>
      <c r="H155" s="82"/>
      <c r="N155" s="60"/>
      <c r="O155" s="60"/>
      <c r="P155" s="60"/>
    </row>
    <row r="156" spans="2:16" ht="13" hidden="1" outlineLevel="1" x14ac:dyDescent="0.25">
      <c r="B156" s="74"/>
      <c r="C156" s="148"/>
      <c r="D156" s="76" t="str">
        <f>D138</f>
        <v>kg</v>
      </c>
      <c r="E156" s="77"/>
      <c r="F156" s="82"/>
      <c r="G156" s="82"/>
      <c r="H156" s="82"/>
      <c r="N156" s="60"/>
      <c r="O156" s="60"/>
      <c r="P156" s="60"/>
    </row>
    <row r="157" spans="2:16" ht="13" hidden="1" outlineLevel="1" x14ac:dyDescent="0.25">
      <c r="B157" s="74"/>
      <c r="C157" s="148"/>
      <c r="D157" s="76" t="str">
        <f>D138</f>
        <v>kg</v>
      </c>
      <c r="E157" s="77"/>
      <c r="F157" s="82"/>
      <c r="G157" s="82"/>
      <c r="H157" s="82"/>
      <c r="N157" s="60"/>
      <c r="O157" s="60"/>
      <c r="P157" s="60"/>
    </row>
    <row r="158" spans="2:16" ht="13" hidden="1" outlineLevel="1" x14ac:dyDescent="0.25">
      <c r="B158" s="74"/>
      <c r="C158" s="148"/>
      <c r="D158" s="76" t="str">
        <f>D138</f>
        <v>kg</v>
      </c>
      <c r="E158" s="77"/>
      <c r="F158" s="82"/>
      <c r="G158" s="82"/>
      <c r="H158" s="82"/>
      <c r="N158" s="60"/>
      <c r="O158" s="60"/>
      <c r="P158" s="60"/>
    </row>
    <row r="159" spans="2:16" ht="13" hidden="1" outlineLevel="1" x14ac:dyDescent="0.25">
      <c r="B159" s="74"/>
      <c r="C159" s="148"/>
      <c r="D159" s="76" t="str">
        <f>D138</f>
        <v>kg</v>
      </c>
      <c r="E159" s="77"/>
      <c r="F159" s="82"/>
      <c r="G159" s="82"/>
      <c r="H159" s="82"/>
      <c r="N159" s="60"/>
      <c r="O159" s="60"/>
      <c r="P159" s="60"/>
    </row>
    <row r="160" spans="2:16" ht="13" hidden="1" outlineLevel="1" x14ac:dyDescent="0.25">
      <c r="B160" s="74"/>
      <c r="C160" s="148"/>
      <c r="D160" s="76" t="str">
        <f>D138</f>
        <v>kg</v>
      </c>
      <c r="E160" s="77"/>
      <c r="F160" s="82"/>
      <c r="G160" s="82"/>
      <c r="H160" s="82"/>
      <c r="N160" s="60"/>
      <c r="O160" s="60"/>
      <c r="P160" s="60"/>
    </row>
    <row r="161" spans="2:16" ht="13.4" hidden="1" customHeight="1" outlineLevel="1" x14ac:dyDescent="0.25">
      <c r="B161" s="79"/>
      <c r="C161" s="147"/>
      <c r="D161" s="81"/>
      <c r="E161" s="77"/>
      <c r="F161" s="82"/>
      <c r="G161" s="82"/>
      <c r="H161" s="82"/>
      <c r="K161" s="34"/>
      <c r="N161" s="60"/>
      <c r="O161" s="60"/>
      <c r="P161" s="60"/>
    </row>
    <row r="162" spans="2:16" ht="13" hidden="1" outlineLevel="1" x14ac:dyDescent="0.25">
      <c r="B162" s="86" t="s">
        <v>7</v>
      </c>
      <c r="C162" s="149">
        <f>SUM(C147:C160)</f>
        <v>0</v>
      </c>
      <c r="D162" s="88" t="str">
        <f>D138</f>
        <v>kg</v>
      </c>
      <c r="E162" s="77"/>
      <c r="F162" s="82"/>
      <c r="G162" s="82"/>
      <c r="H162" s="82"/>
      <c r="N162" s="60"/>
      <c r="O162" s="60"/>
      <c r="P162" s="60"/>
    </row>
    <row r="163" spans="2:16" ht="13" hidden="1" outlineLevel="1" x14ac:dyDescent="0.25">
      <c r="B163" s="79" t="s">
        <v>71</v>
      </c>
      <c r="C163" s="150"/>
      <c r="D163" s="81"/>
      <c r="E163" s="77"/>
      <c r="F163" s="82"/>
      <c r="G163" s="82"/>
      <c r="H163" s="82"/>
      <c r="N163" s="60"/>
      <c r="O163" s="60"/>
      <c r="P163" s="60"/>
    </row>
    <row r="164" spans="2:16" ht="13" hidden="1" outlineLevel="1" x14ac:dyDescent="0.25">
      <c r="B164" s="74"/>
      <c r="C164" s="148"/>
      <c r="D164" s="76" t="str">
        <f>D138</f>
        <v>kg</v>
      </c>
      <c r="E164" s="77"/>
      <c r="F164" s="82"/>
      <c r="G164" s="82"/>
      <c r="H164" s="82"/>
      <c r="N164" s="60"/>
      <c r="O164" s="60"/>
      <c r="P164" s="60"/>
    </row>
    <row r="165" spans="2:16" ht="13" hidden="1" outlineLevel="1" x14ac:dyDescent="0.25">
      <c r="B165" s="74"/>
      <c r="C165" s="148"/>
      <c r="D165" s="76" t="str">
        <f>D138</f>
        <v>kg</v>
      </c>
      <c r="E165" s="77"/>
      <c r="F165" s="82"/>
      <c r="G165" s="82"/>
      <c r="H165" s="82"/>
      <c r="N165" s="60"/>
      <c r="O165" s="60"/>
      <c r="P165" s="60"/>
    </row>
    <row r="166" spans="2:16" ht="13" hidden="1" outlineLevel="1" x14ac:dyDescent="0.25">
      <c r="B166" s="74"/>
      <c r="C166" s="148"/>
      <c r="D166" s="76" t="str">
        <f>D138</f>
        <v>kg</v>
      </c>
      <c r="E166" s="77"/>
      <c r="F166" s="82"/>
      <c r="G166" s="82"/>
      <c r="H166" s="82"/>
      <c r="N166" s="60"/>
      <c r="O166" s="60"/>
      <c r="P166" s="60"/>
    </row>
    <row r="167" spans="2:16" ht="13" hidden="1" outlineLevel="1" x14ac:dyDescent="0.25">
      <c r="B167" s="74"/>
      <c r="C167" s="148"/>
      <c r="D167" s="76" t="str">
        <f>D138</f>
        <v>kg</v>
      </c>
      <c r="E167" s="77"/>
      <c r="F167" s="82"/>
      <c r="G167" s="82"/>
      <c r="H167" s="82"/>
      <c r="N167" s="60"/>
      <c r="O167" s="60"/>
      <c r="P167" s="60"/>
    </row>
    <row r="168" spans="2:16" ht="13" hidden="1" outlineLevel="1" x14ac:dyDescent="0.25">
      <c r="B168" s="74"/>
      <c r="C168" s="148"/>
      <c r="D168" s="76" t="str">
        <f>D138</f>
        <v>kg</v>
      </c>
      <c r="E168" s="77"/>
      <c r="F168" s="82"/>
      <c r="G168" s="82"/>
      <c r="H168" s="82"/>
      <c r="N168" s="60"/>
      <c r="O168" s="60"/>
      <c r="P168" s="60"/>
    </row>
    <row r="169" spans="2:16" ht="13" hidden="1" outlineLevel="1" x14ac:dyDescent="0.25">
      <c r="B169" s="74"/>
      <c r="C169" s="148"/>
      <c r="D169" s="76" t="str">
        <f>D138</f>
        <v>kg</v>
      </c>
      <c r="E169" s="77"/>
      <c r="F169" s="82"/>
      <c r="G169" s="82"/>
      <c r="H169" s="82"/>
      <c r="N169" s="60"/>
      <c r="O169" s="60"/>
      <c r="P169" s="60"/>
    </row>
    <row r="170" spans="2:16" ht="13" hidden="1" outlineLevel="1" x14ac:dyDescent="0.25">
      <c r="B170" s="74"/>
      <c r="C170" s="148"/>
      <c r="D170" s="76" t="str">
        <f>D138</f>
        <v>kg</v>
      </c>
      <c r="E170" s="77"/>
      <c r="F170" s="82"/>
      <c r="G170" s="82"/>
      <c r="H170" s="82"/>
      <c r="N170" s="60"/>
      <c r="O170" s="60"/>
      <c r="P170" s="60"/>
    </row>
    <row r="171" spans="2:16" ht="13" hidden="1" outlineLevel="1" x14ac:dyDescent="0.25">
      <c r="B171" s="74"/>
      <c r="C171" s="148"/>
      <c r="D171" s="76" t="str">
        <f>D138</f>
        <v>kg</v>
      </c>
      <c r="E171" s="77"/>
      <c r="F171" s="82"/>
      <c r="G171" s="82"/>
      <c r="H171" s="82"/>
      <c r="N171" s="60"/>
      <c r="O171" s="60"/>
      <c r="P171" s="60"/>
    </row>
    <row r="172" spans="2:16" ht="13" hidden="1" outlineLevel="1" x14ac:dyDescent="0.25">
      <c r="B172" s="79" t="s">
        <v>70</v>
      </c>
      <c r="C172" s="147"/>
      <c r="D172" s="81"/>
      <c r="E172" s="90"/>
      <c r="F172" s="82"/>
      <c r="G172" s="82"/>
      <c r="H172" s="82"/>
      <c r="N172" s="60"/>
      <c r="O172" s="60"/>
      <c r="P172" s="60"/>
    </row>
    <row r="173" spans="2:16" ht="13" hidden="1" outlineLevel="1" x14ac:dyDescent="0.25">
      <c r="B173" s="74"/>
      <c r="C173" s="148"/>
      <c r="D173" s="76" t="str">
        <f>D138</f>
        <v>kg</v>
      </c>
      <c r="E173" s="77"/>
      <c r="F173" s="82"/>
      <c r="G173" s="82"/>
      <c r="H173" s="82"/>
      <c r="N173" s="60"/>
      <c r="O173" s="60"/>
      <c r="P173" s="60"/>
    </row>
    <row r="174" spans="2:16" ht="13" hidden="1" outlineLevel="1" x14ac:dyDescent="0.25">
      <c r="B174" s="74"/>
      <c r="C174" s="148"/>
      <c r="D174" s="76" t="str">
        <f>D138</f>
        <v>kg</v>
      </c>
      <c r="E174" s="77"/>
      <c r="F174" s="82"/>
      <c r="G174" s="82"/>
      <c r="H174" s="82"/>
      <c r="N174" s="60"/>
      <c r="O174" s="60"/>
      <c r="P174" s="60"/>
    </row>
    <row r="175" spans="2:16" ht="13" hidden="1" outlineLevel="1" x14ac:dyDescent="0.25">
      <c r="B175" s="74"/>
      <c r="C175" s="148"/>
      <c r="D175" s="76" t="str">
        <f>D138</f>
        <v>kg</v>
      </c>
      <c r="E175" s="77"/>
      <c r="F175" s="82"/>
      <c r="G175" s="82"/>
      <c r="H175" s="82"/>
      <c r="N175" s="60"/>
      <c r="O175" s="60"/>
      <c r="P175" s="60"/>
    </row>
    <row r="176" spans="2:16" ht="13" hidden="1" outlineLevel="1" x14ac:dyDescent="0.25">
      <c r="B176" s="74"/>
      <c r="C176" s="148"/>
      <c r="D176" s="76" t="str">
        <f>D138</f>
        <v>kg</v>
      </c>
      <c r="E176" s="77"/>
      <c r="F176" s="82"/>
      <c r="G176" s="82"/>
      <c r="H176" s="82"/>
      <c r="N176" s="60"/>
      <c r="O176" s="60"/>
      <c r="P176" s="60"/>
    </row>
    <row r="177" spans="2:16" ht="13" hidden="1" outlineLevel="1" x14ac:dyDescent="0.25">
      <c r="B177" s="74"/>
      <c r="C177" s="148"/>
      <c r="D177" s="76" t="str">
        <f>D138</f>
        <v>kg</v>
      </c>
      <c r="E177" s="77"/>
      <c r="F177" s="82"/>
      <c r="G177" s="82"/>
      <c r="H177" s="82"/>
      <c r="N177" s="60"/>
      <c r="O177" s="60"/>
      <c r="P177" s="60"/>
    </row>
    <row r="178" spans="2:16" ht="13" hidden="1" outlineLevel="1" x14ac:dyDescent="0.25">
      <c r="B178" s="74"/>
      <c r="C178" s="148"/>
      <c r="D178" s="76" t="str">
        <f>D138</f>
        <v>kg</v>
      </c>
      <c r="E178" s="77"/>
      <c r="F178" s="82"/>
      <c r="G178" s="82"/>
      <c r="H178" s="82"/>
      <c r="N178" s="60"/>
      <c r="O178" s="60"/>
      <c r="P178" s="60"/>
    </row>
    <row r="179" spans="2:16" ht="13" hidden="1" outlineLevel="1" x14ac:dyDescent="0.25">
      <c r="B179" s="74"/>
      <c r="C179" s="148"/>
      <c r="D179" s="76" t="str">
        <f>D138</f>
        <v>kg</v>
      </c>
      <c r="E179" s="77"/>
      <c r="F179" s="82"/>
      <c r="G179" s="82"/>
      <c r="H179" s="82"/>
      <c r="N179" s="60"/>
      <c r="O179" s="60"/>
      <c r="P179" s="60"/>
    </row>
    <row r="180" spans="2:16" ht="13.4" hidden="1" customHeight="1" outlineLevel="1" x14ac:dyDescent="0.25">
      <c r="B180" s="79"/>
      <c r="C180" s="147"/>
      <c r="D180" s="81"/>
      <c r="E180" s="77"/>
      <c r="F180" s="82"/>
      <c r="G180" s="82"/>
      <c r="H180" s="82"/>
      <c r="K180" s="34"/>
      <c r="N180" s="60"/>
      <c r="O180" s="60"/>
      <c r="P180" s="60"/>
    </row>
    <row r="181" spans="2:16" ht="13" hidden="1" outlineLevel="1" x14ac:dyDescent="0.25">
      <c r="B181" s="86" t="s">
        <v>9</v>
      </c>
      <c r="C181" s="149">
        <f>SUM(C162:C179)</f>
        <v>0</v>
      </c>
      <c r="D181" s="91" t="str">
        <f>D138</f>
        <v>kg</v>
      </c>
      <c r="E181" s="77"/>
      <c r="F181" s="82"/>
      <c r="G181" s="82"/>
      <c r="H181" s="82"/>
      <c r="N181" s="60"/>
      <c r="O181" s="60"/>
      <c r="P181" s="60"/>
    </row>
    <row r="182" spans="2:16" ht="13" hidden="1" outlineLevel="1" x14ac:dyDescent="0.25">
      <c r="B182" s="92"/>
      <c r="C182" s="93"/>
      <c r="D182" s="94"/>
      <c r="E182" s="77"/>
      <c r="F182" s="82"/>
      <c r="G182" s="82"/>
      <c r="H182" s="82"/>
      <c r="N182" s="60"/>
      <c r="O182" s="60"/>
      <c r="P182" s="60"/>
    </row>
    <row r="183" spans="2:16" ht="20.5" hidden="1" outlineLevel="1" thickBot="1" x14ac:dyDescent="0.3">
      <c r="B183" s="426" t="s">
        <v>10</v>
      </c>
      <c r="C183" s="427"/>
      <c r="D183" s="428"/>
      <c r="E183" s="77"/>
      <c r="F183" s="82"/>
      <c r="G183" s="82"/>
      <c r="H183" s="82"/>
      <c r="N183" s="60"/>
      <c r="O183" s="60"/>
      <c r="P183" s="60"/>
    </row>
    <row r="184" spans="2:16" ht="13" hidden="1" outlineLevel="1" x14ac:dyDescent="0.25">
      <c r="B184" s="95" t="s">
        <v>23</v>
      </c>
      <c r="C184" s="96"/>
      <c r="D184" s="151">
        <f>SUM(C148:C149)</f>
        <v>0</v>
      </c>
      <c r="E184" s="98"/>
      <c r="F184" s="82"/>
      <c r="G184" s="82"/>
      <c r="H184" s="82"/>
      <c r="N184" s="60"/>
      <c r="O184" s="60"/>
      <c r="P184" s="60"/>
    </row>
    <row r="185" spans="2:16" ht="13" hidden="1" outlineLevel="1" x14ac:dyDescent="0.25">
      <c r="B185" s="99" t="s">
        <v>24</v>
      </c>
      <c r="C185" s="100"/>
      <c r="D185" s="152">
        <f>SUM(C151:C161)</f>
        <v>0</v>
      </c>
      <c r="E185" s="98"/>
      <c r="F185" s="82"/>
      <c r="G185" s="82"/>
      <c r="H185" s="82"/>
      <c r="N185" s="60"/>
      <c r="O185" s="60"/>
      <c r="P185" s="60"/>
    </row>
    <row r="186" spans="2:16" ht="13" hidden="1" outlineLevel="1" x14ac:dyDescent="0.25">
      <c r="B186" s="99" t="s">
        <v>25</v>
      </c>
      <c r="C186" s="100"/>
      <c r="D186" s="152">
        <f>SUM(C164:C172)</f>
        <v>0</v>
      </c>
      <c r="E186" s="98"/>
      <c r="F186" s="82"/>
      <c r="G186" s="82"/>
      <c r="H186" s="82"/>
      <c r="N186" s="60"/>
      <c r="O186" s="60"/>
      <c r="P186" s="60"/>
    </row>
    <row r="187" spans="2:16" ht="13" hidden="1" outlineLevel="1" x14ac:dyDescent="0.25">
      <c r="B187" s="102" t="s">
        <v>26</v>
      </c>
      <c r="C187" s="103"/>
      <c r="D187" s="153">
        <f>SUM(C173:C180)</f>
        <v>0</v>
      </c>
      <c r="E187" s="98"/>
      <c r="F187" s="82"/>
      <c r="G187" s="82"/>
      <c r="H187" s="82"/>
      <c r="N187" s="60"/>
      <c r="O187" s="60"/>
      <c r="P187" s="60"/>
    </row>
    <row r="188" spans="2:16" ht="18.5" hidden="1" outlineLevel="1" thickTop="1" x14ac:dyDescent="0.25">
      <c r="B188" s="105" t="s">
        <v>11</v>
      </c>
      <c r="C188" s="106"/>
      <c r="D188" s="107" t="e">
        <f>C162/C144</f>
        <v>#DIV/0!</v>
      </c>
      <c r="E188" s="77"/>
      <c r="F188" s="110" t="s">
        <v>86</v>
      </c>
      <c r="G188" s="109" t="s">
        <v>85</v>
      </c>
      <c r="H188" s="110"/>
      <c r="N188" s="60"/>
      <c r="O188" s="60"/>
      <c r="P188" s="60"/>
    </row>
    <row r="189" spans="2:16" ht="18.5" hidden="1" outlineLevel="1" thickBot="1" x14ac:dyDescent="0.3">
      <c r="B189" s="111" t="s">
        <v>12</v>
      </c>
      <c r="C189" s="112"/>
      <c r="D189" s="113" t="e">
        <f>(D184+D185+D186)/C144</f>
        <v>#DIV/0!</v>
      </c>
      <c r="E189" s="77"/>
      <c r="F189" s="154"/>
      <c r="G189" s="413"/>
      <c r="H189" s="414"/>
      <c r="N189" s="60"/>
      <c r="O189" s="60"/>
      <c r="P189" s="60"/>
    </row>
    <row r="190" spans="2:16" ht="18" hidden="1" customHeight="1" outlineLevel="1" x14ac:dyDescent="0.25">
      <c r="B190" s="111" t="s">
        <v>13</v>
      </c>
      <c r="C190" s="112"/>
      <c r="D190" s="113" t="e">
        <f>D186/C144</f>
        <v>#DIV/0!</v>
      </c>
      <c r="E190" s="90"/>
      <c r="F190" s="64" t="s">
        <v>45</v>
      </c>
      <c r="G190" s="64" t="s">
        <v>45</v>
      </c>
      <c r="H190" s="155"/>
      <c r="N190" s="60"/>
      <c r="O190" s="60"/>
      <c r="P190" s="60"/>
    </row>
    <row r="191" spans="2:16" ht="18" hidden="1" customHeight="1" outlineLevel="1" thickBot="1" x14ac:dyDescent="0.3">
      <c r="B191" s="114" t="s">
        <v>14</v>
      </c>
      <c r="C191" s="115"/>
      <c r="D191" s="116" t="e">
        <f>D187/C144</f>
        <v>#DIV/0!</v>
      </c>
      <c r="E191" s="90"/>
      <c r="F191" s="110"/>
      <c r="G191" s="117" t="s">
        <v>46</v>
      </c>
      <c r="H191" s="110"/>
      <c r="N191" s="60"/>
      <c r="O191" s="60"/>
      <c r="P191" s="60"/>
    </row>
    <row r="192" spans="2:16" ht="18.5" hidden="1" outlineLevel="1" thickBot="1" x14ac:dyDescent="0.3">
      <c r="B192" s="114" t="s">
        <v>15</v>
      </c>
      <c r="C192" s="119"/>
      <c r="D192" s="116" t="e">
        <f>SUM(D184:D187)/C144</f>
        <v>#DIV/0!</v>
      </c>
      <c r="E192" s="90"/>
      <c r="F192" s="429"/>
      <c r="G192" s="430"/>
      <c r="H192" s="431"/>
      <c r="N192" s="60"/>
      <c r="O192" s="60"/>
      <c r="P192" s="60"/>
    </row>
    <row r="193" spans="2:16" ht="18.5" hidden="1" outlineLevel="1" thickTop="1" x14ac:dyDescent="0.25">
      <c r="B193" s="120" t="s">
        <v>16</v>
      </c>
      <c r="C193" s="121"/>
      <c r="D193" s="122" t="e">
        <f>((C148*D126)+D185+C149*MAX(1,F149))/C144</f>
        <v>#DIV/0!</v>
      </c>
      <c r="E193" s="77"/>
      <c r="F193" s="64" t="s">
        <v>45</v>
      </c>
      <c r="G193" s="64"/>
      <c r="H193" s="82"/>
      <c r="N193" s="60"/>
      <c r="O193" s="60"/>
      <c r="P193" s="60"/>
    </row>
    <row r="194" spans="2:16" ht="18" hidden="1" outlineLevel="1" x14ac:dyDescent="0.25">
      <c r="B194" s="123" t="s">
        <v>17</v>
      </c>
      <c r="C194" s="124"/>
      <c r="D194" s="125" t="e">
        <f>(C148*D127+D185+D186+C149*(MAX(1,F149)+G149))/C144</f>
        <v>#DIV/0!</v>
      </c>
      <c r="E194" s="77"/>
      <c r="F194" s="82"/>
      <c r="G194" s="82"/>
      <c r="H194" s="82"/>
      <c r="N194" s="60"/>
      <c r="O194" s="60"/>
      <c r="P194" s="60"/>
    </row>
    <row r="195" spans="2:16" ht="18" hidden="1" customHeight="1" outlineLevel="1" x14ac:dyDescent="0.25">
      <c r="B195" s="123" t="s">
        <v>18</v>
      </c>
      <c r="C195" s="124"/>
      <c r="D195" s="125" t="e">
        <f>((C148*D128)+D186+C149*G149)/C144</f>
        <v>#DIV/0!</v>
      </c>
      <c r="E195" s="77"/>
      <c r="F195" s="415" t="s">
        <v>61</v>
      </c>
      <c r="G195" s="416"/>
      <c r="H195" s="416"/>
      <c r="N195" s="60"/>
      <c r="O195" s="60"/>
      <c r="P195" s="60"/>
    </row>
    <row r="196" spans="2:16" ht="18" hidden="1" outlineLevel="1" x14ac:dyDescent="0.25">
      <c r="B196" s="126" t="s">
        <v>19</v>
      </c>
      <c r="C196" s="127"/>
      <c r="D196" s="128" t="e">
        <f>(C148*D129+D187+C149*H149)/C144</f>
        <v>#DIV/0!</v>
      </c>
      <c r="E196" s="77"/>
      <c r="F196" s="416"/>
      <c r="G196" s="416"/>
      <c r="H196" s="416"/>
      <c r="N196" s="60"/>
      <c r="O196" s="60"/>
      <c r="P196" s="60"/>
    </row>
    <row r="197" spans="2:16" ht="18.5" hidden="1" outlineLevel="1" thickBot="1" x14ac:dyDescent="0.3">
      <c r="B197" s="129" t="s">
        <v>20</v>
      </c>
      <c r="C197" s="130"/>
      <c r="D197" s="131" t="e">
        <f>((C148*D130)+SUM(D185:D187)+C149*(MAX(1,F149)+G149+H149))/C144</f>
        <v>#DIV/0!</v>
      </c>
      <c r="E197" s="77"/>
      <c r="F197" s="416"/>
      <c r="G197" s="416"/>
      <c r="H197" s="416"/>
      <c r="N197" s="60"/>
      <c r="O197" s="60"/>
      <c r="P197" s="60"/>
    </row>
    <row r="198" spans="2:16" ht="13" hidden="1" outlineLevel="1" thickTop="1" x14ac:dyDescent="0.25">
      <c r="B198" s="156" t="s">
        <v>76</v>
      </c>
      <c r="C198" s="424"/>
      <c r="D198" s="425"/>
      <c r="E198" s="46"/>
      <c r="F198" s="416"/>
      <c r="G198" s="416"/>
      <c r="H198" s="416"/>
      <c r="N198" s="60"/>
      <c r="O198" s="60"/>
      <c r="P198" s="60"/>
    </row>
    <row r="199" spans="2:16" hidden="1" outlineLevel="1" x14ac:dyDescent="0.25">
      <c r="B199" s="157" t="s">
        <v>58</v>
      </c>
      <c r="C199" s="422"/>
      <c r="D199" s="423"/>
      <c r="E199" s="46"/>
      <c r="F199" s="416"/>
      <c r="G199" s="416"/>
      <c r="H199" s="416"/>
      <c r="N199" s="60"/>
      <c r="O199" s="60"/>
      <c r="P199" s="60"/>
    </row>
    <row r="200" spans="2:16" ht="13" hidden="1" outlineLevel="1" thickBot="1" x14ac:dyDescent="0.3">
      <c r="B200" s="158" t="s">
        <v>59</v>
      </c>
      <c r="C200" s="420"/>
      <c r="D200" s="421"/>
      <c r="E200" s="46"/>
      <c r="F200" s="416"/>
      <c r="G200" s="416"/>
      <c r="H200" s="416"/>
      <c r="N200" s="60"/>
      <c r="O200" s="60"/>
      <c r="P200" s="60"/>
    </row>
    <row r="201" spans="2:16" ht="13" hidden="1" outlineLevel="1" x14ac:dyDescent="0.25">
      <c r="E201" s="46"/>
      <c r="F201" s="34"/>
      <c r="G201" s="34"/>
      <c r="H201" s="34"/>
      <c r="N201" s="60"/>
      <c r="O201" s="60"/>
      <c r="P201" s="60"/>
    </row>
    <row r="202" spans="2:16" ht="13" hidden="1" outlineLevel="1" x14ac:dyDescent="0.25">
      <c r="C202" s="25" t="s">
        <v>44</v>
      </c>
      <c r="D202" s="25" t="s">
        <v>42</v>
      </c>
      <c r="E202" s="46"/>
      <c r="F202" s="34"/>
      <c r="G202" s="34"/>
      <c r="H202" s="34"/>
      <c r="N202" s="60"/>
      <c r="O202" s="60"/>
      <c r="P202" s="60"/>
    </row>
    <row r="203" spans="2:16" ht="23.25" hidden="1" customHeight="1" outlineLevel="1" thickTop="1" thickBot="1" x14ac:dyDescent="0.3">
      <c r="B203" s="140" t="s">
        <v>73</v>
      </c>
      <c r="C203" s="29"/>
      <c r="D203" s="141"/>
      <c r="E203" s="31"/>
      <c r="F203" s="32" t="s">
        <v>27</v>
      </c>
      <c r="G203" s="33"/>
      <c r="H203" s="33"/>
      <c r="I203" s="34"/>
    </row>
    <row r="204" spans="2:16" ht="14.5" hidden="1" outlineLevel="1" thickBot="1" x14ac:dyDescent="0.3">
      <c r="B204" s="37"/>
      <c r="C204" s="38" t="s">
        <v>0</v>
      </c>
      <c r="D204" s="39" t="s">
        <v>1</v>
      </c>
      <c r="E204" s="40"/>
      <c r="F204" s="41" t="s">
        <v>28</v>
      </c>
      <c r="G204" s="41" t="s">
        <v>21</v>
      </c>
      <c r="H204" s="41" t="s">
        <v>8</v>
      </c>
    </row>
    <row r="205" spans="2:16" ht="13" hidden="1" outlineLevel="1" x14ac:dyDescent="0.25">
      <c r="B205" s="43" t="s">
        <v>65</v>
      </c>
      <c r="C205" s="142"/>
      <c r="D205" s="45" t="s">
        <v>2</v>
      </c>
      <c r="E205" s="46"/>
      <c r="F205" s="47"/>
      <c r="G205" s="47"/>
      <c r="H205" s="47"/>
      <c r="N205" s="60"/>
      <c r="O205" s="60"/>
      <c r="P205" s="60"/>
    </row>
    <row r="206" spans="2:16" ht="13" hidden="1" outlineLevel="1" x14ac:dyDescent="0.25">
      <c r="B206" s="43" t="s">
        <v>64</v>
      </c>
      <c r="C206" s="143"/>
      <c r="D206" s="45" t="s">
        <v>3</v>
      </c>
      <c r="E206" s="46"/>
      <c r="F206" s="47"/>
      <c r="G206" s="47"/>
      <c r="H206" s="47"/>
      <c r="N206" s="60"/>
      <c r="O206" s="60"/>
      <c r="P206" s="60"/>
    </row>
    <row r="207" spans="2:16" ht="13" hidden="1" outlineLevel="1" x14ac:dyDescent="0.25">
      <c r="B207" s="51" t="s">
        <v>63</v>
      </c>
      <c r="C207" s="144">
        <f>C205*C206</f>
        <v>0</v>
      </c>
      <c r="D207" s="45" t="str">
        <f>D205</f>
        <v>kg</v>
      </c>
      <c r="E207" s="46"/>
      <c r="F207" s="47"/>
      <c r="G207" s="47"/>
      <c r="H207" s="47"/>
      <c r="N207" s="60"/>
      <c r="O207" s="60"/>
      <c r="P207" s="60"/>
    </row>
    <row r="208" spans="2:16" ht="14" hidden="1" outlineLevel="1" x14ac:dyDescent="0.25">
      <c r="B208" s="54" t="s">
        <v>37</v>
      </c>
      <c r="C208" s="145">
        <v>1</v>
      </c>
      <c r="D208" s="56"/>
      <c r="E208" s="57"/>
      <c r="F208" s="58"/>
      <c r="G208" s="58"/>
      <c r="H208" s="58"/>
      <c r="N208" s="60"/>
      <c r="O208" s="60"/>
      <c r="P208" s="60"/>
    </row>
    <row r="209" spans="2:16" ht="13" hidden="1" outlineLevel="1" x14ac:dyDescent="0.25">
      <c r="B209" s="43" t="s">
        <v>66</v>
      </c>
      <c r="C209" s="142"/>
      <c r="D209" s="45" t="str">
        <f>D205</f>
        <v>kg</v>
      </c>
      <c r="E209" s="46"/>
      <c r="F209" s="47"/>
      <c r="G209" s="47"/>
      <c r="H209" s="47"/>
      <c r="N209" s="60"/>
      <c r="O209" s="60"/>
      <c r="P209" s="60"/>
    </row>
    <row r="210" spans="2:16" ht="13" hidden="1" outlineLevel="1" x14ac:dyDescent="0.25">
      <c r="B210" s="43" t="s">
        <v>67</v>
      </c>
      <c r="C210" s="143"/>
      <c r="D210" s="45" t="s">
        <v>3</v>
      </c>
      <c r="E210" s="59"/>
      <c r="F210" s="47"/>
      <c r="G210" s="47"/>
      <c r="H210" s="47"/>
      <c r="N210" s="60"/>
      <c r="O210" s="60"/>
      <c r="P210" s="60"/>
    </row>
    <row r="211" spans="2:16" ht="13" hidden="1" outlineLevel="1" x14ac:dyDescent="0.25">
      <c r="B211" s="51" t="s">
        <v>68</v>
      </c>
      <c r="C211" s="144">
        <f>C209*C210</f>
        <v>0</v>
      </c>
      <c r="D211" s="45" t="str">
        <f>D205</f>
        <v>kg</v>
      </c>
      <c r="E211" s="46"/>
      <c r="F211" s="47"/>
      <c r="G211" s="47"/>
      <c r="H211" s="47"/>
      <c r="N211" s="60"/>
      <c r="O211" s="60"/>
      <c r="P211" s="60"/>
    </row>
    <row r="212" spans="2:16" ht="13.5" hidden="1" outlineLevel="1" thickBot="1" x14ac:dyDescent="0.3">
      <c r="B212" s="61"/>
      <c r="C212" s="62"/>
      <c r="D212" s="63"/>
      <c r="F212" s="64"/>
      <c r="G212" s="64"/>
      <c r="H212" s="64"/>
      <c r="N212" s="60"/>
      <c r="O212" s="60"/>
      <c r="P212" s="60"/>
    </row>
    <row r="213" spans="2:16" ht="14.5" hidden="1" outlineLevel="1" thickBot="1" x14ac:dyDescent="0.3">
      <c r="B213" s="65" t="s">
        <v>5</v>
      </c>
      <c r="C213" s="66" t="s">
        <v>6</v>
      </c>
      <c r="D213" s="67" t="s">
        <v>1</v>
      </c>
      <c r="E213" s="68"/>
      <c r="F213" s="69"/>
      <c r="G213" s="69"/>
      <c r="H213" s="69"/>
      <c r="N213" s="60"/>
      <c r="O213" s="60"/>
      <c r="P213" s="60"/>
    </row>
    <row r="214" spans="2:16" ht="13" hidden="1" outlineLevel="1" x14ac:dyDescent="0.25">
      <c r="B214" s="70" t="s">
        <v>43</v>
      </c>
      <c r="C214" s="71"/>
      <c r="D214" s="72"/>
      <c r="E214" s="73"/>
      <c r="F214" s="69"/>
      <c r="G214" s="69"/>
      <c r="H214" s="69"/>
      <c r="N214" s="60"/>
      <c r="O214" s="60"/>
      <c r="P214" s="60"/>
    </row>
    <row r="215" spans="2:16" ht="13" hidden="1" outlineLevel="1" x14ac:dyDescent="0.25">
      <c r="B215" s="74"/>
      <c r="C215" s="146">
        <f>C207</f>
        <v>0</v>
      </c>
      <c r="D215" s="76" t="str">
        <f>D205</f>
        <v>kg</v>
      </c>
      <c r="E215" s="98"/>
      <c r="F215" s="69"/>
      <c r="G215" s="69"/>
      <c r="H215" s="69"/>
      <c r="N215" s="60"/>
      <c r="O215" s="60"/>
      <c r="P215" s="60"/>
    </row>
    <row r="216" spans="2:16" ht="13.5" hidden="1" outlineLevel="1" thickBot="1" x14ac:dyDescent="0.3">
      <c r="B216" s="74"/>
      <c r="C216" s="146"/>
      <c r="D216" s="76" t="str">
        <f>D205</f>
        <v>kg</v>
      </c>
      <c r="E216" s="77"/>
      <c r="F216" s="78"/>
      <c r="G216" s="78"/>
      <c r="H216" s="78"/>
      <c r="N216" s="60"/>
      <c r="O216" s="60"/>
      <c r="P216" s="60"/>
    </row>
    <row r="217" spans="2:16" ht="13" hidden="1" outlineLevel="1" x14ac:dyDescent="0.25">
      <c r="B217" s="79" t="s">
        <v>69</v>
      </c>
      <c r="C217" s="147"/>
      <c r="D217" s="81"/>
      <c r="E217" s="77"/>
      <c r="F217" s="82"/>
      <c r="G217" s="82"/>
      <c r="H217" s="82"/>
      <c r="N217" s="60"/>
      <c r="O217" s="60"/>
      <c r="P217" s="60"/>
    </row>
    <row r="218" spans="2:16" ht="13" hidden="1" outlineLevel="1" x14ac:dyDescent="0.25">
      <c r="B218" s="74"/>
      <c r="C218" s="148"/>
      <c r="D218" s="76" t="str">
        <f>D205</f>
        <v>kg</v>
      </c>
      <c r="E218" s="77"/>
      <c r="F218" s="82"/>
      <c r="G218" s="82"/>
      <c r="H218" s="82"/>
      <c r="N218" s="60"/>
      <c r="O218" s="60"/>
      <c r="P218" s="60"/>
    </row>
    <row r="219" spans="2:16" ht="13" hidden="1" outlineLevel="1" x14ac:dyDescent="0.25">
      <c r="B219" s="74"/>
      <c r="C219" s="148"/>
      <c r="D219" s="76" t="str">
        <f>D205</f>
        <v>kg</v>
      </c>
      <c r="E219" s="77"/>
      <c r="F219" s="82"/>
      <c r="G219" s="82"/>
      <c r="H219" s="82"/>
      <c r="N219" s="60"/>
      <c r="O219" s="60"/>
      <c r="P219" s="60"/>
    </row>
    <row r="220" spans="2:16" ht="13" hidden="1" outlineLevel="1" x14ac:dyDescent="0.25">
      <c r="B220" s="74"/>
      <c r="C220" s="148"/>
      <c r="D220" s="76" t="str">
        <f>D205</f>
        <v>kg</v>
      </c>
      <c r="E220" s="77"/>
      <c r="F220" s="82"/>
      <c r="G220" s="82"/>
      <c r="H220" s="82"/>
      <c r="N220" s="60"/>
      <c r="O220" s="60"/>
      <c r="P220" s="60"/>
    </row>
    <row r="221" spans="2:16" ht="13" hidden="1" outlineLevel="1" x14ac:dyDescent="0.25">
      <c r="B221" s="74"/>
      <c r="C221" s="148"/>
      <c r="D221" s="76" t="str">
        <f>D205</f>
        <v>kg</v>
      </c>
      <c r="E221" s="77"/>
      <c r="F221" s="82"/>
      <c r="G221" s="82"/>
      <c r="H221" s="82"/>
      <c r="N221" s="60"/>
      <c r="O221" s="60"/>
      <c r="P221" s="60"/>
    </row>
    <row r="222" spans="2:16" ht="13" hidden="1" outlineLevel="1" x14ac:dyDescent="0.25">
      <c r="B222" s="74"/>
      <c r="C222" s="148"/>
      <c r="D222" s="76" t="str">
        <f>D205</f>
        <v>kg</v>
      </c>
      <c r="E222" s="77"/>
      <c r="F222" s="82"/>
      <c r="G222" s="82"/>
      <c r="H222" s="82"/>
      <c r="N222" s="60"/>
      <c r="O222" s="60"/>
      <c r="P222" s="60"/>
    </row>
    <row r="223" spans="2:16" ht="13" hidden="1" outlineLevel="1" x14ac:dyDescent="0.25">
      <c r="B223" s="74"/>
      <c r="C223" s="148"/>
      <c r="D223" s="76" t="str">
        <f>D205</f>
        <v>kg</v>
      </c>
      <c r="E223" s="77"/>
      <c r="F223" s="82"/>
      <c r="G223" s="82"/>
      <c r="H223" s="82"/>
      <c r="N223" s="60"/>
      <c r="O223" s="60"/>
      <c r="P223" s="60"/>
    </row>
    <row r="224" spans="2:16" ht="13" hidden="1" outlineLevel="1" x14ac:dyDescent="0.25">
      <c r="B224" s="74"/>
      <c r="C224" s="148"/>
      <c r="D224" s="76" t="str">
        <f>D205</f>
        <v>kg</v>
      </c>
      <c r="E224" s="77"/>
      <c r="F224" s="82"/>
      <c r="G224" s="82"/>
      <c r="H224" s="82"/>
      <c r="N224" s="60"/>
      <c r="O224" s="60"/>
      <c r="P224" s="60"/>
    </row>
    <row r="225" spans="2:16" ht="13" hidden="1" outlineLevel="1" x14ac:dyDescent="0.25">
      <c r="B225" s="74"/>
      <c r="C225" s="148"/>
      <c r="D225" s="76" t="str">
        <f>D205</f>
        <v>kg</v>
      </c>
      <c r="E225" s="77"/>
      <c r="F225" s="82"/>
      <c r="G225" s="82"/>
      <c r="H225" s="82"/>
      <c r="J225" s="159"/>
      <c r="N225" s="60"/>
      <c r="O225" s="60"/>
      <c r="P225" s="60"/>
    </row>
    <row r="226" spans="2:16" ht="13" hidden="1" outlineLevel="1" x14ac:dyDescent="0.25">
      <c r="B226" s="74"/>
      <c r="C226" s="148"/>
      <c r="D226" s="76" t="str">
        <f>D205</f>
        <v>kg</v>
      </c>
      <c r="E226" s="77"/>
      <c r="F226" s="82"/>
      <c r="G226" s="82"/>
      <c r="H226" s="82"/>
      <c r="N226" s="60"/>
      <c r="O226" s="60"/>
      <c r="P226" s="60"/>
    </row>
    <row r="227" spans="2:16" ht="13" hidden="1" outlineLevel="1" x14ac:dyDescent="0.25">
      <c r="B227" s="74"/>
      <c r="C227" s="148"/>
      <c r="D227" s="76" t="str">
        <f>D205</f>
        <v>kg</v>
      </c>
      <c r="E227" s="77"/>
      <c r="F227" s="82"/>
      <c r="G227" s="82"/>
      <c r="H227" s="82"/>
      <c r="N227" s="60"/>
      <c r="O227" s="60"/>
      <c r="P227" s="60"/>
    </row>
    <row r="228" spans="2:16" ht="13.4" hidden="1" customHeight="1" outlineLevel="1" x14ac:dyDescent="0.25">
      <c r="B228" s="79"/>
      <c r="C228" s="147"/>
      <c r="D228" s="81"/>
      <c r="E228" s="77"/>
      <c r="F228" s="82"/>
      <c r="G228" s="82"/>
      <c r="H228" s="82"/>
      <c r="K228" s="34"/>
      <c r="N228" s="60"/>
      <c r="O228" s="60"/>
      <c r="P228" s="60"/>
    </row>
    <row r="229" spans="2:16" ht="13" hidden="1" outlineLevel="1" x14ac:dyDescent="0.25">
      <c r="B229" s="86" t="s">
        <v>7</v>
      </c>
      <c r="C229" s="149">
        <f>SUM(C214:C227)</f>
        <v>0</v>
      </c>
      <c r="D229" s="88" t="str">
        <f>D205</f>
        <v>kg</v>
      </c>
      <c r="E229" s="77"/>
      <c r="F229" s="82"/>
      <c r="G229" s="82"/>
      <c r="H229" s="82"/>
      <c r="N229" s="60"/>
      <c r="O229" s="60"/>
      <c r="P229" s="60"/>
    </row>
    <row r="230" spans="2:16" ht="13" hidden="1" outlineLevel="1" x14ac:dyDescent="0.25">
      <c r="B230" s="79" t="s">
        <v>71</v>
      </c>
      <c r="C230" s="150"/>
      <c r="D230" s="81"/>
      <c r="E230" s="77"/>
      <c r="F230" s="82"/>
      <c r="G230" s="82"/>
      <c r="H230" s="82"/>
      <c r="N230" s="60"/>
      <c r="O230" s="60"/>
      <c r="P230" s="60"/>
    </row>
    <row r="231" spans="2:16" ht="13" hidden="1" outlineLevel="1" x14ac:dyDescent="0.25">
      <c r="B231" s="74"/>
      <c r="C231" s="148"/>
      <c r="D231" s="76" t="str">
        <f>D205</f>
        <v>kg</v>
      </c>
      <c r="E231" s="77"/>
      <c r="F231" s="82"/>
      <c r="G231" s="82"/>
      <c r="H231" s="82"/>
      <c r="J231" s="159"/>
      <c r="N231" s="60"/>
      <c r="O231" s="60"/>
      <c r="P231" s="60"/>
    </row>
    <row r="232" spans="2:16" ht="13" hidden="1" outlineLevel="1" x14ac:dyDescent="0.25">
      <c r="B232" s="74"/>
      <c r="C232" s="148"/>
      <c r="D232" s="76" t="str">
        <f>D205</f>
        <v>kg</v>
      </c>
      <c r="E232" s="77"/>
      <c r="F232" s="82"/>
      <c r="G232" s="82"/>
      <c r="H232" s="82"/>
      <c r="J232" s="159"/>
      <c r="N232" s="60"/>
      <c r="O232" s="60"/>
      <c r="P232" s="60"/>
    </row>
    <row r="233" spans="2:16" ht="13" hidden="1" outlineLevel="1" x14ac:dyDescent="0.25">
      <c r="B233" s="74"/>
      <c r="C233" s="148"/>
      <c r="D233" s="76" t="str">
        <f>D205</f>
        <v>kg</v>
      </c>
      <c r="E233" s="77"/>
      <c r="F233" s="82"/>
      <c r="G233" s="82"/>
      <c r="H233" s="82"/>
      <c r="J233" s="159"/>
      <c r="N233" s="60"/>
      <c r="O233" s="60"/>
      <c r="P233" s="60"/>
    </row>
    <row r="234" spans="2:16" ht="13" hidden="1" outlineLevel="1" x14ac:dyDescent="0.25">
      <c r="B234" s="74"/>
      <c r="C234" s="148"/>
      <c r="D234" s="76" t="str">
        <f>D205</f>
        <v>kg</v>
      </c>
      <c r="E234" s="77"/>
      <c r="F234" s="82"/>
      <c r="G234" s="82"/>
      <c r="H234" s="82"/>
      <c r="N234" s="60"/>
      <c r="O234" s="60"/>
      <c r="P234" s="60"/>
    </row>
    <row r="235" spans="2:16" ht="13" hidden="1" outlineLevel="1" x14ac:dyDescent="0.25">
      <c r="B235" s="74"/>
      <c r="C235" s="148"/>
      <c r="D235" s="76" t="str">
        <f>D205</f>
        <v>kg</v>
      </c>
      <c r="E235" s="77"/>
      <c r="F235" s="82"/>
      <c r="G235" s="82"/>
      <c r="H235" s="82"/>
      <c r="N235" s="60"/>
      <c r="O235" s="60"/>
      <c r="P235" s="60"/>
    </row>
    <row r="236" spans="2:16" ht="13" hidden="1" outlineLevel="1" x14ac:dyDescent="0.25">
      <c r="B236" s="74"/>
      <c r="C236" s="148"/>
      <c r="D236" s="76" t="str">
        <f>D205</f>
        <v>kg</v>
      </c>
      <c r="E236" s="77"/>
      <c r="F236" s="82"/>
      <c r="G236" s="82"/>
      <c r="H236" s="82"/>
      <c r="N236" s="60"/>
      <c r="O236" s="60"/>
      <c r="P236" s="60"/>
    </row>
    <row r="237" spans="2:16" ht="13" hidden="1" outlineLevel="1" x14ac:dyDescent="0.25">
      <c r="B237" s="74"/>
      <c r="C237" s="148"/>
      <c r="D237" s="76" t="str">
        <f>D205</f>
        <v>kg</v>
      </c>
      <c r="E237" s="77"/>
      <c r="F237" s="82"/>
      <c r="G237" s="82"/>
      <c r="H237" s="82"/>
      <c r="N237" s="60"/>
      <c r="O237" s="60"/>
      <c r="P237" s="60"/>
    </row>
    <row r="238" spans="2:16" ht="13" hidden="1" outlineLevel="1" x14ac:dyDescent="0.25">
      <c r="B238" s="74"/>
      <c r="C238" s="148"/>
      <c r="D238" s="76" t="str">
        <f>D205</f>
        <v>kg</v>
      </c>
      <c r="E238" s="77"/>
      <c r="F238" s="82"/>
      <c r="G238" s="82"/>
      <c r="H238" s="82"/>
      <c r="N238" s="60"/>
      <c r="O238" s="60"/>
      <c r="P238" s="60"/>
    </row>
    <row r="239" spans="2:16" ht="13" hidden="1" outlineLevel="1" x14ac:dyDescent="0.25">
      <c r="B239" s="79" t="s">
        <v>70</v>
      </c>
      <c r="C239" s="147"/>
      <c r="D239" s="81"/>
      <c r="E239" s="90"/>
      <c r="F239" s="82"/>
      <c r="G239" s="82"/>
      <c r="H239" s="82"/>
      <c r="N239" s="60"/>
      <c r="O239" s="60"/>
      <c r="P239" s="60"/>
    </row>
    <row r="240" spans="2:16" ht="13" hidden="1" outlineLevel="1" x14ac:dyDescent="0.25">
      <c r="B240" s="74"/>
      <c r="C240" s="148"/>
      <c r="D240" s="76" t="str">
        <f>D205</f>
        <v>kg</v>
      </c>
      <c r="E240" s="77"/>
      <c r="F240" s="82"/>
      <c r="G240" s="82"/>
      <c r="H240" s="82"/>
      <c r="N240" s="60"/>
      <c r="O240" s="60"/>
      <c r="P240" s="60"/>
    </row>
    <row r="241" spans="2:16" ht="13" hidden="1" outlineLevel="1" x14ac:dyDescent="0.25">
      <c r="B241" s="74"/>
      <c r="C241" s="148"/>
      <c r="D241" s="76" t="str">
        <f>D205</f>
        <v>kg</v>
      </c>
      <c r="E241" s="77"/>
      <c r="F241" s="82"/>
      <c r="G241" s="82"/>
      <c r="H241" s="82"/>
      <c r="N241" s="60"/>
      <c r="O241" s="60"/>
      <c r="P241" s="60"/>
    </row>
    <row r="242" spans="2:16" ht="13" hidden="1" outlineLevel="1" x14ac:dyDescent="0.25">
      <c r="B242" s="74"/>
      <c r="C242" s="148"/>
      <c r="D242" s="76" t="str">
        <f>D205</f>
        <v>kg</v>
      </c>
      <c r="E242" s="77"/>
      <c r="F242" s="82"/>
      <c r="G242" s="82"/>
      <c r="H242" s="82"/>
      <c r="N242" s="60"/>
      <c r="O242" s="60"/>
      <c r="P242" s="60"/>
    </row>
    <row r="243" spans="2:16" ht="13" hidden="1" outlineLevel="1" x14ac:dyDescent="0.25">
      <c r="B243" s="74"/>
      <c r="C243" s="148"/>
      <c r="D243" s="76" t="str">
        <f>D205</f>
        <v>kg</v>
      </c>
      <c r="E243" s="77"/>
      <c r="F243" s="82"/>
      <c r="G243" s="82"/>
      <c r="H243" s="82"/>
      <c r="N243" s="60"/>
      <c r="O243" s="60"/>
      <c r="P243" s="60"/>
    </row>
    <row r="244" spans="2:16" ht="13" hidden="1" outlineLevel="1" x14ac:dyDescent="0.25">
      <c r="B244" s="74"/>
      <c r="C244" s="148"/>
      <c r="D244" s="76" t="str">
        <f>D205</f>
        <v>kg</v>
      </c>
      <c r="E244" s="77"/>
      <c r="F244" s="82"/>
      <c r="G244" s="82"/>
      <c r="H244" s="82"/>
      <c r="N244" s="60"/>
      <c r="O244" s="60"/>
      <c r="P244" s="60"/>
    </row>
    <row r="245" spans="2:16" ht="13" hidden="1" outlineLevel="1" x14ac:dyDescent="0.25">
      <c r="B245" s="74"/>
      <c r="C245" s="148"/>
      <c r="D245" s="76" t="str">
        <f>D205</f>
        <v>kg</v>
      </c>
      <c r="E245" s="77"/>
      <c r="F245" s="82"/>
      <c r="G245" s="82"/>
      <c r="H245" s="82"/>
      <c r="N245" s="60"/>
      <c r="O245" s="60"/>
      <c r="P245" s="60"/>
    </row>
    <row r="246" spans="2:16" ht="13" hidden="1" outlineLevel="1" x14ac:dyDescent="0.25">
      <c r="B246" s="74"/>
      <c r="C246" s="148"/>
      <c r="D246" s="76" t="str">
        <f>D205</f>
        <v>kg</v>
      </c>
      <c r="E246" s="77"/>
      <c r="F246" s="82"/>
      <c r="G246" s="82"/>
      <c r="H246" s="82"/>
      <c r="N246" s="60"/>
      <c r="O246" s="60"/>
      <c r="P246" s="60"/>
    </row>
    <row r="247" spans="2:16" ht="13.4" hidden="1" customHeight="1" outlineLevel="1" x14ac:dyDescent="0.25">
      <c r="B247" s="79"/>
      <c r="C247" s="147"/>
      <c r="D247" s="81"/>
      <c r="E247" s="77"/>
      <c r="F247" s="82"/>
      <c r="G247" s="82"/>
      <c r="H247" s="82"/>
      <c r="K247" s="34"/>
      <c r="N247" s="60"/>
      <c r="O247" s="60"/>
      <c r="P247" s="60"/>
    </row>
    <row r="248" spans="2:16" ht="13" hidden="1" outlineLevel="1" x14ac:dyDescent="0.25">
      <c r="B248" s="86" t="s">
        <v>9</v>
      </c>
      <c r="C248" s="149">
        <f>SUM(C229:C246)</f>
        <v>0</v>
      </c>
      <c r="D248" s="91" t="str">
        <f>D205</f>
        <v>kg</v>
      </c>
      <c r="E248" s="77"/>
      <c r="F248" s="82"/>
      <c r="G248" s="82"/>
      <c r="H248" s="82"/>
      <c r="N248" s="60"/>
      <c r="O248" s="60"/>
      <c r="P248" s="60"/>
    </row>
    <row r="249" spans="2:16" ht="13" hidden="1" outlineLevel="1" x14ac:dyDescent="0.25">
      <c r="B249" s="92"/>
      <c r="C249" s="93"/>
      <c r="D249" s="94"/>
      <c r="E249" s="77"/>
      <c r="F249" s="82"/>
      <c r="G249" s="82"/>
      <c r="H249" s="82"/>
      <c r="N249" s="60"/>
      <c r="O249" s="60"/>
      <c r="P249" s="60"/>
    </row>
    <row r="250" spans="2:16" ht="20.5" hidden="1" outlineLevel="1" thickBot="1" x14ac:dyDescent="0.3">
      <c r="B250" s="426" t="s">
        <v>10</v>
      </c>
      <c r="C250" s="427"/>
      <c r="D250" s="428"/>
      <c r="E250" s="77"/>
      <c r="F250" s="82"/>
      <c r="G250" s="82"/>
      <c r="H250" s="82"/>
      <c r="N250" s="60"/>
      <c r="O250" s="60"/>
      <c r="P250" s="60"/>
    </row>
    <row r="251" spans="2:16" ht="13" hidden="1" outlineLevel="1" x14ac:dyDescent="0.25">
      <c r="B251" s="95" t="s">
        <v>23</v>
      </c>
      <c r="C251" s="96"/>
      <c r="D251" s="151">
        <f>SUM(C215:C216)</f>
        <v>0</v>
      </c>
      <c r="E251" s="98"/>
      <c r="F251" s="82"/>
      <c r="G251" s="82"/>
      <c r="H251" s="82"/>
      <c r="N251" s="60"/>
      <c r="O251" s="60"/>
      <c r="P251" s="60"/>
    </row>
    <row r="252" spans="2:16" ht="13" hidden="1" outlineLevel="1" x14ac:dyDescent="0.25">
      <c r="B252" s="99" t="s">
        <v>24</v>
      </c>
      <c r="C252" s="100"/>
      <c r="D252" s="152">
        <f>SUM(C218:C228)</f>
        <v>0</v>
      </c>
      <c r="E252" s="98"/>
      <c r="F252" s="82"/>
      <c r="G252" s="82"/>
      <c r="H252" s="82"/>
      <c r="N252" s="60"/>
      <c r="O252" s="60"/>
      <c r="P252" s="60"/>
    </row>
    <row r="253" spans="2:16" ht="13" hidden="1" outlineLevel="1" x14ac:dyDescent="0.25">
      <c r="B253" s="99" t="s">
        <v>25</v>
      </c>
      <c r="C253" s="100"/>
      <c r="D253" s="152">
        <f>SUM(C231:C239)</f>
        <v>0</v>
      </c>
      <c r="E253" s="98"/>
      <c r="F253" s="82"/>
      <c r="G253" s="82"/>
      <c r="H253" s="82"/>
      <c r="N253" s="60"/>
      <c r="O253" s="60"/>
      <c r="P253" s="60"/>
    </row>
    <row r="254" spans="2:16" ht="13" hidden="1" outlineLevel="1" x14ac:dyDescent="0.25">
      <c r="B254" s="102" t="s">
        <v>26</v>
      </c>
      <c r="C254" s="103"/>
      <c r="D254" s="153">
        <f>SUM(C240:C247)</f>
        <v>0</v>
      </c>
      <c r="E254" s="98"/>
      <c r="F254" s="82"/>
      <c r="G254" s="82"/>
      <c r="H254" s="82"/>
      <c r="N254" s="60"/>
      <c r="O254" s="60"/>
      <c r="P254" s="60"/>
    </row>
    <row r="255" spans="2:16" ht="18.5" hidden="1" outlineLevel="1" thickTop="1" x14ac:dyDescent="0.25">
      <c r="B255" s="105" t="s">
        <v>11</v>
      </c>
      <c r="C255" s="106"/>
      <c r="D255" s="107" t="e">
        <f>C229/C211</f>
        <v>#DIV/0!</v>
      </c>
      <c r="E255" s="77"/>
      <c r="F255" s="110" t="s">
        <v>86</v>
      </c>
      <c r="G255" s="109" t="s">
        <v>85</v>
      </c>
      <c r="H255" s="110"/>
      <c r="N255" s="60"/>
      <c r="O255" s="60"/>
      <c r="P255" s="60"/>
    </row>
    <row r="256" spans="2:16" ht="18.5" hidden="1" outlineLevel="1" thickBot="1" x14ac:dyDescent="0.3">
      <c r="B256" s="111" t="s">
        <v>12</v>
      </c>
      <c r="C256" s="112"/>
      <c r="D256" s="113" t="e">
        <f>(D251+D252+D253)/C211</f>
        <v>#DIV/0!</v>
      </c>
      <c r="E256" s="77"/>
      <c r="F256" s="154"/>
      <c r="G256" s="413"/>
      <c r="H256" s="414"/>
      <c r="N256" s="60"/>
      <c r="O256" s="60"/>
      <c r="P256" s="60"/>
    </row>
    <row r="257" spans="2:16" ht="18" hidden="1" outlineLevel="1" x14ac:dyDescent="0.25">
      <c r="B257" s="111" t="s">
        <v>13</v>
      </c>
      <c r="C257" s="112"/>
      <c r="D257" s="113" t="e">
        <f>D253/C211</f>
        <v>#DIV/0!</v>
      </c>
      <c r="E257" s="90"/>
      <c r="F257" s="64" t="s">
        <v>45</v>
      </c>
      <c r="G257" s="64" t="s">
        <v>45</v>
      </c>
      <c r="H257" s="155"/>
      <c r="N257" s="60"/>
      <c r="O257" s="60"/>
      <c r="P257" s="60"/>
    </row>
    <row r="258" spans="2:16" ht="18" hidden="1" outlineLevel="1" x14ac:dyDescent="0.25">
      <c r="B258" s="114" t="s">
        <v>14</v>
      </c>
      <c r="C258" s="115"/>
      <c r="D258" s="116" t="e">
        <f>D254/C211</f>
        <v>#DIV/0!</v>
      </c>
      <c r="E258" s="90"/>
      <c r="F258" s="110"/>
      <c r="G258" s="117" t="s">
        <v>46</v>
      </c>
      <c r="H258" s="110"/>
      <c r="N258" s="60"/>
      <c r="O258" s="60"/>
      <c r="P258" s="60"/>
    </row>
    <row r="259" spans="2:16" ht="18.5" hidden="1" outlineLevel="1" thickBot="1" x14ac:dyDescent="0.3">
      <c r="B259" s="114" t="s">
        <v>15</v>
      </c>
      <c r="C259" s="119"/>
      <c r="D259" s="116" t="e">
        <f>SUM(D251:D254)/C211</f>
        <v>#DIV/0!</v>
      </c>
      <c r="E259" s="90"/>
      <c r="F259" s="429"/>
      <c r="G259" s="430"/>
      <c r="H259" s="431"/>
      <c r="N259" s="60"/>
      <c r="O259" s="60"/>
      <c r="P259" s="60"/>
    </row>
    <row r="260" spans="2:16" ht="18.5" hidden="1" outlineLevel="1" thickTop="1" x14ac:dyDescent="0.25">
      <c r="B260" s="120" t="s">
        <v>16</v>
      </c>
      <c r="C260" s="121"/>
      <c r="D260" s="122" t="e">
        <f>((C215*D193)+D252+C216*MAX(1,F216))/C211</f>
        <v>#DIV/0!</v>
      </c>
      <c r="E260" s="77"/>
      <c r="F260" s="64" t="s">
        <v>45</v>
      </c>
      <c r="G260" s="64"/>
      <c r="H260" s="82"/>
      <c r="N260" s="60"/>
      <c r="O260" s="60"/>
      <c r="P260" s="60"/>
    </row>
    <row r="261" spans="2:16" ht="18" hidden="1" outlineLevel="1" x14ac:dyDescent="0.25">
      <c r="B261" s="123" t="s">
        <v>17</v>
      </c>
      <c r="C261" s="124"/>
      <c r="D261" s="125" t="e">
        <f>(C215*D194+D252+D253+C216*(MAX(1,F216)+G216))/C211</f>
        <v>#DIV/0!</v>
      </c>
      <c r="E261" s="77"/>
      <c r="F261" s="82"/>
      <c r="G261" s="82"/>
      <c r="H261" s="82"/>
      <c r="N261" s="60"/>
      <c r="O261" s="60"/>
      <c r="P261" s="60"/>
    </row>
    <row r="262" spans="2:16" ht="18" hidden="1" customHeight="1" outlineLevel="1" x14ac:dyDescent="0.25">
      <c r="B262" s="123" t="s">
        <v>18</v>
      </c>
      <c r="C262" s="124"/>
      <c r="D262" s="125" t="e">
        <f>((C215*D195)+D253+C216*G216)/C211</f>
        <v>#DIV/0!</v>
      </c>
      <c r="E262" s="77"/>
      <c r="F262" s="415" t="s">
        <v>61</v>
      </c>
      <c r="G262" s="416"/>
      <c r="H262" s="416"/>
      <c r="N262" s="60"/>
      <c r="O262" s="60"/>
      <c r="P262" s="60"/>
    </row>
    <row r="263" spans="2:16" ht="18" hidden="1" outlineLevel="1" x14ac:dyDescent="0.25">
      <c r="B263" s="126" t="s">
        <v>19</v>
      </c>
      <c r="C263" s="127"/>
      <c r="D263" s="128" t="e">
        <f>(C215*D196+D254+C216*H216)/C211</f>
        <v>#DIV/0!</v>
      </c>
      <c r="E263" s="77"/>
      <c r="F263" s="416"/>
      <c r="G263" s="416"/>
      <c r="H263" s="416"/>
      <c r="N263" s="60"/>
      <c r="O263" s="60"/>
      <c r="P263" s="60"/>
    </row>
    <row r="264" spans="2:16" ht="18.5" hidden="1" outlineLevel="1" thickBot="1" x14ac:dyDescent="0.3">
      <c r="B264" s="129" t="s">
        <v>20</v>
      </c>
      <c r="C264" s="130"/>
      <c r="D264" s="131" t="e">
        <f>((C215*D197)+SUM(D252:D254)+C216*(MAX(1,F216)+G216+H216))/C211</f>
        <v>#DIV/0!</v>
      </c>
      <c r="E264" s="77"/>
      <c r="F264" s="416"/>
      <c r="G264" s="416"/>
      <c r="H264" s="416"/>
      <c r="N264" s="60"/>
      <c r="O264" s="60"/>
      <c r="P264" s="60"/>
    </row>
    <row r="265" spans="2:16" ht="13" hidden="1" outlineLevel="1" thickTop="1" x14ac:dyDescent="0.25">
      <c r="B265" s="156" t="s">
        <v>76</v>
      </c>
      <c r="C265" s="424"/>
      <c r="D265" s="425"/>
      <c r="E265" s="46"/>
      <c r="F265" s="416"/>
      <c r="G265" s="416"/>
      <c r="H265" s="416"/>
      <c r="N265" s="60"/>
      <c r="O265" s="60"/>
      <c r="P265" s="60"/>
    </row>
    <row r="266" spans="2:16" hidden="1" outlineLevel="1" x14ac:dyDescent="0.25">
      <c r="B266" s="157" t="s">
        <v>58</v>
      </c>
      <c r="C266" s="422"/>
      <c r="D266" s="423"/>
      <c r="E266" s="46"/>
      <c r="F266" s="416"/>
      <c r="G266" s="416"/>
      <c r="H266" s="416"/>
      <c r="N266" s="60"/>
      <c r="O266" s="60"/>
      <c r="P266" s="60"/>
    </row>
    <row r="267" spans="2:16" ht="13" hidden="1" outlineLevel="1" thickBot="1" x14ac:dyDescent="0.3">
      <c r="B267" s="158" t="s">
        <v>59</v>
      </c>
      <c r="C267" s="420"/>
      <c r="D267" s="421"/>
      <c r="E267" s="46"/>
      <c r="F267" s="416"/>
      <c r="G267" s="416"/>
      <c r="H267" s="416"/>
      <c r="N267" s="60"/>
      <c r="O267" s="60"/>
      <c r="P267" s="60"/>
    </row>
    <row r="268" spans="2:16" ht="13" hidden="1" outlineLevel="1" x14ac:dyDescent="0.25">
      <c r="E268" s="46"/>
      <c r="F268" s="34"/>
      <c r="G268" s="34"/>
      <c r="H268" s="34"/>
      <c r="N268" s="60"/>
      <c r="O268" s="60"/>
      <c r="P268" s="60"/>
    </row>
    <row r="269" spans="2:16" ht="13" hidden="1" outlineLevel="1" x14ac:dyDescent="0.25">
      <c r="C269" s="25" t="s">
        <v>44</v>
      </c>
      <c r="D269" s="25" t="s">
        <v>42</v>
      </c>
      <c r="E269" s="46"/>
      <c r="F269" s="34"/>
      <c r="G269" s="34"/>
      <c r="H269" s="34"/>
      <c r="N269" s="60"/>
      <c r="O269" s="60"/>
      <c r="P269" s="60"/>
    </row>
    <row r="270" spans="2:16" ht="21" hidden="1" outlineLevel="1" thickTop="1" thickBot="1" x14ac:dyDescent="0.3">
      <c r="B270" s="140" t="s">
        <v>73</v>
      </c>
      <c r="C270" s="29"/>
      <c r="D270" s="141"/>
      <c r="E270" s="31"/>
      <c r="F270" s="32" t="s">
        <v>27</v>
      </c>
      <c r="G270" s="33"/>
      <c r="H270" s="33"/>
      <c r="I270" s="34"/>
    </row>
    <row r="271" spans="2:16" ht="14.5" hidden="1" outlineLevel="1" thickBot="1" x14ac:dyDescent="0.3">
      <c r="B271" s="37"/>
      <c r="C271" s="38" t="s">
        <v>0</v>
      </c>
      <c r="D271" s="39" t="s">
        <v>1</v>
      </c>
      <c r="E271" s="40"/>
      <c r="F271" s="41" t="s">
        <v>28</v>
      </c>
      <c r="G271" s="41" t="s">
        <v>21</v>
      </c>
      <c r="H271" s="41" t="s">
        <v>8</v>
      </c>
    </row>
    <row r="272" spans="2:16" ht="13" hidden="1" outlineLevel="1" x14ac:dyDescent="0.25">
      <c r="B272" s="43" t="s">
        <v>65</v>
      </c>
      <c r="C272" s="142"/>
      <c r="D272" s="45" t="s">
        <v>2</v>
      </c>
      <c r="E272" s="46"/>
      <c r="F272" s="47"/>
      <c r="G272" s="47"/>
      <c r="H272" s="47"/>
      <c r="N272" s="60"/>
      <c r="O272" s="60"/>
      <c r="P272" s="60"/>
    </row>
    <row r="273" spans="2:16" ht="13" hidden="1" outlineLevel="1" x14ac:dyDescent="0.25">
      <c r="B273" s="43" t="s">
        <v>64</v>
      </c>
      <c r="C273" s="143"/>
      <c r="D273" s="45" t="s">
        <v>3</v>
      </c>
      <c r="E273" s="46"/>
      <c r="F273" s="47"/>
      <c r="G273" s="47"/>
      <c r="H273" s="47"/>
      <c r="N273" s="60"/>
      <c r="O273" s="60"/>
      <c r="P273" s="60"/>
    </row>
    <row r="274" spans="2:16" ht="13" hidden="1" outlineLevel="1" x14ac:dyDescent="0.25">
      <c r="B274" s="51" t="s">
        <v>63</v>
      </c>
      <c r="C274" s="144">
        <f>C272*C273</f>
        <v>0</v>
      </c>
      <c r="D274" s="45" t="str">
        <f>D272</f>
        <v>kg</v>
      </c>
      <c r="E274" s="46"/>
      <c r="F274" s="47"/>
      <c r="G274" s="47"/>
      <c r="H274" s="47"/>
      <c r="N274" s="60"/>
      <c r="O274" s="60"/>
      <c r="P274" s="60"/>
    </row>
    <row r="275" spans="2:16" ht="14" hidden="1" outlineLevel="1" x14ac:dyDescent="0.25">
      <c r="B275" s="54" t="s">
        <v>37</v>
      </c>
      <c r="C275" s="145">
        <v>1</v>
      </c>
      <c r="D275" s="56"/>
      <c r="E275" s="57"/>
      <c r="F275" s="58"/>
      <c r="G275" s="58"/>
      <c r="H275" s="58"/>
      <c r="N275" s="60"/>
      <c r="O275" s="60"/>
      <c r="P275" s="60"/>
    </row>
    <row r="276" spans="2:16" ht="13" hidden="1" outlineLevel="1" x14ac:dyDescent="0.25">
      <c r="B276" s="43" t="s">
        <v>66</v>
      </c>
      <c r="C276" s="142"/>
      <c r="D276" s="45" t="str">
        <f>D272</f>
        <v>kg</v>
      </c>
      <c r="E276" s="46"/>
      <c r="F276" s="47"/>
      <c r="G276" s="47"/>
      <c r="H276" s="47"/>
      <c r="J276" s="159"/>
      <c r="N276" s="60"/>
      <c r="O276" s="60"/>
      <c r="P276" s="60"/>
    </row>
    <row r="277" spans="2:16" ht="13" hidden="1" outlineLevel="1" x14ac:dyDescent="0.25">
      <c r="B277" s="43" t="s">
        <v>67</v>
      </c>
      <c r="C277" s="143"/>
      <c r="D277" s="45" t="s">
        <v>3</v>
      </c>
      <c r="E277" s="59"/>
      <c r="F277" s="47"/>
      <c r="G277" s="47"/>
      <c r="H277" s="47"/>
      <c r="N277" s="60"/>
      <c r="O277" s="60"/>
      <c r="P277" s="60"/>
    </row>
    <row r="278" spans="2:16" ht="13" hidden="1" outlineLevel="1" x14ac:dyDescent="0.25">
      <c r="B278" s="51" t="s">
        <v>68</v>
      </c>
      <c r="C278" s="144">
        <f>C276*C277</f>
        <v>0</v>
      </c>
      <c r="D278" s="45" t="str">
        <f>D272</f>
        <v>kg</v>
      </c>
      <c r="E278" s="46"/>
      <c r="F278" s="47"/>
      <c r="G278" s="47"/>
      <c r="H278" s="47"/>
      <c r="N278" s="60"/>
      <c r="O278" s="60"/>
      <c r="P278" s="60"/>
    </row>
    <row r="279" spans="2:16" ht="13.5" hidden="1" outlineLevel="1" thickBot="1" x14ac:dyDescent="0.3">
      <c r="B279" s="61"/>
      <c r="C279" s="62"/>
      <c r="D279" s="63"/>
      <c r="F279" s="64"/>
      <c r="G279" s="64"/>
      <c r="H279" s="64"/>
      <c r="N279" s="60"/>
      <c r="O279" s="60"/>
      <c r="P279" s="60"/>
    </row>
    <row r="280" spans="2:16" ht="14.5" hidden="1" outlineLevel="1" thickBot="1" x14ac:dyDescent="0.3">
      <c r="B280" s="65" t="s">
        <v>5</v>
      </c>
      <c r="C280" s="66" t="s">
        <v>6</v>
      </c>
      <c r="D280" s="67" t="s">
        <v>1</v>
      </c>
      <c r="E280" s="68"/>
      <c r="F280" s="69"/>
      <c r="G280" s="69"/>
      <c r="H280" s="69"/>
      <c r="N280" s="60"/>
      <c r="O280" s="60"/>
      <c r="P280" s="60"/>
    </row>
    <row r="281" spans="2:16" ht="13" hidden="1" outlineLevel="1" x14ac:dyDescent="0.25">
      <c r="B281" s="70" t="s">
        <v>43</v>
      </c>
      <c r="C281" s="71"/>
      <c r="D281" s="72"/>
      <c r="E281" s="73"/>
      <c r="F281" s="69"/>
      <c r="G281" s="69"/>
      <c r="H281" s="69"/>
      <c r="N281" s="60"/>
      <c r="O281" s="60"/>
      <c r="P281" s="60"/>
    </row>
    <row r="282" spans="2:16" ht="13" hidden="1" outlineLevel="1" x14ac:dyDescent="0.25">
      <c r="B282" s="74"/>
      <c r="C282" s="146">
        <f>C274</f>
        <v>0</v>
      </c>
      <c r="D282" s="76" t="str">
        <f>D272</f>
        <v>kg</v>
      </c>
      <c r="E282" s="98"/>
      <c r="F282" s="69"/>
      <c r="G282" s="69"/>
      <c r="H282" s="69"/>
      <c r="N282" s="60"/>
      <c r="O282" s="60"/>
      <c r="P282" s="60"/>
    </row>
    <row r="283" spans="2:16" ht="13.5" hidden="1" outlineLevel="1" thickBot="1" x14ac:dyDescent="0.3">
      <c r="B283" s="74"/>
      <c r="C283" s="146"/>
      <c r="D283" s="76" t="str">
        <f>D272</f>
        <v>kg</v>
      </c>
      <c r="E283" s="77"/>
      <c r="F283" s="78"/>
      <c r="G283" s="78"/>
      <c r="H283" s="78"/>
      <c r="N283" s="60"/>
      <c r="O283" s="60"/>
      <c r="P283" s="60"/>
    </row>
    <row r="284" spans="2:16" ht="13" hidden="1" outlineLevel="1" x14ac:dyDescent="0.25">
      <c r="B284" s="79" t="s">
        <v>69</v>
      </c>
      <c r="C284" s="147"/>
      <c r="D284" s="81"/>
      <c r="E284" s="77"/>
      <c r="F284" s="82"/>
      <c r="G284" s="82"/>
      <c r="H284" s="82"/>
      <c r="N284" s="60"/>
      <c r="O284" s="60"/>
      <c r="P284" s="60"/>
    </row>
    <row r="285" spans="2:16" ht="13" hidden="1" outlineLevel="1" x14ac:dyDescent="0.25">
      <c r="B285" s="74"/>
      <c r="C285" s="148"/>
      <c r="D285" s="76" t="str">
        <f>D272</f>
        <v>kg</v>
      </c>
      <c r="E285" s="77"/>
      <c r="F285" s="82"/>
      <c r="G285" s="82"/>
      <c r="H285" s="82"/>
      <c r="N285" s="60"/>
      <c r="O285" s="60"/>
      <c r="P285" s="60"/>
    </row>
    <row r="286" spans="2:16" ht="13" hidden="1" outlineLevel="1" x14ac:dyDescent="0.25">
      <c r="B286" s="74"/>
      <c r="C286" s="148"/>
      <c r="D286" s="76" t="str">
        <f>D272</f>
        <v>kg</v>
      </c>
      <c r="E286" s="77"/>
      <c r="F286" s="82"/>
      <c r="G286" s="82"/>
      <c r="H286" s="82"/>
      <c r="N286" s="60"/>
      <c r="O286" s="60"/>
      <c r="P286" s="60"/>
    </row>
    <row r="287" spans="2:16" ht="13" hidden="1" outlineLevel="1" x14ac:dyDescent="0.25">
      <c r="B287" s="74"/>
      <c r="C287" s="148"/>
      <c r="D287" s="76" t="str">
        <f>D272</f>
        <v>kg</v>
      </c>
      <c r="E287" s="77"/>
      <c r="F287" s="82"/>
      <c r="G287" s="82"/>
      <c r="H287" s="82"/>
      <c r="N287" s="60"/>
      <c r="O287" s="60"/>
      <c r="P287" s="60"/>
    </row>
    <row r="288" spans="2:16" ht="13" hidden="1" outlineLevel="1" x14ac:dyDescent="0.25">
      <c r="B288" s="74"/>
      <c r="C288" s="148"/>
      <c r="D288" s="76" t="str">
        <f>D272</f>
        <v>kg</v>
      </c>
      <c r="E288" s="77"/>
      <c r="F288" s="82"/>
      <c r="G288" s="82"/>
      <c r="H288" s="82"/>
      <c r="N288" s="60"/>
      <c r="O288" s="60"/>
      <c r="P288" s="60"/>
    </row>
    <row r="289" spans="2:16" ht="13" hidden="1" outlineLevel="1" x14ac:dyDescent="0.25">
      <c r="B289" s="74"/>
      <c r="C289" s="148"/>
      <c r="D289" s="76" t="str">
        <f>D272</f>
        <v>kg</v>
      </c>
      <c r="E289" s="77"/>
      <c r="F289" s="82"/>
      <c r="G289" s="82"/>
      <c r="H289" s="82"/>
      <c r="N289" s="60"/>
      <c r="O289" s="60"/>
      <c r="P289" s="60"/>
    </row>
    <row r="290" spans="2:16" ht="13" hidden="1" outlineLevel="1" x14ac:dyDescent="0.25">
      <c r="B290" s="74"/>
      <c r="C290" s="148"/>
      <c r="D290" s="76" t="str">
        <f>D272</f>
        <v>kg</v>
      </c>
      <c r="E290" s="77"/>
      <c r="F290" s="82"/>
      <c r="G290" s="82"/>
      <c r="H290" s="82"/>
      <c r="N290" s="60"/>
      <c r="O290" s="60"/>
      <c r="P290" s="60"/>
    </row>
    <row r="291" spans="2:16" ht="13" hidden="1" outlineLevel="1" x14ac:dyDescent="0.25">
      <c r="B291" s="74"/>
      <c r="C291" s="148"/>
      <c r="D291" s="76" t="str">
        <f>D272</f>
        <v>kg</v>
      </c>
      <c r="E291" s="77"/>
      <c r="F291" s="82"/>
      <c r="G291" s="82"/>
      <c r="H291" s="82"/>
      <c r="N291" s="60"/>
      <c r="O291" s="60"/>
      <c r="P291" s="60"/>
    </row>
    <row r="292" spans="2:16" ht="13" hidden="1" outlineLevel="1" x14ac:dyDescent="0.25">
      <c r="B292" s="74"/>
      <c r="C292" s="148"/>
      <c r="D292" s="76" t="str">
        <f>D272</f>
        <v>kg</v>
      </c>
      <c r="E292" s="77"/>
      <c r="F292" s="82"/>
      <c r="G292" s="82"/>
      <c r="H292" s="82"/>
      <c r="N292" s="60"/>
      <c r="O292" s="60"/>
      <c r="P292" s="60"/>
    </row>
    <row r="293" spans="2:16" ht="13" hidden="1" outlineLevel="1" x14ac:dyDescent="0.25">
      <c r="B293" s="74"/>
      <c r="C293" s="148"/>
      <c r="D293" s="76" t="str">
        <f>D272</f>
        <v>kg</v>
      </c>
      <c r="E293" s="77"/>
      <c r="F293" s="82"/>
      <c r="G293" s="82"/>
      <c r="H293" s="82"/>
      <c r="N293" s="60"/>
      <c r="O293" s="60"/>
      <c r="P293" s="60"/>
    </row>
    <row r="294" spans="2:16" ht="13" hidden="1" outlineLevel="1" x14ac:dyDescent="0.25">
      <c r="B294" s="74"/>
      <c r="C294" s="148"/>
      <c r="D294" s="76" t="str">
        <f>D272</f>
        <v>kg</v>
      </c>
      <c r="E294" s="77"/>
      <c r="F294" s="82"/>
      <c r="G294" s="82"/>
      <c r="H294" s="82"/>
      <c r="N294" s="60"/>
      <c r="O294" s="60"/>
      <c r="P294" s="60"/>
    </row>
    <row r="295" spans="2:16" ht="13.4" hidden="1" customHeight="1" outlineLevel="1" x14ac:dyDescent="0.25">
      <c r="B295" s="79"/>
      <c r="C295" s="147"/>
      <c r="D295" s="81"/>
      <c r="E295" s="77"/>
      <c r="F295" s="82"/>
      <c r="G295" s="82"/>
      <c r="H295" s="82"/>
      <c r="K295" s="34"/>
      <c r="N295" s="60"/>
      <c r="O295" s="60"/>
      <c r="P295" s="60"/>
    </row>
    <row r="296" spans="2:16" ht="13" hidden="1" outlineLevel="1" x14ac:dyDescent="0.25">
      <c r="B296" s="86" t="s">
        <v>7</v>
      </c>
      <c r="C296" s="149">
        <f>SUM(C281:C294)</f>
        <v>0</v>
      </c>
      <c r="D296" s="88" t="str">
        <f>D272</f>
        <v>kg</v>
      </c>
      <c r="E296" s="77"/>
      <c r="F296" s="82"/>
      <c r="G296" s="82"/>
      <c r="H296" s="82"/>
      <c r="N296" s="60"/>
      <c r="O296" s="60"/>
      <c r="P296" s="60"/>
    </row>
    <row r="297" spans="2:16" ht="13" hidden="1" outlineLevel="1" x14ac:dyDescent="0.25">
      <c r="B297" s="79" t="s">
        <v>71</v>
      </c>
      <c r="C297" s="150"/>
      <c r="D297" s="81"/>
      <c r="E297" s="77"/>
      <c r="F297" s="82"/>
      <c r="G297" s="82"/>
      <c r="H297" s="82"/>
      <c r="N297" s="60"/>
      <c r="O297" s="60"/>
      <c r="P297" s="60"/>
    </row>
    <row r="298" spans="2:16" ht="13" hidden="1" outlineLevel="1" x14ac:dyDescent="0.25">
      <c r="B298" s="74"/>
      <c r="C298" s="148"/>
      <c r="D298" s="76" t="str">
        <f>D272</f>
        <v>kg</v>
      </c>
      <c r="E298" s="77"/>
      <c r="F298" s="82"/>
      <c r="G298" s="82"/>
      <c r="H298" s="82"/>
      <c r="N298" s="60"/>
      <c r="O298" s="60"/>
      <c r="P298" s="60"/>
    </row>
    <row r="299" spans="2:16" ht="13" hidden="1" outlineLevel="1" x14ac:dyDescent="0.25">
      <c r="B299" s="74"/>
      <c r="C299" s="148"/>
      <c r="D299" s="76" t="str">
        <f>D272</f>
        <v>kg</v>
      </c>
      <c r="E299" s="77"/>
      <c r="F299" s="82"/>
      <c r="G299" s="82"/>
      <c r="H299" s="82"/>
      <c r="N299" s="60"/>
      <c r="O299" s="60"/>
      <c r="P299" s="60"/>
    </row>
    <row r="300" spans="2:16" ht="13" hidden="1" outlineLevel="1" x14ac:dyDescent="0.25">
      <c r="B300" s="74"/>
      <c r="C300" s="148"/>
      <c r="D300" s="76" t="str">
        <f>D272</f>
        <v>kg</v>
      </c>
      <c r="E300" s="77"/>
      <c r="F300" s="82"/>
      <c r="G300" s="82"/>
      <c r="H300" s="82"/>
      <c r="N300" s="60"/>
      <c r="O300" s="60"/>
      <c r="P300" s="60"/>
    </row>
    <row r="301" spans="2:16" ht="13" hidden="1" outlineLevel="1" x14ac:dyDescent="0.25">
      <c r="B301" s="74"/>
      <c r="C301" s="148"/>
      <c r="D301" s="76" t="str">
        <f>D272</f>
        <v>kg</v>
      </c>
      <c r="E301" s="77"/>
      <c r="F301" s="82"/>
      <c r="G301" s="82"/>
      <c r="H301" s="82"/>
      <c r="N301" s="60"/>
      <c r="O301" s="60"/>
      <c r="P301" s="60"/>
    </row>
    <row r="302" spans="2:16" ht="13" hidden="1" outlineLevel="1" x14ac:dyDescent="0.25">
      <c r="B302" s="74"/>
      <c r="C302" s="148"/>
      <c r="D302" s="76" t="str">
        <f>D272</f>
        <v>kg</v>
      </c>
      <c r="E302" s="77"/>
      <c r="F302" s="82"/>
      <c r="G302" s="82"/>
      <c r="H302" s="82"/>
      <c r="N302" s="60"/>
      <c r="O302" s="60"/>
      <c r="P302" s="60"/>
    </row>
    <row r="303" spans="2:16" ht="13" hidden="1" outlineLevel="1" x14ac:dyDescent="0.25">
      <c r="B303" s="74"/>
      <c r="C303" s="148"/>
      <c r="D303" s="76" t="str">
        <f>D272</f>
        <v>kg</v>
      </c>
      <c r="E303" s="77"/>
      <c r="F303" s="82"/>
      <c r="G303" s="82"/>
      <c r="H303" s="82"/>
      <c r="N303" s="60"/>
      <c r="O303" s="60"/>
      <c r="P303" s="60"/>
    </row>
    <row r="304" spans="2:16" ht="13" hidden="1" outlineLevel="1" x14ac:dyDescent="0.25">
      <c r="B304" s="74"/>
      <c r="C304" s="148"/>
      <c r="D304" s="76" t="str">
        <f>D272</f>
        <v>kg</v>
      </c>
      <c r="E304" s="77"/>
      <c r="F304" s="82"/>
      <c r="G304" s="82"/>
      <c r="H304" s="82"/>
      <c r="N304" s="60"/>
      <c r="O304" s="60"/>
      <c r="P304" s="60"/>
    </row>
    <row r="305" spans="2:16" ht="13" hidden="1" outlineLevel="1" x14ac:dyDescent="0.25">
      <c r="B305" s="74"/>
      <c r="C305" s="148"/>
      <c r="D305" s="76" t="str">
        <f>D272</f>
        <v>kg</v>
      </c>
      <c r="E305" s="77"/>
      <c r="F305" s="82"/>
      <c r="G305" s="82"/>
      <c r="H305" s="82"/>
      <c r="N305" s="60"/>
      <c r="O305" s="60"/>
      <c r="P305" s="60"/>
    </row>
    <row r="306" spans="2:16" ht="13" hidden="1" outlineLevel="1" x14ac:dyDescent="0.25">
      <c r="B306" s="79" t="s">
        <v>70</v>
      </c>
      <c r="C306" s="147"/>
      <c r="D306" s="81"/>
      <c r="E306" s="90"/>
      <c r="F306" s="82"/>
      <c r="G306" s="82"/>
      <c r="H306" s="82"/>
      <c r="N306" s="60"/>
      <c r="O306" s="60"/>
      <c r="P306" s="60"/>
    </row>
    <row r="307" spans="2:16" ht="13" hidden="1" outlineLevel="1" x14ac:dyDescent="0.25">
      <c r="B307" s="74"/>
      <c r="C307" s="148"/>
      <c r="D307" s="76" t="str">
        <f>D272</f>
        <v>kg</v>
      </c>
      <c r="E307" s="77"/>
      <c r="F307" s="82"/>
      <c r="G307" s="82"/>
      <c r="H307" s="82"/>
      <c r="N307" s="60"/>
      <c r="O307" s="60"/>
      <c r="P307" s="60"/>
    </row>
    <row r="308" spans="2:16" ht="13" hidden="1" outlineLevel="1" x14ac:dyDescent="0.25">
      <c r="B308" s="74"/>
      <c r="C308" s="148"/>
      <c r="D308" s="76" t="str">
        <f>D272</f>
        <v>kg</v>
      </c>
      <c r="E308" s="77"/>
      <c r="F308" s="82"/>
      <c r="G308" s="82"/>
      <c r="H308" s="82"/>
      <c r="N308" s="60"/>
      <c r="O308" s="60"/>
      <c r="P308" s="60"/>
    </row>
    <row r="309" spans="2:16" ht="13" hidden="1" outlineLevel="1" x14ac:dyDescent="0.25">
      <c r="B309" s="74"/>
      <c r="C309" s="148"/>
      <c r="D309" s="76" t="str">
        <f>D272</f>
        <v>kg</v>
      </c>
      <c r="E309" s="77"/>
      <c r="F309" s="82"/>
      <c r="G309" s="82"/>
      <c r="H309" s="82"/>
      <c r="N309" s="60"/>
      <c r="O309" s="60"/>
      <c r="P309" s="60"/>
    </row>
    <row r="310" spans="2:16" ht="13" hidden="1" outlineLevel="1" x14ac:dyDescent="0.25">
      <c r="B310" s="74"/>
      <c r="C310" s="148"/>
      <c r="D310" s="76" t="str">
        <f>D272</f>
        <v>kg</v>
      </c>
      <c r="E310" s="77"/>
      <c r="F310" s="82"/>
      <c r="G310" s="82"/>
      <c r="H310" s="82"/>
      <c r="N310" s="60"/>
      <c r="O310" s="60"/>
      <c r="P310" s="60"/>
    </row>
    <row r="311" spans="2:16" ht="13" hidden="1" outlineLevel="1" x14ac:dyDescent="0.25">
      <c r="B311" s="74"/>
      <c r="C311" s="148"/>
      <c r="D311" s="76" t="str">
        <f>D272</f>
        <v>kg</v>
      </c>
      <c r="E311" s="77"/>
      <c r="F311" s="82"/>
      <c r="G311" s="82"/>
      <c r="H311" s="82"/>
      <c r="N311" s="60"/>
      <c r="O311" s="60"/>
      <c r="P311" s="60"/>
    </row>
    <row r="312" spans="2:16" ht="13" hidden="1" outlineLevel="1" x14ac:dyDescent="0.25">
      <c r="B312" s="74"/>
      <c r="C312" s="148"/>
      <c r="D312" s="76" t="str">
        <f>D272</f>
        <v>kg</v>
      </c>
      <c r="E312" s="77"/>
      <c r="F312" s="82"/>
      <c r="G312" s="82"/>
      <c r="H312" s="82"/>
      <c r="N312" s="60"/>
      <c r="O312" s="60"/>
      <c r="P312" s="60"/>
    </row>
    <row r="313" spans="2:16" ht="13" hidden="1" outlineLevel="1" x14ac:dyDescent="0.25">
      <c r="B313" s="74"/>
      <c r="C313" s="148"/>
      <c r="D313" s="76" t="str">
        <f>D272</f>
        <v>kg</v>
      </c>
      <c r="E313" s="77"/>
      <c r="F313" s="82"/>
      <c r="G313" s="82"/>
      <c r="H313" s="82"/>
      <c r="N313" s="60"/>
      <c r="O313" s="60"/>
      <c r="P313" s="60"/>
    </row>
    <row r="314" spans="2:16" ht="13.4" hidden="1" customHeight="1" outlineLevel="1" x14ac:dyDescent="0.25">
      <c r="B314" s="79"/>
      <c r="C314" s="147"/>
      <c r="D314" s="81"/>
      <c r="E314" s="77"/>
      <c r="F314" s="82"/>
      <c r="G314" s="82"/>
      <c r="H314" s="82"/>
      <c r="K314" s="34"/>
      <c r="N314" s="60"/>
      <c r="O314" s="60"/>
      <c r="P314" s="60"/>
    </row>
    <row r="315" spans="2:16" ht="13" hidden="1" outlineLevel="1" x14ac:dyDescent="0.25">
      <c r="B315" s="86" t="s">
        <v>9</v>
      </c>
      <c r="C315" s="149">
        <f>SUM(C296:C313)</f>
        <v>0</v>
      </c>
      <c r="D315" s="91" t="str">
        <f>D272</f>
        <v>kg</v>
      </c>
      <c r="E315" s="77"/>
      <c r="F315" s="82"/>
      <c r="G315" s="82"/>
      <c r="H315" s="82"/>
      <c r="N315" s="60"/>
      <c r="O315" s="60"/>
      <c r="P315" s="60"/>
    </row>
    <row r="316" spans="2:16" ht="13" hidden="1" outlineLevel="1" x14ac:dyDescent="0.25">
      <c r="B316" s="92"/>
      <c r="C316" s="93"/>
      <c r="D316" s="94"/>
      <c r="E316" s="77"/>
      <c r="F316" s="82"/>
      <c r="G316" s="82"/>
      <c r="H316" s="82"/>
      <c r="N316" s="60"/>
      <c r="O316" s="60"/>
      <c r="P316" s="60"/>
    </row>
    <row r="317" spans="2:16" ht="20.5" hidden="1" outlineLevel="1" thickBot="1" x14ac:dyDescent="0.3">
      <c r="B317" s="426" t="s">
        <v>10</v>
      </c>
      <c r="C317" s="427"/>
      <c r="D317" s="428"/>
      <c r="E317" s="77"/>
      <c r="F317" s="82"/>
      <c r="G317" s="82"/>
      <c r="H317" s="82"/>
      <c r="N317" s="60"/>
      <c r="O317" s="60"/>
      <c r="P317" s="60"/>
    </row>
    <row r="318" spans="2:16" ht="13" hidden="1" outlineLevel="1" x14ac:dyDescent="0.25">
      <c r="B318" s="95" t="s">
        <v>23</v>
      </c>
      <c r="C318" s="96"/>
      <c r="D318" s="151">
        <f>SUM(C282:C283)</f>
        <v>0</v>
      </c>
      <c r="E318" s="98"/>
      <c r="F318" s="82"/>
      <c r="G318" s="82"/>
      <c r="H318" s="82"/>
      <c r="N318" s="60"/>
      <c r="O318" s="60"/>
      <c r="P318" s="60"/>
    </row>
    <row r="319" spans="2:16" ht="13" hidden="1" outlineLevel="1" x14ac:dyDescent="0.25">
      <c r="B319" s="99" t="s">
        <v>24</v>
      </c>
      <c r="C319" s="100"/>
      <c r="D319" s="152">
        <f>SUM(C285:C295)</f>
        <v>0</v>
      </c>
      <c r="E319" s="98"/>
      <c r="F319" s="82"/>
      <c r="G319" s="82"/>
      <c r="H319" s="82"/>
      <c r="N319" s="60"/>
      <c r="O319" s="60"/>
      <c r="P319" s="60"/>
    </row>
    <row r="320" spans="2:16" ht="13" hidden="1" outlineLevel="1" x14ac:dyDescent="0.25">
      <c r="B320" s="99" t="s">
        <v>25</v>
      </c>
      <c r="C320" s="100"/>
      <c r="D320" s="152">
        <f>SUM(C298:C306)</f>
        <v>0</v>
      </c>
      <c r="E320" s="98"/>
      <c r="F320" s="82"/>
      <c r="G320" s="82"/>
      <c r="H320" s="82"/>
      <c r="N320" s="60"/>
      <c r="O320" s="60"/>
      <c r="P320" s="60"/>
    </row>
    <row r="321" spans="2:16" ht="13" hidden="1" outlineLevel="1" x14ac:dyDescent="0.25">
      <c r="B321" s="102" t="s">
        <v>26</v>
      </c>
      <c r="C321" s="103"/>
      <c r="D321" s="153">
        <f>SUM(C307:C314)</f>
        <v>0</v>
      </c>
      <c r="E321" s="98"/>
      <c r="F321" s="82"/>
      <c r="G321" s="82"/>
      <c r="H321" s="82"/>
      <c r="N321" s="60"/>
      <c r="O321" s="60"/>
      <c r="P321" s="60"/>
    </row>
    <row r="322" spans="2:16" ht="18.5" hidden="1" outlineLevel="1" thickTop="1" x14ac:dyDescent="0.25">
      <c r="B322" s="105" t="s">
        <v>11</v>
      </c>
      <c r="C322" s="106"/>
      <c r="D322" s="107" t="e">
        <f>C296/C278</f>
        <v>#DIV/0!</v>
      </c>
      <c r="E322" s="77"/>
      <c r="F322" s="110" t="s">
        <v>86</v>
      </c>
      <c r="G322" s="109" t="s">
        <v>85</v>
      </c>
      <c r="H322" s="110"/>
      <c r="N322" s="60"/>
      <c r="O322" s="60"/>
      <c r="P322" s="60"/>
    </row>
    <row r="323" spans="2:16" ht="18.5" hidden="1" outlineLevel="1" thickBot="1" x14ac:dyDescent="0.3">
      <c r="B323" s="111" t="s">
        <v>12</v>
      </c>
      <c r="C323" s="112"/>
      <c r="D323" s="113" t="e">
        <f>(D318+D319+D320)/C278</f>
        <v>#DIV/0!</v>
      </c>
      <c r="E323" s="77"/>
      <c r="F323" s="154"/>
      <c r="G323" s="413"/>
      <c r="H323" s="414"/>
      <c r="N323" s="60"/>
      <c r="O323" s="60"/>
      <c r="P323" s="60"/>
    </row>
    <row r="324" spans="2:16" ht="18" hidden="1" outlineLevel="1" x14ac:dyDescent="0.25">
      <c r="B324" s="111" t="s">
        <v>13</v>
      </c>
      <c r="C324" s="112"/>
      <c r="D324" s="113" t="e">
        <f>D320/C278</f>
        <v>#DIV/0!</v>
      </c>
      <c r="E324" s="90"/>
      <c r="F324" s="64" t="s">
        <v>45</v>
      </c>
      <c r="G324" s="64" t="s">
        <v>45</v>
      </c>
      <c r="H324" s="155"/>
      <c r="N324" s="60"/>
      <c r="O324" s="60"/>
      <c r="P324" s="60"/>
    </row>
    <row r="325" spans="2:16" ht="18" hidden="1" outlineLevel="1" x14ac:dyDescent="0.25">
      <c r="B325" s="114" t="s">
        <v>14</v>
      </c>
      <c r="C325" s="115"/>
      <c r="D325" s="116" t="e">
        <f>D321/C278</f>
        <v>#DIV/0!</v>
      </c>
      <c r="E325" s="90"/>
      <c r="F325" s="110"/>
      <c r="G325" s="117" t="s">
        <v>46</v>
      </c>
      <c r="H325" s="110"/>
      <c r="N325" s="60"/>
      <c r="O325" s="60"/>
      <c r="P325" s="60"/>
    </row>
    <row r="326" spans="2:16" ht="18.5" hidden="1" outlineLevel="1" thickBot="1" x14ac:dyDescent="0.3">
      <c r="B326" s="114" t="s">
        <v>15</v>
      </c>
      <c r="C326" s="119"/>
      <c r="D326" s="116" t="e">
        <f>SUM(D318:D321)/C278</f>
        <v>#DIV/0!</v>
      </c>
      <c r="E326" s="90"/>
      <c r="F326" s="429"/>
      <c r="G326" s="430"/>
      <c r="H326" s="431"/>
      <c r="N326" s="60"/>
      <c r="O326" s="60"/>
      <c r="P326" s="60"/>
    </row>
    <row r="327" spans="2:16" ht="18.5" hidden="1" outlineLevel="1" thickTop="1" x14ac:dyDescent="0.25">
      <c r="B327" s="120" t="s">
        <v>16</v>
      </c>
      <c r="C327" s="121"/>
      <c r="D327" s="122" t="e">
        <f>((C282*D260)+D319+C283*MAX(1,F283))/C278</f>
        <v>#DIV/0!</v>
      </c>
      <c r="E327" s="77"/>
      <c r="F327" s="64" t="s">
        <v>45</v>
      </c>
      <c r="G327" s="64"/>
      <c r="H327" s="82"/>
      <c r="N327" s="60"/>
      <c r="O327" s="60"/>
      <c r="P327" s="60"/>
    </row>
    <row r="328" spans="2:16" ht="18" hidden="1" outlineLevel="1" x14ac:dyDescent="0.25">
      <c r="B328" s="123" t="s">
        <v>17</v>
      </c>
      <c r="C328" s="124"/>
      <c r="D328" s="125" t="e">
        <f>(C282*D261+D319+D320+C283*(MAX(1,F283)+G283))/C278</f>
        <v>#DIV/0!</v>
      </c>
      <c r="E328" s="77"/>
      <c r="F328" s="82"/>
      <c r="G328" s="82"/>
      <c r="H328" s="82"/>
      <c r="N328" s="60"/>
      <c r="O328" s="60"/>
      <c r="P328" s="60"/>
    </row>
    <row r="329" spans="2:16" ht="18" hidden="1" customHeight="1" outlineLevel="1" x14ac:dyDescent="0.25">
      <c r="B329" s="123" t="s">
        <v>18</v>
      </c>
      <c r="C329" s="124"/>
      <c r="D329" s="125" t="e">
        <f>((C282*D262)+D320+C283*G283)/C278</f>
        <v>#DIV/0!</v>
      </c>
      <c r="E329" s="77"/>
      <c r="F329" s="415" t="s">
        <v>61</v>
      </c>
      <c r="G329" s="416"/>
      <c r="H329" s="416"/>
      <c r="N329" s="60"/>
      <c r="O329" s="60"/>
      <c r="P329" s="60"/>
    </row>
    <row r="330" spans="2:16" ht="18" hidden="1" outlineLevel="1" x14ac:dyDescent="0.25">
      <c r="B330" s="126" t="s">
        <v>19</v>
      </c>
      <c r="C330" s="127"/>
      <c r="D330" s="128" t="e">
        <f>(C282*D263+D321+C283*H283)/C278</f>
        <v>#DIV/0!</v>
      </c>
      <c r="E330" s="77"/>
      <c r="F330" s="416"/>
      <c r="G330" s="416"/>
      <c r="H330" s="416"/>
      <c r="N330" s="60"/>
      <c r="O330" s="60"/>
      <c r="P330" s="60"/>
    </row>
    <row r="331" spans="2:16" ht="18.5" hidden="1" outlineLevel="1" thickBot="1" x14ac:dyDescent="0.3">
      <c r="B331" s="129" t="s">
        <v>20</v>
      </c>
      <c r="C331" s="130"/>
      <c r="D331" s="131" t="e">
        <f>((C282*D264)+SUM(D319:D321)+C283*(MAX(1,F283)+G283+H283))/C278</f>
        <v>#DIV/0!</v>
      </c>
      <c r="E331" s="77"/>
      <c r="F331" s="416"/>
      <c r="G331" s="416"/>
      <c r="H331" s="416"/>
      <c r="N331" s="60"/>
      <c r="O331" s="60"/>
      <c r="P331" s="60"/>
    </row>
    <row r="332" spans="2:16" ht="13" hidden="1" outlineLevel="1" thickTop="1" x14ac:dyDescent="0.25">
      <c r="B332" s="156" t="s">
        <v>76</v>
      </c>
      <c r="C332" s="424"/>
      <c r="D332" s="425"/>
      <c r="E332" s="46"/>
      <c r="F332" s="416"/>
      <c r="G332" s="416"/>
      <c r="H332" s="416"/>
      <c r="N332" s="60"/>
      <c r="O332" s="60"/>
      <c r="P332" s="60"/>
    </row>
    <row r="333" spans="2:16" hidden="1" outlineLevel="1" x14ac:dyDescent="0.25">
      <c r="B333" s="157" t="s">
        <v>58</v>
      </c>
      <c r="C333" s="422"/>
      <c r="D333" s="423"/>
      <c r="E333" s="46"/>
      <c r="F333" s="416"/>
      <c r="G333" s="416"/>
      <c r="H333" s="416"/>
      <c r="N333" s="60"/>
      <c r="O333" s="60"/>
      <c r="P333" s="60"/>
    </row>
    <row r="334" spans="2:16" ht="13" hidden="1" outlineLevel="1" thickBot="1" x14ac:dyDescent="0.3">
      <c r="B334" s="158" t="s">
        <v>59</v>
      </c>
      <c r="C334" s="420"/>
      <c r="D334" s="421"/>
      <c r="E334" s="46"/>
      <c r="F334" s="416"/>
      <c r="G334" s="416"/>
      <c r="H334" s="416"/>
      <c r="N334" s="60"/>
      <c r="O334" s="60"/>
      <c r="P334" s="60"/>
    </row>
    <row r="335" spans="2:16" ht="13" hidden="1" outlineLevel="1" x14ac:dyDescent="0.25">
      <c r="E335" s="46"/>
      <c r="F335" s="34"/>
      <c r="G335" s="34"/>
      <c r="H335" s="34"/>
      <c r="N335" s="60"/>
      <c r="O335" s="60"/>
      <c r="P335" s="60"/>
    </row>
    <row r="336" spans="2:16" ht="13" hidden="1" outlineLevel="1" x14ac:dyDescent="0.25">
      <c r="C336" s="25" t="s">
        <v>44</v>
      </c>
      <c r="D336" s="25" t="s">
        <v>42</v>
      </c>
      <c r="E336" s="46"/>
      <c r="F336" s="34"/>
      <c r="G336" s="34"/>
      <c r="H336" s="34"/>
      <c r="N336" s="60"/>
      <c r="O336" s="60"/>
      <c r="P336" s="60"/>
    </row>
    <row r="337" spans="2:16" ht="21" hidden="1" outlineLevel="1" thickTop="1" thickBot="1" x14ac:dyDescent="0.3">
      <c r="B337" s="140" t="s">
        <v>73</v>
      </c>
      <c r="C337" s="29"/>
      <c r="D337" s="141"/>
      <c r="E337" s="31"/>
      <c r="F337" s="32" t="s">
        <v>27</v>
      </c>
      <c r="G337" s="33"/>
      <c r="H337" s="33"/>
      <c r="I337" s="34"/>
    </row>
    <row r="338" spans="2:16" ht="14.5" hidden="1" outlineLevel="1" thickBot="1" x14ac:dyDescent="0.3">
      <c r="B338" s="37"/>
      <c r="C338" s="38" t="s">
        <v>0</v>
      </c>
      <c r="D338" s="39" t="s">
        <v>1</v>
      </c>
      <c r="E338" s="40"/>
      <c r="F338" s="41" t="s">
        <v>28</v>
      </c>
      <c r="G338" s="41" t="s">
        <v>21</v>
      </c>
      <c r="H338" s="41" t="s">
        <v>8</v>
      </c>
    </row>
    <row r="339" spans="2:16" ht="13" hidden="1" outlineLevel="1" x14ac:dyDescent="0.25">
      <c r="B339" s="43" t="s">
        <v>65</v>
      </c>
      <c r="C339" s="142"/>
      <c r="D339" s="45" t="s">
        <v>2</v>
      </c>
      <c r="E339" s="46"/>
      <c r="F339" s="47"/>
      <c r="G339" s="47"/>
      <c r="H339" s="47"/>
      <c r="N339" s="60"/>
      <c r="O339" s="60"/>
      <c r="P339" s="60"/>
    </row>
    <row r="340" spans="2:16" ht="13" hidden="1" outlineLevel="1" x14ac:dyDescent="0.25">
      <c r="B340" s="43" t="s">
        <v>64</v>
      </c>
      <c r="C340" s="143"/>
      <c r="D340" s="45" t="s">
        <v>3</v>
      </c>
      <c r="E340" s="46"/>
      <c r="F340" s="47"/>
      <c r="G340" s="47"/>
      <c r="H340" s="47"/>
      <c r="J340" s="159"/>
      <c r="N340" s="60"/>
      <c r="O340" s="60"/>
      <c r="P340" s="60"/>
    </row>
    <row r="341" spans="2:16" ht="13" hidden="1" outlineLevel="1" x14ac:dyDescent="0.25">
      <c r="B341" s="51" t="s">
        <v>63</v>
      </c>
      <c r="C341" s="144">
        <f>C339*C340</f>
        <v>0</v>
      </c>
      <c r="D341" s="45" t="str">
        <f>D339</f>
        <v>kg</v>
      </c>
      <c r="E341" s="46"/>
      <c r="F341" s="47"/>
      <c r="G341" s="47"/>
      <c r="H341" s="47"/>
      <c r="N341" s="60"/>
      <c r="O341" s="60"/>
      <c r="P341" s="60"/>
    </row>
    <row r="342" spans="2:16" ht="14" hidden="1" outlineLevel="1" x14ac:dyDescent="0.25">
      <c r="B342" s="54" t="s">
        <v>37</v>
      </c>
      <c r="C342" s="145">
        <v>1</v>
      </c>
      <c r="D342" s="56"/>
      <c r="E342" s="57"/>
      <c r="F342" s="58"/>
      <c r="G342" s="58"/>
      <c r="H342" s="58"/>
      <c r="N342" s="60"/>
      <c r="O342" s="60"/>
      <c r="P342" s="60"/>
    </row>
    <row r="343" spans="2:16" ht="13" hidden="1" outlineLevel="1" x14ac:dyDescent="0.25">
      <c r="B343" s="43" t="s">
        <v>66</v>
      </c>
      <c r="C343" s="142"/>
      <c r="D343" s="45" t="str">
        <f>D339</f>
        <v>kg</v>
      </c>
      <c r="E343" s="46"/>
      <c r="F343" s="47"/>
      <c r="G343" s="47"/>
      <c r="H343" s="47"/>
      <c r="N343" s="60"/>
      <c r="O343" s="60"/>
      <c r="P343" s="60"/>
    </row>
    <row r="344" spans="2:16" ht="13" hidden="1" outlineLevel="1" x14ac:dyDescent="0.25">
      <c r="B344" s="43" t="s">
        <v>67</v>
      </c>
      <c r="C344" s="143"/>
      <c r="D344" s="45" t="s">
        <v>3</v>
      </c>
      <c r="E344" s="59"/>
      <c r="F344" s="47"/>
      <c r="G344" s="47"/>
      <c r="H344" s="47"/>
      <c r="N344" s="60"/>
      <c r="O344" s="60"/>
      <c r="P344" s="60"/>
    </row>
    <row r="345" spans="2:16" ht="13" hidden="1" outlineLevel="1" x14ac:dyDescent="0.25">
      <c r="B345" s="51" t="s">
        <v>68</v>
      </c>
      <c r="C345" s="144">
        <f>C343*C344</f>
        <v>0</v>
      </c>
      <c r="D345" s="45" t="str">
        <f>D339</f>
        <v>kg</v>
      </c>
      <c r="E345" s="46"/>
      <c r="F345" s="47"/>
      <c r="G345" s="47"/>
      <c r="H345" s="47"/>
      <c r="N345" s="60"/>
      <c r="O345" s="60"/>
      <c r="P345" s="60"/>
    </row>
    <row r="346" spans="2:16" ht="13.5" hidden="1" outlineLevel="1" thickBot="1" x14ac:dyDescent="0.3">
      <c r="B346" s="61"/>
      <c r="C346" s="62"/>
      <c r="D346" s="63"/>
      <c r="F346" s="64"/>
      <c r="G346" s="64"/>
      <c r="H346" s="64"/>
      <c r="N346" s="60"/>
      <c r="O346" s="60"/>
      <c r="P346" s="60"/>
    </row>
    <row r="347" spans="2:16" ht="14.5" hidden="1" outlineLevel="1" thickBot="1" x14ac:dyDescent="0.3">
      <c r="B347" s="65" t="s">
        <v>5</v>
      </c>
      <c r="C347" s="66" t="s">
        <v>6</v>
      </c>
      <c r="D347" s="67" t="s">
        <v>1</v>
      </c>
      <c r="E347" s="68"/>
      <c r="F347" s="69"/>
      <c r="G347" s="69"/>
      <c r="H347" s="69"/>
      <c r="N347" s="60"/>
      <c r="O347" s="60"/>
      <c r="P347" s="60"/>
    </row>
    <row r="348" spans="2:16" ht="13" hidden="1" outlineLevel="1" x14ac:dyDescent="0.25">
      <c r="B348" s="70" t="s">
        <v>43</v>
      </c>
      <c r="C348" s="71"/>
      <c r="D348" s="72"/>
      <c r="E348" s="73"/>
      <c r="F348" s="69"/>
      <c r="G348" s="69"/>
      <c r="H348" s="69"/>
      <c r="N348" s="60"/>
      <c r="O348" s="60"/>
      <c r="P348" s="60"/>
    </row>
    <row r="349" spans="2:16" ht="13" hidden="1" outlineLevel="1" x14ac:dyDescent="0.25">
      <c r="B349" s="74"/>
      <c r="C349" s="146">
        <f>C341</f>
        <v>0</v>
      </c>
      <c r="D349" s="76" t="str">
        <f>D339</f>
        <v>kg</v>
      </c>
      <c r="E349" s="98"/>
      <c r="F349" s="69"/>
      <c r="G349" s="69"/>
      <c r="H349" s="69"/>
      <c r="N349" s="60"/>
      <c r="O349" s="60"/>
      <c r="P349" s="60"/>
    </row>
    <row r="350" spans="2:16" ht="13.5" hidden="1" outlineLevel="1" thickBot="1" x14ac:dyDescent="0.3">
      <c r="B350" s="74"/>
      <c r="C350" s="146"/>
      <c r="D350" s="76" t="str">
        <f>D339</f>
        <v>kg</v>
      </c>
      <c r="E350" s="77"/>
      <c r="F350" s="78"/>
      <c r="G350" s="78"/>
      <c r="H350" s="78"/>
      <c r="N350" s="60"/>
      <c r="O350" s="60"/>
      <c r="P350" s="60"/>
    </row>
    <row r="351" spans="2:16" ht="13" hidden="1" outlineLevel="1" x14ac:dyDescent="0.25">
      <c r="B351" s="79" t="s">
        <v>69</v>
      </c>
      <c r="C351" s="147"/>
      <c r="D351" s="81"/>
      <c r="E351" s="77"/>
      <c r="F351" s="82"/>
      <c r="G351" s="82"/>
      <c r="H351" s="82"/>
      <c r="N351" s="60"/>
      <c r="O351" s="60"/>
      <c r="P351" s="60"/>
    </row>
    <row r="352" spans="2:16" ht="13" hidden="1" outlineLevel="1" x14ac:dyDescent="0.25">
      <c r="B352" s="74"/>
      <c r="C352" s="148"/>
      <c r="D352" s="76" t="str">
        <f>D339</f>
        <v>kg</v>
      </c>
      <c r="E352" s="77"/>
      <c r="F352" s="82"/>
      <c r="G352" s="82"/>
      <c r="H352" s="82"/>
      <c r="N352" s="60"/>
      <c r="O352" s="60"/>
      <c r="P352" s="60"/>
    </row>
    <row r="353" spans="2:16" ht="13" hidden="1" outlineLevel="1" x14ac:dyDescent="0.25">
      <c r="B353" s="74"/>
      <c r="C353" s="148"/>
      <c r="D353" s="76" t="str">
        <f>D339</f>
        <v>kg</v>
      </c>
      <c r="E353" s="77"/>
      <c r="F353" s="82"/>
      <c r="G353" s="82"/>
      <c r="H353" s="82"/>
      <c r="N353" s="60"/>
      <c r="O353" s="60"/>
      <c r="P353" s="60"/>
    </row>
    <row r="354" spans="2:16" ht="13" hidden="1" outlineLevel="1" x14ac:dyDescent="0.25">
      <c r="B354" s="74"/>
      <c r="C354" s="148"/>
      <c r="D354" s="76" t="str">
        <f>D339</f>
        <v>kg</v>
      </c>
      <c r="E354" s="77"/>
      <c r="F354" s="82"/>
      <c r="G354" s="82"/>
      <c r="H354" s="82"/>
      <c r="N354" s="60"/>
      <c r="O354" s="60"/>
      <c r="P354" s="60"/>
    </row>
    <row r="355" spans="2:16" ht="13" hidden="1" outlineLevel="1" x14ac:dyDescent="0.25">
      <c r="B355" s="74"/>
      <c r="C355" s="148"/>
      <c r="D355" s="76" t="str">
        <f>D339</f>
        <v>kg</v>
      </c>
      <c r="E355" s="77"/>
      <c r="F355" s="82"/>
      <c r="G355" s="82"/>
      <c r="H355" s="82"/>
      <c r="N355" s="60"/>
      <c r="O355" s="60"/>
      <c r="P355" s="60"/>
    </row>
    <row r="356" spans="2:16" ht="13" hidden="1" outlineLevel="1" x14ac:dyDescent="0.25">
      <c r="B356" s="74"/>
      <c r="C356" s="148"/>
      <c r="D356" s="76" t="str">
        <f>D339</f>
        <v>kg</v>
      </c>
      <c r="E356" s="77"/>
      <c r="F356" s="82"/>
      <c r="G356" s="82"/>
      <c r="H356" s="82"/>
      <c r="N356" s="60"/>
      <c r="O356" s="60"/>
      <c r="P356" s="60"/>
    </row>
    <row r="357" spans="2:16" ht="13" hidden="1" outlineLevel="1" x14ac:dyDescent="0.25">
      <c r="B357" s="74"/>
      <c r="C357" s="148"/>
      <c r="D357" s="76" t="str">
        <f>D339</f>
        <v>kg</v>
      </c>
      <c r="E357" s="77"/>
      <c r="F357" s="82"/>
      <c r="G357" s="82"/>
      <c r="H357" s="82"/>
      <c r="N357" s="60"/>
      <c r="O357" s="60"/>
      <c r="P357" s="60"/>
    </row>
    <row r="358" spans="2:16" ht="13" hidden="1" outlineLevel="1" x14ac:dyDescent="0.25">
      <c r="B358" s="74"/>
      <c r="C358" s="148"/>
      <c r="D358" s="76" t="str">
        <f>D339</f>
        <v>kg</v>
      </c>
      <c r="E358" s="77"/>
      <c r="F358" s="82"/>
      <c r="G358" s="82"/>
      <c r="H358" s="82"/>
      <c r="N358" s="60"/>
      <c r="O358" s="60"/>
      <c r="P358" s="60"/>
    </row>
    <row r="359" spans="2:16" ht="13" hidden="1" outlineLevel="1" x14ac:dyDescent="0.25">
      <c r="B359" s="74"/>
      <c r="C359" s="148"/>
      <c r="D359" s="76" t="str">
        <f>D339</f>
        <v>kg</v>
      </c>
      <c r="E359" s="77"/>
      <c r="F359" s="82"/>
      <c r="G359" s="82"/>
      <c r="H359" s="82"/>
      <c r="N359" s="60"/>
      <c r="O359" s="60"/>
      <c r="P359" s="60"/>
    </row>
    <row r="360" spans="2:16" ht="13" hidden="1" outlineLevel="1" x14ac:dyDescent="0.25">
      <c r="B360" s="74"/>
      <c r="C360" s="148"/>
      <c r="D360" s="76" t="str">
        <f>D339</f>
        <v>kg</v>
      </c>
      <c r="E360" s="77"/>
      <c r="F360" s="82"/>
      <c r="G360" s="82"/>
      <c r="H360" s="82"/>
      <c r="N360" s="60"/>
      <c r="O360" s="60"/>
      <c r="P360" s="60"/>
    </row>
    <row r="361" spans="2:16" ht="13" hidden="1" outlineLevel="1" x14ac:dyDescent="0.25">
      <c r="B361" s="74"/>
      <c r="C361" s="148"/>
      <c r="D361" s="76" t="str">
        <f>D339</f>
        <v>kg</v>
      </c>
      <c r="E361" s="77"/>
      <c r="F361" s="82"/>
      <c r="G361" s="82"/>
      <c r="H361" s="82"/>
      <c r="N361" s="60"/>
      <c r="O361" s="60"/>
      <c r="P361" s="60"/>
    </row>
    <row r="362" spans="2:16" ht="13.4" hidden="1" customHeight="1" outlineLevel="1" x14ac:dyDescent="0.25">
      <c r="B362" s="79"/>
      <c r="C362" s="147"/>
      <c r="D362" s="81"/>
      <c r="E362" s="77"/>
      <c r="F362" s="82"/>
      <c r="G362" s="82"/>
      <c r="H362" s="82"/>
      <c r="K362" s="34"/>
      <c r="N362" s="60"/>
      <c r="O362" s="60"/>
      <c r="P362" s="60"/>
    </row>
    <row r="363" spans="2:16" ht="13" hidden="1" outlineLevel="1" x14ac:dyDescent="0.25">
      <c r="B363" s="86" t="s">
        <v>7</v>
      </c>
      <c r="C363" s="149">
        <f>SUM(C348:C361)</f>
        <v>0</v>
      </c>
      <c r="D363" s="88" t="str">
        <f>D339</f>
        <v>kg</v>
      </c>
      <c r="E363" s="77"/>
      <c r="F363" s="82"/>
      <c r="G363" s="82"/>
      <c r="H363" s="82"/>
      <c r="N363" s="60"/>
      <c r="O363" s="60"/>
      <c r="P363" s="60"/>
    </row>
    <row r="364" spans="2:16" ht="13" hidden="1" outlineLevel="1" x14ac:dyDescent="0.25">
      <c r="B364" s="79" t="s">
        <v>71</v>
      </c>
      <c r="C364" s="150"/>
      <c r="D364" s="81"/>
      <c r="E364" s="77"/>
      <c r="F364" s="82"/>
      <c r="G364" s="82"/>
      <c r="H364" s="82"/>
      <c r="N364" s="60"/>
      <c r="O364" s="60"/>
      <c r="P364" s="60"/>
    </row>
    <row r="365" spans="2:16" ht="13" hidden="1" outlineLevel="1" x14ac:dyDescent="0.25">
      <c r="B365" s="74"/>
      <c r="C365" s="148"/>
      <c r="D365" s="76" t="str">
        <f>D339</f>
        <v>kg</v>
      </c>
      <c r="E365" s="77"/>
      <c r="F365" s="82"/>
      <c r="G365" s="82"/>
      <c r="H365" s="82"/>
      <c r="N365" s="60"/>
      <c r="O365" s="60"/>
      <c r="P365" s="60"/>
    </row>
    <row r="366" spans="2:16" ht="13" hidden="1" outlineLevel="1" x14ac:dyDescent="0.25">
      <c r="B366" s="74"/>
      <c r="C366" s="148"/>
      <c r="D366" s="76" t="str">
        <f>D339</f>
        <v>kg</v>
      </c>
      <c r="E366" s="77"/>
      <c r="F366" s="82"/>
      <c r="G366" s="82"/>
      <c r="H366" s="82"/>
      <c r="N366" s="60"/>
      <c r="O366" s="60"/>
      <c r="P366" s="60"/>
    </row>
    <row r="367" spans="2:16" ht="13" hidden="1" outlineLevel="1" x14ac:dyDescent="0.25">
      <c r="B367" s="74"/>
      <c r="C367" s="148"/>
      <c r="D367" s="76" t="str">
        <f>D339</f>
        <v>kg</v>
      </c>
      <c r="E367" s="77"/>
      <c r="F367" s="82"/>
      <c r="G367" s="82"/>
      <c r="H367" s="82"/>
      <c r="N367" s="60"/>
      <c r="O367" s="60"/>
      <c r="P367" s="60"/>
    </row>
    <row r="368" spans="2:16" ht="13" hidden="1" outlineLevel="1" x14ac:dyDescent="0.25">
      <c r="B368" s="74"/>
      <c r="C368" s="148"/>
      <c r="D368" s="76" t="str">
        <f>D339</f>
        <v>kg</v>
      </c>
      <c r="E368" s="77"/>
      <c r="F368" s="82"/>
      <c r="G368" s="82"/>
      <c r="H368" s="82"/>
      <c r="N368" s="60"/>
      <c r="O368" s="60"/>
      <c r="P368" s="60"/>
    </row>
    <row r="369" spans="2:16" ht="13" hidden="1" outlineLevel="1" x14ac:dyDescent="0.25">
      <c r="B369" s="74"/>
      <c r="C369" s="148"/>
      <c r="D369" s="76" t="str">
        <f>D339</f>
        <v>kg</v>
      </c>
      <c r="E369" s="77"/>
      <c r="F369" s="82"/>
      <c r="G369" s="82"/>
      <c r="H369" s="82"/>
      <c r="N369" s="60"/>
      <c r="O369" s="60"/>
      <c r="P369" s="60"/>
    </row>
    <row r="370" spans="2:16" ht="13" hidden="1" outlineLevel="1" x14ac:dyDescent="0.25">
      <c r="B370" s="74"/>
      <c r="C370" s="148"/>
      <c r="D370" s="76" t="str">
        <f>D339</f>
        <v>kg</v>
      </c>
      <c r="E370" s="77"/>
      <c r="F370" s="82"/>
      <c r="G370" s="82"/>
      <c r="H370" s="82"/>
      <c r="N370" s="60"/>
      <c r="O370" s="60"/>
      <c r="P370" s="60"/>
    </row>
    <row r="371" spans="2:16" ht="13" hidden="1" outlineLevel="1" x14ac:dyDescent="0.25">
      <c r="B371" s="74"/>
      <c r="C371" s="148"/>
      <c r="D371" s="76" t="str">
        <f>D339</f>
        <v>kg</v>
      </c>
      <c r="E371" s="77"/>
      <c r="F371" s="82"/>
      <c r="G371" s="82"/>
      <c r="H371" s="82"/>
      <c r="N371" s="60"/>
      <c r="O371" s="60"/>
      <c r="P371" s="60"/>
    </row>
    <row r="372" spans="2:16" ht="13" hidden="1" outlineLevel="1" x14ac:dyDescent="0.25">
      <c r="B372" s="74"/>
      <c r="C372" s="148"/>
      <c r="D372" s="76" t="str">
        <f>D339</f>
        <v>kg</v>
      </c>
      <c r="E372" s="77"/>
      <c r="F372" s="82"/>
      <c r="G372" s="82"/>
      <c r="H372" s="82"/>
      <c r="N372" s="60"/>
      <c r="O372" s="60"/>
      <c r="P372" s="60"/>
    </row>
    <row r="373" spans="2:16" ht="13" hidden="1" outlineLevel="1" x14ac:dyDescent="0.25">
      <c r="B373" s="79" t="s">
        <v>70</v>
      </c>
      <c r="C373" s="147"/>
      <c r="D373" s="81"/>
      <c r="E373" s="90"/>
      <c r="F373" s="82"/>
      <c r="G373" s="82"/>
      <c r="H373" s="82"/>
      <c r="N373" s="60"/>
      <c r="O373" s="60"/>
      <c r="P373" s="60"/>
    </row>
    <row r="374" spans="2:16" ht="13" hidden="1" outlineLevel="1" x14ac:dyDescent="0.25">
      <c r="B374" s="74"/>
      <c r="C374" s="148"/>
      <c r="D374" s="76" t="str">
        <f>D339</f>
        <v>kg</v>
      </c>
      <c r="E374" s="77"/>
      <c r="F374" s="82"/>
      <c r="G374" s="82"/>
      <c r="H374" s="82"/>
      <c r="N374" s="60"/>
      <c r="O374" s="60"/>
      <c r="P374" s="60"/>
    </row>
    <row r="375" spans="2:16" ht="13" hidden="1" outlineLevel="1" x14ac:dyDescent="0.25">
      <c r="B375" s="74"/>
      <c r="C375" s="148"/>
      <c r="D375" s="76" t="str">
        <f>D339</f>
        <v>kg</v>
      </c>
      <c r="E375" s="77"/>
      <c r="F375" s="82"/>
      <c r="G375" s="82"/>
      <c r="H375" s="82"/>
      <c r="N375" s="60"/>
      <c r="O375" s="60"/>
      <c r="P375" s="60"/>
    </row>
    <row r="376" spans="2:16" ht="13" hidden="1" outlineLevel="1" x14ac:dyDescent="0.25">
      <c r="B376" s="74"/>
      <c r="C376" s="148"/>
      <c r="D376" s="76" t="str">
        <f>D339</f>
        <v>kg</v>
      </c>
      <c r="E376" s="77"/>
      <c r="F376" s="82"/>
      <c r="G376" s="82"/>
      <c r="H376" s="82"/>
      <c r="N376" s="60"/>
      <c r="O376" s="60"/>
      <c r="P376" s="60"/>
    </row>
    <row r="377" spans="2:16" ht="13" hidden="1" outlineLevel="1" x14ac:dyDescent="0.25">
      <c r="B377" s="74"/>
      <c r="C377" s="148"/>
      <c r="D377" s="76" t="str">
        <f>D339</f>
        <v>kg</v>
      </c>
      <c r="E377" s="77"/>
      <c r="F377" s="82"/>
      <c r="G377" s="82"/>
      <c r="H377" s="82"/>
      <c r="N377" s="60"/>
      <c r="O377" s="60"/>
      <c r="P377" s="60"/>
    </row>
    <row r="378" spans="2:16" ht="13" hidden="1" outlineLevel="1" x14ac:dyDescent="0.25">
      <c r="B378" s="74"/>
      <c r="C378" s="148"/>
      <c r="D378" s="76" t="str">
        <f>D339</f>
        <v>kg</v>
      </c>
      <c r="E378" s="77"/>
      <c r="F378" s="82"/>
      <c r="G378" s="82"/>
      <c r="H378" s="82"/>
      <c r="N378" s="60"/>
      <c r="O378" s="60"/>
      <c r="P378" s="60"/>
    </row>
    <row r="379" spans="2:16" ht="14.25" hidden="1" customHeight="1" outlineLevel="1" x14ac:dyDescent="0.25">
      <c r="B379" s="74"/>
      <c r="C379" s="148"/>
      <c r="D379" s="76" t="str">
        <f>D339</f>
        <v>kg</v>
      </c>
      <c r="E379" s="77"/>
      <c r="F379" s="82"/>
      <c r="G379" s="82"/>
      <c r="H379" s="82"/>
      <c r="N379" s="60"/>
      <c r="O379" s="60"/>
      <c r="P379" s="60"/>
    </row>
    <row r="380" spans="2:16" ht="13" hidden="1" outlineLevel="1" x14ac:dyDescent="0.25">
      <c r="B380" s="74"/>
      <c r="C380" s="148"/>
      <c r="D380" s="76" t="str">
        <f>D339</f>
        <v>kg</v>
      </c>
      <c r="E380" s="77"/>
      <c r="F380" s="82"/>
      <c r="G380" s="82"/>
      <c r="H380" s="82"/>
      <c r="N380" s="60"/>
      <c r="O380" s="60"/>
      <c r="P380" s="60"/>
    </row>
    <row r="381" spans="2:16" ht="13.4" hidden="1" customHeight="1" outlineLevel="1" x14ac:dyDescent="0.25">
      <c r="B381" s="79"/>
      <c r="C381" s="147"/>
      <c r="D381" s="81"/>
      <c r="E381" s="77"/>
      <c r="F381" s="82"/>
      <c r="G381" s="82"/>
      <c r="H381" s="82"/>
      <c r="K381" s="34"/>
      <c r="N381" s="60"/>
      <c r="O381" s="60"/>
      <c r="P381" s="60"/>
    </row>
    <row r="382" spans="2:16" ht="13" hidden="1" outlineLevel="1" x14ac:dyDescent="0.25">
      <c r="B382" s="86" t="s">
        <v>9</v>
      </c>
      <c r="C382" s="149">
        <f>SUM(C363:C380)</f>
        <v>0</v>
      </c>
      <c r="D382" s="91" t="str">
        <f>D339</f>
        <v>kg</v>
      </c>
      <c r="E382" s="77"/>
      <c r="F382" s="82"/>
      <c r="G382" s="82"/>
      <c r="H382" s="82"/>
      <c r="N382" s="60"/>
      <c r="O382" s="60"/>
      <c r="P382" s="60"/>
    </row>
    <row r="383" spans="2:16" ht="13" hidden="1" outlineLevel="1" x14ac:dyDescent="0.25">
      <c r="B383" s="92"/>
      <c r="C383" s="93"/>
      <c r="D383" s="94"/>
      <c r="E383" s="77"/>
      <c r="F383" s="82"/>
      <c r="G383" s="82"/>
      <c r="H383" s="82"/>
      <c r="N383" s="60"/>
      <c r="O383" s="60"/>
      <c r="P383" s="60"/>
    </row>
    <row r="384" spans="2:16" ht="20.5" hidden="1" outlineLevel="1" thickBot="1" x14ac:dyDescent="0.3">
      <c r="B384" s="426" t="s">
        <v>10</v>
      </c>
      <c r="C384" s="427"/>
      <c r="D384" s="428"/>
      <c r="E384" s="77"/>
      <c r="F384" s="82"/>
      <c r="G384" s="82"/>
      <c r="H384" s="82"/>
      <c r="N384" s="60"/>
      <c r="O384" s="60"/>
      <c r="P384" s="60"/>
    </row>
    <row r="385" spans="2:16" ht="13" hidden="1" outlineLevel="1" x14ac:dyDescent="0.25">
      <c r="B385" s="95" t="s">
        <v>23</v>
      </c>
      <c r="C385" s="96"/>
      <c r="D385" s="151">
        <f>SUM(C349:C350)</f>
        <v>0</v>
      </c>
      <c r="E385" s="98"/>
      <c r="F385" s="82"/>
      <c r="G385" s="82"/>
      <c r="H385" s="82"/>
      <c r="N385" s="60"/>
      <c r="O385" s="60"/>
      <c r="P385" s="60"/>
    </row>
    <row r="386" spans="2:16" ht="13" hidden="1" outlineLevel="1" x14ac:dyDescent="0.25">
      <c r="B386" s="99" t="s">
        <v>24</v>
      </c>
      <c r="C386" s="100"/>
      <c r="D386" s="152">
        <f>SUM(C352:C362)</f>
        <v>0</v>
      </c>
      <c r="E386" s="98"/>
      <c r="F386" s="82"/>
      <c r="G386" s="82"/>
      <c r="H386" s="82"/>
      <c r="N386" s="60"/>
      <c r="O386" s="60"/>
      <c r="P386" s="60"/>
    </row>
    <row r="387" spans="2:16" ht="13" hidden="1" outlineLevel="1" x14ac:dyDescent="0.25">
      <c r="B387" s="99" t="s">
        <v>25</v>
      </c>
      <c r="C387" s="100"/>
      <c r="D387" s="152">
        <f>SUM(C365:C373)</f>
        <v>0</v>
      </c>
      <c r="E387" s="98"/>
      <c r="F387" s="82"/>
      <c r="G387" s="82"/>
      <c r="H387" s="82"/>
      <c r="N387" s="60"/>
      <c r="O387" s="60"/>
      <c r="P387" s="60"/>
    </row>
    <row r="388" spans="2:16" ht="13" hidden="1" outlineLevel="1" x14ac:dyDescent="0.25">
      <c r="B388" s="102" t="s">
        <v>26</v>
      </c>
      <c r="C388" s="103"/>
      <c r="D388" s="153">
        <f>SUM(C374:C381)</f>
        <v>0</v>
      </c>
      <c r="E388" s="98"/>
      <c r="F388" s="82"/>
      <c r="G388" s="82"/>
      <c r="H388" s="82"/>
      <c r="N388" s="60"/>
      <c r="O388" s="60"/>
      <c r="P388" s="60"/>
    </row>
    <row r="389" spans="2:16" ht="18.5" hidden="1" outlineLevel="1" thickTop="1" x14ac:dyDescent="0.25">
      <c r="B389" s="105" t="s">
        <v>11</v>
      </c>
      <c r="C389" s="106"/>
      <c r="D389" s="107" t="e">
        <f>C363/C345</f>
        <v>#DIV/0!</v>
      </c>
      <c r="E389" s="77"/>
      <c r="F389" s="110" t="s">
        <v>86</v>
      </c>
      <c r="G389" s="109" t="s">
        <v>85</v>
      </c>
      <c r="H389" s="110"/>
      <c r="N389" s="60"/>
      <c r="O389" s="60"/>
      <c r="P389" s="60"/>
    </row>
    <row r="390" spans="2:16" ht="18.5" hidden="1" outlineLevel="1" thickBot="1" x14ac:dyDescent="0.3">
      <c r="B390" s="111" t="s">
        <v>12</v>
      </c>
      <c r="C390" s="112"/>
      <c r="D390" s="113" t="e">
        <f>(D385+D386+D387)/C345</f>
        <v>#DIV/0!</v>
      </c>
      <c r="E390" s="77"/>
      <c r="F390" s="154"/>
      <c r="G390" s="413"/>
      <c r="H390" s="414"/>
      <c r="N390" s="60"/>
      <c r="O390" s="60"/>
      <c r="P390" s="60"/>
    </row>
    <row r="391" spans="2:16" ht="18" hidden="1" outlineLevel="1" x14ac:dyDescent="0.25">
      <c r="B391" s="111" t="s">
        <v>13</v>
      </c>
      <c r="C391" s="112"/>
      <c r="D391" s="113" t="e">
        <f>D387/C345</f>
        <v>#DIV/0!</v>
      </c>
      <c r="E391" s="90"/>
      <c r="F391" s="64" t="s">
        <v>45</v>
      </c>
      <c r="G391" s="64" t="s">
        <v>45</v>
      </c>
      <c r="H391" s="155"/>
      <c r="N391" s="60"/>
      <c r="O391" s="60"/>
      <c r="P391" s="60"/>
    </row>
    <row r="392" spans="2:16" ht="18" hidden="1" outlineLevel="1" x14ac:dyDescent="0.25">
      <c r="B392" s="114" t="s">
        <v>14</v>
      </c>
      <c r="C392" s="115"/>
      <c r="D392" s="116" t="e">
        <f>D388/C345</f>
        <v>#DIV/0!</v>
      </c>
      <c r="E392" s="90"/>
      <c r="F392" s="110"/>
      <c r="G392" s="117" t="s">
        <v>46</v>
      </c>
      <c r="H392" s="110"/>
      <c r="N392" s="60"/>
      <c r="O392" s="60"/>
      <c r="P392" s="60"/>
    </row>
    <row r="393" spans="2:16" ht="18.5" hidden="1" outlineLevel="1" thickBot="1" x14ac:dyDescent="0.3">
      <c r="B393" s="114" t="s">
        <v>15</v>
      </c>
      <c r="C393" s="119"/>
      <c r="D393" s="116" t="e">
        <f>SUM(D385:D388)/C345</f>
        <v>#DIV/0!</v>
      </c>
      <c r="E393" s="90"/>
      <c r="F393" s="429"/>
      <c r="G393" s="430"/>
      <c r="H393" s="431"/>
      <c r="N393" s="60"/>
      <c r="O393" s="60"/>
      <c r="P393" s="60"/>
    </row>
    <row r="394" spans="2:16" ht="18.5" hidden="1" outlineLevel="1" thickTop="1" x14ac:dyDescent="0.25">
      <c r="B394" s="120" t="s">
        <v>16</v>
      </c>
      <c r="C394" s="121"/>
      <c r="D394" s="122" t="e">
        <f>((C349*D327)+D386+C350*MAX(1,F350))/C345</f>
        <v>#DIV/0!</v>
      </c>
      <c r="E394" s="77"/>
      <c r="F394" s="64" t="s">
        <v>45</v>
      </c>
      <c r="G394" s="64"/>
      <c r="H394" s="82"/>
      <c r="N394" s="60"/>
      <c r="O394" s="60"/>
      <c r="P394" s="60"/>
    </row>
    <row r="395" spans="2:16" ht="18" hidden="1" outlineLevel="1" x14ac:dyDescent="0.25">
      <c r="B395" s="123" t="s">
        <v>17</v>
      </c>
      <c r="C395" s="124"/>
      <c r="D395" s="125" t="e">
        <f>(C349*D328+D386+D387+C350*(MAX(1,F350)+G350))/C345</f>
        <v>#DIV/0!</v>
      </c>
      <c r="E395" s="77"/>
      <c r="F395" s="82"/>
      <c r="G395" s="82"/>
      <c r="H395" s="82"/>
      <c r="N395" s="60"/>
      <c r="O395" s="60"/>
      <c r="P395" s="60"/>
    </row>
    <row r="396" spans="2:16" ht="18" hidden="1" customHeight="1" outlineLevel="1" x14ac:dyDescent="0.25">
      <c r="B396" s="123" t="s">
        <v>18</v>
      </c>
      <c r="C396" s="124"/>
      <c r="D396" s="125" t="e">
        <f>((C349*D329)+D387+C350*G350)/C345</f>
        <v>#DIV/0!</v>
      </c>
      <c r="E396" s="77"/>
      <c r="F396" s="415" t="s">
        <v>61</v>
      </c>
      <c r="G396" s="416"/>
      <c r="H396" s="416"/>
      <c r="N396" s="60"/>
      <c r="O396" s="60"/>
      <c r="P396" s="60"/>
    </row>
    <row r="397" spans="2:16" ht="18" hidden="1" outlineLevel="1" x14ac:dyDescent="0.25">
      <c r="B397" s="126" t="s">
        <v>19</v>
      </c>
      <c r="C397" s="127"/>
      <c r="D397" s="128" t="e">
        <f>(C349*D330+D388+C350*H350)/C345</f>
        <v>#DIV/0!</v>
      </c>
      <c r="E397" s="77"/>
      <c r="F397" s="416"/>
      <c r="G397" s="416"/>
      <c r="H397" s="416"/>
      <c r="N397" s="60"/>
      <c r="O397" s="60"/>
      <c r="P397" s="60"/>
    </row>
    <row r="398" spans="2:16" ht="18.5" hidden="1" outlineLevel="1" thickBot="1" x14ac:dyDescent="0.3">
      <c r="B398" s="129" t="s">
        <v>20</v>
      </c>
      <c r="C398" s="130"/>
      <c r="D398" s="131" t="e">
        <f>((C349*D331)+SUM(D386:D388)+C350*(MAX(1,F350)+G350+H350))/C345</f>
        <v>#DIV/0!</v>
      </c>
      <c r="E398" s="77"/>
      <c r="F398" s="416"/>
      <c r="G398" s="416"/>
      <c r="H398" s="416"/>
      <c r="N398" s="60"/>
      <c r="O398" s="60"/>
      <c r="P398" s="60"/>
    </row>
    <row r="399" spans="2:16" ht="13" hidden="1" outlineLevel="1" thickTop="1" x14ac:dyDescent="0.25">
      <c r="B399" s="156" t="s">
        <v>76</v>
      </c>
      <c r="C399" s="424"/>
      <c r="D399" s="425"/>
      <c r="E399" s="46"/>
      <c r="F399" s="416"/>
      <c r="G399" s="416"/>
      <c r="H399" s="416"/>
      <c r="N399" s="60"/>
      <c r="O399" s="60"/>
      <c r="P399" s="60"/>
    </row>
    <row r="400" spans="2:16" hidden="1" outlineLevel="1" x14ac:dyDescent="0.25">
      <c r="B400" s="157" t="s">
        <v>58</v>
      </c>
      <c r="C400" s="422"/>
      <c r="D400" s="423"/>
      <c r="E400" s="46"/>
      <c r="F400" s="416"/>
      <c r="G400" s="416"/>
      <c r="H400" s="416"/>
      <c r="N400" s="60"/>
      <c r="O400" s="60"/>
      <c r="P400" s="60"/>
    </row>
    <row r="401" spans="2:16" ht="13" hidden="1" outlineLevel="1" thickBot="1" x14ac:dyDescent="0.3">
      <c r="B401" s="158" t="s">
        <v>59</v>
      </c>
      <c r="C401" s="420"/>
      <c r="D401" s="421"/>
      <c r="E401" s="46"/>
      <c r="F401" s="416"/>
      <c r="G401" s="416"/>
      <c r="H401" s="416"/>
      <c r="N401" s="60"/>
      <c r="O401" s="60"/>
      <c r="P401" s="60"/>
    </row>
    <row r="402" spans="2:16" ht="13" hidden="1" outlineLevel="1" x14ac:dyDescent="0.25">
      <c r="E402" s="46"/>
      <c r="F402" s="34"/>
      <c r="G402" s="34"/>
      <c r="H402" s="34"/>
      <c r="N402" s="60"/>
      <c r="O402" s="60"/>
      <c r="P402" s="60"/>
    </row>
    <row r="403" spans="2:16" ht="13" hidden="1" outlineLevel="1" x14ac:dyDescent="0.25">
      <c r="C403" s="25" t="s">
        <v>44</v>
      </c>
      <c r="D403" s="25" t="s">
        <v>42</v>
      </c>
      <c r="E403" s="46"/>
      <c r="F403" s="34"/>
      <c r="G403" s="34"/>
      <c r="H403" s="34"/>
      <c r="N403" s="60"/>
      <c r="O403" s="60"/>
      <c r="P403" s="60"/>
    </row>
    <row r="404" spans="2:16" ht="21" hidden="1" outlineLevel="1" thickTop="1" thickBot="1" x14ac:dyDescent="0.3">
      <c r="B404" s="140" t="s">
        <v>73</v>
      </c>
      <c r="C404" s="29"/>
      <c r="D404" s="141"/>
      <c r="E404" s="31"/>
      <c r="F404" s="32" t="s">
        <v>27</v>
      </c>
      <c r="G404" s="33"/>
      <c r="H404" s="33"/>
      <c r="I404" s="34"/>
    </row>
    <row r="405" spans="2:16" ht="14.9" hidden="1" customHeight="1" outlineLevel="1" thickBot="1" x14ac:dyDescent="0.3">
      <c r="B405" s="37"/>
      <c r="C405" s="38" t="s">
        <v>0</v>
      </c>
      <c r="D405" s="39" t="s">
        <v>1</v>
      </c>
      <c r="E405" s="40"/>
      <c r="F405" s="41" t="s">
        <v>28</v>
      </c>
      <c r="G405" s="41" t="s">
        <v>21</v>
      </c>
      <c r="H405" s="41" t="s">
        <v>8</v>
      </c>
    </row>
    <row r="406" spans="2:16" ht="13" hidden="1" outlineLevel="1" x14ac:dyDescent="0.25">
      <c r="B406" s="43" t="s">
        <v>65</v>
      </c>
      <c r="C406" s="142"/>
      <c r="D406" s="45" t="s">
        <v>2</v>
      </c>
      <c r="E406" s="46"/>
      <c r="F406" s="47"/>
      <c r="G406" s="47"/>
      <c r="H406" s="47"/>
      <c r="N406" s="60"/>
      <c r="O406" s="60"/>
      <c r="P406" s="60"/>
    </row>
    <row r="407" spans="2:16" ht="13" hidden="1" outlineLevel="1" x14ac:dyDescent="0.25">
      <c r="B407" s="43" t="s">
        <v>64</v>
      </c>
      <c r="C407" s="143"/>
      <c r="D407" s="45" t="s">
        <v>3</v>
      </c>
      <c r="E407" s="46"/>
      <c r="F407" s="47"/>
      <c r="G407" s="47"/>
      <c r="H407" s="47"/>
      <c r="N407" s="60"/>
      <c r="O407" s="60"/>
      <c r="P407" s="60"/>
    </row>
    <row r="408" spans="2:16" ht="13" hidden="1" outlineLevel="1" x14ac:dyDescent="0.25">
      <c r="B408" s="51" t="s">
        <v>63</v>
      </c>
      <c r="C408" s="144">
        <f>C406*C407</f>
        <v>0</v>
      </c>
      <c r="D408" s="45" t="str">
        <f>D406</f>
        <v>kg</v>
      </c>
      <c r="E408" s="46"/>
      <c r="F408" s="47"/>
      <c r="G408" s="47"/>
      <c r="H408" s="47"/>
      <c r="N408" s="60"/>
      <c r="O408" s="60"/>
      <c r="P408" s="60"/>
    </row>
    <row r="409" spans="2:16" ht="14" hidden="1" outlineLevel="1" x14ac:dyDescent="0.25">
      <c r="B409" s="54" t="s">
        <v>37</v>
      </c>
      <c r="C409" s="145">
        <v>1</v>
      </c>
      <c r="D409" s="56"/>
      <c r="E409" s="57"/>
      <c r="F409" s="58"/>
      <c r="G409" s="58"/>
      <c r="H409" s="58"/>
      <c r="N409" s="60"/>
      <c r="O409" s="60"/>
      <c r="P409" s="60"/>
    </row>
    <row r="410" spans="2:16" ht="13" hidden="1" outlineLevel="1" x14ac:dyDescent="0.25">
      <c r="B410" s="43" t="s">
        <v>66</v>
      </c>
      <c r="C410" s="142"/>
      <c r="D410" s="45" t="str">
        <f>D406</f>
        <v>kg</v>
      </c>
      <c r="E410" s="46"/>
      <c r="F410" s="47"/>
      <c r="G410" s="47"/>
      <c r="H410" s="47"/>
      <c r="N410" s="60"/>
      <c r="O410" s="60"/>
      <c r="P410" s="60"/>
    </row>
    <row r="411" spans="2:16" ht="13" hidden="1" outlineLevel="1" x14ac:dyDescent="0.25">
      <c r="B411" s="43" t="s">
        <v>67</v>
      </c>
      <c r="C411" s="143"/>
      <c r="D411" s="45" t="s">
        <v>3</v>
      </c>
      <c r="E411" s="59"/>
      <c r="F411" s="47"/>
      <c r="G411" s="47"/>
      <c r="H411" s="47"/>
      <c r="N411" s="60"/>
      <c r="O411" s="60"/>
      <c r="P411" s="60"/>
    </row>
    <row r="412" spans="2:16" ht="13" hidden="1" outlineLevel="1" x14ac:dyDescent="0.25">
      <c r="B412" s="51" t="s">
        <v>68</v>
      </c>
      <c r="C412" s="144">
        <f>C410*C411</f>
        <v>0</v>
      </c>
      <c r="D412" s="45" t="str">
        <f>D406</f>
        <v>kg</v>
      </c>
      <c r="E412" s="46"/>
      <c r="F412" s="47"/>
      <c r="G412" s="47"/>
      <c r="H412" s="47"/>
      <c r="N412" s="60"/>
      <c r="O412" s="60"/>
      <c r="P412" s="60"/>
    </row>
    <row r="413" spans="2:16" ht="13.5" hidden="1" outlineLevel="1" thickBot="1" x14ac:dyDescent="0.3">
      <c r="B413" s="61"/>
      <c r="C413" s="62"/>
      <c r="D413" s="63"/>
      <c r="F413" s="64"/>
      <c r="G413" s="64"/>
      <c r="H413" s="64"/>
      <c r="N413" s="60"/>
      <c r="O413" s="60"/>
      <c r="P413" s="60"/>
    </row>
    <row r="414" spans="2:16" ht="14.5" hidden="1" outlineLevel="1" thickBot="1" x14ac:dyDescent="0.3">
      <c r="B414" s="65" t="s">
        <v>5</v>
      </c>
      <c r="C414" s="66" t="s">
        <v>6</v>
      </c>
      <c r="D414" s="67" t="s">
        <v>1</v>
      </c>
      <c r="E414" s="68"/>
      <c r="F414" s="69"/>
      <c r="G414" s="69"/>
      <c r="H414" s="69"/>
      <c r="N414" s="60"/>
      <c r="O414" s="60"/>
      <c r="P414" s="60"/>
    </row>
    <row r="415" spans="2:16" ht="13" hidden="1" outlineLevel="1" x14ac:dyDescent="0.25">
      <c r="B415" s="70" t="s">
        <v>43</v>
      </c>
      <c r="C415" s="71"/>
      <c r="D415" s="72"/>
      <c r="E415" s="73"/>
      <c r="F415" s="69"/>
      <c r="G415" s="69"/>
      <c r="H415" s="69"/>
      <c r="N415" s="60"/>
      <c r="O415" s="60"/>
      <c r="P415" s="60"/>
    </row>
    <row r="416" spans="2:16" ht="13" hidden="1" outlineLevel="1" x14ac:dyDescent="0.25">
      <c r="B416" s="74"/>
      <c r="C416" s="146">
        <f>C408</f>
        <v>0</v>
      </c>
      <c r="D416" s="76" t="str">
        <f>D406</f>
        <v>kg</v>
      </c>
      <c r="E416" s="98"/>
      <c r="F416" s="69"/>
      <c r="G416" s="69"/>
      <c r="H416" s="69"/>
      <c r="N416" s="60"/>
      <c r="O416" s="60"/>
      <c r="P416" s="60"/>
    </row>
    <row r="417" spans="2:16" ht="13.5" hidden="1" outlineLevel="1" thickBot="1" x14ac:dyDescent="0.3">
      <c r="B417" s="74"/>
      <c r="C417" s="146"/>
      <c r="D417" s="76" t="str">
        <f>D406</f>
        <v>kg</v>
      </c>
      <c r="E417" s="77"/>
      <c r="F417" s="78"/>
      <c r="G417" s="78"/>
      <c r="H417" s="78"/>
      <c r="N417" s="60"/>
      <c r="O417" s="60"/>
      <c r="P417" s="60"/>
    </row>
    <row r="418" spans="2:16" ht="13" hidden="1" outlineLevel="1" x14ac:dyDescent="0.25">
      <c r="B418" s="79" t="s">
        <v>69</v>
      </c>
      <c r="C418" s="147"/>
      <c r="D418" s="81"/>
      <c r="E418" s="77"/>
      <c r="F418" s="82"/>
      <c r="G418" s="82"/>
      <c r="H418" s="82"/>
      <c r="N418" s="60"/>
      <c r="O418" s="60"/>
      <c r="P418" s="60"/>
    </row>
    <row r="419" spans="2:16" ht="13" hidden="1" outlineLevel="1" x14ac:dyDescent="0.25">
      <c r="B419" s="74"/>
      <c r="C419" s="148"/>
      <c r="D419" s="76" t="str">
        <f>D406</f>
        <v>kg</v>
      </c>
      <c r="E419" s="77"/>
      <c r="F419" s="82"/>
      <c r="G419" s="82"/>
      <c r="H419" s="82"/>
      <c r="N419" s="60"/>
      <c r="O419" s="60"/>
      <c r="P419" s="60"/>
    </row>
    <row r="420" spans="2:16" ht="13" hidden="1" outlineLevel="1" x14ac:dyDescent="0.25">
      <c r="B420" s="74"/>
      <c r="C420" s="148"/>
      <c r="D420" s="76" t="str">
        <f>D406</f>
        <v>kg</v>
      </c>
      <c r="E420" s="77"/>
      <c r="F420" s="82"/>
      <c r="G420" s="82"/>
      <c r="H420" s="82"/>
      <c r="N420" s="60"/>
      <c r="O420" s="60"/>
      <c r="P420" s="60"/>
    </row>
    <row r="421" spans="2:16" ht="13" hidden="1" outlineLevel="1" x14ac:dyDescent="0.25">
      <c r="B421" s="74"/>
      <c r="C421" s="148"/>
      <c r="D421" s="76" t="str">
        <f>D406</f>
        <v>kg</v>
      </c>
      <c r="E421" s="77"/>
      <c r="F421" s="82"/>
      <c r="G421" s="82"/>
      <c r="H421" s="82"/>
      <c r="N421" s="60"/>
      <c r="O421" s="60"/>
      <c r="P421" s="60"/>
    </row>
    <row r="422" spans="2:16" ht="13" hidden="1" outlineLevel="1" x14ac:dyDescent="0.25">
      <c r="B422" s="74"/>
      <c r="C422" s="148"/>
      <c r="D422" s="76" t="str">
        <f>D406</f>
        <v>kg</v>
      </c>
      <c r="E422" s="77"/>
      <c r="F422" s="82"/>
      <c r="G422" s="82"/>
      <c r="H422" s="82"/>
      <c r="N422" s="60"/>
      <c r="O422" s="60"/>
      <c r="P422" s="60"/>
    </row>
    <row r="423" spans="2:16" ht="13" hidden="1" outlineLevel="1" x14ac:dyDescent="0.25">
      <c r="B423" s="74"/>
      <c r="C423" s="148"/>
      <c r="D423" s="76" t="str">
        <f>D406</f>
        <v>kg</v>
      </c>
      <c r="E423" s="77"/>
      <c r="F423" s="82"/>
      <c r="G423" s="82"/>
      <c r="H423" s="82"/>
      <c r="N423" s="60"/>
      <c r="O423" s="60"/>
      <c r="P423" s="60"/>
    </row>
    <row r="424" spans="2:16" ht="13" hidden="1" outlineLevel="1" x14ac:dyDescent="0.25">
      <c r="B424" s="74"/>
      <c r="C424" s="148"/>
      <c r="D424" s="76" t="str">
        <f>D406</f>
        <v>kg</v>
      </c>
      <c r="E424" s="77"/>
      <c r="F424" s="82"/>
      <c r="G424" s="82"/>
      <c r="H424" s="82"/>
      <c r="N424" s="60"/>
      <c r="O424" s="60"/>
      <c r="P424" s="60"/>
    </row>
    <row r="425" spans="2:16" ht="13" hidden="1" outlineLevel="1" x14ac:dyDescent="0.25">
      <c r="B425" s="74"/>
      <c r="C425" s="148"/>
      <c r="D425" s="76" t="str">
        <f>D406</f>
        <v>kg</v>
      </c>
      <c r="E425" s="77"/>
      <c r="F425" s="82"/>
      <c r="G425" s="82"/>
      <c r="H425" s="82"/>
      <c r="N425" s="60"/>
      <c r="O425" s="60"/>
      <c r="P425" s="60"/>
    </row>
    <row r="426" spans="2:16" ht="13" hidden="1" outlineLevel="1" x14ac:dyDescent="0.25">
      <c r="B426" s="74"/>
      <c r="C426" s="148"/>
      <c r="D426" s="76" t="str">
        <f>D406</f>
        <v>kg</v>
      </c>
      <c r="E426" s="77"/>
      <c r="F426" s="82"/>
      <c r="G426" s="82"/>
      <c r="H426" s="82"/>
      <c r="N426" s="60"/>
      <c r="O426" s="60"/>
      <c r="P426" s="60"/>
    </row>
    <row r="427" spans="2:16" ht="13" hidden="1" outlineLevel="1" x14ac:dyDescent="0.25">
      <c r="B427" s="74"/>
      <c r="C427" s="148"/>
      <c r="D427" s="76" t="str">
        <f>D406</f>
        <v>kg</v>
      </c>
      <c r="E427" s="77"/>
      <c r="F427" s="82"/>
      <c r="G427" s="82"/>
      <c r="H427" s="82"/>
      <c r="N427" s="60"/>
      <c r="O427" s="60"/>
      <c r="P427" s="60"/>
    </row>
    <row r="428" spans="2:16" ht="13" hidden="1" outlineLevel="1" x14ac:dyDescent="0.25">
      <c r="B428" s="74"/>
      <c r="C428" s="148"/>
      <c r="D428" s="76" t="str">
        <f>D406</f>
        <v>kg</v>
      </c>
      <c r="E428" s="77"/>
      <c r="F428" s="82"/>
      <c r="G428" s="82"/>
      <c r="H428" s="82"/>
      <c r="N428" s="60"/>
      <c r="O428" s="60"/>
      <c r="P428" s="60"/>
    </row>
    <row r="429" spans="2:16" ht="13.4" hidden="1" customHeight="1" outlineLevel="1" x14ac:dyDescent="0.25">
      <c r="B429" s="79"/>
      <c r="C429" s="147"/>
      <c r="D429" s="81"/>
      <c r="E429" s="77"/>
      <c r="F429" s="82"/>
      <c r="G429" s="82"/>
      <c r="H429" s="82"/>
      <c r="K429" s="34"/>
      <c r="N429" s="60"/>
      <c r="O429" s="60"/>
      <c r="P429" s="60"/>
    </row>
    <row r="430" spans="2:16" ht="13" hidden="1" outlineLevel="1" x14ac:dyDescent="0.25">
      <c r="B430" s="86" t="s">
        <v>7</v>
      </c>
      <c r="C430" s="149">
        <f>SUM(C415:C428)</f>
        <v>0</v>
      </c>
      <c r="D430" s="88" t="str">
        <f>D406</f>
        <v>kg</v>
      </c>
      <c r="E430" s="77"/>
      <c r="F430" s="82"/>
      <c r="G430" s="82"/>
      <c r="H430" s="82"/>
      <c r="N430" s="60"/>
      <c r="O430" s="60"/>
      <c r="P430" s="60"/>
    </row>
    <row r="431" spans="2:16" ht="13" hidden="1" outlineLevel="1" x14ac:dyDescent="0.25">
      <c r="B431" s="79" t="s">
        <v>71</v>
      </c>
      <c r="C431" s="150"/>
      <c r="D431" s="81"/>
      <c r="E431" s="77"/>
      <c r="F431" s="82"/>
      <c r="G431" s="82"/>
      <c r="H431" s="82"/>
      <c r="N431" s="60"/>
      <c r="O431" s="60"/>
      <c r="P431" s="60"/>
    </row>
    <row r="432" spans="2:16" ht="13" hidden="1" outlineLevel="1" x14ac:dyDescent="0.25">
      <c r="B432" s="74"/>
      <c r="C432" s="148"/>
      <c r="D432" s="76" t="str">
        <f>D406</f>
        <v>kg</v>
      </c>
      <c r="E432" s="77"/>
      <c r="F432" s="82"/>
      <c r="G432" s="82"/>
      <c r="H432" s="82"/>
      <c r="N432" s="60"/>
      <c r="O432" s="60"/>
      <c r="P432" s="60"/>
    </row>
    <row r="433" spans="2:16" ht="13" hidden="1" outlineLevel="1" x14ac:dyDescent="0.25">
      <c r="B433" s="74"/>
      <c r="C433" s="148"/>
      <c r="D433" s="76" t="str">
        <f>D406</f>
        <v>kg</v>
      </c>
      <c r="E433" s="77"/>
      <c r="F433" s="82"/>
      <c r="G433" s="82"/>
      <c r="H433" s="82"/>
      <c r="N433" s="60"/>
      <c r="O433" s="60"/>
      <c r="P433" s="60"/>
    </row>
    <row r="434" spans="2:16" ht="13" hidden="1" outlineLevel="1" x14ac:dyDescent="0.25">
      <c r="B434" s="74"/>
      <c r="C434" s="148"/>
      <c r="D434" s="76" t="str">
        <f>D406</f>
        <v>kg</v>
      </c>
      <c r="E434" s="77"/>
      <c r="F434" s="82"/>
      <c r="G434" s="82"/>
      <c r="H434" s="82"/>
      <c r="N434" s="60"/>
      <c r="O434" s="60"/>
      <c r="P434" s="60"/>
    </row>
    <row r="435" spans="2:16" ht="13" hidden="1" outlineLevel="1" x14ac:dyDescent="0.25">
      <c r="B435" s="74"/>
      <c r="C435" s="148"/>
      <c r="D435" s="76" t="str">
        <f>D406</f>
        <v>kg</v>
      </c>
      <c r="E435" s="77"/>
      <c r="F435" s="82"/>
      <c r="G435" s="82"/>
      <c r="H435" s="82"/>
      <c r="N435" s="60"/>
      <c r="O435" s="60"/>
      <c r="P435" s="60"/>
    </row>
    <row r="436" spans="2:16" ht="13" hidden="1" outlineLevel="1" x14ac:dyDescent="0.25">
      <c r="B436" s="74"/>
      <c r="C436" s="148"/>
      <c r="D436" s="76" t="str">
        <f>D406</f>
        <v>kg</v>
      </c>
      <c r="E436" s="77"/>
      <c r="F436" s="82"/>
      <c r="G436" s="82"/>
      <c r="H436" s="82"/>
      <c r="N436" s="60"/>
      <c r="O436" s="60"/>
      <c r="P436" s="60"/>
    </row>
    <row r="437" spans="2:16" ht="13" hidden="1" outlineLevel="1" x14ac:dyDescent="0.25">
      <c r="B437" s="74"/>
      <c r="C437" s="148"/>
      <c r="D437" s="76" t="str">
        <f>D406</f>
        <v>kg</v>
      </c>
      <c r="E437" s="77"/>
      <c r="F437" s="82"/>
      <c r="G437" s="82"/>
      <c r="H437" s="82"/>
      <c r="N437" s="60"/>
      <c r="O437" s="60"/>
      <c r="P437" s="60"/>
    </row>
    <row r="438" spans="2:16" ht="13" hidden="1" outlineLevel="1" x14ac:dyDescent="0.25">
      <c r="B438" s="74"/>
      <c r="C438" s="148"/>
      <c r="D438" s="76" t="str">
        <f>D406</f>
        <v>kg</v>
      </c>
      <c r="E438" s="77"/>
      <c r="F438" s="82"/>
      <c r="G438" s="82"/>
      <c r="H438" s="82"/>
      <c r="N438" s="60"/>
      <c r="O438" s="60"/>
      <c r="P438" s="60"/>
    </row>
    <row r="439" spans="2:16" ht="13" hidden="1" outlineLevel="1" x14ac:dyDescent="0.25">
      <c r="B439" s="74"/>
      <c r="C439" s="148"/>
      <c r="D439" s="76" t="str">
        <f>D406</f>
        <v>kg</v>
      </c>
      <c r="E439" s="77"/>
      <c r="F439" s="82"/>
      <c r="G439" s="82"/>
      <c r="H439" s="82"/>
      <c r="N439" s="60"/>
      <c r="O439" s="60"/>
      <c r="P439" s="60"/>
    </row>
    <row r="440" spans="2:16" ht="13" hidden="1" outlineLevel="1" x14ac:dyDescent="0.25">
      <c r="B440" s="79" t="s">
        <v>70</v>
      </c>
      <c r="C440" s="147"/>
      <c r="D440" s="81"/>
      <c r="E440" s="90"/>
      <c r="F440" s="82"/>
      <c r="G440" s="82"/>
      <c r="H440" s="82"/>
      <c r="N440" s="60"/>
      <c r="O440" s="60"/>
      <c r="P440" s="60"/>
    </row>
    <row r="441" spans="2:16" ht="13" hidden="1" outlineLevel="1" x14ac:dyDescent="0.25">
      <c r="B441" s="74"/>
      <c r="C441" s="148"/>
      <c r="D441" s="76" t="str">
        <f>D406</f>
        <v>kg</v>
      </c>
      <c r="E441" s="77"/>
      <c r="F441" s="82"/>
      <c r="G441" s="82"/>
      <c r="H441" s="82"/>
      <c r="N441" s="60"/>
      <c r="O441" s="60"/>
      <c r="P441" s="60"/>
    </row>
    <row r="442" spans="2:16" ht="13" hidden="1" outlineLevel="1" x14ac:dyDescent="0.25">
      <c r="B442" s="74"/>
      <c r="C442" s="148"/>
      <c r="D442" s="76" t="str">
        <f>D406</f>
        <v>kg</v>
      </c>
      <c r="E442" s="77"/>
      <c r="F442" s="82"/>
      <c r="G442" s="82"/>
      <c r="H442" s="82"/>
      <c r="N442" s="60"/>
      <c r="O442" s="60"/>
      <c r="P442" s="60"/>
    </row>
    <row r="443" spans="2:16" ht="13" hidden="1" outlineLevel="1" x14ac:dyDescent="0.25">
      <c r="B443" s="74"/>
      <c r="C443" s="148"/>
      <c r="D443" s="76" t="str">
        <f>D406</f>
        <v>kg</v>
      </c>
      <c r="E443" s="77"/>
      <c r="F443" s="82"/>
      <c r="G443" s="82"/>
      <c r="H443" s="82"/>
      <c r="N443" s="60"/>
      <c r="O443" s="60"/>
      <c r="P443" s="60"/>
    </row>
    <row r="444" spans="2:16" ht="13" hidden="1" outlineLevel="1" x14ac:dyDescent="0.25">
      <c r="B444" s="74"/>
      <c r="C444" s="148"/>
      <c r="D444" s="76" t="str">
        <f>D406</f>
        <v>kg</v>
      </c>
      <c r="E444" s="77"/>
      <c r="F444" s="82"/>
      <c r="G444" s="82"/>
      <c r="H444" s="82"/>
      <c r="N444" s="60"/>
      <c r="O444" s="60"/>
      <c r="P444" s="60"/>
    </row>
    <row r="445" spans="2:16" ht="13" hidden="1" outlineLevel="1" x14ac:dyDescent="0.25">
      <c r="B445" s="74"/>
      <c r="C445" s="148"/>
      <c r="D445" s="76" t="str">
        <f>D406</f>
        <v>kg</v>
      </c>
      <c r="E445" s="77"/>
      <c r="F445" s="82"/>
      <c r="G445" s="82"/>
      <c r="H445" s="82"/>
      <c r="N445" s="60"/>
      <c r="O445" s="60"/>
      <c r="P445" s="60"/>
    </row>
    <row r="446" spans="2:16" ht="14.25" hidden="1" customHeight="1" outlineLevel="1" x14ac:dyDescent="0.25">
      <c r="B446" s="74"/>
      <c r="C446" s="148"/>
      <c r="D446" s="76" t="str">
        <f>D406</f>
        <v>kg</v>
      </c>
      <c r="E446" s="77"/>
      <c r="F446" s="82"/>
      <c r="G446" s="82"/>
      <c r="H446" s="82"/>
      <c r="N446" s="60"/>
      <c r="O446" s="60"/>
      <c r="P446" s="60"/>
    </row>
    <row r="447" spans="2:16" ht="13" hidden="1" outlineLevel="1" x14ac:dyDescent="0.25">
      <c r="B447" s="74"/>
      <c r="C447" s="148"/>
      <c r="D447" s="76" t="str">
        <f>D406</f>
        <v>kg</v>
      </c>
      <c r="E447" s="77"/>
      <c r="F447" s="82"/>
      <c r="G447" s="82"/>
      <c r="H447" s="82"/>
      <c r="N447" s="60"/>
      <c r="O447" s="60"/>
      <c r="P447" s="60"/>
    </row>
    <row r="448" spans="2:16" ht="13.4" hidden="1" customHeight="1" outlineLevel="1" x14ac:dyDescent="0.25">
      <c r="B448" s="79"/>
      <c r="C448" s="147"/>
      <c r="D448" s="81"/>
      <c r="E448" s="77"/>
      <c r="F448" s="82"/>
      <c r="G448" s="82"/>
      <c r="H448" s="82"/>
      <c r="K448" s="34"/>
      <c r="N448" s="60"/>
      <c r="O448" s="60"/>
      <c r="P448" s="60"/>
    </row>
    <row r="449" spans="2:16" ht="13" hidden="1" outlineLevel="1" x14ac:dyDescent="0.25">
      <c r="B449" s="86" t="s">
        <v>9</v>
      </c>
      <c r="C449" s="149">
        <f>SUM(C430:C447)</f>
        <v>0</v>
      </c>
      <c r="D449" s="91" t="str">
        <f>D406</f>
        <v>kg</v>
      </c>
      <c r="E449" s="77"/>
      <c r="F449" s="82"/>
      <c r="G449" s="82"/>
      <c r="H449" s="82"/>
      <c r="N449" s="60"/>
      <c r="O449" s="60"/>
      <c r="P449" s="60"/>
    </row>
    <row r="450" spans="2:16" ht="13" hidden="1" outlineLevel="1" x14ac:dyDescent="0.25">
      <c r="B450" s="92"/>
      <c r="C450" s="93"/>
      <c r="D450" s="94"/>
      <c r="E450" s="77"/>
      <c r="F450" s="82"/>
      <c r="G450" s="82"/>
      <c r="H450" s="82"/>
      <c r="N450" s="60"/>
      <c r="O450" s="60"/>
      <c r="P450" s="60"/>
    </row>
    <row r="451" spans="2:16" ht="20.5" hidden="1" outlineLevel="1" thickBot="1" x14ac:dyDescent="0.3">
      <c r="B451" s="426" t="s">
        <v>10</v>
      </c>
      <c r="C451" s="427"/>
      <c r="D451" s="428"/>
      <c r="E451" s="77"/>
      <c r="F451" s="82"/>
      <c r="G451" s="82"/>
      <c r="H451" s="82"/>
      <c r="N451" s="60"/>
      <c r="O451" s="60"/>
      <c r="P451" s="60"/>
    </row>
    <row r="452" spans="2:16" ht="13" hidden="1" outlineLevel="1" x14ac:dyDescent="0.25">
      <c r="B452" s="95" t="s">
        <v>23</v>
      </c>
      <c r="C452" s="96"/>
      <c r="D452" s="151">
        <f>SUM(C416:C417)</f>
        <v>0</v>
      </c>
      <c r="E452" s="98"/>
      <c r="F452" s="82"/>
      <c r="G452" s="82"/>
      <c r="H452" s="82"/>
      <c r="N452" s="60"/>
      <c r="O452" s="60"/>
      <c r="P452" s="60"/>
    </row>
    <row r="453" spans="2:16" ht="13" hidden="1" outlineLevel="1" x14ac:dyDescent="0.25">
      <c r="B453" s="99" t="s">
        <v>24</v>
      </c>
      <c r="C453" s="100"/>
      <c r="D453" s="152">
        <f>SUM(C419:C429)</f>
        <v>0</v>
      </c>
      <c r="E453" s="98"/>
      <c r="F453" s="82"/>
      <c r="G453" s="82"/>
      <c r="H453" s="82"/>
      <c r="N453" s="60"/>
      <c r="O453" s="60"/>
      <c r="P453" s="60"/>
    </row>
    <row r="454" spans="2:16" ht="13" hidden="1" outlineLevel="1" x14ac:dyDescent="0.25">
      <c r="B454" s="99" t="s">
        <v>25</v>
      </c>
      <c r="C454" s="100"/>
      <c r="D454" s="152">
        <f>SUM(C432:C440)</f>
        <v>0</v>
      </c>
      <c r="E454" s="98"/>
      <c r="F454" s="82"/>
      <c r="G454" s="82"/>
      <c r="H454" s="82"/>
      <c r="N454" s="60"/>
      <c r="O454" s="60"/>
      <c r="P454" s="60"/>
    </row>
    <row r="455" spans="2:16" ht="13" hidden="1" outlineLevel="1" x14ac:dyDescent="0.25">
      <c r="B455" s="102" t="s">
        <v>26</v>
      </c>
      <c r="C455" s="103"/>
      <c r="D455" s="153">
        <f>SUM(C441:C448)</f>
        <v>0</v>
      </c>
      <c r="E455" s="98"/>
      <c r="F455" s="82"/>
      <c r="G455" s="82"/>
      <c r="H455" s="82"/>
      <c r="N455" s="60"/>
      <c r="O455" s="60"/>
      <c r="P455" s="60"/>
    </row>
    <row r="456" spans="2:16" ht="18.5" hidden="1" outlineLevel="1" thickTop="1" x14ac:dyDescent="0.25">
      <c r="B456" s="105" t="s">
        <v>11</v>
      </c>
      <c r="C456" s="106"/>
      <c r="D456" s="107" t="e">
        <f>C430/C412</f>
        <v>#DIV/0!</v>
      </c>
      <c r="E456" s="77"/>
      <c r="F456" s="110" t="s">
        <v>86</v>
      </c>
      <c r="G456" s="109" t="s">
        <v>85</v>
      </c>
      <c r="H456" s="110"/>
      <c r="N456" s="60"/>
      <c r="O456" s="60"/>
      <c r="P456" s="60"/>
    </row>
    <row r="457" spans="2:16" ht="18.5" hidden="1" outlineLevel="1" thickBot="1" x14ac:dyDescent="0.3">
      <c r="B457" s="111" t="s">
        <v>12</v>
      </c>
      <c r="C457" s="112"/>
      <c r="D457" s="113" t="e">
        <f>(D452+D453+D454)/C412</f>
        <v>#DIV/0!</v>
      </c>
      <c r="E457" s="77"/>
      <c r="F457" s="154"/>
      <c r="G457" s="413"/>
      <c r="H457" s="414"/>
      <c r="N457" s="60"/>
      <c r="O457" s="60"/>
      <c r="P457" s="60"/>
    </row>
    <row r="458" spans="2:16" ht="18" hidden="1" outlineLevel="1" x14ac:dyDescent="0.25">
      <c r="B458" s="111" t="s">
        <v>13</v>
      </c>
      <c r="C458" s="112"/>
      <c r="D458" s="113" t="e">
        <f>D454/C412</f>
        <v>#DIV/0!</v>
      </c>
      <c r="E458" s="90"/>
      <c r="F458" s="64" t="s">
        <v>45</v>
      </c>
      <c r="G458" s="64" t="s">
        <v>45</v>
      </c>
      <c r="H458" s="155"/>
      <c r="N458" s="60"/>
      <c r="O458" s="60"/>
      <c r="P458" s="60"/>
    </row>
    <row r="459" spans="2:16" ht="18" hidden="1" outlineLevel="1" x14ac:dyDescent="0.25">
      <c r="B459" s="114" t="s">
        <v>14</v>
      </c>
      <c r="C459" s="115"/>
      <c r="D459" s="116" t="e">
        <f>D455/C412</f>
        <v>#DIV/0!</v>
      </c>
      <c r="E459" s="90"/>
      <c r="F459" s="110"/>
      <c r="G459" s="117" t="s">
        <v>46</v>
      </c>
      <c r="H459" s="110"/>
      <c r="N459" s="60"/>
      <c r="O459" s="60"/>
      <c r="P459" s="60"/>
    </row>
    <row r="460" spans="2:16" ht="18.5" hidden="1" outlineLevel="1" thickBot="1" x14ac:dyDescent="0.3">
      <c r="B460" s="114" t="s">
        <v>15</v>
      </c>
      <c r="C460" s="119"/>
      <c r="D460" s="116" t="e">
        <f>SUM(D452:D455)/C412</f>
        <v>#DIV/0!</v>
      </c>
      <c r="E460" s="90"/>
      <c r="F460" s="429"/>
      <c r="G460" s="430"/>
      <c r="H460" s="431"/>
      <c r="N460" s="60"/>
      <c r="O460" s="60"/>
      <c r="P460" s="60"/>
    </row>
    <row r="461" spans="2:16" ht="18.5" hidden="1" outlineLevel="1" thickTop="1" x14ac:dyDescent="0.25">
      <c r="B461" s="120" t="s">
        <v>16</v>
      </c>
      <c r="C461" s="121"/>
      <c r="D461" s="122" t="e">
        <f>((C416*D394)+D453+C417*MAX(1,F417))/C412</f>
        <v>#DIV/0!</v>
      </c>
      <c r="E461" s="77"/>
      <c r="F461" s="64" t="s">
        <v>45</v>
      </c>
      <c r="G461" s="64"/>
      <c r="H461" s="82"/>
      <c r="N461" s="60"/>
      <c r="O461" s="60"/>
      <c r="P461" s="60"/>
    </row>
    <row r="462" spans="2:16" ht="18" hidden="1" outlineLevel="1" x14ac:dyDescent="0.25">
      <c r="B462" s="123" t="s">
        <v>17</v>
      </c>
      <c r="C462" s="124"/>
      <c r="D462" s="125" t="e">
        <f>(C416*D395+D453+D454+C417*(MAX(1,F417)+G417))/C412</f>
        <v>#DIV/0!</v>
      </c>
      <c r="E462" s="77"/>
      <c r="F462" s="82"/>
      <c r="G462" s="82"/>
      <c r="H462" s="82"/>
      <c r="N462" s="60"/>
      <c r="O462" s="60"/>
      <c r="P462" s="60"/>
    </row>
    <row r="463" spans="2:16" ht="18" hidden="1" customHeight="1" outlineLevel="1" x14ac:dyDescent="0.25">
      <c r="B463" s="123" t="s">
        <v>18</v>
      </c>
      <c r="C463" s="124"/>
      <c r="D463" s="125" t="e">
        <f>((C416*D396)+D454+C417*G417)/C412</f>
        <v>#DIV/0!</v>
      </c>
      <c r="E463" s="77"/>
      <c r="F463" s="415" t="s">
        <v>61</v>
      </c>
      <c r="G463" s="416"/>
      <c r="H463" s="416"/>
      <c r="N463" s="60"/>
      <c r="O463" s="60"/>
      <c r="P463" s="60"/>
    </row>
    <row r="464" spans="2:16" ht="18" hidden="1" outlineLevel="1" x14ac:dyDescent="0.25">
      <c r="B464" s="126" t="s">
        <v>19</v>
      </c>
      <c r="C464" s="127"/>
      <c r="D464" s="128" t="e">
        <f>(C416*D397+D455+C417*H417)/C412</f>
        <v>#DIV/0!</v>
      </c>
      <c r="E464" s="77"/>
      <c r="F464" s="416"/>
      <c r="G464" s="416"/>
      <c r="H464" s="416"/>
      <c r="N464" s="60"/>
      <c r="O464" s="60"/>
      <c r="P464" s="60"/>
    </row>
    <row r="465" spans="2:16" ht="18.5" hidden="1" outlineLevel="1" thickBot="1" x14ac:dyDescent="0.3">
      <c r="B465" s="129" t="s">
        <v>20</v>
      </c>
      <c r="C465" s="130"/>
      <c r="D465" s="131" t="e">
        <f>((C416*D398)+SUM(D453:D455)+C417*(MAX(1,F417)+G417+H417))/C412</f>
        <v>#DIV/0!</v>
      </c>
      <c r="E465" s="77"/>
      <c r="F465" s="416"/>
      <c r="G465" s="416"/>
      <c r="H465" s="416"/>
      <c r="N465" s="60"/>
      <c r="O465" s="60"/>
      <c r="P465" s="60"/>
    </row>
    <row r="466" spans="2:16" ht="13" hidden="1" outlineLevel="1" thickTop="1" x14ac:dyDescent="0.25">
      <c r="B466" s="156" t="s">
        <v>76</v>
      </c>
      <c r="C466" s="424"/>
      <c r="D466" s="425"/>
      <c r="F466" s="416"/>
      <c r="G466" s="416"/>
      <c r="H466" s="416"/>
      <c r="N466" s="60"/>
      <c r="O466" s="60"/>
      <c r="P466" s="60"/>
    </row>
    <row r="467" spans="2:16" hidden="1" outlineLevel="1" x14ac:dyDescent="0.25">
      <c r="B467" s="157" t="s">
        <v>58</v>
      </c>
      <c r="C467" s="422"/>
      <c r="D467" s="423"/>
      <c r="F467" s="416"/>
      <c r="G467" s="416"/>
      <c r="H467" s="416"/>
      <c r="N467" s="60"/>
      <c r="O467" s="60"/>
      <c r="P467" s="60"/>
    </row>
    <row r="468" spans="2:16" ht="13" hidden="1" outlineLevel="1" thickBot="1" x14ac:dyDescent="0.3">
      <c r="B468" s="158" t="s">
        <v>59</v>
      </c>
      <c r="C468" s="420"/>
      <c r="D468" s="421"/>
      <c r="F468" s="416"/>
      <c r="G468" s="416"/>
      <c r="H468" s="416"/>
      <c r="N468" s="60"/>
      <c r="O468" s="60"/>
      <c r="P468" s="60"/>
    </row>
    <row r="469" spans="2:16" ht="13" hidden="1" outlineLevel="1" x14ac:dyDescent="0.25">
      <c r="F469" s="34"/>
      <c r="G469" s="34"/>
      <c r="H469" s="34"/>
      <c r="N469" s="60"/>
      <c r="O469" s="60"/>
      <c r="P469" s="60"/>
    </row>
    <row r="470" spans="2:16" ht="13" hidden="1" outlineLevel="1" x14ac:dyDescent="0.25">
      <c r="C470" s="25" t="s">
        <v>44</v>
      </c>
      <c r="D470" s="25" t="s">
        <v>42</v>
      </c>
      <c r="F470" s="34"/>
      <c r="G470" s="34"/>
      <c r="H470" s="34"/>
      <c r="N470" s="60"/>
      <c r="O470" s="60"/>
      <c r="P470" s="60"/>
    </row>
    <row r="471" spans="2:16" ht="21" hidden="1" outlineLevel="1" thickTop="1" thickBot="1" x14ac:dyDescent="0.3">
      <c r="B471" s="140" t="s">
        <v>73</v>
      </c>
      <c r="C471" s="29"/>
      <c r="D471" s="141"/>
      <c r="E471" s="31"/>
      <c r="F471" s="32" t="s">
        <v>27</v>
      </c>
      <c r="G471" s="33"/>
      <c r="H471" s="33"/>
    </row>
    <row r="472" spans="2:16" ht="14.5" hidden="1" outlineLevel="1" thickBot="1" x14ac:dyDescent="0.3">
      <c r="B472" s="37"/>
      <c r="C472" s="38" t="s">
        <v>0</v>
      </c>
      <c r="D472" s="39" t="s">
        <v>1</v>
      </c>
      <c r="E472" s="40"/>
      <c r="F472" s="41" t="s">
        <v>28</v>
      </c>
      <c r="G472" s="41" t="s">
        <v>21</v>
      </c>
      <c r="H472" s="41" t="s">
        <v>8</v>
      </c>
    </row>
    <row r="473" spans="2:16" ht="13" hidden="1" outlineLevel="1" x14ac:dyDescent="0.25">
      <c r="B473" s="43" t="s">
        <v>65</v>
      </c>
      <c r="C473" s="142"/>
      <c r="D473" s="45" t="s">
        <v>2</v>
      </c>
      <c r="E473" s="46"/>
      <c r="F473" s="47"/>
      <c r="G473" s="47"/>
      <c r="H473" s="47"/>
      <c r="N473" s="60"/>
      <c r="O473" s="60"/>
      <c r="P473" s="60"/>
    </row>
    <row r="474" spans="2:16" ht="13" hidden="1" outlineLevel="1" x14ac:dyDescent="0.25">
      <c r="B474" s="43" t="s">
        <v>64</v>
      </c>
      <c r="C474" s="143"/>
      <c r="D474" s="45" t="s">
        <v>3</v>
      </c>
      <c r="E474" s="46"/>
      <c r="F474" s="47"/>
      <c r="G474" s="47"/>
      <c r="H474" s="47"/>
      <c r="N474" s="60"/>
      <c r="O474" s="60"/>
      <c r="P474" s="60"/>
    </row>
    <row r="475" spans="2:16" ht="13" hidden="1" outlineLevel="1" x14ac:dyDescent="0.25">
      <c r="B475" s="51" t="s">
        <v>63</v>
      </c>
      <c r="C475" s="144">
        <f>C473*C474</f>
        <v>0</v>
      </c>
      <c r="D475" s="45" t="str">
        <f>D473</f>
        <v>kg</v>
      </c>
      <c r="E475" s="46"/>
      <c r="F475" s="47"/>
      <c r="G475" s="47"/>
      <c r="H475" s="47"/>
      <c r="N475" s="60"/>
      <c r="O475" s="60"/>
      <c r="P475" s="60"/>
    </row>
    <row r="476" spans="2:16" ht="14" hidden="1" outlineLevel="1" x14ac:dyDescent="0.25">
      <c r="B476" s="54" t="s">
        <v>37</v>
      </c>
      <c r="C476" s="145">
        <v>1</v>
      </c>
      <c r="D476" s="56"/>
      <c r="E476" s="57"/>
      <c r="F476" s="58"/>
      <c r="G476" s="58"/>
      <c r="H476" s="58"/>
      <c r="N476" s="60"/>
      <c r="O476" s="60"/>
      <c r="P476" s="60"/>
    </row>
    <row r="477" spans="2:16" ht="13" hidden="1" outlineLevel="1" x14ac:dyDescent="0.25">
      <c r="B477" s="43" t="s">
        <v>66</v>
      </c>
      <c r="C477" s="142"/>
      <c r="D477" s="45" t="str">
        <f>D473</f>
        <v>kg</v>
      </c>
      <c r="E477" s="46"/>
      <c r="F477" s="47"/>
      <c r="G477" s="47"/>
      <c r="H477" s="47"/>
      <c r="N477" s="60"/>
      <c r="O477" s="60"/>
      <c r="P477" s="60"/>
    </row>
    <row r="478" spans="2:16" ht="13" hidden="1" outlineLevel="1" x14ac:dyDescent="0.25">
      <c r="B478" s="43" t="s">
        <v>67</v>
      </c>
      <c r="C478" s="143"/>
      <c r="D478" s="45" t="s">
        <v>3</v>
      </c>
      <c r="E478" s="59"/>
      <c r="F478" s="47"/>
      <c r="G478" s="47"/>
      <c r="H478" s="47"/>
      <c r="N478" s="60"/>
      <c r="O478" s="60"/>
      <c r="P478" s="60"/>
    </row>
    <row r="479" spans="2:16" ht="13" hidden="1" outlineLevel="1" x14ac:dyDescent="0.25">
      <c r="B479" s="51" t="s">
        <v>68</v>
      </c>
      <c r="C479" s="144">
        <f>C477*C478</f>
        <v>0</v>
      </c>
      <c r="D479" s="45" t="str">
        <f>D473</f>
        <v>kg</v>
      </c>
      <c r="E479" s="46"/>
      <c r="F479" s="47"/>
      <c r="G479" s="47"/>
      <c r="H479" s="47"/>
      <c r="N479" s="60"/>
      <c r="O479" s="60"/>
      <c r="P479" s="60"/>
    </row>
    <row r="480" spans="2:16" ht="13.5" hidden="1" outlineLevel="1" thickBot="1" x14ac:dyDescent="0.3">
      <c r="B480" s="61"/>
      <c r="C480" s="62"/>
      <c r="D480" s="63"/>
      <c r="F480" s="64"/>
      <c r="G480" s="64"/>
      <c r="H480" s="64"/>
      <c r="N480" s="60"/>
      <c r="O480" s="60"/>
      <c r="P480" s="60"/>
    </row>
    <row r="481" spans="2:16" ht="14.5" hidden="1" outlineLevel="1" thickBot="1" x14ac:dyDescent="0.3">
      <c r="B481" s="65" t="s">
        <v>5</v>
      </c>
      <c r="C481" s="66" t="s">
        <v>6</v>
      </c>
      <c r="D481" s="67" t="s">
        <v>1</v>
      </c>
      <c r="E481" s="68"/>
      <c r="F481" s="69"/>
      <c r="G481" s="69"/>
      <c r="H481" s="69"/>
      <c r="N481" s="60"/>
      <c r="O481" s="60"/>
      <c r="P481" s="60"/>
    </row>
    <row r="482" spans="2:16" ht="13" hidden="1" outlineLevel="1" x14ac:dyDescent="0.25">
      <c r="B482" s="70" t="s">
        <v>43</v>
      </c>
      <c r="C482" s="71"/>
      <c r="D482" s="72"/>
      <c r="E482" s="73"/>
      <c r="F482" s="69"/>
      <c r="G482" s="69"/>
      <c r="H482" s="69"/>
      <c r="N482" s="60"/>
      <c r="O482" s="60"/>
      <c r="P482" s="60"/>
    </row>
    <row r="483" spans="2:16" ht="13" hidden="1" outlineLevel="1" x14ac:dyDescent="0.25">
      <c r="B483" s="74"/>
      <c r="C483" s="146">
        <f>C475</f>
        <v>0</v>
      </c>
      <c r="D483" s="76" t="str">
        <f>D$473</f>
        <v>kg</v>
      </c>
      <c r="E483" s="98"/>
      <c r="F483" s="69"/>
      <c r="G483" s="69"/>
      <c r="H483" s="69"/>
      <c r="N483" s="60"/>
      <c r="O483" s="60"/>
      <c r="P483" s="60"/>
    </row>
    <row r="484" spans="2:16" ht="13.5" hidden="1" outlineLevel="1" thickBot="1" x14ac:dyDescent="0.3">
      <c r="B484" s="74"/>
      <c r="C484" s="146"/>
      <c r="D484" s="76" t="str">
        <f>D$473</f>
        <v>kg</v>
      </c>
      <c r="E484" s="77"/>
      <c r="F484" s="78"/>
      <c r="G484" s="78"/>
      <c r="H484" s="78"/>
      <c r="N484" s="60"/>
      <c r="O484" s="60"/>
      <c r="P484" s="60"/>
    </row>
    <row r="485" spans="2:16" ht="13" hidden="1" outlineLevel="1" x14ac:dyDescent="0.25">
      <c r="B485" s="79" t="s">
        <v>69</v>
      </c>
      <c r="C485" s="147"/>
      <c r="D485" s="81"/>
      <c r="E485" s="77"/>
      <c r="F485" s="82"/>
      <c r="G485" s="82"/>
      <c r="H485" s="82"/>
      <c r="N485" s="60"/>
      <c r="O485" s="60"/>
      <c r="P485" s="60"/>
    </row>
    <row r="486" spans="2:16" ht="13" hidden="1" outlineLevel="1" x14ac:dyDescent="0.25">
      <c r="B486" s="74"/>
      <c r="C486" s="148"/>
      <c r="D486" s="76" t="str">
        <f t="shared" ref="D486:D495" si="0">D$473</f>
        <v>kg</v>
      </c>
      <c r="E486" s="77"/>
      <c r="F486" s="82"/>
      <c r="G486" s="82"/>
      <c r="H486" s="82"/>
      <c r="N486" s="60"/>
      <c r="O486" s="60"/>
      <c r="P486" s="60"/>
    </row>
    <row r="487" spans="2:16" ht="13" hidden="1" outlineLevel="1" x14ac:dyDescent="0.25">
      <c r="B487" s="74"/>
      <c r="C487" s="148"/>
      <c r="D487" s="76" t="str">
        <f t="shared" si="0"/>
        <v>kg</v>
      </c>
      <c r="E487" s="77"/>
      <c r="F487" s="82"/>
      <c r="G487" s="82"/>
      <c r="H487" s="82"/>
      <c r="N487" s="60"/>
      <c r="O487" s="60"/>
      <c r="P487" s="60"/>
    </row>
    <row r="488" spans="2:16" ht="13" hidden="1" outlineLevel="1" x14ac:dyDescent="0.25">
      <c r="B488" s="74"/>
      <c r="C488" s="148"/>
      <c r="D488" s="76" t="str">
        <f t="shared" si="0"/>
        <v>kg</v>
      </c>
      <c r="E488" s="77"/>
      <c r="F488" s="82"/>
      <c r="G488" s="82"/>
      <c r="H488" s="82"/>
      <c r="N488" s="60"/>
      <c r="O488" s="60"/>
      <c r="P488" s="60"/>
    </row>
    <row r="489" spans="2:16" ht="13" hidden="1" outlineLevel="1" x14ac:dyDescent="0.25">
      <c r="B489" s="74"/>
      <c r="C489" s="148"/>
      <c r="D489" s="76" t="str">
        <f t="shared" si="0"/>
        <v>kg</v>
      </c>
      <c r="E489" s="77"/>
      <c r="F489" s="82"/>
      <c r="G489" s="82"/>
      <c r="H489" s="82"/>
      <c r="N489" s="60"/>
      <c r="O489" s="60"/>
      <c r="P489" s="60"/>
    </row>
    <row r="490" spans="2:16" ht="13" hidden="1" outlineLevel="1" x14ac:dyDescent="0.25">
      <c r="B490" s="74"/>
      <c r="C490" s="148"/>
      <c r="D490" s="76" t="str">
        <f t="shared" si="0"/>
        <v>kg</v>
      </c>
      <c r="E490" s="77"/>
      <c r="F490" s="82"/>
      <c r="G490" s="82"/>
      <c r="H490" s="82"/>
      <c r="N490" s="60"/>
      <c r="O490" s="60"/>
      <c r="P490" s="60"/>
    </row>
    <row r="491" spans="2:16" ht="13" hidden="1" outlineLevel="1" x14ac:dyDescent="0.25">
      <c r="B491" s="74"/>
      <c r="C491" s="148"/>
      <c r="D491" s="76" t="str">
        <f t="shared" si="0"/>
        <v>kg</v>
      </c>
      <c r="E491" s="77"/>
      <c r="F491" s="82"/>
      <c r="G491" s="82"/>
      <c r="H491" s="82"/>
      <c r="N491" s="60"/>
      <c r="O491" s="60"/>
      <c r="P491" s="60"/>
    </row>
    <row r="492" spans="2:16" ht="13" hidden="1" outlineLevel="1" x14ac:dyDescent="0.25">
      <c r="B492" s="74"/>
      <c r="C492" s="148"/>
      <c r="D492" s="76" t="str">
        <f t="shared" si="0"/>
        <v>kg</v>
      </c>
      <c r="E492" s="77"/>
      <c r="F492" s="82"/>
      <c r="G492" s="82"/>
      <c r="H492" s="82"/>
      <c r="N492" s="60"/>
      <c r="O492" s="60"/>
      <c r="P492" s="60"/>
    </row>
    <row r="493" spans="2:16" ht="13" hidden="1" outlineLevel="1" x14ac:dyDescent="0.25">
      <c r="B493" s="74"/>
      <c r="C493" s="148"/>
      <c r="D493" s="76" t="str">
        <f t="shared" si="0"/>
        <v>kg</v>
      </c>
      <c r="E493" s="77"/>
      <c r="F493" s="82"/>
      <c r="G493" s="82"/>
      <c r="H493" s="82"/>
      <c r="N493" s="60"/>
      <c r="O493" s="60"/>
      <c r="P493" s="60"/>
    </row>
    <row r="494" spans="2:16" ht="13" hidden="1" outlineLevel="1" x14ac:dyDescent="0.25">
      <c r="B494" s="74"/>
      <c r="C494" s="148"/>
      <c r="D494" s="76" t="str">
        <f t="shared" si="0"/>
        <v>kg</v>
      </c>
      <c r="E494" s="77"/>
      <c r="F494" s="82"/>
      <c r="G494" s="82"/>
      <c r="H494" s="82"/>
      <c r="N494" s="60"/>
      <c r="O494" s="60"/>
      <c r="P494" s="60"/>
    </row>
    <row r="495" spans="2:16" ht="13" hidden="1" outlineLevel="1" x14ac:dyDescent="0.25">
      <c r="B495" s="74"/>
      <c r="C495" s="148"/>
      <c r="D495" s="76" t="str">
        <f t="shared" si="0"/>
        <v>kg</v>
      </c>
      <c r="E495" s="77"/>
      <c r="F495" s="82"/>
      <c r="G495" s="82"/>
      <c r="H495" s="82"/>
      <c r="N495" s="60"/>
      <c r="O495" s="60"/>
      <c r="P495" s="60"/>
    </row>
    <row r="496" spans="2:16" ht="13.4" hidden="1" customHeight="1" outlineLevel="1" x14ac:dyDescent="0.25">
      <c r="B496" s="79"/>
      <c r="C496" s="147"/>
      <c r="D496" s="81"/>
      <c r="E496" s="77"/>
      <c r="F496" s="82"/>
      <c r="G496" s="82"/>
      <c r="H496" s="82"/>
      <c r="K496" s="34"/>
      <c r="N496" s="60"/>
      <c r="O496" s="60"/>
      <c r="P496" s="60"/>
    </row>
    <row r="497" spans="2:16" ht="13" hidden="1" outlineLevel="1" x14ac:dyDescent="0.25">
      <c r="B497" s="86" t="s">
        <v>7</v>
      </c>
      <c r="C497" s="149">
        <f>SUM(C482:C495)</f>
        <v>0</v>
      </c>
      <c r="D497" s="88" t="str">
        <f>D$473</f>
        <v>kg</v>
      </c>
      <c r="E497" s="77"/>
      <c r="F497" s="82"/>
      <c r="G497" s="82"/>
      <c r="H497" s="82"/>
      <c r="N497" s="60"/>
      <c r="O497" s="60"/>
      <c r="P497" s="60"/>
    </row>
    <row r="498" spans="2:16" ht="13" hidden="1" outlineLevel="1" x14ac:dyDescent="0.25">
      <c r="B498" s="79" t="s">
        <v>71</v>
      </c>
      <c r="C498" s="150"/>
      <c r="D498" s="81"/>
      <c r="E498" s="77"/>
      <c r="F498" s="82"/>
      <c r="G498" s="82"/>
      <c r="H498" s="82"/>
      <c r="N498" s="60"/>
      <c r="O498" s="60"/>
      <c r="P498" s="60"/>
    </row>
    <row r="499" spans="2:16" ht="13" hidden="1" outlineLevel="1" x14ac:dyDescent="0.25">
      <c r="B499" s="74"/>
      <c r="C499" s="148"/>
      <c r="D499" s="76" t="str">
        <f t="shared" ref="D499:D506" si="1">D$473</f>
        <v>kg</v>
      </c>
      <c r="E499" s="77"/>
      <c r="F499" s="82"/>
      <c r="G499" s="82"/>
      <c r="H499" s="82"/>
      <c r="N499" s="60"/>
      <c r="O499" s="60"/>
      <c r="P499" s="60"/>
    </row>
    <row r="500" spans="2:16" ht="13" hidden="1" outlineLevel="1" x14ac:dyDescent="0.25">
      <c r="B500" s="74"/>
      <c r="C500" s="148"/>
      <c r="D500" s="76" t="str">
        <f t="shared" si="1"/>
        <v>kg</v>
      </c>
      <c r="E500" s="77"/>
      <c r="F500" s="82"/>
      <c r="G500" s="82"/>
      <c r="H500" s="82"/>
      <c r="N500" s="60"/>
      <c r="O500" s="60"/>
      <c r="P500" s="60"/>
    </row>
    <row r="501" spans="2:16" ht="13" hidden="1" outlineLevel="1" x14ac:dyDescent="0.25">
      <c r="B501" s="74"/>
      <c r="C501" s="148"/>
      <c r="D501" s="76" t="str">
        <f>D$473</f>
        <v>kg</v>
      </c>
      <c r="E501" s="77"/>
      <c r="F501" s="82"/>
      <c r="G501" s="82"/>
      <c r="H501" s="82"/>
      <c r="N501" s="60"/>
      <c r="O501" s="60"/>
      <c r="P501" s="60"/>
    </row>
    <row r="502" spans="2:16" ht="13" hidden="1" outlineLevel="1" x14ac:dyDescent="0.25">
      <c r="B502" s="74"/>
      <c r="C502" s="148"/>
      <c r="D502" s="76" t="str">
        <f>D$473</f>
        <v>kg</v>
      </c>
      <c r="E502" s="77"/>
      <c r="F502" s="82"/>
      <c r="G502" s="82"/>
      <c r="H502" s="82"/>
      <c r="N502" s="60"/>
      <c r="O502" s="60"/>
      <c r="P502" s="60"/>
    </row>
    <row r="503" spans="2:16" ht="13" hidden="1" outlineLevel="1" x14ac:dyDescent="0.25">
      <c r="B503" s="74"/>
      <c r="C503" s="148"/>
      <c r="D503" s="76" t="str">
        <f t="shared" si="1"/>
        <v>kg</v>
      </c>
      <c r="E503" s="77"/>
      <c r="F503" s="82"/>
      <c r="G503" s="82"/>
      <c r="H503" s="82"/>
      <c r="N503" s="60"/>
      <c r="O503" s="60"/>
      <c r="P503" s="60"/>
    </row>
    <row r="504" spans="2:16" ht="13" hidden="1" outlineLevel="1" x14ac:dyDescent="0.25">
      <c r="B504" s="74"/>
      <c r="C504" s="148"/>
      <c r="D504" s="76" t="str">
        <f t="shared" si="1"/>
        <v>kg</v>
      </c>
      <c r="E504" s="77"/>
      <c r="F504" s="82"/>
      <c r="G504" s="82"/>
      <c r="H504" s="82"/>
      <c r="N504" s="60"/>
      <c r="O504" s="60"/>
      <c r="P504" s="60"/>
    </row>
    <row r="505" spans="2:16" ht="13" hidden="1" outlineLevel="1" x14ac:dyDescent="0.25">
      <c r="B505" s="74"/>
      <c r="C505" s="148"/>
      <c r="D505" s="76" t="str">
        <f t="shared" si="1"/>
        <v>kg</v>
      </c>
      <c r="E505" s="77"/>
      <c r="F505" s="82"/>
      <c r="G505" s="82"/>
      <c r="H505" s="82"/>
      <c r="N505" s="60"/>
      <c r="O505" s="60"/>
      <c r="P505" s="60"/>
    </row>
    <row r="506" spans="2:16" ht="13" hidden="1" outlineLevel="1" x14ac:dyDescent="0.25">
      <c r="B506" s="74"/>
      <c r="C506" s="148"/>
      <c r="D506" s="76" t="str">
        <f t="shared" si="1"/>
        <v>kg</v>
      </c>
      <c r="E506" s="77"/>
      <c r="F506" s="82"/>
      <c r="G506" s="82"/>
      <c r="H506" s="82"/>
      <c r="N506" s="60"/>
      <c r="O506" s="60"/>
      <c r="P506" s="60"/>
    </row>
    <row r="507" spans="2:16" ht="13" hidden="1" outlineLevel="1" x14ac:dyDescent="0.25">
      <c r="B507" s="79" t="s">
        <v>70</v>
      </c>
      <c r="C507" s="147"/>
      <c r="D507" s="81"/>
      <c r="E507" s="90"/>
      <c r="F507" s="82"/>
      <c r="G507" s="82"/>
      <c r="H507" s="82"/>
      <c r="N507" s="60"/>
      <c r="O507" s="60"/>
      <c r="P507" s="60"/>
    </row>
    <row r="508" spans="2:16" ht="13" hidden="1" outlineLevel="1" x14ac:dyDescent="0.25">
      <c r="B508" s="74"/>
      <c r="C508" s="148"/>
      <c r="D508" s="76" t="str">
        <f t="shared" ref="D508:D514" si="2">D$473</f>
        <v>kg</v>
      </c>
      <c r="E508" s="77"/>
      <c r="F508" s="82"/>
      <c r="G508" s="82"/>
      <c r="H508" s="82"/>
      <c r="N508" s="60"/>
      <c r="O508" s="60"/>
      <c r="P508" s="60"/>
    </row>
    <row r="509" spans="2:16" ht="13" hidden="1" outlineLevel="1" x14ac:dyDescent="0.25">
      <c r="B509" s="74"/>
      <c r="C509" s="148"/>
      <c r="D509" s="76" t="str">
        <f>D$473</f>
        <v>kg</v>
      </c>
      <c r="E509" s="77"/>
      <c r="F509" s="82"/>
      <c r="G509" s="82"/>
      <c r="H509" s="82"/>
      <c r="N509" s="60"/>
      <c r="O509" s="60"/>
      <c r="P509" s="60"/>
    </row>
    <row r="510" spans="2:16" ht="13" hidden="1" outlineLevel="1" x14ac:dyDescent="0.25">
      <c r="B510" s="74"/>
      <c r="C510" s="148"/>
      <c r="D510" s="76" t="str">
        <f>D$473</f>
        <v>kg</v>
      </c>
      <c r="E510" s="77"/>
      <c r="F510" s="82"/>
      <c r="G510" s="82"/>
      <c r="H510" s="82"/>
      <c r="N510" s="60"/>
      <c r="O510" s="60"/>
      <c r="P510" s="60"/>
    </row>
    <row r="511" spans="2:16" ht="13" hidden="1" outlineLevel="1" x14ac:dyDescent="0.25">
      <c r="B511" s="74"/>
      <c r="C511" s="148"/>
      <c r="D511" s="76" t="str">
        <f>D$473</f>
        <v>kg</v>
      </c>
      <c r="E511" s="77"/>
      <c r="F511" s="82"/>
      <c r="G511" s="82"/>
      <c r="H511" s="82"/>
      <c r="N511" s="60"/>
      <c r="O511" s="60"/>
      <c r="P511" s="60"/>
    </row>
    <row r="512" spans="2:16" ht="13" hidden="1" outlineLevel="1" x14ac:dyDescent="0.25">
      <c r="B512" s="74"/>
      <c r="C512" s="148"/>
      <c r="D512" s="76" t="str">
        <f t="shared" si="2"/>
        <v>kg</v>
      </c>
      <c r="E512" s="77"/>
      <c r="F512" s="82"/>
      <c r="G512" s="82"/>
      <c r="H512" s="82"/>
      <c r="N512" s="60"/>
      <c r="O512" s="60"/>
      <c r="P512" s="60"/>
    </row>
    <row r="513" spans="2:16" ht="13" hidden="1" outlineLevel="1" x14ac:dyDescent="0.25">
      <c r="B513" s="74"/>
      <c r="C513" s="148"/>
      <c r="D513" s="76" t="str">
        <f t="shared" si="2"/>
        <v>kg</v>
      </c>
      <c r="E513" s="77"/>
      <c r="F513" s="82"/>
      <c r="G513" s="82"/>
      <c r="H513" s="82"/>
      <c r="N513" s="60"/>
      <c r="O513" s="60"/>
      <c r="P513" s="60"/>
    </row>
    <row r="514" spans="2:16" ht="13" hidden="1" outlineLevel="1" x14ac:dyDescent="0.25">
      <c r="B514" s="74"/>
      <c r="C514" s="148"/>
      <c r="D514" s="76" t="str">
        <f t="shared" si="2"/>
        <v>kg</v>
      </c>
      <c r="E514" s="77"/>
      <c r="F514" s="82"/>
      <c r="G514" s="82"/>
      <c r="H514" s="82"/>
      <c r="N514" s="60"/>
      <c r="O514" s="60"/>
      <c r="P514" s="60"/>
    </row>
    <row r="515" spans="2:16" ht="13.4" hidden="1" customHeight="1" outlineLevel="1" x14ac:dyDescent="0.25">
      <c r="B515" s="79"/>
      <c r="C515" s="147"/>
      <c r="D515" s="81"/>
      <c r="E515" s="77"/>
      <c r="F515" s="82"/>
      <c r="G515" s="82"/>
      <c r="H515" s="82"/>
      <c r="K515" s="34"/>
      <c r="N515" s="60"/>
      <c r="O515" s="60"/>
      <c r="P515" s="60"/>
    </row>
    <row r="516" spans="2:16" ht="13" hidden="1" outlineLevel="1" x14ac:dyDescent="0.25">
      <c r="B516" s="86" t="s">
        <v>9</v>
      </c>
      <c r="C516" s="149">
        <f>SUM(C497:C514)</f>
        <v>0</v>
      </c>
      <c r="D516" s="91" t="str">
        <f>D$473</f>
        <v>kg</v>
      </c>
      <c r="E516" s="77"/>
      <c r="F516" s="82"/>
      <c r="G516" s="82"/>
      <c r="H516" s="82"/>
      <c r="N516" s="60"/>
      <c r="O516" s="60"/>
      <c r="P516" s="60"/>
    </row>
    <row r="517" spans="2:16" ht="13" hidden="1" outlineLevel="1" x14ac:dyDescent="0.25">
      <c r="B517" s="92"/>
      <c r="C517" s="93"/>
      <c r="D517" s="94"/>
      <c r="E517" s="77"/>
      <c r="F517" s="82"/>
      <c r="G517" s="82"/>
      <c r="H517" s="82"/>
      <c r="N517" s="60"/>
      <c r="O517" s="60"/>
      <c r="P517" s="60"/>
    </row>
    <row r="518" spans="2:16" ht="21.65" hidden="1" customHeight="1" outlineLevel="1" thickBot="1" x14ac:dyDescent="0.3">
      <c r="B518" s="426" t="s">
        <v>10</v>
      </c>
      <c r="C518" s="427"/>
      <c r="D518" s="428"/>
      <c r="E518" s="77"/>
      <c r="F518" s="82"/>
      <c r="G518" s="82"/>
      <c r="H518" s="82"/>
      <c r="N518" s="60"/>
      <c r="O518" s="60"/>
      <c r="P518" s="60"/>
    </row>
    <row r="519" spans="2:16" ht="13" hidden="1" outlineLevel="1" x14ac:dyDescent="0.25">
      <c r="B519" s="95" t="s">
        <v>23</v>
      </c>
      <c r="C519" s="96"/>
      <c r="D519" s="151">
        <f>SUM(C483:C484)</f>
        <v>0</v>
      </c>
      <c r="E519" s="98"/>
      <c r="F519" s="82"/>
      <c r="G519" s="82"/>
      <c r="H519" s="82"/>
      <c r="N519" s="60"/>
      <c r="O519" s="60"/>
      <c r="P519" s="60"/>
    </row>
    <row r="520" spans="2:16" ht="13" hidden="1" outlineLevel="1" x14ac:dyDescent="0.25">
      <c r="B520" s="99" t="s">
        <v>24</v>
      </c>
      <c r="C520" s="100"/>
      <c r="D520" s="152">
        <f>SUM(C486:C496)</f>
        <v>0</v>
      </c>
      <c r="E520" s="98"/>
      <c r="F520" s="82"/>
      <c r="G520" s="82"/>
      <c r="H520" s="82"/>
      <c r="N520" s="60"/>
      <c r="O520" s="60"/>
      <c r="P520" s="60"/>
    </row>
    <row r="521" spans="2:16" ht="13" hidden="1" outlineLevel="1" x14ac:dyDescent="0.25">
      <c r="B521" s="99" t="s">
        <v>25</v>
      </c>
      <c r="C521" s="100"/>
      <c r="D521" s="152">
        <f>SUM(C499:C507)</f>
        <v>0</v>
      </c>
      <c r="E521" s="98"/>
      <c r="F521" s="82"/>
      <c r="G521" s="82"/>
      <c r="H521" s="82"/>
      <c r="N521" s="60"/>
      <c r="O521" s="60"/>
      <c r="P521" s="60"/>
    </row>
    <row r="522" spans="2:16" ht="15" hidden="1" customHeight="1" outlineLevel="1" thickBot="1" x14ac:dyDescent="0.3">
      <c r="B522" s="102" t="s">
        <v>26</v>
      </c>
      <c r="C522" s="103"/>
      <c r="D522" s="153">
        <f>SUM(C508:C515)</f>
        <v>0</v>
      </c>
      <c r="E522" s="98"/>
      <c r="F522" s="82"/>
      <c r="G522" s="82"/>
      <c r="H522" s="82"/>
      <c r="N522" s="60"/>
      <c r="O522" s="60"/>
      <c r="P522" s="60"/>
    </row>
    <row r="523" spans="2:16" ht="18.5" hidden="1" outlineLevel="1" thickTop="1" x14ac:dyDescent="0.25">
      <c r="B523" s="105" t="s">
        <v>11</v>
      </c>
      <c r="C523" s="106"/>
      <c r="D523" s="107" t="e">
        <f>C497/C479</f>
        <v>#DIV/0!</v>
      </c>
      <c r="E523" s="77"/>
      <c r="F523" s="110" t="s">
        <v>86</v>
      </c>
      <c r="G523" s="109" t="s">
        <v>85</v>
      </c>
      <c r="H523" s="110"/>
      <c r="N523" s="60"/>
      <c r="O523" s="60"/>
      <c r="P523" s="60"/>
    </row>
    <row r="524" spans="2:16" ht="18.5" hidden="1" outlineLevel="1" thickBot="1" x14ac:dyDescent="0.3">
      <c r="B524" s="111" t="s">
        <v>12</v>
      </c>
      <c r="C524" s="112"/>
      <c r="D524" s="113" t="e">
        <f>(D519+D520+D521)/C479</f>
        <v>#DIV/0!</v>
      </c>
      <c r="E524" s="77"/>
      <c r="F524" s="154"/>
      <c r="G524" s="413"/>
      <c r="H524" s="414"/>
      <c r="N524" s="60"/>
      <c r="O524" s="60"/>
      <c r="P524" s="60"/>
    </row>
    <row r="525" spans="2:16" ht="18" hidden="1" outlineLevel="1" x14ac:dyDescent="0.25">
      <c r="B525" s="111" t="s">
        <v>13</v>
      </c>
      <c r="C525" s="112"/>
      <c r="D525" s="113" t="e">
        <f>D521/C479</f>
        <v>#DIV/0!</v>
      </c>
      <c r="E525" s="90"/>
      <c r="F525" s="64" t="s">
        <v>45</v>
      </c>
      <c r="G525" s="64" t="s">
        <v>45</v>
      </c>
      <c r="H525" s="155"/>
      <c r="N525" s="60"/>
      <c r="O525" s="60"/>
      <c r="P525" s="60"/>
    </row>
    <row r="526" spans="2:16" ht="18" hidden="1" outlineLevel="1" x14ac:dyDescent="0.25">
      <c r="B526" s="114" t="s">
        <v>14</v>
      </c>
      <c r="C526" s="115"/>
      <c r="D526" s="116" t="e">
        <f>D522/C479</f>
        <v>#DIV/0!</v>
      </c>
      <c r="E526" s="90"/>
      <c r="F526" s="110"/>
      <c r="G526" s="117" t="s">
        <v>46</v>
      </c>
      <c r="H526" s="110"/>
      <c r="N526" s="60"/>
      <c r="O526" s="60"/>
      <c r="P526" s="60"/>
    </row>
    <row r="527" spans="2:16" ht="18.5" hidden="1" outlineLevel="1" thickBot="1" x14ac:dyDescent="0.3">
      <c r="B527" s="114" t="s">
        <v>15</v>
      </c>
      <c r="C527" s="119"/>
      <c r="D527" s="116" t="e">
        <f>SUM(D519:D522)/C479</f>
        <v>#DIV/0!</v>
      </c>
      <c r="E527" s="90"/>
      <c r="F527" s="429"/>
      <c r="G527" s="430"/>
      <c r="H527" s="431"/>
      <c r="N527" s="60"/>
      <c r="O527" s="60"/>
      <c r="P527" s="60"/>
    </row>
    <row r="528" spans="2:16" ht="18.5" hidden="1" outlineLevel="1" thickTop="1" x14ac:dyDescent="0.25">
      <c r="B528" s="120" t="s">
        <v>16</v>
      </c>
      <c r="C528" s="121"/>
      <c r="D528" s="122" t="e">
        <f>((C483*D461)+D520+C484*MAX(1,F484))/C479</f>
        <v>#DIV/0!</v>
      </c>
      <c r="E528" s="77"/>
      <c r="F528" s="64" t="s">
        <v>45</v>
      </c>
      <c r="G528" s="64"/>
      <c r="H528" s="82"/>
      <c r="N528" s="60"/>
      <c r="O528" s="60"/>
      <c r="P528" s="60"/>
    </row>
    <row r="529" spans="2:16" ht="18" hidden="1" outlineLevel="1" x14ac:dyDescent="0.25">
      <c r="B529" s="123" t="s">
        <v>17</v>
      </c>
      <c r="C529" s="124"/>
      <c r="D529" s="125" t="e">
        <f>(C483*D462+D520+D521+C484*(MAX(1,F484)+G484))/C479</f>
        <v>#DIV/0!</v>
      </c>
      <c r="E529" s="77"/>
      <c r="F529" s="82"/>
      <c r="G529" s="82"/>
      <c r="H529" s="82"/>
      <c r="N529" s="60"/>
      <c r="O529" s="60"/>
      <c r="P529" s="60"/>
    </row>
    <row r="530" spans="2:16" ht="18" hidden="1" customHeight="1" outlineLevel="1" x14ac:dyDescent="0.25">
      <c r="B530" s="123" t="s">
        <v>18</v>
      </c>
      <c r="C530" s="124"/>
      <c r="D530" s="125" t="e">
        <f>((C483*D463)+D521+C484*G484)/C479</f>
        <v>#DIV/0!</v>
      </c>
      <c r="E530" s="77"/>
      <c r="F530" s="415" t="s">
        <v>61</v>
      </c>
      <c r="G530" s="416"/>
      <c r="H530" s="416"/>
      <c r="N530" s="60"/>
      <c r="O530" s="60"/>
      <c r="P530" s="60"/>
    </row>
    <row r="531" spans="2:16" ht="18" hidden="1" outlineLevel="1" x14ac:dyDescent="0.25">
      <c r="B531" s="126" t="s">
        <v>19</v>
      </c>
      <c r="C531" s="127"/>
      <c r="D531" s="128" t="e">
        <f>(C483*D464+D522+C484*H484)/C479</f>
        <v>#DIV/0!</v>
      </c>
      <c r="E531" s="77"/>
      <c r="F531" s="416"/>
      <c r="G531" s="416"/>
      <c r="H531" s="416"/>
      <c r="N531" s="60"/>
      <c r="O531" s="60"/>
      <c r="P531" s="60"/>
    </row>
    <row r="532" spans="2:16" ht="18.5" hidden="1" outlineLevel="1" thickBot="1" x14ac:dyDescent="0.3">
      <c r="B532" s="129" t="s">
        <v>20</v>
      </c>
      <c r="C532" s="130"/>
      <c r="D532" s="131" t="e">
        <f>((C483*D465)+SUM(D520:D522)+C484*(MAX(1,F484)+G484+H484))/C479</f>
        <v>#DIV/0!</v>
      </c>
      <c r="E532" s="77"/>
      <c r="F532" s="416"/>
      <c r="G532" s="416"/>
      <c r="H532" s="416"/>
      <c r="N532" s="60"/>
      <c r="O532" s="60"/>
      <c r="P532" s="60"/>
    </row>
    <row r="533" spans="2:16" ht="13" hidden="1" outlineLevel="1" thickTop="1" x14ac:dyDescent="0.25">
      <c r="B533" s="156" t="s">
        <v>76</v>
      </c>
      <c r="C533" s="424"/>
      <c r="D533" s="425"/>
      <c r="F533" s="416"/>
      <c r="G533" s="416"/>
      <c r="H533" s="416"/>
      <c r="N533" s="60"/>
      <c r="O533" s="60"/>
      <c r="P533" s="60"/>
    </row>
    <row r="534" spans="2:16" hidden="1" outlineLevel="1" x14ac:dyDescent="0.25">
      <c r="B534" s="157" t="s">
        <v>58</v>
      </c>
      <c r="C534" s="422"/>
      <c r="D534" s="423"/>
      <c r="F534" s="416"/>
      <c r="G534" s="416"/>
      <c r="H534" s="416"/>
      <c r="N534" s="60"/>
      <c r="O534" s="60"/>
      <c r="P534" s="60"/>
    </row>
    <row r="535" spans="2:16" ht="13" hidden="1" outlineLevel="1" thickBot="1" x14ac:dyDescent="0.3">
      <c r="B535" s="158" t="s">
        <v>59</v>
      </c>
      <c r="C535" s="420"/>
      <c r="D535" s="421"/>
      <c r="F535" s="416"/>
      <c r="G535" s="416"/>
      <c r="H535" s="416"/>
      <c r="N535" s="60"/>
      <c r="O535" s="60"/>
      <c r="P535" s="60"/>
    </row>
    <row r="536" spans="2:16" ht="13" hidden="1" outlineLevel="1" x14ac:dyDescent="0.25">
      <c r="F536" s="34"/>
      <c r="G536" s="34"/>
      <c r="H536" s="34"/>
      <c r="N536" s="60"/>
      <c r="O536" s="60"/>
      <c r="P536" s="60"/>
    </row>
    <row r="537" spans="2:16" ht="13" hidden="1" outlineLevel="1" x14ac:dyDescent="0.25">
      <c r="C537" s="25" t="s">
        <v>44</v>
      </c>
      <c r="D537" s="25" t="s">
        <v>42</v>
      </c>
      <c r="F537" s="34"/>
      <c r="G537" s="34"/>
      <c r="H537" s="34"/>
      <c r="N537" s="60"/>
      <c r="O537" s="60"/>
      <c r="P537" s="60"/>
    </row>
    <row r="538" spans="2:16" ht="21" hidden="1" outlineLevel="1" thickTop="1" thickBot="1" x14ac:dyDescent="0.3">
      <c r="B538" s="140" t="s">
        <v>73</v>
      </c>
      <c r="C538" s="29"/>
      <c r="D538" s="141"/>
      <c r="E538" s="31"/>
      <c r="F538" s="32" t="s">
        <v>27</v>
      </c>
      <c r="G538" s="33"/>
      <c r="H538" s="33"/>
    </row>
    <row r="539" spans="2:16" ht="14.5" hidden="1" outlineLevel="1" thickBot="1" x14ac:dyDescent="0.3">
      <c r="B539" s="37"/>
      <c r="C539" s="38" t="s">
        <v>0</v>
      </c>
      <c r="D539" s="39" t="s">
        <v>1</v>
      </c>
      <c r="E539" s="40"/>
      <c r="F539" s="41" t="s">
        <v>28</v>
      </c>
      <c r="G539" s="41" t="s">
        <v>21</v>
      </c>
      <c r="H539" s="41" t="s">
        <v>8</v>
      </c>
    </row>
    <row r="540" spans="2:16" ht="13" hidden="1" outlineLevel="1" x14ac:dyDescent="0.25">
      <c r="B540" s="43" t="s">
        <v>65</v>
      </c>
      <c r="C540" s="142"/>
      <c r="D540" s="45" t="s">
        <v>2</v>
      </c>
      <c r="E540" s="46"/>
      <c r="F540" s="47"/>
      <c r="G540" s="47"/>
      <c r="H540" s="47"/>
      <c r="N540" s="60"/>
      <c r="O540" s="60"/>
      <c r="P540" s="60"/>
    </row>
    <row r="541" spans="2:16" ht="13" hidden="1" outlineLevel="1" x14ac:dyDescent="0.25">
      <c r="B541" s="43" t="s">
        <v>64</v>
      </c>
      <c r="C541" s="143"/>
      <c r="D541" s="45" t="s">
        <v>3</v>
      </c>
      <c r="E541" s="46"/>
      <c r="F541" s="47"/>
      <c r="G541" s="47"/>
      <c r="H541" s="47"/>
      <c r="N541" s="60"/>
      <c r="O541" s="60"/>
      <c r="P541" s="60"/>
    </row>
    <row r="542" spans="2:16" ht="13" hidden="1" outlineLevel="1" x14ac:dyDescent="0.25">
      <c r="B542" s="51" t="s">
        <v>63</v>
      </c>
      <c r="C542" s="144">
        <f>C540*C541</f>
        <v>0</v>
      </c>
      <c r="D542" s="45" t="str">
        <f>D540</f>
        <v>kg</v>
      </c>
      <c r="E542" s="46"/>
      <c r="F542" s="47"/>
      <c r="G542" s="47"/>
      <c r="H542" s="47"/>
      <c r="N542" s="60"/>
      <c r="O542" s="60"/>
      <c r="P542" s="60"/>
    </row>
    <row r="543" spans="2:16" ht="14" hidden="1" outlineLevel="1" x14ac:dyDescent="0.25">
      <c r="B543" s="54" t="s">
        <v>37</v>
      </c>
      <c r="C543" s="145">
        <v>1</v>
      </c>
      <c r="D543" s="56"/>
      <c r="E543" s="57"/>
      <c r="F543" s="58"/>
      <c r="G543" s="58"/>
      <c r="H543" s="58"/>
      <c r="N543" s="60"/>
      <c r="O543" s="60"/>
      <c r="P543" s="60"/>
    </row>
    <row r="544" spans="2:16" ht="13" hidden="1" outlineLevel="1" x14ac:dyDescent="0.25">
      <c r="B544" s="43" t="s">
        <v>66</v>
      </c>
      <c r="C544" s="142"/>
      <c r="D544" s="45" t="str">
        <f>D540</f>
        <v>kg</v>
      </c>
      <c r="E544" s="46"/>
      <c r="F544" s="47"/>
      <c r="G544" s="47"/>
      <c r="H544" s="47"/>
      <c r="N544" s="60"/>
      <c r="O544" s="60"/>
      <c r="P544" s="60"/>
    </row>
    <row r="545" spans="2:16" ht="13" hidden="1" outlineLevel="1" x14ac:dyDescent="0.25">
      <c r="B545" s="43" t="s">
        <v>67</v>
      </c>
      <c r="C545" s="143"/>
      <c r="D545" s="45" t="s">
        <v>3</v>
      </c>
      <c r="E545" s="59"/>
      <c r="F545" s="47"/>
      <c r="G545" s="47"/>
      <c r="H545" s="47"/>
      <c r="N545" s="60"/>
      <c r="O545" s="60"/>
      <c r="P545" s="60"/>
    </row>
    <row r="546" spans="2:16" ht="13" hidden="1" outlineLevel="1" x14ac:dyDescent="0.25">
      <c r="B546" s="51" t="s">
        <v>68</v>
      </c>
      <c r="C546" s="144">
        <f>C544*C545</f>
        <v>0</v>
      </c>
      <c r="D546" s="45" t="str">
        <f>D540</f>
        <v>kg</v>
      </c>
      <c r="E546" s="46"/>
      <c r="F546" s="47"/>
      <c r="G546" s="47"/>
      <c r="H546" s="47"/>
      <c r="N546" s="60"/>
      <c r="O546" s="60"/>
      <c r="P546" s="60"/>
    </row>
    <row r="547" spans="2:16" ht="13.5" hidden="1" outlineLevel="1" thickBot="1" x14ac:dyDescent="0.3">
      <c r="B547" s="61"/>
      <c r="C547" s="62"/>
      <c r="D547" s="63"/>
      <c r="F547" s="64"/>
      <c r="G547" s="64"/>
      <c r="H547" s="64"/>
      <c r="N547" s="60"/>
      <c r="O547" s="60"/>
      <c r="P547" s="60"/>
    </row>
    <row r="548" spans="2:16" ht="14.5" hidden="1" outlineLevel="1" thickBot="1" x14ac:dyDescent="0.3">
      <c r="B548" s="65" t="s">
        <v>5</v>
      </c>
      <c r="C548" s="66" t="s">
        <v>6</v>
      </c>
      <c r="D548" s="67" t="s">
        <v>1</v>
      </c>
      <c r="E548" s="68"/>
      <c r="F548" s="69"/>
      <c r="G548" s="69"/>
      <c r="H548" s="69"/>
      <c r="N548" s="60"/>
      <c r="O548" s="60"/>
      <c r="P548" s="60"/>
    </row>
    <row r="549" spans="2:16" ht="13" hidden="1" outlineLevel="1" x14ac:dyDescent="0.25">
      <c r="B549" s="70" t="s">
        <v>43</v>
      </c>
      <c r="C549" s="71"/>
      <c r="D549" s="72"/>
      <c r="E549" s="73"/>
      <c r="F549" s="69"/>
      <c r="G549" s="69"/>
      <c r="H549" s="69"/>
      <c r="N549" s="60"/>
      <c r="O549" s="60"/>
      <c r="P549" s="60"/>
    </row>
    <row r="550" spans="2:16" ht="13" hidden="1" outlineLevel="1" x14ac:dyDescent="0.25">
      <c r="B550" s="74"/>
      <c r="C550" s="146">
        <f>C542</f>
        <v>0</v>
      </c>
      <c r="D550" s="76" t="str">
        <f>D540</f>
        <v>kg</v>
      </c>
      <c r="E550" s="98"/>
      <c r="F550" s="69"/>
      <c r="G550" s="69"/>
      <c r="H550" s="69"/>
      <c r="N550" s="60"/>
      <c r="O550" s="60"/>
      <c r="P550" s="60"/>
    </row>
    <row r="551" spans="2:16" ht="13.5" hidden="1" outlineLevel="1" thickBot="1" x14ac:dyDescent="0.3">
      <c r="B551" s="74"/>
      <c r="C551" s="146"/>
      <c r="D551" s="76" t="str">
        <f>D540</f>
        <v>kg</v>
      </c>
      <c r="E551" s="77"/>
      <c r="F551" s="78"/>
      <c r="G551" s="78"/>
      <c r="H551" s="78"/>
      <c r="N551" s="60"/>
      <c r="O551" s="60"/>
      <c r="P551" s="60"/>
    </row>
    <row r="552" spans="2:16" ht="13" hidden="1" outlineLevel="1" x14ac:dyDescent="0.25">
      <c r="B552" s="79" t="s">
        <v>69</v>
      </c>
      <c r="C552" s="147"/>
      <c r="D552" s="81"/>
      <c r="E552" s="77"/>
      <c r="F552" s="82"/>
      <c r="G552" s="82"/>
      <c r="H552" s="82"/>
      <c r="N552" s="60"/>
      <c r="O552" s="60"/>
      <c r="P552" s="60"/>
    </row>
    <row r="553" spans="2:16" ht="13" hidden="1" outlineLevel="1" x14ac:dyDescent="0.25">
      <c r="B553" s="74"/>
      <c r="C553" s="148"/>
      <c r="D553" s="76" t="str">
        <f>D540</f>
        <v>kg</v>
      </c>
      <c r="E553" s="77"/>
      <c r="F553" s="82"/>
      <c r="G553" s="82"/>
      <c r="H553" s="82"/>
      <c r="N553" s="60"/>
      <c r="O553" s="60"/>
      <c r="P553" s="60"/>
    </row>
    <row r="554" spans="2:16" ht="13" hidden="1" outlineLevel="1" x14ac:dyDescent="0.25">
      <c r="B554" s="74"/>
      <c r="C554" s="148"/>
      <c r="D554" s="76" t="str">
        <f>D540</f>
        <v>kg</v>
      </c>
      <c r="E554" s="77"/>
      <c r="F554" s="82"/>
      <c r="G554" s="82"/>
      <c r="H554" s="82"/>
      <c r="N554" s="60"/>
      <c r="O554" s="60"/>
      <c r="P554" s="60"/>
    </row>
    <row r="555" spans="2:16" ht="13" hidden="1" outlineLevel="1" x14ac:dyDescent="0.25">
      <c r="B555" s="74"/>
      <c r="C555" s="148"/>
      <c r="D555" s="76" t="str">
        <f>D540</f>
        <v>kg</v>
      </c>
      <c r="E555" s="77"/>
      <c r="F555" s="82"/>
      <c r="G555" s="82"/>
      <c r="H555" s="82"/>
      <c r="N555" s="60"/>
      <c r="O555" s="60"/>
      <c r="P555" s="60"/>
    </row>
    <row r="556" spans="2:16" ht="13" hidden="1" outlineLevel="1" x14ac:dyDescent="0.25">
      <c r="B556" s="74"/>
      <c r="C556" s="148"/>
      <c r="D556" s="76" t="str">
        <f>D540</f>
        <v>kg</v>
      </c>
      <c r="E556" s="77"/>
      <c r="F556" s="82"/>
      <c r="G556" s="82"/>
      <c r="H556" s="82"/>
      <c r="N556" s="60"/>
      <c r="O556" s="60"/>
      <c r="P556" s="60"/>
    </row>
    <row r="557" spans="2:16" ht="13" hidden="1" outlineLevel="1" x14ac:dyDescent="0.25">
      <c r="B557" s="74"/>
      <c r="C557" s="148"/>
      <c r="D557" s="76" t="str">
        <f>D540</f>
        <v>kg</v>
      </c>
      <c r="E557" s="77"/>
      <c r="F557" s="82"/>
      <c r="G557" s="82"/>
      <c r="H557" s="82"/>
      <c r="N557" s="60"/>
      <c r="O557" s="60"/>
      <c r="P557" s="60"/>
    </row>
    <row r="558" spans="2:16" ht="13" hidden="1" outlineLevel="1" x14ac:dyDescent="0.25">
      <c r="B558" s="74"/>
      <c r="C558" s="148"/>
      <c r="D558" s="76" t="str">
        <f>D540</f>
        <v>kg</v>
      </c>
      <c r="E558" s="77"/>
      <c r="F558" s="82"/>
      <c r="G558" s="82"/>
      <c r="H558" s="82"/>
      <c r="N558" s="60"/>
      <c r="O558" s="60"/>
      <c r="P558" s="60"/>
    </row>
    <row r="559" spans="2:16" ht="13" hidden="1" outlineLevel="1" x14ac:dyDescent="0.25">
      <c r="B559" s="74"/>
      <c r="C559" s="148"/>
      <c r="D559" s="76" t="str">
        <f>D540</f>
        <v>kg</v>
      </c>
      <c r="E559" s="77"/>
      <c r="F559" s="82"/>
      <c r="G559" s="82"/>
      <c r="H559" s="82"/>
      <c r="N559" s="60"/>
      <c r="O559" s="60"/>
      <c r="P559" s="60"/>
    </row>
    <row r="560" spans="2:16" ht="13" hidden="1" outlineLevel="1" x14ac:dyDescent="0.25">
      <c r="B560" s="74"/>
      <c r="C560" s="148"/>
      <c r="D560" s="76" t="str">
        <f>D540</f>
        <v>kg</v>
      </c>
      <c r="E560" s="77"/>
      <c r="F560" s="82"/>
      <c r="G560" s="82"/>
      <c r="H560" s="82"/>
      <c r="N560" s="60"/>
      <c r="O560" s="60"/>
      <c r="P560" s="60"/>
    </row>
    <row r="561" spans="2:16" ht="13" hidden="1" outlineLevel="1" x14ac:dyDescent="0.25">
      <c r="B561" s="74"/>
      <c r="C561" s="148"/>
      <c r="D561" s="76" t="str">
        <f>D540</f>
        <v>kg</v>
      </c>
      <c r="E561" s="77"/>
      <c r="F561" s="82"/>
      <c r="G561" s="82"/>
      <c r="H561" s="82"/>
      <c r="N561" s="60"/>
      <c r="O561" s="60"/>
      <c r="P561" s="60"/>
    </row>
    <row r="562" spans="2:16" ht="13" hidden="1" outlineLevel="1" x14ac:dyDescent="0.25">
      <c r="B562" s="74"/>
      <c r="C562" s="148"/>
      <c r="D562" s="76" t="str">
        <f>D540</f>
        <v>kg</v>
      </c>
      <c r="E562" s="77"/>
      <c r="F562" s="82"/>
      <c r="G562" s="82"/>
      <c r="H562" s="82"/>
      <c r="N562" s="60"/>
      <c r="O562" s="60"/>
      <c r="P562" s="60"/>
    </row>
    <row r="563" spans="2:16" ht="13.4" hidden="1" customHeight="1" outlineLevel="1" x14ac:dyDescent="0.25">
      <c r="B563" s="79"/>
      <c r="C563" s="147"/>
      <c r="D563" s="81"/>
      <c r="E563" s="77"/>
      <c r="F563" s="82"/>
      <c r="G563" s="82"/>
      <c r="H563" s="82"/>
      <c r="K563" s="34"/>
      <c r="N563" s="60"/>
      <c r="O563" s="60"/>
      <c r="P563" s="60"/>
    </row>
    <row r="564" spans="2:16" ht="13" hidden="1" outlineLevel="1" x14ac:dyDescent="0.25">
      <c r="B564" s="86" t="s">
        <v>7</v>
      </c>
      <c r="C564" s="149">
        <f>SUM(C549:C562)</f>
        <v>0</v>
      </c>
      <c r="D564" s="88" t="str">
        <f>D540</f>
        <v>kg</v>
      </c>
      <c r="E564" s="77"/>
      <c r="F564" s="82"/>
      <c r="G564" s="82"/>
      <c r="H564" s="82"/>
      <c r="N564" s="60"/>
      <c r="O564" s="60"/>
      <c r="P564" s="60"/>
    </row>
    <row r="565" spans="2:16" ht="13" hidden="1" outlineLevel="1" x14ac:dyDescent="0.25">
      <c r="B565" s="79" t="s">
        <v>71</v>
      </c>
      <c r="C565" s="150"/>
      <c r="D565" s="81"/>
      <c r="E565" s="77"/>
      <c r="F565" s="82"/>
      <c r="G565" s="82"/>
      <c r="H565" s="82"/>
      <c r="N565" s="60"/>
      <c r="O565" s="60"/>
      <c r="P565" s="60"/>
    </row>
    <row r="566" spans="2:16" ht="13" hidden="1" outlineLevel="1" x14ac:dyDescent="0.25">
      <c r="B566" s="74"/>
      <c r="C566" s="148"/>
      <c r="D566" s="76" t="str">
        <f>D540</f>
        <v>kg</v>
      </c>
      <c r="E566" s="77"/>
      <c r="F566" s="82"/>
      <c r="G566" s="82"/>
      <c r="H566" s="82"/>
      <c r="N566" s="60"/>
      <c r="O566" s="60"/>
      <c r="P566" s="60"/>
    </row>
    <row r="567" spans="2:16" ht="13" hidden="1" outlineLevel="1" x14ac:dyDescent="0.25">
      <c r="B567" s="74"/>
      <c r="C567" s="148"/>
      <c r="D567" s="76" t="str">
        <f>D540</f>
        <v>kg</v>
      </c>
      <c r="E567" s="77"/>
      <c r="F567" s="82"/>
      <c r="G567" s="82"/>
      <c r="H567" s="82"/>
      <c r="N567" s="60"/>
      <c r="O567" s="60"/>
      <c r="P567" s="60"/>
    </row>
    <row r="568" spans="2:16" ht="13" hidden="1" outlineLevel="1" x14ac:dyDescent="0.25">
      <c r="B568" s="74"/>
      <c r="C568" s="148"/>
      <c r="D568" s="76" t="str">
        <f>D540</f>
        <v>kg</v>
      </c>
      <c r="E568" s="77"/>
      <c r="F568" s="82"/>
      <c r="G568" s="82"/>
      <c r="H568" s="82"/>
      <c r="N568" s="60"/>
      <c r="O568" s="60"/>
      <c r="P568" s="60"/>
    </row>
    <row r="569" spans="2:16" ht="13" hidden="1" outlineLevel="1" x14ac:dyDescent="0.25">
      <c r="B569" s="74"/>
      <c r="C569" s="148"/>
      <c r="D569" s="76" t="str">
        <f>D540</f>
        <v>kg</v>
      </c>
      <c r="E569" s="77"/>
      <c r="F569" s="82"/>
      <c r="G569" s="82"/>
      <c r="H569" s="82"/>
      <c r="N569" s="60"/>
      <c r="O569" s="60"/>
      <c r="P569" s="60"/>
    </row>
    <row r="570" spans="2:16" ht="13" hidden="1" outlineLevel="1" x14ac:dyDescent="0.25">
      <c r="B570" s="74"/>
      <c r="C570" s="148"/>
      <c r="D570" s="76" t="str">
        <f>D540</f>
        <v>kg</v>
      </c>
      <c r="E570" s="77"/>
      <c r="F570" s="82"/>
      <c r="G570" s="82"/>
      <c r="H570" s="82"/>
      <c r="N570" s="60"/>
      <c r="O570" s="60"/>
      <c r="P570" s="60"/>
    </row>
    <row r="571" spans="2:16" ht="13" hidden="1" outlineLevel="1" x14ac:dyDescent="0.25">
      <c r="B571" s="74"/>
      <c r="C571" s="148"/>
      <c r="D571" s="76" t="str">
        <f>D540</f>
        <v>kg</v>
      </c>
      <c r="E571" s="77"/>
      <c r="F571" s="82"/>
      <c r="G571" s="82"/>
      <c r="H571" s="82"/>
      <c r="N571" s="60"/>
      <c r="O571" s="60"/>
      <c r="P571" s="60"/>
    </row>
    <row r="572" spans="2:16" ht="13" hidden="1" outlineLevel="1" x14ac:dyDescent="0.25">
      <c r="B572" s="74"/>
      <c r="C572" s="148"/>
      <c r="D572" s="76" t="str">
        <f>D540</f>
        <v>kg</v>
      </c>
      <c r="E572" s="77"/>
      <c r="F572" s="82"/>
      <c r="G572" s="82"/>
      <c r="H572" s="82"/>
      <c r="N572" s="60"/>
      <c r="O572" s="60"/>
      <c r="P572" s="60"/>
    </row>
    <row r="573" spans="2:16" ht="13" hidden="1" outlineLevel="1" x14ac:dyDescent="0.25">
      <c r="B573" s="74"/>
      <c r="C573" s="148"/>
      <c r="D573" s="76" t="str">
        <f>D540</f>
        <v>kg</v>
      </c>
      <c r="E573" s="77"/>
      <c r="F573" s="82"/>
      <c r="G573" s="82"/>
      <c r="H573" s="82"/>
      <c r="N573" s="60"/>
      <c r="O573" s="60"/>
      <c r="P573" s="60"/>
    </row>
    <row r="574" spans="2:16" ht="13" hidden="1" outlineLevel="1" x14ac:dyDescent="0.25">
      <c r="B574" s="79" t="s">
        <v>70</v>
      </c>
      <c r="C574" s="147"/>
      <c r="D574" s="81"/>
      <c r="E574" s="90"/>
      <c r="F574" s="82"/>
      <c r="G574" s="82"/>
      <c r="H574" s="82"/>
      <c r="N574" s="60"/>
      <c r="O574" s="60"/>
      <c r="P574" s="60"/>
    </row>
    <row r="575" spans="2:16" ht="13" hidden="1" outlineLevel="1" x14ac:dyDescent="0.25">
      <c r="B575" s="74"/>
      <c r="C575" s="148"/>
      <c r="D575" s="76" t="str">
        <f>D540</f>
        <v>kg</v>
      </c>
      <c r="E575" s="77"/>
      <c r="F575" s="82"/>
      <c r="G575" s="82"/>
      <c r="H575" s="82"/>
      <c r="N575" s="60"/>
      <c r="O575" s="60"/>
      <c r="P575" s="60"/>
    </row>
    <row r="576" spans="2:16" ht="13" hidden="1" outlineLevel="1" x14ac:dyDescent="0.25">
      <c r="B576" s="74"/>
      <c r="C576" s="148"/>
      <c r="D576" s="76" t="str">
        <f>D540</f>
        <v>kg</v>
      </c>
      <c r="E576" s="77"/>
      <c r="F576" s="82"/>
      <c r="G576" s="82"/>
      <c r="H576" s="82"/>
      <c r="N576" s="60"/>
      <c r="O576" s="60"/>
      <c r="P576" s="60"/>
    </row>
    <row r="577" spans="2:16" ht="13" hidden="1" outlineLevel="1" x14ac:dyDescent="0.25">
      <c r="B577" s="74"/>
      <c r="C577" s="148"/>
      <c r="D577" s="76" t="str">
        <f>D540</f>
        <v>kg</v>
      </c>
      <c r="E577" s="77"/>
      <c r="F577" s="82"/>
      <c r="G577" s="82"/>
      <c r="H577" s="82"/>
      <c r="N577" s="60"/>
      <c r="O577" s="60"/>
      <c r="P577" s="60"/>
    </row>
    <row r="578" spans="2:16" ht="13" hidden="1" outlineLevel="1" x14ac:dyDescent="0.25">
      <c r="B578" s="74"/>
      <c r="C578" s="148"/>
      <c r="D578" s="76" t="str">
        <f>D540</f>
        <v>kg</v>
      </c>
      <c r="E578" s="77"/>
      <c r="F578" s="82"/>
      <c r="G578" s="82"/>
      <c r="H578" s="82"/>
      <c r="N578" s="60"/>
      <c r="O578" s="60"/>
      <c r="P578" s="60"/>
    </row>
    <row r="579" spans="2:16" ht="13" hidden="1" outlineLevel="1" x14ac:dyDescent="0.25">
      <c r="B579" s="74"/>
      <c r="C579" s="148"/>
      <c r="D579" s="76" t="str">
        <f>D540</f>
        <v>kg</v>
      </c>
      <c r="E579" s="77"/>
      <c r="F579" s="82"/>
      <c r="G579" s="82"/>
      <c r="H579" s="82"/>
      <c r="N579" s="60"/>
      <c r="O579" s="60"/>
      <c r="P579" s="60"/>
    </row>
    <row r="580" spans="2:16" ht="13" hidden="1" outlineLevel="1" x14ac:dyDescent="0.25">
      <c r="B580" s="74"/>
      <c r="C580" s="148"/>
      <c r="D580" s="76" t="str">
        <f>D540</f>
        <v>kg</v>
      </c>
      <c r="E580" s="77"/>
      <c r="F580" s="82"/>
      <c r="G580" s="82"/>
      <c r="H580" s="82"/>
      <c r="N580" s="60"/>
      <c r="O580" s="60"/>
      <c r="P580" s="60"/>
    </row>
    <row r="581" spans="2:16" ht="13" hidden="1" outlineLevel="1" x14ac:dyDescent="0.25">
      <c r="B581" s="74"/>
      <c r="C581" s="148"/>
      <c r="D581" s="76" t="str">
        <f>D540</f>
        <v>kg</v>
      </c>
      <c r="E581" s="77"/>
      <c r="F581" s="82"/>
      <c r="G581" s="82"/>
      <c r="H581" s="82"/>
      <c r="N581" s="60"/>
      <c r="O581" s="60"/>
      <c r="P581" s="60"/>
    </row>
    <row r="582" spans="2:16" ht="13.4" hidden="1" customHeight="1" outlineLevel="1" x14ac:dyDescent="0.25">
      <c r="B582" s="79"/>
      <c r="C582" s="147"/>
      <c r="D582" s="81"/>
      <c r="E582" s="77"/>
      <c r="F582" s="82"/>
      <c r="G582" s="82"/>
      <c r="H582" s="82"/>
      <c r="K582" s="34"/>
      <c r="N582" s="60"/>
      <c r="O582" s="60"/>
      <c r="P582" s="60"/>
    </row>
    <row r="583" spans="2:16" ht="13" hidden="1" outlineLevel="1" x14ac:dyDescent="0.25">
      <c r="B583" s="86" t="s">
        <v>9</v>
      </c>
      <c r="C583" s="149">
        <f>SUM(C564:C581)</f>
        <v>0</v>
      </c>
      <c r="D583" s="91" t="str">
        <f>D540</f>
        <v>kg</v>
      </c>
      <c r="E583" s="77"/>
      <c r="F583" s="82"/>
      <c r="G583" s="82"/>
      <c r="H583" s="82"/>
      <c r="N583" s="60"/>
      <c r="O583" s="60"/>
      <c r="P583" s="60"/>
    </row>
    <row r="584" spans="2:16" ht="13" hidden="1" outlineLevel="1" x14ac:dyDescent="0.25">
      <c r="B584" s="92"/>
      <c r="C584" s="93"/>
      <c r="D584" s="94"/>
      <c r="E584" s="77"/>
      <c r="F584" s="82"/>
      <c r="G584" s="82"/>
      <c r="H584" s="82"/>
      <c r="N584" s="60"/>
      <c r="O584" s="60"/>
      <c r="P584" s="60"/>
    </row>
    <row r="585" spans="2:16" ht="20.5" hidden="1" outlineLevel="1" thickBot="1" x14ac:dyDescent="0.3">
      <c r="B585" s="426" t="s">
        <v>10</v>
      </c>
      <c r="C585" s="427"/>
      <c r="D585" s="428"/>
      <c r="E585" s="77"/>
      <c r="F585" s="82"/>
      <c r="G585" s="82"/>
      <c r="H585" s="82"/>
      <c r="N585" s="60"/>
      <c r="O585" s="60"/>
      <c r="P585" s="60"/>
    </row>
    <row r="586" spans="2:16" ht="13" hidden="1" outlineLevel="1" x14ac:dyDescent="0.25">
      <c r="B586" s="95" t="s">
        <v>23</v>
      </c>
      <c r="C586" s="96"/>
      <c r="D586" s="151">
        <f>SUM(C550:C551)</f>
        <v>0</v>
      </c>
      <c r="E586" s="98"/>
      <c r="F586" s="82"/>
      <c r="G586" s="82"/>
      <c r="H586" s="82"/>
      <c r="N586" s="60"/>
      <c r="O586" s="60"/>
      <c r="P586" s="60"/>
    </row>
    <row r="587" spans="2:16" ht="13" hidden="1" outlineLevel="1" x14ac:dyDescent="0.25">
      <c r="B587" s="99" t="s">
        <v>24</v>
      </c>
      <c r="C587" s="100"/>
      <c r="D587" s="152">
        <f>SUM(C553:C563)</f>
        <v>0</v>
      </c>
      <c r="E587" s="98"/>
      <c r="F587" s="82"/>
      <c r="G587" s="82"/>
      <c r="H587" s="82"/>
      <c r="N587" s="60"/>
      <c r="O587" s="60"/>
      <c r="P587" s="60"/>
    </row>
    <row r="588" spans="2:16" ht="13" hidden="1" outlineLevel="1" x14ac:dyDescent="0.25">
      <c r="B588" s="99" t="s">
        <v>25</v>
      </c>
      <c r="C588" s="100"/>
      <c r="D588" s="152">
        <f>SUM(C566:C574)</f>
        <v>0</v>
      </c>
      <c r="E588" s="98"/>
      <c r="F588" s="82"/>
      <c r="G588" s="82"/>
      <c r="H588" s="82"/>
      <c r="N588" s="60"/>
      <c r="O588" s="60"/>
      <c r="P588" s="60"/>
    </row>
    <row r="589" spans="2:16" ht="13" hidden="1" outlineLevel="1" x14ac:dyDescent="0.25">
      <c r="B589" s="102" t="s">
        <v>26</v>
      </c>
      <c r="C589" s="103"/>
      <c r="D589" s="153">
        <f>SUM(C575:C582)</f>
        <v>0</v>
      </c>
      <c r="E589" s="98"/>
      <c r="F589" s="82"/>
      <c r="G589" s="82"/>
      <c r="H589" s="82"/>
      <c r="N589" s="60"/>
      <c r="O589" s="60"/>
      <c r="P589" s="60"/>
    </row>
    <row r="590" spans="2:16" ht="18.5" hidden="1" outlineLevel="1" thickTop="1" x14ac:dyDescent="0.25">
      <c r="B590" s="105" t="s">
        <v>11</v>
      </c>
      <c r="C590" s="106"/>
      <c r="D590" s="107" t="e">
        <f>C564/C546</f>
        <v>#DIV/0!</v>
      </c>
      <c r="E590" s="77"/>
      <c r="F590" s="110" t="s">
        <v>86</v>
      </c>
      <c r="G590" s="109" t="s">
        <v>85</v>
      </c>
      <c r="H590" s="110"/>
      <c r="N590" s="60"/>
      <c r="O590" s="60"/>
      <c r="P590" s="60"/>
    </row>
    <row r="591" spans="2:16" ht="18.5" hidden="1" outlineLevel="1" thickBot="1" x14ac:dyDescent="0.3">
      <c r="B591" s="111" t="s">
        <v>12</v>
      </c>
      <c r="C591" s="112"/>
      <c r="D591" s="113" t="e">
        <f>(D586+D587+D588)/C546</f>
        <v>#DIV/0!</v>
      </c>
      <c r="E591" s="77"/>
      <c r="F591" s="154"/>
      <c r="G591" s="413"/>
      <c r="H591" s="414"/>
      <c r="N591" s="60"/>
      <c r="O591" s="60"/>
      <c r="P591" s="60"/>
    </row>
    <row r="592" spans="2:16" ht="18" hidden="1" outlineLevel="1" x14ac:dyDescent="0.25">
      <c r="B592" s="111" t="s">
        <v>13</v>
      </c>
      <c r="C592" s="112"/>
      <c r="D592" s="113" t="e">
        <f>D588/C546</f>
        <v>#DIV/0!</v>
      </c>
      <c r="E592" s="90"/>
      <c r="F592" s="64" t="s">
        <v>45</v>
      </c>
      <c r="G592" s="64" t="s">
        <v>45</v>
      </c>
      <c r="H592" s="155"/>
      <c r="N592" s="60"/>
      <c r="O592" s="60"/>
      <c r="P592" s="60"/>
    </row>
    <row r="593" spans="2:16" ht="18" hidden="1" outlineLevel="1" x14ac:dyDescent="0.25">
      <c r="B593" s="114" t="s">
        <v>14</v>
      </c>
      <c r="C593" s="115"/>
      <c r="D593" s="116" t="e">
        <f>D589/C546</f>
        <v>#DIV/0!</v>
      </c>
      <c r="E593" s="90"/>
      <c r="F593" s="110"/>
      <c r="G593" s="117" t="s">
        <v>46</v>
      </c>
      <c r="H593" s="110"/>
      <c r="N593" s="60"/>
      <c r="O593" s="60"/>
      <c r="P593" s="60"/>
    </row>
    <row r="594" spans="2:16" ht="18.5" hidden="1" outlineLevel="1" thickBot="1" x14ac:dyDescent="0.3">
      <c r="B594" s="114" t="s">
        <v>15</v>
      </c>
      <c r="C594" s="119"/>
      <c r="D594" s="116" t="e">
        <f>SUM(D586:D589)/C546</f>
        <v>#DIV/0!</v>
      </c>
      <c r="E594" s="90"/>
      <c r="F594" s="429"/>
      <c r="G594" s="430"/>
      <c r="H594" s="431"/>
      <c r="N594" s="60"/>
      <c r="O594" s="60"/>
      <c r="P594" s="60"/>
    </row>
    <row r="595" spans="2:16" ht="18.5" hidden="1" outlineLevel="1" thickTop="1" x14ac:dyDescent="0.25">
      <c r="B595" s="120" t="s">
        <v>16</v>
      </c>
      <c r="C595" s="121"/>
      <c r="D595" s="122" t="e">
        <f>((C550*D528)+D587+C551*MAX(1,F551))/C546</f>
        <v>#DIV/0!</v>
      </c>
      <c r="E595" s="77"/>
      <c r="F595" s="64" t="s">
        <v>45</v>
      </c>
      <c r="G595" s="64"/>
      <c r="H595" s="82"/>
      <c r="N595" s="60"/>
      <c r="O595" s="60"/>
      <c r="P595" s="60"/>
    </row>
    <row r="596" spans="2:16" ht="18" hidden="1" outlineLevel="1" x14ac:dyDescent="0.25">
      <c r="B596" s="123" t="s">
        <v>17</v>
      </c>
      <c r="C596" s="124"/>
      <c r="D596" s="125" t="e">
        <f>(C550*D529+D587+D588+C551*(MAX(1,F551)+G551))/C546</f>
        <v>#DIV/0!</v>
      </c>
      <c r="E596" s="77"/>
      <c r="F596" s="82"/>
      <c r="G596" s="82"/>
      <c r="H596" s="82"/>
      <c r="N596" s="60"/>
      <c r="O596" s="60"/>
      <c r="P596" s="60"/>
    </row>
    <row r="597" spans="2:16" ht="18" hidden="1" customHeight="1" outlineLevel="1" x14ac:dyDescent="0.25">
      <c r="B597" s="123" t="s">
        <v>18</v>
      </c>
      <c r="C597" s="124"/>
      <c r="D597" s="125" t="e">
        <f>((C550*D530)+D588+C551*G551)/C546</f>
        <v>#DIV/0!</v>
      </c>
      <c r="E597" s="77"/>
      <c r="F597" s="415" t="s">
        <v>61</v>
      </c>
      <c r="G597" s="416"/>
      <c r="H597" s="416"/>
      <c r="N597" s="60"/>
      <c r="O597" s="60"/>
      <c r="P597" s="60"/>
    </row>
    <row r="598" spans="2:16" ht="18" hidden="1" outlineLevel="1" x14ac:dyDescent="0.25">
      <c r="B598" s="126" t="s">
        <v>19</v>
      </c>
      <c r="C598" s="127"/>
      <c r="D598" s="128" t="e">
        <f>(C550*D531+D589+C551*H551)/C546</f>
        <v>#DIV/0!</v>
      </c>
      <c r="E598" s="77"/>
      <c r="F598" s="416"/>
      <c r="G598" s="416"/>
      <c r="H598" s="416"/>
      <c r="N598" s="60"/>
      <c r="O598" s="60"/>
      <c r="P598" s="60"/>
    </row>
    <row r="599" spans="2:16" ht="18.5" hidden="1" outlineLevel="1" thickBot="1" x14ac:dyDescent="0.3">
      <c r="B599" s="129" t="s">
        <v>20</v>
      </c>
      <c r="C599" s="130"/>
      <c r="D599" s="131" t="e">
        <f>((C550*D532)+SUM(D587:D589)+C551*(MAX(1,F551)+G551+H551))/C546</f>
        <v>#DIV/0!</v>
      </c>
      <c r="E599" s="77"/>
      <c r="F599" s="416"/>
      <c r="G599" s="416"/>
      <c r="H599" s="416"/>
      <c r="N599" s="60"/>
      <c r="O599" s="60"/>
      <c r="P599" s="60"/>
    </row>
    <row r="600" spans="2:16" ht="13" hidden="1" outlineLevel="1" thickTop="1" x14ac:dyDescent="0.25">
      <c r="B600" s="156" t="s">
        <v>76</v>
      </c>
      <c r="C600" s="424"/>
      <c r="D600" s="425"/>
      <c r="F600" s="416"/>
      <c r="G600" s="416"/>
      <c r="H600" s="416"/>
      <c r="N600" s="60"/>
      <c r="O600" s="60"/>
      <c r="P600" s="60"/>
    </row>
    <row r="601" spans="2:16" hidden="1" outlineLevel="1" x14ac:dyDescent="0.25">
      <c r="B601" s="157" t="s">
        <v>58</v>
      </c>
      <c r="C601" s="422"/>
      <c r="D601" s="423"/>
      <c r="F601" s="416"/>
      <c r="G601" s="416"/>
      <c r="H601" s="416"/>
      <c r="N601" s="60"/>
      <c r="O601" s="60"/>
      <c r="P601" s="60"/>
    </row>
    <row r="602" spans="2:16" ht="13" hidden="1" outlineLevel="1" thickBot="1" x14ac:dyDescent="0.3">
      <c r="B602" s="158" t="s">
        <v>59</v>
      </c>
      <c r="C602" s="420"/>
      <c r="D602" s="421"/>
      <c r="F602" s="416"/>
      <c r="G602" s="416"/>
      <c r="H602" s="416"/>
      <c r="N602" s="60"/>
      <c r="O602" s="60"/>
      <c r="P602" s="60"/>
    </row>
    <row r="603" spans="2:16" hidden="1" outlineLevel="1" x14ac:dyDescent="0.25">
      <c r="N603" s="60"/>
      <c r="O603" s="60"/>
      <c r="P603" s="60"/>
    </row>
    <row r="604" spans="2:16" hidden="1" outlineLevel="1" x14ac:dyDescent="0.25">
      <c r="C604" s="25" t="s">
        <v>44</v>
      </c>
      <c r="D604" s="25" t="s">
        <v>42</v>
      </c>
      <c r="N604" s="60"/>
      <c r="O604" s="60"/>
      <c r="P604" s="60"/>
    </row>
    <row r="605" spans="2:16" ht="21" hidden="1" outlineLevel="1" thickTop="1" thickBot="1" x14ac:dyDescent="0.3">
      <c r="B605" s="140" t="s">
        <v>73</v>
      </c>
      <c r="C605" s="29"/>
      <c r="D605" s="141"/>
      <c r="E605" s="31"/>
      <c r="F605" s="32" t="s">
        <v>27</v>
      </c>
      <c r="G605" s="33"/>
      <c r="H605" s="33"/>
    </row>
    <row r="606" spans="2:16" ht="14.5" hidden="1" outlineLevel="1" thickBot="1" x14ac:dyDescent="0.3">
      <c r="B606" s="37"/>
      <c r="C606" s="38" t="s">
        <v>0</v>
      </c>
      <c r="D606" s="39" t="s">
        <v>1</v>
      </c>
      <c r="E606" s="40"/>
      <c r="F606" s="41" t="s">
        <v>28</v>
      </c>
      <c r="G606" s="41" t="s">
        <v>21</v>
      </c>
      <c r="H606" s="41" t="s">
        <v>8</v>
      </c>
    </row>
    <row r="607" spans="2:16" ht="13" hidden="1" outlineLevel="1" x14ac:dyDescent="0.25">
      <c r="B607" s="43" t="s">
        <v>65</v>
      </c>
      <c r="C607" s="142"/>
      <c r="D607" s="45" t="s">
        <v>2</v>
      </c>
      <c r="E607" s="46"/>
      <c r="F607" s="47"/>
      <c r="G607" s="47"/>
      <c r="H607" s="47"/>
      <c r="N607" s="60"/>
      <c r="O607" s="60"/>
      <c r="P607" s="60"/>
    </row>
    <row r="608" spans="2:16" ht="13" hidden="1" outlineLevel="1" x14ac:dyDescent="0.25">
      <c r="B608" s="43" t="s">
        <v>64</v>
      </c>
      <c r="C608" s="143"/>
      <c r="D608" s="45" t="s">
        <v>3</v>
      </c>
      <c r="E608" s="46"/>
      <c r="F608" s="47"/>
      <c r="G608" s="47"/>
      <c r="H608" s="47"/>
      <c r="N608" s="60"/>
      <c r="O608" s="60"/>
      <c r="P608" s="60"/>
    </row>
    <row r="609" spans="2:16" ht="13" hidden="1" outlineLevel="1" x14ac:dyDescent="0.25">
      <c r="B609" s="51" t="s">
        <v>63</v>
      </c>
      <c r="C609" s="144">
        <f>C607*C608</f>
        <v>0</v>
      </c>
      <c r="D609" s="45" t="str">
        <f>D607</f>
        <v>kg</v>
      </c>
      <c r="E609" s="46"/>
      <c r="F609" s="47"/>
      <c r="G609" s="47"/>
      <c r="H609" s="47"/>
      <c r="N609" s="60"/>
      <c r="O609" s="60"/>
      <c r="P609" s="60"/>
    </row>
    <row r="610" spans="2:16" ht="14" hidden="1" outlineLevel="1" x14ac:dyDescent="0.25">
      <c r="B610" s="54" t="s">
        <v>37</v>
      </c>
      <c r="C610" s="145">
        <v>1</v>
      </c>
      <c r="D610" s="56"/>
      <c r="E610" s="57"/>
      <c r="F610" s="58"/>
      <c r="G610" s="58"/>
      <c r="H610" s="58"/>
      <c r="N610" s="60"/>
      <c r="O610" s="60"/>
      <c r="P610" s="60"/>
    </row>
    <row r="611" spans="2:16" ht="13" hidden="1" outlineLevel="1" x14ac:dyDescent="0.25">
      <c r="B611" s="43" t="s">
        <v>66</v>
      </c>
      <c r="C611" s="142"/>
      <c r="D611" s="45" t="str">
        <f>D607</f>
        <v>kg</v>
      </c>
      <c r="E611" s="46"/>
      <c r="F611" s="47"/>
      <c r="G611" s="47"/>
      <c r="H611" s="47"/>
      <c r="N611" s="60"/>
      <c r="O611" s="60"/>
      <c r="P611" s="60"/>
    </row>
    <row r="612" spans="2:16" ht="13" hidden="1" outlineLevel="1" x14ac:dyDescent="0.25">
      <c r="B612" s="43" t="s">
        <v>67</v>
      </c>
      <c r="C612" s="143"/>
      <c r="D612" s="45" t="s">
        <v>3</v>
      </c>
      <c r="E612" s="59"/>
      <c r="F612" s="47"/>
      <c r="G612" s="47"/>
      <c r="H612" s="47"/>
      <c r="N612" s="60"/>
      <c r="O612" s="60"/>
      <c r="P612" s="60"/>
    </row>
    <row r="613" spans="2:16" ht="13" hidden="1" outlineLevel="1" x14ac:dyDescent="0.25">
      <c r="B613" s="51" t="s">
        <v>68</v>
      </c>
      <c r="C613" s="144">
        <f>C611*C612</f>
        <v>0</v>
      </c>
      <c r="D613" s="45" t="str">
        <f>D607</f>
        <v>kg</v>
      </c>
      <c r="E613" s="46"/>
      <c r="F613" s="47"/>
      <c r="G613" s="47"/>
      <c r="H613" s="47"/>
      <c r="N613" s="60"/>
      <c r="O613" s="60"/>
      <c r="P613" s="60"/>
    </row>
    <row r="614" spans="2:16" ht="13.5" hidden="1" outlineLevel="1" thickBot="1" x14ac:dyDescent="0.3">
      <c r="B614" s="61"/>
      <c r="C614" s="62"/>
      <c r="D614" s="63"/>
      <c r="F614" s="64"/>
      <c r="G614" s="64"/>
      <c r="H614" s="64"/>
      <c r="N614" s="60"/>
      <c r="O614" s="60"/>
      <c r="P614" s="60"/>
    </row>
    <row r="615" spans="2:16" ht="14.5" hidden="1" outlineLevel="1" thickBot="1" x14ac:dyDescent="0.3">
      <c r="B615" s="65" t="s">
        <v>5</v>
      </c>
      <c r="C615" s="66" t="s">
        <v>6</v>
      </c>
      <c r="D615" s="67" t="s">
        <v>1</v>
      </c>
      <c r="E615" s="68"/>
      <c r="F615" s="69"/>
      <c r="G615" s="69"/>
      <c r="H615" s="69"/>
      <c r="N615" s="60"/>
      <c r="O615" s="60"/>
      <c r="P615" s="60"/>
    </row>
    <row r="616" spans="2:16" ht="13" hidden="1" outlineLevel="1" x14ac:dyDescent="0.25">
      <c r="B616" s="70" t="s">
        <v>43</v>
      </c>
      <c r="C616" s="71"/>
      <c r="D616" s="72"/>
      <c r="E616" s="73"/>
      <c r="F616" s="69"/>
      <c r="G616" s="69"/>
      <c r="H616" s="69"/>
      <c r="N616" s="60"/>
      <c r="O616" s="60"/>
      <c r="P616" s="60"/>
    </row>
    <row r="617" spans="2:16" ht="13" hidden="1" outlineLevel="1" x14ac:dyDescent="0.25">
      <c r="B617" s="74"/>
      <c r="C617" s="146">
        <f>C609</f>
        <v>0</v>
      </c>
      <c r="D617" s="76" t="str">
        <f>D607</f>
        <v>kg</v>
      </c>
      <c r="E617" s="98"/>
      <c r="F617" s="69"/>
      <c r="G617" s="69"/>
      <c r="H617" s="69"/>
      <c r="N617" s="60"/>
      <c r="O617" s="60"/>
      <c r="P617" s="60"/>
    </row>
    <row r="618" spans="2:16" ht="13.5" hidden="1" outlineLevel="1" thickBot="1" x14ac:dyDescent="0.3">
      <c r="B618" s="74"/>
      <c r="C618" s="146"/>
      <c r="D618" s="76" t="str">
        <f>D607</f>
        <v>kg</v>
      </c>
      <c r="E618" s="77"/>
      <c r="F618" s="78"/>
      <c r="G618" s="78"/>
      <c r="H618" s="78"/>
      <c r="N618" s="60"/>
      <c r="O618" s="60"/>
      <c r="P618" s="60"/>
    </row>
    <row r="619" spans="2:16" ht="13" hidden="1" outlineLevel="1" x14ac:dyDescent="0.25">
      <c r="B619" s="79" t="s">
        <v>69</v>
      </c>
      <c r="C619" s="147"/>
      <c r="D619" s="81"/>
      <c r="E619" s="77"/>
      <c r="F619" s="82"/>
      <c r="G619" s="82"/>
      <c r="H619" s="82"/>
      <c r="N619" s="60"/>
      <c r="O619" s="60"/>
      <c r="P619" s="60"/>
    </row>
    <row r="620" spans="2:16" ht="13" hidden="1" outlineLevel="1" x14ac:dyDescent="0.25">
      <c r="B620" s="74"/>
      <c r="C620" s="148"/>
      <c r="D620" s="76" t="str">
        <f>D607</f>
        <v>kg</v>
      </c>
      <c r="E620" s="77"/>
      <c r="F620" s="82"/>
      <c r="G620" s="82"/>
      <c r="H620" s="82"/>
      <c r="N620" s="60"/>
      <c r="O620" s="60"/>
      <c r="P620" s="60"/>
    </row>
    <row r="621" spans="2:16" ht="13" hidden="1" outlineLevel="1" x14ac:dyDescent="0.25">
      <c r="B621" s="74"/>
      <c r="C621" s="148"/>
      <c r="D621" s="76" t="str">
        <f>D607</f>
        <v>kg</v>
      </c>
      <c r="E621" s="77"/>
      <c r="F621" s="82"/>
      <c r="G621" s="82"/>
      <c r="H621" s="82"/>
      <c r="N621" s="60"/>
      <c r="O621" s="60"/>
      <c r="P621" s="60"/>
    </row>
    <row r="622" spans="2:16" ht="13" hidden="1" outlineLevel="1" x14ac:dyDescent="0.25">
      <c r="B622" s="74"/>
      <c r="C622" s="148"/>
      <c r="D622" s="76" t="str">
        <f>D607</f>
        <v>kg</v>
      </c>
      <c r="E622" s="77"/>
      <c r="F622" s="82"/>
      <c r="G622" s="82"/>
      <c r="H622" s="82"/>
      <c r="N622" s="60"/>
      <c r="O622" s="60"/>
      <c r="P622" s="60"/>
    </row>
    <row r="623" spans="2:16" ht="13" hidden="1" outlineLevel="1" x14ac:dyDescent="0.25">
      <c r="B623" s="74"/>
      <c r="C623" s="148"/>
      <c r="D623" s="76" t="str">
        <f>D607</f>
        <v>kg</v>
      </c>
      <c r="E623" s="77"/>
      <c r="F623" s="82"/>
      <c r="G623" s="82"/>
      <c r="H623" s="82"/>
      <c r="N623" s="60"/>
      <c r="O623" s="60"/>
      <c r="P623" s="60"/>
    </row>
    <row r="624" spans="2:16" ht="13" hidden="1" outlineLevel="1" x14ac:dyDescent="0.25">
      <c r="B624" s="74"/>
      <c r="C624" s="148"/>
      <c r="D624" s="76" t="str">
        <f>D607</f>
        <v>kg</v>
      </c>
      <c r="E624" s="77"/>
      <c r="F624" s="82"/>
      <c r="G624" s="82"/>
      <c r="H624" s="82"/>
      <c r="N624" s="60"/>
      <c r="O624" s="60"/>
      <c r="P624" s="60"/>
    </row>
    <row r="625" spans="2:16" ht="13" hidden="1" outlineLevel="1" x14ac:dyDescent="0.25">
      <c r="B625" s="74"/>
      <c r="C625" s="148"/>
      <c r="D625" s="76" t="str">
        <f>D607</f>
        <v>kg</v>
      </c>
      <c r="E625" s="77"/>
      <c r="F625" s="82"/>
      <c r="G625" s="82"/>
      <c r="H625" s="82"/>
      <c r="N625" s="60"/>
      <c r="O625" s="60"/>
      <c r="P625" s="60"/>
    </row>
    <row r="626" spans="2:16" ht="13" hidden="1" outlineLevel="1" x14ac:dyDescent="0.25">
      <c r="B626" s="74"/>
      <c r="C626" s="148"/>
      <c r="D626" s="76" t="str">
        <f>D607</f>
        <v>kg</v>
      </c>
      <c r="E626" s="77"/>
      <c r="F626" s="82"/>
      <c r="G626" s="82"/>
      <c r="H626" s="82"/>
      <c r="N626" s="60"/>
      <c r="O626" s="60"/>
      <c r="P626" s="60"/>
    </row>
    <row r="627" spans="2:16" ht="13" hidden="1" outlineLevel="1" x14ac:dyDescent="0.25">
      <c r="B627" s="74"/>
      <c r="C627" s="148"/>
      <c r="D627" s="76" t="str">
        <f>D607</f>
        <v>kg</v>
      </c>
      <c r="E627" s="77"/>
      <c r="F627" s="82"/>
      <c r="G627" s="82"/>
      <c r="H627" s="82"/>
      <c r="N627" s="60"/>
      <c r="O627" s="60"/>
      <c r="P627" s="60"/>
    </row>
    <row r="628" spans="2:16" ht="13" hidden="1" outlineLevel="1" x14ac:dyDescent="0.25">
      <c r="B628" s="74"/>
      <c r="C628" s="148"/>
      <c r="D628" s="76" t="str">
        <f>D607</f>
        <v>kg</v>
      </c>
      <c r="E628" s="77"/>
      <c r="F628" s="82"/>
      <c r="G628" s="82"/>
      <c r="H628" s="82"/>
      <c r="N628" s="60"/>
      <c r="O628" s="60"/>
      <c r="P628" s="60"/>
    </row>
    <row r="629" spans="2:16" ht="13" hidden="1" outlineLevel="1" x14ac:dyDescent="0.25">
      <c r="B629" s="74"/>
      <c r="C629" s="148"/>
      <c r="D629" s="76" t="str">
        <f>D607</f>
        <v>kg</v>
      </c>
      <c r="E629" s="77"/>
      <c r="F629" s="82"/>
      <c r="G629" s="82"/>
      <c r="H629" s="82"/>
      <c r="N629" s="60"/>
      <c r="O629" s="60"/>
      <c r="P629" s="60"/>
    </row>
    <row r="630" spans="2:16" ht="13.4" hidden="1" customHeight="1" outlineLevel="1" x14ac:dyDescent="0.25">
      <c r="B630" s="79"/>
      <c r="C630" s="147"/>
      <c r="D630" s="81"/>
      <c r="E630" s="77"/>
      <c r="F630" s="82"/>
      <c r="G630" s="82"/>
      <c r="H630" s="82"/>
      <c r="K630" s="34"/>
      <c r="N630" s="60"/>
      <c r="O630" s="60"/>
      <c r="P630" s="60"/>
    </row>
    <row r="631" spans="2:16" ht="13" hidden="1" outlineLevel="1" x14ac:dyDescent="0.25">
      <c r="B631" s="86" t="s">
        <v>7</v>
      </c>
      <c r="C631" s="149">
        <f>SUM(C616:C629)</f>
        <v>0</v>
      </c>
      <c r="D631" s="88" t="str">
        <f>D607</f>
        <v>kg</v>
      </c>
      <c r="E631" s="77"/>
      <c r="F631" s="82"/>
      <c r="G631" s="82"/>
      <c r="H631" s="82"/>
      <c r="N631" s="60"/>
      <c r="O631" s="60"/>
      <c r="P631" s="60"/>
    </row>
    <row r="632" spans="2:16" ht="13" hidden="1" outlineLevel="1" x14ac:dyDescent="0.25">
      <c r="B632" s="79" t="s">
        <v>71</v>
      </c>
      <c r="C632" s="150"/>
      <c r="D632" s="81"/>
      <c r="E632" s="77"/>
      <c r="F632" s="82"/>
      <c r="G632" s="82"/>
      <c r="H632" s="82"/>
      <c r="N632" s="60"/>
      <c r="O632" s="60"/>
      <c r="P632" s="60"/>
    </row>
    <row r="633" spans="2:16" ht="13" hidden="1" outlineLevel="1" x14ac:dyDescent="0.25">
      <c r="B633" s="74"/>
      <c r="C633" s="148"/>
      <c r="D633" s="76" t="str">
        <f>D607</f>
        <v>kg</v>
      </c>
      <c r="E633" s="77"/>
      <c r="F633" s="82"/>
      <c r="G633" s="82"/>
      <c r="H633" s="82"/>
    </row>
    <row r="634" spans="2:16" ht="13" hidden="1" outlineLevel="1" x14ac:dyDescent="0.25">
      <c r="B634" s="74"/>
      <c r="C634" s="148"/>
      <c r="D634" s="76" t="str">
        <f>D607</f>
        <v>kg</v>
      </c>
      <c r="E634" s="77"/>
      <c r="F634" s="82"/>
      <c r="G634" s="82"/>
      <c r="H634" s="82"/>
    </row>
    <row r="635" spans="2:16" ht="13" hidden="1" outlineLevel="1" x14ac:dyDescent="0.25">
      <c r="B635" s="74"/>
      <c r="C635" s="148"/>
      <c r="D635" s="76" t="str">
        <f>D607</f>
        <v>kg</v>
      </c>
      <c r="E635" s="77"/>
      <c r="F635" s="82"/>
      <c r="G635" s="82"/>
      <c r="H635" s="82"/>
    </row>
    <row r="636" spans="2:16" ht="13" hidden="1" outlineLevel="1" x14ac:dyDescent="0.25">
      <c r="B636" s="74"/>
      <c r="C636" s="148"/>
      <c r="D636" s="76" t="str">
        <f>D607</f>
        <v>kg</v>
      </c>
      <c r="E636" s="77"/>
      <c r="F636" s="82"/>
      <c r="G636" s="82"/>
      <c r="H636" s="82"/>
    </row>
    <row r="637" spans="2:16" ht="13" hidden="1" outlineLevel="1" x14ac:dyDescent="0.25">
      <c r="B637" s="74"/>
      <c r="C637" s="148"/>
      <c r="D637" s="76" t="str">
        <f>D607</f>
        <v>kg</v>
      </c>
      <c r="E637" s="77"/>
      <c r="F637" s="82"/>
      <c r="G637" s="82"/>
      <c r="H637" s="82"/>
    </row>
    <row r="638" spans="2:16" ht="13" hidden="1" outlineLevel="1" x14ac:dyDescent="0.25">
      <c r="B638" s="74"/>
      <c r="C638" s="148"/>
      <c r="D638" s="76" t="str">
        <f>D607</f>
        <v>kg</v>
      </c>
      <c r="E638" s="77"/>
      <c r="F638" s="82"/>
      <c r="G638" s="82"/>
      <c r="H638" s="82"/>
    </row>
    <row r="639" spans="2:16" ht="13" hidden="1" outlineLevel="1" x14ac:dyDescent="0.25">
      <c r="B639" s="74"/>
      <c r="C639" s="148"/>
      <c r="D639" s="76" t="str">
        <f>D607</f>
        <v>kg</v>
      </c>
      <c r="E639" s="77"/>
      <c r="F639" s="82"/>
      <c r="G639" s="82"/>
      <c r="H639" s="82"/>
    </row>
    <row r="640" spans="2:16" ht="13" hidden="1" outlineLevel="1" x14ac:dyDescent="0.25">
      <c r="B640" s="74"/>
      <c r="C640" s="148"/>
      <c r="D640" s="76" t="str">
        <f>D607</f>
        <v>kg</v>
      </c>
      <c r="E640" s="77"/>
      <c r="F640" s="82"/>
      <c r="G640" s="82"/>
      <c r="H640" s="82"/>
    </row>
    <row r="641" spans="2:11" ht="13" hidden="1" outlineLevel="1" x14ac:dyDescent="0.25">
      <c r="B641" s="79" t="s">
        <v>70</v>
      </c>
      <c r="C641" s="147"/>
      <c r="D641" s="81"/>
      <c r="E641" s="90"/>
      <c r="F641" s="82"/>
      <c r="G641" s="82"/>
      <c r="H641" s="82"/>
    </row>
    <row r="642" spans="2:11" ht="13" hidden="1" outlineLevel="1" x14ac:dyDescent="0.25">
      <c r="B642" s="74"/>
      <c r="C642" s="148"/>
      <c r="D642" s="76" t="str">
        <f>D607</f>
        <v>kg</v>
      </c>
      <c r="E642" s="77"/>
      <c r="F642" s="82"/>
      <c r="G642" s="82"/>
      <c r="H642" s="82"/>
    </row>
    <row r="643" spans="2:11" ht="13" hidden="1" outlineLevel="1" x14ac:dyDescent="0.25">
      <c r="B643" s="74"/>
      <c r="C643" s="148"/>
      <c r="D643" s="76" t="str">
        <f>D607</f>
        <v>kg</v>
      </c>
      <c r="E643" s="77"/>
      <c r="F643" s="82"/>
      <c r="G643" s="82"/>
      <c r="H643" s="82"/>
    </row>
    <row r="644" spans="2:11" ht="13" hidden="1" outlineLevel="1" x14ac:dyDescent="0.25">
      <c r="B644" s="74"/>
      <c r="C644" s="148"/>
      <c r="D644" s="76" t="str">
        <f>D607</f>
        <v>kg</v>
      </c>
      <c r="E644" s="77"/>
      <c r="F644" s="82"/>
      <c r="G644" s="82"/>
      <c r="H644" s="82"/>
    </row>
    <row r="645" spans="2:11" ht="13" hidden="1" outlineLevel="1" x14ac:dyDescent="0.25">
      <c r="B645" s="74"/>
      <c r="C645" s="148"/>
      <c r="D645" s="76" t="str">
        <f>D607</f>
        <v>kg</v>
      </c>
      <c r="E645" s="77"/>
      <c r="F645" s="82"/>
      <c r="G645" s="82"/>
      <c r="H645" s="82"/>
    </row>
    <row r="646" spans="2:11" ht="13" hidden="1" outlineLevel="1" x14ac:dyDescent="0.25">
      <c r="B646" s="74"/>
      <c r="C646" s="148"/>
      <c r="D646" s="76" t="str">
        <f>D607</f>
        <v>kg</v>
      </c>
      <c r="E646" s="77"/>
      <c r="F646" s="82"/>
      <c r="G646" s="82"/>
      <c r="H646" s="82"/>
    </row>
    <row r="647" spans="2:11" ht="13" hidden="1" outlineLevel="1" x14ac:dyDescent="0.25">
      <c r="B647" s="74"/>
      <c r="C647" s="148"/>
      <c r="D647" s="76" t="str">
        <f>D607</f>
        <v>kg</v>
      </c>
      <c r="E647" s="77"/>
      <c r="F647" s="82"/>
      <c r="G647" s="82"/>
      <c r="H647" s="82"/>
    </row>
    <row r="648" spans="2:11" ht="13" hidden="1" outlineLevel="1" x14ac:dyDescent="0.25">
      <c r="B648" s="74"/>
      <c r="C648" s="148"/>
      <c r="D648" s="76" t="str">
        <f>D607</f>
        <v>kg</v>
      </c>
      <c r="E648" s="77"/>
      <c r="F648" s="82"/>
      <c r="G648" s="82"/>
      <c r="H648" s="82"/>
    </row>
    <row r="649" spans="2:11" ht="13.4" hidden="1" customHeight="1" outlineLevel="1" x14ac:dyDescent="0.25">
      <c r="B649" s="79"/>
      <c r="C649" s="147"/>
      <c r="D649" s="81"/>
      <c r="E649" s="77"/>
      <c r="F649" s="82"/>
      <c r="G649" s="82"/>
      <c r="H649" s="82"/>
      <c r="K649" s="34"/>
    </row>
    <row r="650" spans="2:11" ht="13" hidden="1" outlineLevel="1" x14ac:dyDescent="0.25">
      <c r="B650" s="86" t="s">
        <v>9</v>
      </c>
      <c r="C650" s="149">
        <f>SUM(C631:C648)</f>
        <v>0</v>
      </c>
      <c r="D650" s="91" t="str">
        <f>D607</f>
        <v>kg</v>
      </c>
      <c r="E650" s="77"/>
      <c r="F650" s="82"/>
      <c r="G650" s="82"/>
      <c r="H650" s="82"/>
    </row>
    <row r="651" spans="2:11" ht="13" hidden="1" outlineLevel="1" x14ac:dyDescent="0.25">
      <c r="B651" s="92"/>
      <c r="C651" s="93"/>
      <c r="D651" s="94"/>
      <c r="E651" s="77"/>
      <c r="F651" s="82"/>
      <c r="G651" s="82"/>
      <c r="H651" s="82"/>
    </row>
    <row r="652" spans="2:11" ht="20.5" hidden="1" outlineLevel="1" thickBot="1" x14ac:dyDescent="0.3">
      <c r="B652" s="426" t="s">
        <v>10</v>
      </c>
      <c r="C652" s="427"/>
      <c r="D652" s="428"/>
      <c r="E652" s="77"/>
      <c r="F652" s="82"/>
      <c r="G652" s="82"/>
      <c r="H652" s="82"/>
    </row>
    <row r="653" spans="2:11" ht="13" hidden="1" outlineLevel="1" x14ac:dyDescent="0.25">
      <c r="B653" s="95" t="s">
        <v>23</v>
      </c>
      <c r="C653" s="96"/>
      <c r="D653" s="151">
        <f>SUM(C617:C618)</f>
        <v>0</v>
      </c>
      <c r="E653" s="98"/>
      <c r="F653" s="82"/>
      <c r="G653" s="82"/>
      <c r="H653" s="82"/>
    </row>
    <row r="654" spans="2:11" ht="13" hidden="1" outlineLevel="1" x14ac:dyDescent="0.25">
      <c r="B654" s="99" t="s">
        <v>24</v>
      </c>
      <c r="C654" s="100"/>
      <c r="D654" s="152">
        <f>SUM(C620:C630)</f>
        <v>0</v>
      </c>
      <c r="E654" s="98"/>
      <c r="F654" s="82"/>
      <c r="G654" s="82"/>
      <c r="H654" s="82"/>
    </row>
    <row r="655" spans="2:11" ht="13" hidden="1" outlineLevel="1" x14ac:dyDescent="0.25">
      <c r="B655" s="99" t="s">
        <v>25</v>
      </c>
      <c r="C655" s="100"/>
      <c r="D655" s="152">
        <f>SUM(C633:C641)</f>
        <v>0</v>
      </c>
      <c r="E655" s="98"/>
      <c r="F655" s="82"/>
      <c r="G655" s="82"/>
      <c r="H655" s="82"/>
    </row>
    <row r="656" spans="2:11" ht="13" hidden="1" outlineLevel="1" x14ac:dyDescent="0.25">
      <c r="B656" s="102" t="s">
        <v>26</v>
      </c>
      <c r="C656" s="103"/>
      <c r="D656" s="153">
        <f>SUM(C642:C649)</f>
        <v>0</v>
      </c>
      <c r="E656" s="98"/>
      <c r="F656" s="82"/>
      <c r="G656" s="82"/>
      <c r="H656" s="82"/>
    </row>
    <row r="657" spans="2:8" ht="18.5" hidden="1" outlineLevel="1" thickTop="1" x14ac:dyDescent="0.25">
      <c r="B657" s="105" t="s">
        <v>11</v>
      </c>
      <c r="C657" s="106"/>
      <c r="D657" s="107" t="e">
        <f>C631/C613</f>
        <v>#DIV/0!</v>
      </c>
      <c r="E657" s="77"/>
      <c r="F657" s="110" t="s">
        <v>86</v>
      </c>
      <c r="G657" s="109" t="s">
        <v>85</v>
      </c>
      <c r="H657" s="110"/>
    </row>
    <row r="658" spans="2:8" ht="18.5" hidden="1" outlineLevel="1" thickBot="1" x14ac:dyDescent="0.3">
      <c r="B658" s="111" t="s">
        <v>12</v>
      </c>
      <c r="C658" s="112"/>
      <c r="D658" s="113" t="e">
        <f>(D653+D654+D655)/C613</f>
        <v>#DIV/0!</v>
      </c>
      <c r="E658" s="77"/>
      <c r="F658" s="154"/>
      <c r="G658" s="413"/>
      <c r="H658" s="414"/>
    </row>
    <row r="659" spans="2:8" ht="18" hidden="1" outlineLevel="1" x14ac:dyDescent="0.25">
      <c r="B659" s="111" t="s">
        <v>13</v>
      </c>
      <c r="C659" s="112"/>
      <c r="D659" s="113" t="e">
        <f>D655/C613</f>
        <v>#DIV/0!</v>
      </c>
      <c r="E659" s="90"/>
      <c r="F659" s="64" t="s">
        <v>45</v>
      </c>
      <c r="G659" s="64" t="s">
        <v>45</v>
      </c>
      <c r="H659" s="155"/>
    </row>
    <row r="660" spans="2:8" ht="18" hidden="1" outlineLevel="1" x14ac:dyDescent="0.25">
      <c r="B660" s="114" t="s">
        <v>14</v>
      </c>
      <c r="C660" s="115"/>
      <c r="D660" s="116" t="e">
        <f>D656/C613</f>
        <v>#DIV/0!</v>
      </c>
      <c r="E660" s="90"/>
      <c r="F660" s="110"/>
      <c r="G660" s="117" t="s">
        <v>46</v>
      </c>
      <c r="H660" s="110"/>
    </row>
    <row r="661" spans="2:8" ht="18.5" hidden="1" outlineLevel="1" thickBot="1" x14ac:dyDescent="0.3">
      <c r="B661" s="114" t="s">
        <v>15</v>
      </c>
      <c r="C661" s="119"/>
      <c r="D661" s="116" t="e">
        <f>SUM(D653:D656)/C613</f>
        <v>#DIV/0!</v>
      </c>
      <c r="E661" s="90"/>
      <c r="F661" s="429"/>
      <c r="G661" s="430"/>
      <c r="H661" s="431"/>
    </row>
    <row r="662" spans="2:8" ht="18.5" hidden="1" outlineLevel="1" thickTop="1" x14ac:dyDescent="0.25">
      <c r="B662" s="120" t="s">
        <v>16</v>
      </c>
      <c r="C662" s="121"/>
      <c r="D662" s="122" t="e">
        <f>((C617*D595)+D654+C618*MAX(1,F618))/C613</f>
        <v>#DIV/0!</v>
      </c>
      <c r="E662" s="77"/>
      <c r="F662" s="64" t="s">
        <v>45</v>
      </c>
      <c r="G662" s="64"/>
      <c r="H662" s="82"/>
    </row>
    <row r="663" spans="2:8" ht="18" hidden="1" outlineLevel="1" x14ac:dyDescent="0.25">
      <c r="B663" s="123" t="s">
        <v>17</v>
      </c>
      <c r="C663" s="124"/>
      <c r="D663" s="125" t="e">
        <f>(C617*D596+D654+D655+C618*(MAX(1,F618)+G618))/C613</f>
        <v>#DIV/0!</v>
      </c>
      <c r="E663" s="77"/>
      <c r="F663" s="82"/>
      <c r="G663" s="82"/>
      <c r="H663" s="82"/>
    </row>
    <row r="664" spans="2:8" ht="18" hidden="1" customHeight="1" outlineLevel="1" x14ac:dyDescent="0.25">
      <c r="B664" s="123" t="s">
        <v>18</v>
      </c>
      <c r="C664" s="124"/>
      <c r="D664" s="125" t="e">
        <f>((C617*D597)+D655+C618*G618)/C613</f>
        <v>#DIV/0!</v>
      </c>
      <c r="E664" s="77"/>
      <c r="F664" s="415" t="s">
        <v>61</v>
      </c>
      <c r="G664" s="416"/>
      <c r="H664" s="416"/>
    </row>
    <row r="665" spans="2:8" ht="18" hidden="1" outlineLevel="1" x14ac:dyDescent="0.25">
      <c r="B665" s="126" t="s">
        <v>19</v>
      </c>
      <c r="C665" s="127"/>
      <c r="D665" s="128" t="e">
        <f>(C617*D598+D656+C618*H618)/C613</f>
        <v>#DIV/0!</v>
      </c>
      <c r="E665" s="77"/>
      <c r="F665" s="416"/>
      <c r="G665" s="416"/>
      <c r="H665" s="416"/>
    </row>
    <row r="666" spans="2:8" ht="18.5" hidden="1" outlineLevel="1" thickBot="1" x14ac:dyDescent="0.3">
      <c r="B666" s="129" t="s">
        <v>20</v>
      </c>
      <c r="C666" s="130"/>
      <c r="D666" s="131" t="e">
        <f>((C617*D599)+SUM(D654:D656)+C618*(MAX(1,F618)+G618+H618))/C613</f>
        <v>#DIV/0!</v>
      </c>
      <c r="E666" s="77"/>
      <c r="F666" s="416"/>
      <c r="G666" s="416"/>
      <c r="H666" s="416"/>
    </row>
    <row r="667" spans="2:8" ht="13" hidden="1" outlineLevel="1" thickTop="1" x14ac:dyDescent="0.25">
      <c r="B667" s="156" t="s">
        <v>76</v>
      </c>
      <c r="C667" s="424"/>
      <c r="D667" s="425"/>
      <c r="F667" s="416"/>
      <c r="G667" s="416"/>
      <c r="H667" s="416"/>
    </row>
    <row r="668" spans="2:8" hidden="1" outlineLevel="1" x14ac:dyDescent="0.25">
      <c r="B668" s="157" t="s">
        <v>58</v>
      </c>
      <c r="C668" s="422"/>
      <c r="D668" s="423"/>
      <c r="F668" s="416"/>
      <c r="G668" s="416"/>
      <c r="H668" s="416"/>
    </row>
    <row r="669" spans="2:8" ht="13" hidden="1" outlineLevel="1" thickBot="1" x14ac:dyDescent="0.3">
      <c r="B669" s="158" t="s">
        <v>59</v>
      </c>
      <c r="C669" s="420"/>
      <c r="D669" s="421"/>
      <c r="F669" s="416"/>
      <c r="G669" s="416"/>
      <c r="H669" s="416"/>
    </row>
    <row r="670" spans="2:8" hidden="1" outlineLevel="1" x14ac:dyDescent="0.25"/>
    <row r="671" spans="2:8" hidden="1" outlineLevel="1" x14ac:dyDescent="0.25"/>
    <row r="672" spans="2:8" hidden="1" outlineLevel="1" x14ac:dyDescent="0.25"/>
    <row r="673" hidden="1" outlineLevel="1" x14ac:dyDescent="0.25"/>
    <row r="674" hidden="1" outlineLevel="1" x14ac:dyDescent="0.25"/>
    <row r="675" hidden="1" outlineLevel="1" x14ac:dyDescent="0.25"/>
    <row r="676" hidden="1" outlineLevel="1" x14ac:dyDescent="0.25"/>
    <row r="677" hidden="1" outlineLevel="1" x14ac:dyDescent="0.25"/>
    <row r="678" hidden="1" outlineLevel="1" x14ac:dyDescent="0.25"/>
    <row r="679" hidden="1" outlineLevel="1" x14ac:dyDescent="0.25"/>
    <row r="680" hidden="1" outlineLevel="1" x14ac:dyDescent="0.25"/>
    <row r="681" hidden="1" outlineLevel="1" x14ac:dyDescent="0.25"/>
    <row r="682" hidden="1" outlineLevel="1" x14ac:dyDescent="0.25"/>
    <row r="683" hidden="1" outlineLevel="1" x14ac:dyDescent="0.25"/>
    <row r="684" hidden="1" outlineLevel="1" x14ac:dyDescent="0.25"/>
    <row r="685" hidden="1" outlineLevel="1" x14ac:dyDescent="0.25"/>
    <row r="686" hidden="1" outlineLevel="1" x14ac:dyDescent="0.25"/>
    <row r="687" hidden="1" outlineLevel="1" x14ac:dyDescent="0.25"/>
    <row r="688" hidden="1" outlineLevel="1" x14ac:dyDescent="0.25"/>
    <row r="689" hidden="1" outlineLevel="1" x14ac:dyDescent="0.25"/>
    <row r="690" hidden="1" outlineLevel="1" x14ac:dyDescent="0.25"/>
    <row r="691" hidden="1" outlineLevel="1" x14ac:dyDescent="0.25"/>
    <row r="692" hidden="1" outlineLevel="1" x14ac:dyDescent="0.25"/>
    <row r="693" hidden="1" outlineLevel="1" x14ac:dyDescent="0.25"/>
    <row r="694" hidden="1" outlineLevel="1" x14ac:dyDescent="0.25"/>
    <row r="695" hidden="1" outlineLevel="1" x14ac:dyDescent="0.25"/>
    <row r="696" hidden="1" outlineLevel="1" x14ac:dyDescent="0.25"/>
    <row r="697" hidden="1" outlineLevel="1" x14ac:dyDescent="0.25"/>
    <row r="698" hidden="1" outlineLevel="1" x14ac:dyDescent="0.25"/>
    <row r="699" hidden="1" outlineLevel="1" x14ac:dyDescent="0.25"/>
    <row r="700" hidden="1" outlineLevel="1" x14ac:dyDescent="0.25"/>
    <row r="701" hidden="1" outlineLevel="1" x14ac:dyDescent="0.25"/>
    <row r="702" hidden="1" outlineLevel="1" x14ac:dyDescent="0.25"/>
    <row r="703" hidden="1" outlineLevel="1" x14ac:dyDescent="0.25"/>
    <row r="704" hidden="1" outlineLevel="1" x14ac:dyDescent="0.25"/>
    <row r="705" hidden="1" outlineLevel="1" x14ac:dyDescent="0.25"/>
    <row r="706" hidden="1" outlineLevel="1" x14ac:dyDescent="0.25"/>
    <row r="707" hidden="1" outlineLevel="1" x14ac:dyDescent="0.25"/>
    <row r="708" hidden="1" outlineLevel="1" x14ac:dyDescent="0.25"/>
    <row r="709" hidden="1" outlineLevel="1" x14ac:dyDescent="0.25"/>
    <row r="710" hidden="1" outlineLevel="1" x14ac:dyDescent="0.25"/>
    <row r="711" hidden="1" outlineLevel="1" x14ac:dyDescent="0.25"/>
    <row r="712" hidden="1" outlineLevel="1" x14ac:dyDescent="0.25"/>
    <row r="713" hidden="1" outlineLevel="1" x14ac:dyDescent="0.25"/>
    <row r="714" hidden="1" outlineLevel="1" x14ac:dyDescent="0.25"/>
    <row r="715" hidden="1" outlineLevel="1" x14ac:dyDescent="0.25"/>
    <row r="716" hidden="1" outlineLevel="1" x14ac:dyDescent="0.25"/>
    <row r="717" hidden="1" outlineLevel="1" x14ac:dyDescent="0.25"/>
    <row r="718" hidden="1" outlineLevel="1" x14ac:dyDescent="0.25"/>
    <row r="719" hidden="1" outlineLevel="1" x14ac:dyDescent="0.25"/>
    <row r="720" hidden="1" outlineLevel="1" x14ac:dyDescent="0.25"/>
    <row r="721" hidden="1" outlineLevel="1" x14ac:dyDescent="0.25"/>
    <row r="722" hidden="1" outlineLevel="1" x14ac:dyDescent="0.25"/>
    <row r="723" hidden="1" outlineLevel="1" x14ac:dyDescent="0.25"/>
    <row r="724" hidden="1" outlineLevel="1" x14ac:dyDescent="0.25"/>
    <row r="725" hidden="1" outlineLevel="1" x14ac:dyDescent="0.25"/>
    <row r="726" hidden="1" outlineLevel="1" x14ac:dyDescent="0.25"/>
    <row r="727" hidden="1" outlineLevel="1" x14ac:dyDescent="0.25"/>
    <row r="728" hidden="1" outlineLevel="1" x14ac:dyDescent="0.25"/>
    <row r="729" hidden="1" outlineLevel="1" x14ac:dyDescent="0.25"/>
    <row r="730" hidden="1" outlineLevel="1" x14ac:dyDescent="0.25"/>
    <row r="731" hidden="1" outlineLevel="1" x14ac:dyDescent="0.25"/>
    <row r="732" hidden="1" outlineLevel="1" x14ac:dyDescent="0.25"/>
    <row r="733" hidden="1" outlineLevel="1" x14ac:dyDescent="0.25"/>
    <row r="734" hidden="1" outlineLevel="1" x14ac:dyDescent="0.25"/>
    <row r="735" hidden="1" outlineLevel="1" x14ac:dyDescent="0.25"/>
    <row r="736" hidden="1" outlineLevel="1" x14ac:dyDescent="0.25"/>
    <row r="737" hidden="1" outlineLevel="1" x14ac:dyDescent="0.25"/>
    <row r="738" hidden="1" outlineLevel="1" x14ac:dyDescent="0.25"/>
    <row r="739" hidden="1" outlineLevel="1" x14ac:dyDescent="0.25"/>
    <row r="740" hidden="1" outlineLevel="1" x14ac:dyDescent="0.25"/>
    <row r="741" hidden="1" outlineLevel="1" x14ac:dyDescent="0.25"/>
    <row r="742" hidden="1" outlineLevel="1" x14ac:dyDescent="0.25"/>
    <row r="743" hidden="1" outlineLevel="1" x14ac:dyDescent="0.25"/>
    <row r="744" hidden="1" outlineLevel="1" x14ac:dyDescent="0.25"/>
    <row r="745" hidden="1" outlineLevel="1" x14ac:dyDescent="0.25"/>
    <row r="746" hidden="1" outlineLevel="1" x14ac:dyDescent="0.25"/>
    <row r="747" hidden="1" outlineLevel="1" x14ac:dyDescent="0.25"/>
    <row r="748" hidden="1" outlineLevel="1" x14ac:dyDescent="0.25"/>
    <row r="749" hidden="1" outlineLevel="1" x14ac:dyDescent="0.25"/>
    <row r="750" hidden="1" outlineLevel="1" x14ac:dyDescent="0.25"/>
    <row r="751" hidden="1" outlineLevel="1" x14ac:dyDescent="0.25"/>
    <row r="752" hidden="1" outlineLevel="1" x14ac:dyDescent="0.25"/>
    <row r="753" hidden="1" outlineLevel="1" x14ac:dyDescent="0.25"/>
    <row r="754" hidden="1" outlineLevel="1" x14ac:dyDescent="0.25"/>
    <row r="755" hidden="1" outlineLevel="1" x14ac:dyDescent="0.25"/>
    <row r="756" hidden="1" outlineLevel="1" x14ac:dyDescent="0.25"/>
    <row r="757" hidden="1" outlineLevel="1" x14ac:dyDescent="0.25"/>
    <row r="758" hidden="1" outlineLevel="1" x14ac:dyDescent="0.25"/>
    <row r="759" hidden="1" outlineLevel="1" x14ac:dyDescent="0.25"/>
    <row r="760" hidden="1" outlineLevel="1" x14ac:dyDescent="0.25"/>
    <row r="761" hidden="1" outlineLevel="1" x14ac:dyDescent="0.25"/>
    <row r="762" hidden="1" outlineLevel="1" x14ac:dyDescent="0.25"/>
    <row r="763" hidden="1" outlineLevel="1" x14ac:dyDescent="0.25"/>
    <row r="764" hidden="1" outlineLevel="1" x14ac:dyDescent="0.25"/>
    <row r="765" hidden="1" outlineLevel="1" x14ac:dyDescent="0.25"/>
    <row r="766" hidden="1" outlineLevel="1" x14ac:dyDescent="0.25"/>
    <row r="767" hidden="1" outlineLevel="1" x14ac:dyDescent="0.25"/>
    <row r="768" hidden="1" outlineLevel="1" x14ac:dyDescent="0.25"/>
    <row r="769" hidden="1" outlineLevel="1" x14ac:dyDescent="0.25"/>
    <row r="770" hidden="1" outlineLevel="1" x14ac:dyDescent="0.25"/>
    <row r="771" hidden="1" outlineLevel="1" x14ac:dyDescent="0.25"/>
    <row r="772" hidden="1" outlineLevel="1" x14ac:dyDescent="0.25"/>
    <row r="773" hidden="1" outlineLevel="1" x14ac:dyDescent="0.25"/>
    <row r="774" hidden="1" outlineLevel="1" x14ac:dyDescent="0.25"/>
    <row r="775" hidden="1" outlineLevel="1" x14ac:dyDescent="0.25"/>
    <row r="776" hidden="1" outlineLevel="1" x14ac:dyDescent="0.25"/>
    <row r="777" hidden="1" outlineLevel="1" x14ac:dyDescent="0.25"/>
    <row r="778" hidden="1" outlineLevel="1" x14ac:dyDescent="0.25"/>
    <row r="779" hidden="1" outlineLevel="1" x14ac:dyDescent="0.25"/>
    <row r="780" hidden="1" outlineLevel="1" x14ac:dyDescent="0.25"/>
    <row r="781" hidden="1" outlineLevel="1" x14ac:dyDescent="0.25"/>
    <row r="782" hidden="1" outlineLevel="1" x14ac:dyDescent="0.25"/>
    <row r="783" hidden="1" outlineLevel="1" x14ac:dyDescent="0.25"/>
    <row r="784" hidden="1" outlineLevel="1" x14ac:dyDescent="0.25"/>
    <row r="785" hidden="1" outlineLevel="1" x14ac:dyDescent="0.25"/>
    <row r="786" hidden="1" outlineLevel="1" x14ac:dyDescent="0.25"/>
    <row r="787" hidden="1" outlineLevel="1" x14ac:dyDescent="0.25"/>
    <row r="788" hidden="1" outlineLevel="1" x14ac:dyDescent="0.25"/>
    <row r="789" hidden="1" outlineLevel="1" x14ac:dyDescent="0.25"/>
    <row r="790" hidden="1" outlineLevel="1" x14ac:dyDescent="0.25"/>
    <row r="791" hidden="1" outlineLevel="1" x14ac:dyDescent="0.25"/>
    <row r="792" hidden="1" outlineLevel="1" x14ac:dyDescent="0.25"/>
    <row r="793" hidden="1" outlineLevel="1" x14ac:dyDescent="0.25"/>
    <row r="794" hidden="1" outlineLevel="1" x14ac:dyDescent="0.25"/>
    <row r="795" hidden="1" outlineLevel="1" x14ac:dyDescent="0.25"/>
    <row r="796" hidden="1" outlineLevel="1" x14ac:dyDescent="0.25"/>
    <row r="797" hidden="1" outlineLevel="1" x14ac:dyDescent="0.25"/>
    <row r="798" hidden="1" outlineLevel="1" x14ac:dyDescent="0.25"/>
    <row r="799" hidden="1" outlineLevel="1" x14ac:dyDescent="0.25"/>
    <row r="800" hidden="1" outlineLevel="1" x14ac:dyDescent="0.25"/>
    <row r="801" hidden="1" outlineLevel="1" x14ac:dyDescent="0.25"/>
    <row r="802" hidden="1" outlineLevel="1" x14ac:dyDescent="0.25"/>
    <row r="803" hidden="1" outlineLevel="1" x14ac:dyDescent="0.25"/>
    <row r="804" hidden="1" outlineLevel="1" x14ac:dyDescent="0.25"/>
    <row r="805" hidden="1" outlineLevel="1" x14ac:dyDescent="0.25"/>
    <row r="806" hidden="1" outlineLevel="1" x14ac:dyDescent="0.25"/>
    <row r="807" hidden="1" outlineLevel="1" x14ac:dyDescent="0.25"/>
    <row r="808" hidden="1" outlineLevel="1" x14ac:dyDescent="0.25"/>
    <row r="809" hidden="1" outlineLevel="1" x14ac:dyDescent="0.25"/>
    <row r="810" hidden="1" outlineLevel="1" x14ac:dyDescent="0.25"/>
    <row r="811" hidden="1" outlineLevel="1" x14ac:dyDescent="0.25"/>
    <row r="812" hidden="1" outlineLevel="1" x14ac:dyDescent="0.25"/>
    <row r="813" hidden="1" outlineLevel="1" x14ac:dyDescent="0.25"/>
    <row r="814" hidden="1" outlineLevel="1" x14ac:dyDescent="0.25"/>
    <row r="815" hidden="1" outlineLevel="1" x14ac:dyDescent="0.25"/>
    <row r="816" hidden="1" outlineLevel="1" x14ac:dyDescent="0.25"/>
    <row r="817" hidden="1" outlineLevel="1" x14ac:dyDescent="0.25"/>
    <row r="818" hidden="1" outlineLevel="1" x14ac:dyDescent="0.25"/>
    <row r="819" hidden="1" outlineLevel="1" x14ac:dyDescent="0.25"/>
    <row r="820" hidden="1" outlineLevel="1" x14ac:dyDescent="0.25"/>
    <row r="821" hidden="1" outlineLevel="1" x14ac:dyDescent="0.25"/>
    <row r="822" hidden="1" outlineLevel="1" x14ac:dyDescent="0.25"/>
    <row r="823" hidden="1" outlineLevel="1" x14ac:dyDescent="0.25"/>
    <row r="824" hidden="1" outlineLevel="1" x14ac:dyDescent="0.25"/>
    <row r="825" hidden="1" outlineLevel="1" x14ac:dyDescent="0.25"/>
    <row r="826" hidden="1" outlineLevel="1" x14ac:dyDescent="0.25"/>
    <row r="827" hidden="1" outlineLevel="1" x14ac:dyDescent="0.25"/>
    <row r="828" hidden="1" outlineLevel="1" x14ac:dyDescent="0.25"/>
    <row r="829" hidden="1" outlineLevel="1" x14ac:dyDescent="0.25"/>
    <row r="830" hidden="1" outlineLevel="1" x14ac:dyDescent="0.25"/>
    <row r="831" hidden="1" outlineLevel="1" x14ac:dyDescent="0.25"/>
    <row r="832" hidden="1" outlineLevel="1" x14ac:dyDescent="0.25"/>
    <row r="833" hidden="1" outlineLevel="1" x14ac:dyDescent="0.25"/>
    <row r="834" hidden="1" outlineLevel="1" x14ac:dyDescent="0.25"/>
    <row r="835" hidden="1" outlineLevel="1" x14ac:dyDescent="0.25"/>
    <row r="836" hidden="1" outlineLevel="1" x14ac:dyDescent="0.25"/>
    <row r="837" hidden="1" outlineLevel="1" x14ac:dyDescent="0.25"/>
    <row r="838" hidden="1" outlineLevel="1" x14ac:dyDescent="0.25"/>
    <row r="839" hidden="1" outlineLevel="1" x14ac:dyDescent="0.25"/>
    <row r="840" hidden="1" outlineLevel="1" x14ac:dyDescent="0.25"/>
    <row r="841" hidden="1" outlineLevel="1" x14ac:dyDescent="0.25"/>
    <row r="842" hidden="1" outlineLevel="1" x14ac:dyDescent="0.25"/>
    <row r="843" hidden="1" outlineLevel="1" x14ac:dyDescent="0.25"/>
    <row r="844" hidden="1" outlineLevel="1" x14ac:dyDescent="0.25"/>
    <row r="845" hidden="1" outlineLevel="1" x14ac:dyDescent="0.25"/>
    <row r="846" hidden="1" outlineLevel="1" x14ac:dyDescent="0.25"/>
    <row r="847" hidden="1" outlineLevel="1" x14ac:dyDescent="0.25"/>
    <row r="848" hidden="1" outlineLevel="1" x14ac:dyDescent="0.25"/>
    <row r="849" hidden="1" outlineLevel="1" x14ac:dyDescent="0.25"/>
    <row r="850" hidden="1" outlineLevel="1" x14ac:dyDescent="0.25"/>
    <row r="851" hidden="1" outlineLevel="1" x14ac:dyDescent="0.25"/>
    <row r="852" hidden="1" outlineLevel="1" x14ac:dyDescent="0.25"/>
    <row r="853" hidden="1" outlineLevel="1" x14ac:dyDescent="0.25"/>
    <row r="854" hidden="1" outlineLevel="1" x14ac:dyDescent="0.25"/>
    <row r="855" hidden="1" outlineLevel="1" x14ac:dyDescent="0.25"/>
    <row r="856" hidden="1" outlineLevel="1" x14ac:dyDescent="0.25"/>
    <row r="857" hidden="1" outlineLevel="1" x14ac:dyDescent="0.25"/>
    <row r="858" hidden="1" outlineLevel="1" x14ac:dyDescent="0.25"/>
    <row r="859" hidden="1" outlineLevel="1" x14ac:dyDescent="0.25"/>
    <row r="860" hidden="1" outlineLevel="1" x14ac:dyDescent="0.25"/>
    <row r="861" hidden="1" outlineLevel="1" x14ac:dyDescent="0.25"/>
    <row r="862" hidden="1" outlineLevel="1" x14ac:dyDescent="0.25"/>
    <row r="863" hidden="1" outlineLevel="1" x14ac:dyDescent="0.25"/>
    <row r="864" hidden="1" outlineLevel="1" x14ac:dyDescent="0.25"/>
    <row r="865" hidden="1" outlineLevel="1" x14ac:dyDescent="0.25"/>
    <row r="866" hidden="1" outlineLevel="1" x14ac:dyDescent="0.25"/>
    <row r="867" hidden="1" outlineLevel="1" x14ac:dyDescent="0.25"/>
    <row r="868" hidden="1" outlineLevel="1" x14ac:dyDescent="0.25"/>
    <row r="869" hidden="1" outlineLevel="1" x14ac:dyDescent="0.25"/>
    <row r="870" hidden="1" outlineLevel="1" x14ac:dyDescent="0.25"/>
    <row r="871" hidden="1" outlineLevel="1" x14ac:dyDescent="0.25"/>
    <row r="872" hidden="1" outlineLevel="1" x14ac:dyDescent="0.25"/>
    <row r="873" hidden="1" outlineLevel="1" x14ac:dyDescent="0.25"/>
    <row r="874" hidden="1" outlineLevel="1" x14ac:dyDescent="0.25"/>
    <row r="875" hidden="1" outlineLevel="1" x14ac:dyDescent="0.25"/>
    <row r="876" hidden="1" outlineLevel="1" x14ac:dyDescent="0.25"/>
    <row r="877" hidden="1" outlineLevel="1" x14ac:dyDescent="0.25"/>
    <row r="878" hidden="1" outlineLevel="1" x14ac:dyDescent="0.25"/>
    <row r="879" hidden="1" outlineLevel="1" x14ac:dyDescent="0.25"/>
    <row r="880" hidden="1" outlineLevel="1" x14ac:dyDescent="0.25"/>
    <row r="881" hidden="1" outlineLevel="1" x14ac:dyDescent="0.25"/>
    <row r="882" hidden="1" outlineLevel="1" x14ac:dyDescent="0.25"/>
    <row r="883" hidden="1" outlineLevel="1" x14ac:dyDescent="0.25"/>
    <row r="884" hidden="1" outlineLevel="1" x14ac:dyDescent="0.25"/>
    <row r="885" hidden="1" outlineLevel="1" x14ac:dyDescent="0.25"/>
    <row r="886" hidden="1" outlineLevel="1" x14ac:dyDescent="0.25"/>
    <row r="887" hidden="1" outlineLevel="1" x14ac:dyDescent="0.25"/>
    <row r="888" hidden="1" outlineLevel="1" x14ac:dyDescent="0.25"/>
    <row r="889" hidden="1" outlineLevel="1" x14ac:dyDescent="0.25"/>
    <row r="890" hidden="1" outlineLevel="1" x14ac:dyDescent="0.25"/>
    <row r="891" hidden="1" outlineLevel="1" x14ac:dyDescent="0.25"/>
    <row r="892" hidden="1" outlineLevel="1" x14ac:dyDescent="0.25"/>
    <row r="893" hidden="1" outlineLevel="1" x14ac:dyDescent="0.25"/>
    <row r="894" hidden="1" outlineLevel="1" x14ac:dyDescent="0.25"/>
    <row r="895" hidden="1" outlineLevel="1" x14ac:dyDescent="0.25"/>
    <row r="896" hidden="1" outlineLevel="1" x14ac:dyDescent="0.25"/>
    <row r="897" hidden="1" outlineLevel="1" x14ac:dyDescent="0.25"/>
    <row r="898" hidden="1" outlineLevel="1" x14ac:dyDescent="0.25"/>
    <row r="899" hidden="1" outlineLevel="1" x14ac:dyDescent="0.25"/>
    <row r="900" hidden="1" outlineLevel="1" x14ac:dyDescent="0.25"/>
    <row r="901" hidden="1" outlineLevel="1" x14ac:dyDescent="0.25"/>
    <row r="902" hidden="1" outlineLevel="1" x14ac:dyDescent="0.25"/>
    <row r="903" hidden="1" outlineLevel="1" x14ac:dyDescent="0.25"/>
    <row r="904" hidden="1" outlineLevel="1" x14ac:dyDescent="0.25"/>
    <row r="905" hidden="1" outlineLevel="1" x14ac:dyDescent="0.25"/>
    <row r="906" hidden="1" outlineLevel="1" x14ac:dyDescent="0.25"/>
    <row r="907" hidden="1" outlineLevel="1" x14ac:dyDescent="0.25"/>
    <row r="908" hidden="1" outlineLevel="1" x14ac:dyDescent="0.25"/>
    <row r="909" hidden="1" outlineLevel="1" x14ac:dyDescent="0.25"/>
    <row r="910" hidden="1" outlineLevel="1" x14ac:dyDescent="0.25"/>
    <row r="911" hidden="1" outlineLevel="1" x14ac:dyDescent="0.25"/>
    <row r="912" hidden="1" outlineLevel="1" x14ac:dyDescent="0.25"/>
    <row r="913" hidden="1" outlineLevel="1" x14ac:dyDescent="0.25"/>
    <row r="914" hidden="1" outlineLevel="1" x14ac:dyDescent="0.25"/>
    <row r="915" hidden="1" outlineLevel="1" x14ac:dyDescent="0.25"/>
    <row r="916" hidden="1" outlineLevel="1" x14ac:dyDescent="0.25"/>
    <row r="917" hidden="1" outlineLevel="1" x14ac:dyDescent="0.25"/>
    <row r="918" hidden="1" outlineLevel="1" x14ac:dyDescent="0.25"/>
    <row r="919" hidden="1" outlineLevel="1" x14ac:dyDescent="0.25"/>
    <row r="920" hidden="1" outlineLevel="1" x14ac:dyDescent="0.25"/>
    <row r="921" hidden="1" outlineLevel="1" x14ac:dyDescent="0.25"/>
    <row r="922" hidden="1" outlineLevel="1" x14ac:dyDescent="0.25"/>
    <row r="923" hidden="1" outlineLevel="1" x14ac:dyDescent="0.25"/>
    <row r="924" hidden="1" outlineLevel="1" x14ac:dyDescent="0.25"/>
    <row r="925" hidden="1" outlineLevel="1" x14ac:dyDescent="0.25"/>
    <row r="926" hidden="1" outlineLevel="1" x14ac:dyDescent="0.25"/>
    <row r="927" hidden="1" outlineLevel="1" x14ac:dyDescent="0.25"/>
    <row r="928" hidden="1" outlineLevel="1" x14ac:dyDescent="0.25"/>
    <row r="929" hidden="1" outlineLevel="1" x14ac:dyDescent="0.25"/>
    <row r="930" hidden="1" outlineLevel="1" x14ac:dyDescent="0.25"/>
    <row r="931" hidden="1" outlineLevel="1" x14ac:dyDescent="0.25"/>
    <row r="932" hidden="1" outlineLevel="1" x14ac:dyDescent="0.25"/>
    <row r="933" hidden="1" outlineLevel="1" x14ac:dyDescent="0.25"/>
    <row r="934" hidden="1" outlineLevel="1" x14ac:dyDescent="0.25"/>
    <row r="935" hidden="1" outlineLevel="1" x14ac:dyDescent="0.25"/>
    <row r="936" hidden="1" outlineLevel="1" x14ac:dyDescent="0.25"/>
    <row r="937" hidden="1" outlineLevel="1" x14ac:dyDescent="0.25"/>
    <row r="938" hidden="1" outlineLevel="1" x14ac:dyDescent="0.25"/>
    <row r="939" hidden="1" outlineLevel="1" x14ac:dyDescent="0.25"/>
    <row r="940" hidden="1" outlineLevel="1" x14ac:dyDescent="0.25"/>
    <row r="941" hidden="1" outlineLevel="1" x14ac:dyDescent="0.25"/>
    <row r="942" hidden="1" outlineLevel="1" x14ac:dyDescent="0.25"/>
    <row r="943" hidden="1" outlineLevel="1" x14ac:dyDescent="0.25"/>
    <row r="944" hidden="1" outlineLevel="1" x14ac:dyDescent="0.25"/>
    <row r="945" hidden="1" outlineLevel="1" x14ac:dyDescent="0.25"/>
    <row r="946" hidden="1" outlineLevel="1" x14ac:dyDescent="0.25"/>
    <row r="947" hidden="1" outlineLevel="1" x14ac:dyDescent="0.25"/>
    <row r="948" hidden="1" outlineLevel="1" x14ac:dyDescent="0.25"/>
    <row r="949" hidden="1" outlineLevel="1" x14ac:dyDescent="0.25"/>
    <row r="950" hidden="1" outlineLevel="1" x14ac:dyDescent="0.25"/>
    <row r="951" hidden="1" outlineLevel="1" x14ac:dyDescent="0.25"/>
    <row r="952" hidden="1" outlineLevel="1" x14ac:dyDescent="0.25"/>
    <row r="953" hidden="1" outlineLevel="1" x14ac:dyDescent="0.25"/>
    <row r="954" hidden="1" outlineLevel="1" x14ac:dyDescent="0.25"/>
    <row r="955" hidden="1" outlineLevel="1" x14ac:dyDescent="0.25"/>
    <row r="956" hidden="1" outlineLevel="1" x14ac:dyDescent="0.25"/>
    <row r="957" hidden="1" outlineLevel="1" x14ac:dyDescent="0.25"/>
    <row r="958" hidden="1" outlineLevel="1" x14ac:dyDescent="0.25"/>
    <row r="959" hidden="1" outlineLevel="1" x14ac:dyDescent="0.25"/>
    <row r="960" hidden="1" outlineLevel="1" x14ac:dyDescent="0.25"/>
    <row r="961" hidden="1" outlineLevel="1" x14ac:dyDescent="0.25"/>
    <row r="962" hidden="1" outlineLevel="1" x14ac:dyDescent="0.25"/>
    <row r="963" hidden="1" outlineLevel="1" x14ac:dyDescent="0.25"/>
    <row r="964" hidden="1" outlineLevel="1" x14ac:dyDescent="0.25"/>
    <row r="965" hidden="1" outlineLevel="1" x14ac:dyDescent="0.25"/>
    <row r="966" hidden="1" outlineLevel="1" x14ac:dyDescent="0.25"/>
    <row r="967" hidden="1" outlineLevel="1" x14ac:dyDescent="0.25"/>
    <row r="968" hidden="1" outlineLevel="1" x14ac:dyDescent="0.25"/>
    <row r="969" hidden="1" outlineLevel="1" x14ac:dyDescent="0.25"/>
    <row r="970" hidden="1" outlineLevel="1" x14ac:dyDescent="0.25"/>
    <row r="971" hidden="1" outlineLevel="1" x14ac:dyDescent="0.25"/>
    <row r="972" hidden="1" outlineLevel="1" x14ac:dyDescent="0.25"/>
    <row r="973" hidden="1" outlineLevel="1" x14ac:dyDescent="0.25"/>
    <row r="974" hidden="1" outlineLevel="1" x14ac:dyDescent="0.25"/>
    <row r="975" hidden="1" outlineLevel="1" x14ac:dyDescent="0.25"/>
    <row r="976" hidden="1" outlineLevel="1" x14ac:dyDescent="0.25"/>
    <row r="977" hidden="1" outlineLevel="1" x14ac:dyDescent="0.25"/>
    <row r="978" hidden="1" outlineLevel="1" x14ac:dyDescent="0.25"/>
    <row r="979" hidden="1" outlineLevel="1" x14ac:dyDescent="0.25"/>
    <row r="980" hidden="1" outlineLevel="1" x14ac:dyDescent="0.25"/>
    <row r="981" hidden="1" outlineLevel="1" x14ac:dyDescent="0.25"/>
    <row r="982" hidden="1" outlineLevel="1" x14ac:dyDescent="0.25"/>
    <row r="983" hidden="1" outlineLevel="1" x14ac:dyDescent="0.25"/>
    <row r="984" hidden="1" outlineLevel="1" x14ac:dyDescent="0.25"/>
    <row r="985" hidden="1" outlineLevel="1" x14ac:dyDescent="0.25"/>
    <row r="986" hidden="1" outlineLevel="1" x14ac:dyDescent="0.25"/>
    <row r="987" hidden="1" outlineLevel="1" x14ac:dyDescent="0.25"/>
    <row r="988" hidden="1" outlineLevel="1" x14ac:dyDescent="0.25"/>
    <row r="989" hidden="1" outlineLevel="1" x14ac:dyDescent="0.25"/>
    <row r="990" hidden="1" outlineLevel="1" x14ac:dyDescent="0.25"/>
    <row r="991" hidden="1" outlineLevel="1" x14ac:dyDescent="0.25"/>
    <row r="992" hidden="1" outlineLevel="1" x14ac:dyDescent="0.25"/>
    <row r="993" hidden="1" outlineLevel="1" x14ac:dyDescent="0.25"/>
    <row r="994" hidden="1" outlineLevel="1" x14ac:dyDescent="0.25"/>
    <row r="995" hidden="1" outlineLevel="1" x14ac:dyDescent="0.25"/>
    <row r="996" hidden="1" outlineLevel="1" x14ac:dyDescent="0.25"/>
    <row r="997" hidden="1" outlineLevel="1" x14ac:dyDescent="0.25"/>
    <row r="998" hidden="1" outlineLevel="1" x14ac:dyDescent="0.25"/>
    <row r="999" hidden="1" outlineLevel="1" x14ac:dyDescent="0.25"/>
    <row r="1000" hidden="1" outlineLevel="1" x14ac:dyDescent="0.25"/>
    <row r="1001" hidden="1" outlineLevel="1" x14ac:dyDescent="0.25"/>
    <row r="1002" hidden="1" outlineLevel="1" x14ac:dyDescent="0.25"/>
    <row r="1003" hidden="1" outlineLevel="1" x14ac:dyDescent="0.25"/>
    <row r="1004" hidden="1" outlineLevel="1" x14ac:dyDescent="0.25"/>
    <row r="1005" hidden="1" outlineLevel="1" x14ac:dyDescent="0.25"/>
    <row r="1006" hidden="1" outlineLevel="1" x14ac:dyDescent="0.25"/>
    <row r="1007" hidden="1" outlineLevel="1" x14ac:dyDescent="0.25"/>
    <row r="1008" hidden="1" outlineLevel="1" x14ac:dyDescent="0.25"/>
    <row r="1009" hidden="1" outlineLevel="1" x14ac:dyDescent="0.25"/>
    <row r="1010" hidden="1" outlineLevel="1" x14ac:dyDescent="0.25"/>
    <row r="1011" hidden="1" outlineLevel="1" x14ac:dyDescent="0.25"/>
    <row r="1012" hidden="1" outlineLevel="1" x14ac:dyDescent="0.25"/>
    <row r="1013" hidden="1" outlineLevel="1" x14ac:dyDescent="0.25"/>
    <row r="1014" hidden="1" outlineLevel="1" x14ac:dyDescent="0.25"/>
    <row r="1015" hidden="1" outlineLevel="1" x14ac:dyDescent="0.25"/>
    <row r="1016" hidden="1" outlineLevel="1" x14ac:dyDescent="0.25"/>
    <row r="1017" hidden="1" outlineLevel="1" x14ac:dyDescent="0.25"/>
    <row r="1018" hidden="1" outlineLevel="1" x14ac:dyDescent="0.25"/>
    <row r="1019" hidden="1" outlineLevel="1" x14ac:dyDescent="0.25"/>
    <row r="1020" hidden="1" outlineLevel="1" x14ac:dyDescent="0.25"/>
    <row r="1021" hidden="1" outlineLevel="1" x14ac:dyDescent="0.25"/>
    <row r="1022" hidden="1" outlineLevel="1" x14ac:dyDescent="0.25"/>
    <row r="1023" hidden="1" outlineLevel="1" x14ac:dyDescent="0.25"/>
    <row r="1024" hidden="1" outlineLevel="1" x14ac:dyDescent="0.25"/>
    <row r="1025" hidden="1" outlineLevel="1" x14ac:dyDescent="0.25"/>
    <row r="1026" hidden="1" outlineLevel="1" x14ac:dyDescent="0.25"/>
    <row r="1027" hidden="1" outlineLevel="1" x14ac:dyDescent="0.25"/>
    <row r="1028" hidden="1" outlineLevel="1" x14ac:dyDescent="0.25"/>
    <row r="1029" hidden="1" outlineLevel="1" x14ac:dyDescent="0.25"/>
    <row r="1030" hidden="1" outlineLevel="1" x14ac:dyDescent="0.25"/>
    <row r="1031" hidden="1" outlineLevel="1" x14ac:dyDescent="0.25"/>
    <row r="1032" hidden="1" outlineLevel="1" x14ac:dyDescent="0.25"/>
    <row r="1033" hidden="1" outlineLevel="1" x14ac:dyDescent="0.25"/>
    <row r="1034" hidden="1" outlineLevel="1" x14ac:dyDescent="0.25"/>
    <row r="1035" hidden="1" outlineLevel="1" x14ac:dyDescent="0.25"/>
    <row r="1036" hidden="1" outlineLevel="1" x14ac:dyDescent="0.25"/>
    <row r="1037" hidden="1" outlineLevel="1" x14ac:dyDescent="0.25"/>
    <row r="1038" hidden="1" outlineLevel="1" x14ac:dyDescent="0.25"/>
    <row r="1039" hidden="1" outlineLevel="1" x14ac:dyDescent="0.25"/>
    <row r="1040" hidden="1" outlineLevel="1" x14ac:dyDescent="0.25"/>
    <row r="1041" hidden="1" outlineLevel="1" x14ac:dyDescent="0.25"/>
    <row r="1042" hidden="1" outlineLevel="1" x14ac:dyDescent="0.25"/>
    <row r="1043" hidden="1" outlineLevel="1" x14ac:dyDescent="0.25"/>
    <row r="1044" hidden="1" outlineLevel="1" x14ac:dyDescent="0.25"/>
    <row r="1045" hidden="1" outlineLevel="1" x14ac:dyDescent="0.25"/>
    <row r="1046" hidden="1" outlineLevel="1" x14ac:dyDescent="0.25"/>
    <row r="1047" hidden="1" outlineLevel="1" x14ac:dyDescent="0.25"/>
    <row r="1048" hidden="1" outlineLevel="1" x14ac:dyDescent="0.25"/>
    <row r="1049" hidden="1" outlineLevel="1" x14ac:dyDescent="0.25"/>
    <row r="1050" hidden="1" outlineLevel="1" x14ac:dyDescent="0.25"/>
    <row r="1051" hidden="1" outlineLevel="1" x14ac:dyDescent="0.25"/>
    <row r="1052" hidden="1" outlineLevel="1" x14ac:dyDescent="0.25"/>
    <row r="1053" hidden="1" outlineLevel="1" x14ac:dyDescent="0.25"/>
    <row r="1054" hidden="1" outlineLevel="1" x14ac:dyDescent="0.25"/>
    <row r="1055" hidden="1" outlineLevel="1" x14ac:dyDescent="0.25"/>
    <row r="1056" hidden="1" outlineLevel="1" x14ac:dyDescent="0.25"/>
    <row r="1057" hidden="1" outlineLevel="1" x14ac:dyDescent="0.25"/>
    <row r="1058" hidden="1" outlineLevel="1" x14ac:dyDescent="0.25"/>
    <row r="1059" hidden="1" outlineLevel="1" x14ac:dyDescent="0.25"/>
    <row r="1060" hidden="1" outlineLevel="1" x14ac:dyDescent="0.25"/>
    <row r="1061" hidden="1" outlineLevel="1" x14ac:dyDescent="0.25"/>
    <row r="1062" hidden="1" outlineLevel="1" x14ac:dyDescent="0.25"/>
    <row r="1063" hidden="1" outlineLevel="1" x14ac:dyDescent="0.25"/>
    <row r="1064" hidden="1" outlineLevel="1" x14ac:dyDescent="0.25"/>
    <row r="1065" hidden="1" outlineLevel="1" x14ac:dyDescent="0.25"/>
    <row r="1066" hidden="1" outlineLevel="1" x14ac:dyDescent="0.25"/>
    <row r="1067" hidden="1" outlineLevel="1" x14ac:dyDescent="0.25"/>
    <row r="1068" hidden="1" outlineLevel="1" x14ac:dyDescent="0.25"/>
    <row r="1069" hidden="1" outlineLevel="1" x14ac:dyDescent="0.25"/>
    <row r="1070" hidden="1" outlineLevel="1" x14ac:dyDescent="0.25"/>
    <row r="1071" hidden="1" outlineLevel="1" x14ac:dyDescent="0.25"/>
    <row r="1072" hidden="1" outlineLevel="1" x14ac:dyDescent="0.25"/>
    <row r="1073" hidden="1" outlineLevel="1" x14ac:dyDescent="0.25"/>
    <row r="1074" hidden="1" outlineLevel="1" x14ac:dyDescent="0.25"/>
    <row r="1075" hidden="1" outlineLevel="1" x14ac:dyDescent="0.25"/>
    <row r="1076" hidden="1" outlineLevel="1" x14ac:dyDescent="0.25"/>
    <row r="1077" hidden="1" outlineLevel="1" x14ac:dyDescent="0.25"/>
    <row r="1078" hidden="1" outlineLevel="1" x14ac:dyDescent="0.25"/>
    <row r="1079" hidden="1" outlineLevel="1" x14ac:dyDescent="0.25"/>
    <row r="1080" hidden="1" outlineLevel="1" x14ac:dyDescent="0.25"/>
    <row r="1081" hidden="1" outlineLevel="1" x14ac:dyDescent="0.25"/>
    <row r="1082" hidden="1" outlineLevel="1" x14ac:dyDescent="0.25"/>
    <row r="1083" hidden="1" outlineLevel="1" x14ac:dyDescent="0.25"/>
    <row r="1084" hidden="1" outlineLevel="1" x14ac:dyDescent="0.25"/>
    <row r="1085" hidden="1" outlineLevel="1" x14ac:dyDescent="0.25"/>
    <row r="1086" hidden="1" outlineLevel="1" x14ac:dyDescent="0.25"/>
    <row r="1087" hidden="1" outlineLevel="1" x14ac:dyDescent="0.25"/>
    <row r="1088" hidden="1" outlineLevel="1" x14ac:dyDescent="0.25"/>
    <row r="1089" hidden="1" outlineLevel="1" x14ac:dyDescent="0.25"/>
    <row r="1090" hidden="1" outlineLevel="1" x14ac:dyDescent="0.25"/>
    <row r="1091" hidden="1" outlineLevel="1" x14ac:dyDescent="0.25"/>
    <row r="1092" hidden="1" outlineLevel="1" x14ac:dyDescent="0.25"/>
    <row r="1093" hidden="1" outlineLevel="1" x14ac:dyDescent="0.25"/>
    <row r="1094" hidden="1" outlineLevel="1" x14ac:dyDescent="0.25"/>
    <row r="1095" hidden="1" outlineLevel="1" x14ac:dyDescent="0.25"/>
    <row r="1096" hidden="1" outlineLevel="1" x14ac:dyDescent="0.25"/>
    <row r="1097" hidden="1" outlineLevel="1" x14ac:dyDescent="0.25"/>
    <row r="1098" hidden="1" outlineLevel="1" x14ac:dyDescent="0.25"/>
    <row r="1099" hidden="1" outlineLevel="1" x14ac:dyDescent="0.25"/>
    <row r="1100" hidden="1" outlineLevel="1" x14ac:dyDescent="0.25"/>
    <row r="1101" hidden="1" outlineLevel="1" x14ac:dyDescent="0.25"/>
    <row r="1102" hidden="1" outlineLevel="1" x14ac:dyDescent="0.25"/>
    <row r="1103" hidden="1" outlineLevel="1" x14ac:dyDescent="0.25"/>
    <row r="1104" hidden="1" outlineLevel="1" x14ac:dyDescent="0.25"/>
    <row r="1105" hidden="1" outlineLevel="1" x14ac:dyDescent="0.25"/>
    <row r="1106" hidden="1" outlineLevel="1" x14ac:dyDescent="0.25"/>
    <row r="1107" hidden="1" outlineLevel="1" x14ac:dyDescent="0.25"/>
    <row r="1108" hidden="1" outlineLevel="1" x14ac:dyDescent="0.25"/>
    <row r="1109" hidden="1" outlineLevel="1" x14ac:dyDescent="0.25"/>
    <row r="1110" hidden="1" outlineLevel="1" x14ac:dyDescent="0.25"/>
    <row r="1111" hidden="1" outlineLevel="1" x14ac:dyDescent="0.25"/>
    <row r="1112" hidden="1" outlineLevel="1" x14ac:dyDescent="0.25"/>
    <row r="1113" hidden="1" outlineLevel="1" x14ac:dyDescent="0.25"/>
    <row r="1114" hidden="1" outlineLevel="1" x14ac:dyDescent="0.25"/>
    <row r="1115" hidden="1" outlineLevel="1" x14ac:dyDescent="0.25"/>
    <row r="1116" hidden="1" outlineLevel="1" x14ac:dyDescent="0.25"/>
    <row r="1117" hidden="1" outlineLevel="1" x14ac:dyDescent="0.25"/>
    <row r="1118" hidden="1" outlineLevel="1" x14ac:dyDescent="0.25"/>
    <row r="1119" hidden="1" outlineLevel="1" x14ac:dyDescent="0.25"/>
    <row r="1120" hidden="1" outlineLevel="1" x14ac:dyDescent="0.25"/>
    <row r="1121" hidden="1" outlineLevel="1" x14ac:dyDescent="0.25"/>
    <row r="1122" hidden="1" outlineLevel="1" x14ac:dyDescent="0.25"/>
    <row r="1123" hidden="1" outlineLevel="1" x14ac:dyDescent="0.25"/>
    <row r="1124" hidden="1" outlineLevel="1" x14ac:dyDescent="0.25"/>
    <row r="1125" hidden="1" outlineLevel="1" x14ac:dyDescent="0.25"/>
    <row r="1126" hidden="1" outlineLevel="1" x14ac:dyDescent="0.25"/>
    <row r="1127" hidden="1" outlineLevel="1" x14ac:dyDescent="0.25"/>
    <row r="1128" hidden="1" outlineLevel="1" x14ac:dyDescent="0.25"/>
    <row r="1129" hidden="1" outlineLevel="1" x14ac:dyDescent="0.25"/>
    <row r="1130" hidden="1" outlineLevel="1" x14ac:dyDescent="0.25"/>
    <row r="1131" hidden="1" outlineLevel="1" x14ac:dyDescent="0.25"/>
    <row r="1132" hidden="1" outlineLevel="1" x14ac:dyDescent="0.25"/>
    <row r="1133" hidden="1" outlineLevel="1" x14ac:dyDescent="0.25"/>
    <row r="1134" hidden="1" outlineLevel="1" x14ac:dyDescent="0.25"/>
    <row r="1135" hidden="1" outlineLevel="1" x14ac:dyDescent="0.25"/>
    <row r="1136" hidden="1" outlineLevel="1" x14ac:dyDescent="0.25"/>
    <row r="1137" hidden="1" outlineLevel="1" x14ac:dyDescent="0.25"/>
    <row r="1138" hidden="1" outlineLevel="1" x14ac:dyDescent="0.25"/>
    <row r="1139" hidden="1" outlineLevel="1" x14ac:dyDescent="0.25"/>
    <row r="1140" hidden="1" outlineLevel="1" x14ac:dyDescent="0.25"/>
    <row r="1141" hidden="1" outlineLevel="1" x14ac:dyDescent="0.25"/>
    <row r="1142" hidden="1" outlineLevel="1" x14ac:dyDescent="0.25"/>
    <row r="1143" hidden="1" outlineLevel="1" x14ac:dyDescent="0.25"/>
    <row r="1144" hidden="1" outlineLevel="1" x14ac:dyDescent="0.25"/>
    <row r="1145" hidden="1" outlineLevel="1" x14ac:dyDescent="0.25"/>
    <row r="1146" hidden="1" outlineLevel="1" x14ac:dyDescent="0.25"/>
    <row r="1147" hidden="1" outlineLevel="1" x14ac:dyDescent="0.25"/>
    <row r="1148" hidden="1" outlineLevel="1" x14ac:dyDescent="0.25"/>
    <row r="1149" hidden="1" outlineLevel="1" x14ac:dyDescent="0.25"/>
    <row r="1150" hidden="1" outlineLevel="1" x14ac:dyDescent="0.25"/>
    <row r="1151" hidden="1" outlineLevel="1" x14ac:dyDescent="0.25"/>
    <row r="1152" hidden="1" outlineLevel="1" x14ac:dyDescent="0.25"/>
    <row r="1153" hidden="1" outlineLevel="1" x14ac:dyDescent="0.25"/>
    <row r="1154" hidden="1" outlineLevel="1" x14ac:dyDescent="0.25"/>
    <row r="1155" hidden="1" outlineLevel="1" x14ac:dyDescent="0.25"/>
    <row r="1156" hidden="1" outlineLevel="1" x14ac:dyDescent="0.25"/>
    <row r="1157" hidden="1" outlineLevel="1" x14ac:dyDescent="0.25"/>
    <row r="1158" hidden="1" outlineLevel="1" x14ac:dyDescent="0.25"/>
    <row r="1159" hidden="1" outlineLevel="1" x14ac:dyDescent="0.25"/>
    <row r="1160" hidden="1" outlineLevel="1" x14ac:dyDescent="0.25"/>
    <row r="1161" hidden="1" outlineLevel="1" x14ac:dyDescent="0.25"/>
    <row r="1162" hidden="1" outlineLevel="1" x14ac:dyDescent="0.25"/>
    <row r="1163" hidden="1" outlineLevel="1" x14ac:dyDescent="0.25"/>
    <row r="1164" hidden="1" outlineLevel="1" x14ac:dyDescent="0.25"/>
    <row r="1165" hidden="1" outlineLevel="1" x14ac:dyDescent="0.25"/>
    <row r="1166" hidden="1" outlineLevel="1" x14ac:dyDescent="0.25"/>
    <row r="1167" hidden="1" outlineLevel="1" x14ac:dyDescent="0.25"/>
    <row r="1168" hidden="1" outlineLevel="1" x14ac:dyDescent="0.25"/>
    <row r="1169" hidden="1" outlineLevel="1" x14ac:dyDescent="0.25"/>
    <row r="1170" hidden="1" outlineLevel="1" x14ac:dyDescent="0.25"/>
    <row r="1171" hidden="1" outlineLevel="1" x14ac:dyDescent="0.25"/>
    <row r="1172" hidden="1" outlineLevel="1" x14ac:dyDescent="0.25"/>
    <row r="1173" hidden="1" outlineLevel="1" x14ac:dyDescent="0.25"/>
    <row r="1174" hidden="1" outlineLevel="1" x14ac:dyDescent="0.25"/>
    <row r="1175" hidden="1" outlineLevel="1" x14ac:dyDescent="0.25"/>
    <row r="1176" hidden="1" outlineLevel="1" x14ac:dyDescent="0.25"/>
    <row r="1177" hidden="1" outlineLevel="1" x14ac:dyDescent="0.25"/>
    <row r="1178" hidden="1" outlineLevel="1" x14ac:dyDescent="0.25"/>
    <row r="1179" hidden="1" outlineLevel="1" x14ac:dyDescent="0.25"/>
    <row r="1180" hidden="1" outlineLevel="1" x14ac:dyDescent="0.25"/>
    <row r="1181" hidden="1" outlineLevel="1" x14ac:dyDescent="0.25"/>
    <row r="1182" hidden="1" outlineLevel="1" x14ac:dyDescent="0.25"/>
    <row r="1183" hidden="1" outlineLevel="1" x14ac:dyDescent="0.25"/>
    <row r="1184" hidden="1" outlineLevel="1" x14ac:dyDescent="0.25"/>
    <row r="1185" hidden="1" outlineLevel="1" x14ac:dyDescent="0.25"/>
    <row r="1186" hidden="1" outlineLevel="1" x14ac:dyDescent="0.25"/>
    <row r="1187" hidden="1" outlineLevel="1" x14ac:dyDescent="0.25"/>
    <row r="1188" hidden="1" outlineLevel="1" x14ac:dyDescent="0.25"/>
    <row r="1189" hidden="1" outlineLevel="1" x14ac:dyDescent="0.25"/>
    <row r="1190" hidden="1" outlineLevel="1" x14ac:dyDescent="0.25"/>
    <row r="1191" hidden="1" outlineLevel="1" x14ac:dyDescent="0.25"/>
    <row r="1192" hidden="1" outlineLevel="1" x14ac:dyDescent="0.25"/>
    <row r="1193" hidden="1" outlineLevel="1" x14ac:dyDescent="0.25"/>
    <row r="1194" hidden="1" outlineLevel="1" x14ac:dyDescent="0.25"/>
    <row r="1195" hidden="1" outlineLevel="1" x14ac:dyDescent="0.25"/>
    <row r="1196" hidden="1" outlineLevel="1" x14ac:dyDescent="0.25"/>
    <row r="1197" hidden="1" outlineLevel="1" x14ac:dyDescent="0.25"/>
    <row r="1198" hidden="1" outlineLevel="1" x14ac:dyDescent="0.25"/>
    <row r="1199" hidden="1" outlineLevel="1" x14ac:dyDescent="0.25"/>
    <row r="1200" hidden="1" outlineLevel="1" x14ac:dyDescent="0.25"/>
    <row r="1201" hidden="1" outlineLevel="1" x14ac:dyDescent="0.25"/>
    <row r="1202" hidden="1" outlineLevel="1" x14ac:dyDescent="0.25"/>
    <row r="1203" hidden="1" outlineLevel="1" x14ac:dyDescent="0.25"/>
    <row r="1204" hidden="1" outlineLevel="1" x14ac:dyDescent="0.25"/>
    <row r="1205" hidden="1" outlineLevel="1" x14ac:dyDescent="0.25"/>
    <row r="1206" hidden="1" outlineLevel="1" x14ac:dyDescent="0.25"/>
    <row r="1207" hidden="1" outlineLevel="1" x14ac:dyDescent="0.25"/>
    <row r="1208" hidden="1" outlineLevel="1" x14ac:dyDescent="0.25"/>
    <row r="1209" hidden="1" outlineLevel="1" x14ac:dyDescent="0.25"/>
    <row r="1210" hidden="1" outlineLevel="1" x14ac:dyDescent="0.25"/>
    <row r="1211" hidden="1" outlineLevel="1" x14ac:dyDescent="0.25"/>
    <row r="1212" hidden="1" outlineLevel="1" x14ac:dyDescent="0.25"/>
    <row r="1213" hidden="1" outlineLevel="1" x14ac:dyDescent="0.25"/>
    <row r="1214" hidden="1" outlineLevel="1" x14ac:dyDescent="0.25"/>
    <row r="1215" hidden="1" outlineLevel="1" x14ac:dyDescent="0.25"/>
    <row r="1216" hidden="1" outlineLevel="1" x14ac:dyDescent="0.25"/>
    <row r="1217" hidden="1" outlineLevel="1" x14ac:dyDescent="0.25"/>
    <row r="1218" hidden="1" outlineLevel="1" x14ac:dyDescent="0.25"/>
    <row r="1219" hidden="1" outlineLevel="1" x14ac:dyDescent="0.25"/>
    <row r="1220" hidden="1" outlineLevel="1" x14ac:dyDescent="0.25"/>
    <row r="1221" hidden="1" outlineLevel="1" x14ac:dyDescent="0.25"/>
    <row r="1222" hidden="1" outlineLevel="1" x14ac:dyDescent="0.25"/>
    <row r="1223" hidden="1" outlineLevel="1" x14ac:dyDescent="0.25"/>
    <row r="1224" hidden="1" outlineLevel="1" x14ac:dyDescent="0.25"/>
    <row r="1225" hidden="1" outlineLevel="1" x14ac:dyDescent="0.25"/>
    <row r="1226" hidden="1" outlineLevel="1" x14ac:dyDescent="0.25"/>
    <row r="1227" hidden="1" outlineLevel="1" x14ac:dyDescent="0.25"/>
    <row r="1228" hidden="1" outlineLevel="1" x14ac:dyDescent="0.25"/>
    <row r="1229" hidden="1" outlineLevel="1" x14ac:dyDescent="0.25"/>
    <row r="1230" hidden="1" outlineLevel="1" x14ac:dyDescent="0.25"/>
    <row r="1231" hidden="1" outlineLevel="1" x14ac:dyDescent="0.25"/>
    <row r="1232" hidden="1" outlineLevel="1" x14ac:dyDescent="0.25"/>
    <row r="1233" hidden="1" outlineLevel="1" x14ac:dyDescent="0.25"/>
    <row r="1234" hidden="1" outlineLevel="1" x14ac:dyDescent="0.25"/>
    <row r="1235" hidden="1" outlineLevel="1" x14ac:dyDescent="0.25"/>
    <row r="1236" hidden="1" outlineLevel="1" x14ac:dyDescent="0.25"/>
    <row r="1237" hidden="1" outlineLevel="1" x14ac:dyDescent="0.25"/>
    <row r="1238" hidden="1" outlineLevel="1" x14ac:dyDescent="0.25"/>
    <row r="1239" hidden="1" outlineLevel="1" x14ac:dyDescent="0.25"/>
    <row r="1240" hidden="1" outlineLevel="1" x14ac:dyDescent="0.25"/>
    <row r="1241" hidden="1" outlineLevel="1" x14ac:dyDescent="0.25"/>
    <row r="1242" hidden="1" outlineLevel="1" x14ac:dyDescent="0.25"/>
    <row r="1243" hidden="1" outlineLevel="1" x14ac:dyDescent="0.25"/>
    <row r="1244" hidden="1" outlineLevel="1" x14ac:dyDescent="0.25"/>
    <row r="1245" hidden="1" outlineLevel="1" x14ac:dyDescent="0.25"/>
    <row r="1246" hidden="1" outlineLevel="1" x14ac:dyDescent="0.25"/>
    <row r="1247" hidden="1" outlineLevel="1" x14ac:dyDescent="0.25"/>
    <row r="1248" hidden="1" outlineLevel="1" x14ac:dyDescent="0.25"/>
    <row r="1249" hidden="1" outlineLevel="1" x14ac:dyDescent="0.25"/>
    <row r="1250" hidden="1" outlineLevel="1" x14ac:dyDescent="0.25"/>
    <row r="1251" hidden="1" outlineLevel="1" x14ac:dyDescent="0.25"/>
    <row r="1252" hidden="1" outlineLevel="1" x14ac:dyDescent="0.25"/>
    <row r="1253" hidden="1" outlineLevel="1" x14ac:dyDescent="0.25"/>
    <row r="1254" hidden="1" outlineLevel="1" x14ac:dyDescent="0.25"/>
    <row r="1255" hidden="1" outlineLevel="1" x14ac:dyDescent="0.25"/>
    <row r="1256" hidden="1" outlineLevel="1" x14ac:dyDescent="0.25"/>
    <row r="1257" hidden="1" outlineLevel="1" x14ac:dyDescent="0.25"/>
    <row r="1258" hidden="1" outlineLevel="1" x14ac:dyDescent="0.25"/>
    <row r="1259" hidden="1" outlineLevel="1" x14ac:dyDescent="0.25"/>
    <row r="1260" hidden="1" outlineLevel="1" x14ac:dyDescent="0.25"/>
    <row r="1261" hidden="1" outlineLevel="1" x14ac:dyDescent="0.25"/>
    <row r="1262" hidden="1" outlineLevel="1" x14ac:dyDescent="0.25"/>
    <row r="1263" hidden="1" outlineLevel="1" x14ac:dyDescent="0.25"/>
    <row r="1264" hidden="1" outlineLevel="1" x14ac:dyDescent="0.25"/>
    <row r="1265" hidden="1" outlineLevel="1" x14ac:dyDescent="0.25"/>
    <row r="1266" hidden="1" outlineLevel="1" x14ac:dyDescent="0.25"/>
    <row r="1267" hidden="1" outlineLevel="1" x14ac:dyDescent="0.25"/>
    <row r="1268" hidden="1" outlineLevel="1" x14ac:dyDescent="0.25"/>
    <row r="1269" hidden="1" outlineLevel="1" x14ac:dyDescent="0.25"/>
    <row r="1270" hidden="1" outlineLevel="1" x14ac:dyDescent="0.25"/>
    <row r="1271" hidden="1" outlineLevel="1" x14ac:dyDescent="0.25"/>
    <row r="1272" hidden="1" outlineLevel="1" x14ac:dyDescent="0.25"/>
    <row r="1273" hidden="1" outlineLevel="1" x14ac:dyDescent="0.25"/>
    <row r="1274" hidden="1" outlineLevel="1" x14ac:dyDescent="0.25"/>
    <row r="1275" hidden="1" outlineLevel="1" x14ac:dyDescent="0.25"/>
    <row r="1276" hidden="1" outlineLevel="1" x14ac:dyDescent="0.25"/>
    <row r="1277" hidden="1" outlineLevel="1" x14ac:dyDescent="0.25"/>
    <row r="1278" hidden="1" outlineLevel="1" x14ac:dyDescent="0.25"/>
    <row r="1279" hidden="1" outlineLevel="1" x14ac:dyDescent="0.25"/>
    <row r="1280" hidden="1" outlineLevel="1" x14ac:dyDescent="0.25"/>
    <row r="1281" hidden="1" outlineLevel="1" x14ac:dyDescent="0.25"/>
    <row r="1282" hidden="1" outlineLevel="1" x14ac:dyDescent="0.25"/>
    <row r="1283" hidden="1" outlineLevel="1" x14ac:dyDescent="0.25"/>
    <row r="1284" hidden="1" outlineLevel="1" x14ac:dyDescent="0.25"/>
    <row r="1285" hidden="1" outlineLevel="1" x14ac:dyDescent="0.25"/>
    <row r="1286" hidden="1" outlineLevel="1" x14ac:dyDescent="0.25"/>
    <row r="1287" hidden="1" outlineLevel="1" x14ac:dyDescent="0.25"/>
    <row r="1288" hidden="1" outlineLevel="1" x14ac:dyDescent="0.25"/>
    <row r="1289" hidden="1" outlineLevel="1" x14ac:dyDescent="0.25"/>
    <row r="1290" hidden="1" outlineLevel="1" x14ac:dyDescent="0.25"/>
    <row r="1291" hidden="1" outlineLevel="1" x14ac:dyDescent="0.25"/>
    <row r="1292" hidden="1" outlineLevel="1" x14ac:dyDescent="0.25"/>
    <row r="1293" hidden="1" outlineLevel="1" x14ac:dyDescent="0.25"/>
    <row r="1294" hidden="1" outlineLevel="1" x14ac:dyDescent="0.25"/>
    <row r="1295" hidden="1" outlineLevel="1" x14ac:dyDescent="0.25"/>
    <row r="1296" hidden="1" outlineLevel="1" x14ac:dyDescent="0.25"/>
    <row r="1297" hidden="1" outlineLevel="1" x14ac:dyDescent="0.25"/>
    <row r="1298" hidden="1" outlineLevel="1" x14ac:dyDescent="0.25"/>
    <row r="1299" hidden="1" outlineLevel="1" x14ac:dyDescent="0.25"/>
    <row r="1300" collapsed="1" x14ac:dyDescent="0.25"/>
  </sheetData>
  <sheetProtection algorithmName="SHA-512" hashValue="zB0l1R+HXPthazl28SIse7BWy/2owUwxHSc4mJ6ZZV3gH8fly86jnVb7T0FOjg0qXXXZc19WTJnhGwjXYgrhPQ==" saltValue="9z/Yt4d55zrSEDOYVuX1PA==" spinCount="100000" sheet="1" objects="1" scenarios="1" selectLockedCells="1" selectUnlockedCells="1"/>
  <mergeCells count="65">
    <mergeCell ref="F128:H133"/>
    <mergeCell ref="C131:D131"/>
    <mergeCell ref="C132:D132"/>
    <mergeCell ref="C133:D133"/>
    <mergeCell ref="N17:P22"/>
    <mergeCell ref="B49:D49"/>
    <mergeCell ref="B116:D116"/>
    <mergeCell ref="G122:H122"/>
    <mergeCell ref="F125:H125"/>
    <mergeCell ref="B183:D183"/>
    <mergeCell ref="G189:H189"/>
    <mergeCell ref="F192:H192"/>
    <mergeCell ref="F195:H200"/>
    <mergeCell ref="C198:D198"/>
    <mergeCell ref="C199:D199"/>
    <mergeCell ref="C200:D200"/>
    <mergeCell ref="B250:D250"/>
    <mergeCell ref="G256:H256"/>
    <mergeCell ref="F259:H259"/>
    <mergeCell ref="F262:H267"/>
    <mergeCell ref="C265:D265"/>
    <mergeCell ref="C266:D266"/>
    <mergeCell ref="C267:D267"/>
    <mergeCell ref="B317:D317"/>
    <mergeCell ref="G323:H323"/>
    <mergeCell ref="F326:H326"/>
    <mergeCell ref="F329:H334"/>
    <mergeCell ref="C332:D332"/>
    <mergeCell ref="C333:D333"/>
    <mergeCell ref="C334:D334"/>
    <mergeCell ref="B384:D384"/>
    <mergeCell ref="G390:H390"/>
    <mergeCell ref="F393:H393"/>
    <mergeCell ref="F396:H401"/>
    <mergeCell ref="C399:D399"/>
    <mergeCell ref="C400:D400"/>
    <mergeCell ref="C401:D401"/>
    <mergeCell ref="B451:D451"/>
    <mergeCell ref="G457:H457"/>
    <mergeCell ref="F460:H460"/>
    <mergeCell ref="F463:H468"/>
    <mergeCell ref="C466:D466"/>
    <mergeCell ref="C467:D467"/>
    <mergeCell ref="C468:D468"/>
    <mergeCell ref="B518:D518"/>
    <mergeCell ref="G524:H524"/>
    <mergeCell ref="F527:H527"/>
    <mergeCell ref="F530:H535"/>
    <mergeCell ref="C533:D533"/>
    <mergeCell ref="C534:D534"/>
    <mergeCell ref="C535:D535"/>
    <mergeCell ref="B585:D585"/>
    <mergeCell ref="G591:H591"/>
    <mergeCell ref="F594:H594"/>
    <mergeCell ref="F597:H602"/>
    <mergeCell ref="C600:D600"/>
    <mergeCell ref="C601:D601"/>
    <mergeCell ref="C602:D602"/>
    <mergeCell ref="B652:D652"/>
    <mergeCell ref="G658:H658"/>
    <mergeCell ref="F661:H661"/>
    <mergeCell ref="F664:H669"/>
    <mergeCell ref="C667:D667"/>
    <mergeCell ref="C668:D668"/>
    <mergeCell ref="C669:D669"/>
  </mergeCells>
  <dataValidations count="2">
    <dataValidation type="list" allowBlank="1" showInputMessage="1" showErrorMessage="1" sqref="D4 D71 D138 D205 D272 D339 D406 D473 D540 D607" xr:uid="{25D0500B-FBE5-4D61-890A-12D42489715D}">
      <formula1>Units</formula1>
    </dataValidation>
    <dataValidation allowBlank="1" showInputMessage="1" showErrorMessage="1" sqref="G14:H14 F15:H15 F149:H149 F82:H82 F216:H216 F350:H350 F283:H283 F417:H417 F484:H484 F551:H551 F618:H618" xr:uid="{697FCFDF-5302-4389-AF9E-E0438977AE2B}"/>
  </dataValidations>
  <pageMargins left="0.25" right="0.25" top="1" bottom="1" header="0.5" footer="0.5"/>
  <pageSetup paperSize="9" scale="64" fitToHeight="0" orientation="portrait" r:id="rId1"/>
  <headerFooter alignWithMargins="0">
    <oddHeader>&amp;CProcess Mass Intensity Calculator</oddHeader>
    <oddFooter>&amp;LThe ACS GCI Pharmaceutical Roundtable or American Chemical Society does not guarantee the accuracy of the calculations and accepts no responsibility for any consequence of their use. Comments may be sent to gcipr@acs.org. 2011 Copyright ACS GCI.</oddFooter>
  </headerFooter>
  <rowBreaks count="9" manualBreakCount="9">
    <brk id="65" max="16383" man="1"/>
    <brk id="132" max="16383" man="1"/>
    <brk id="199" max="16383" man="1"/>
    <brk id="266" max="16383" man="1"/>
    <brk id="333" max="16383" man="1"/>
    <brk id="400" max="16383" man="1"/>
    <brk id="467" max="16383" man="1"/>
    <brk id="534" max="16383" man="1"/>
    <brk id="601" max="16383"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FF985CC1803146AC813329A6A9F454" ma:contentTypeVersion="13" ma:contentTypeDescription="Create a new document." ma:contentTypeScope="" ma:versionID="8c52b3a78c0a5613636b50ea421175c6">
  <xsd:schema xmlns:xsd="http://www.w3.org/2001/XMLSchema" xmlns:xs="http://www.w3.org/2001/XMLSchema" xmlns:p="http://schemas.microsoft.com/office/2006/metadata/properties" xmlns:ns3="1e90b97f-f98f-46ec-af61-d68eab596442" xmlns:ns4="42bc80a6-e70b-46da-8b58-190d1ea7ee19" targetNamespace="http://schemas.microsoft.com/office/2006/metadata/properties" ma:root="true" ma:fieldsID="0770944fa1cea886b021da288846e0d9" ns3:_="" ns4:_="">
    <xsd:import namespace="1e90b97f-f98f-46ec-af61-d68eab596442"/>
    <xsd:import namespace="42bc80a6-e70b-46da-8b58-190d1ea7ee1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Location" minOccurs="0"/>
                <xsd:element ref="ns4:MediaServiceAutoKeyPoints" minOccurs="0"/>
                <xsd:element ref="ns4:MediaServiceKeyPoints"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90b97f-f98f-46ec-af61-d68eab59644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bc80a6-e70b-46da-8b58-190d1ea7ee1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64D393-0844-4C66-BADA-8F1BBA435102}">
  <ds:schemaRefs>
    <ds:schemaRef ds:uri="http://purl.org/dc/dcmitype/"/>
    <ds:schemaRef ds:uri="http://schemas.openxmlformats.org/package/2006/metadata/core-properties"/>
    <ds:schemaRef ds:uri="http://schemas.microsoft.com/office/infopath/2007/PartnerControls"/>
    <ds:schemaRef ds:uri="http://www.w3.org/XML/1998/namespace"/>
    <ds:schemaRef ds:uri="1e90b97f-f98f-46ec-af61-d68eab596442"/>
    <ds:schemaRef ds:uri="http://schemas.microsoft.com/office/2006/documentManagement/types"/>
    <ds:schemaRef ds:uri="http://purl.org/dc/terms/"/>
    <ds:schemaRef ds:uri="42bc80a6-e70b-46da-8b58-190d1ea7ee19"/>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C8D33410-9100-4DA4-B59C-3702D1A4D9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90b97f-f98f-46ec-af61-d68eab596442"/>
    <ds:schemaRef ds:uri="42bc80a6-e70b-46da-8b58-190d1ea7ee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DDD67A-5F60-4AD7-84D6-8D5C6D1D27B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Org. Lett. 2013, 15, 3950.</vt:lpstr>
      <vt:lpstr>PMI-Org. Lett. 2013, 15, 3950.</vt:lpstr>
      <vt:lpstr>Metrics template - main chain</vt:lpstr>
      <vt:lpstr>Metrics template - side chain</vt:lpstr>
      <vt:lpstr>Metrics template - side chain 2</vt:lpstr>
      <vt:lpstr>Science 2015, 349, 1087.</vt:lpstr>
      <vt:lpstr>PMI-Science 2015, 349, 1087.</vt:lpstr>
      <vt:lpstr>Metrics template - main chain-b</vt:lpstr>
      <vt:lpstr>Metrics template - side chain-b</vt:lpstr>
      <vt:lpstr>Metrics template - side chain2b</vt:lpstr>
      <vt:lpstr>Metrics template - side chain3b</vt:lpstr>
      <vt:lpstr>Data Analysis</vt:lpstr>
      <vt:lpstr>... additional information</vt:lpstr>
      <vt:lpstr>ChemTrans</vt:lpstr>
      <vt:lpstr>InternExtern</vt:lpstr>
      <vt:lpstr>Technologies</vt:lpstr>
      <vt:lpstr>'... additional information'!transformations</vt:lpstr>
      <vt:lpstr>Units</vt:lpstr>
    </vt:vector>
  </TitlesOfParts>
  <Company>Novartis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michael-1.luescher@novartis.com</dc:creator>
  <cp:lastModifiedBy>Luescher, Michael-1</cp:lastModifiedBy>
  <cp:lastPrinted>2012-01-27T12:17:56Z</cp:lastPrinted>
  <dcterms:created xsi:type="dcterms:W3CDTF">2011-11-21T12:27:11Z</dcterms:created>
  <dcterms:modified xsi:type="dcterms:W3CDTF">2024-05-03T15:22:25Z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929bff8-5b33-42aa-95d2-28f72e792cb0_Enabled">
    <vt:lpwstr>True</vt:lpwstr>
  </property>
  <property fmtid="{D5CDD505-2E9C-101B-9397-08002B2CF9AE}" pid="3" name="MSIP_Label_4929bff8-5b33-42aa-95d2-28f72e792cb0_SiteId">
    <vt:lpwstr>f35a6974-607f-47d4-82d7-ff31d7dc53a5</vt:lpwstr>
  </property>
  <property fmtid="{D5CDD505-2E9C-101B-9397-08002B2CF9AE}" pid="4" name="MSIP_Label_4929bff8-5b33-42aa-95d2-28f72e792cb0_SetDate">
    <vt:lpwstr>2019-02-01T15:13:06.8270173Z</vt:lpwstr>
  </property>
  <property fmtid="{D5CDD505-2E9C-101B-9397-08002B2CF9AE}" pid="5" name="MSIP_Label_4929bff8-5b33-42aa-95d2-28f72e792cb0_Name">
    <vt:lpwstr>Business Use Only</vt:lpwstr>
  </property>
  <property fmtid="{D5CDD505-2E9C-101B-9397-08002B2CF9AE}" pid="6" name="MSIP_Label_4929bff8-5b33-42aa-95d2-28f72e792cb0_Extended_MSFT_Method">
    <vt:lpwstr>Automatic</vt:lpwstr>
  </property>
  <property fmtid="{D5CDD505-2E9C-101B-9397-08002B2CF9AE}" pid="7" name="Confidentiality">
    <vt:lpwstr>Business Use Only</vt:lpwstr>
  </property>
  <property fmtid="{D5CDD505-2E9C-101B-9397-08002B2CF9AE}" pid="8" name="ContentTypeId">
    <vt:lpwstr>0x01010041FF985CC1803146AC813329A6A9F454</vt:lpwstr>
  </property>
</Properties>
</file>