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https://ynuacjpoffice365-my.sharepoint.com/personal/philippi-frederik-fb_ynu_ac_jp/Documents/Data/ESIdata/"/>
    </mc:Choice>
  </mc:AlternateContent>
  <xr:revisionPtr revIDLastSave="255" documentId="13_ncr:1_{29715127-F733-412A-B474-AC6B85BA2F24}" xr6:coauthVersionLast="47" xr6:coauthVersionMax="47" xr10:uidLastSave="{B35104CB-9A22-4F5B-8735-A4C19A439CE0}"/>
  <bookViews>
    <workbookView xWindow="-120" yWindow="-120" windowWidth="29040" windowHeight="15720" xr2:uid="{00000000-000D-0000-FFFF-FFFF00000000}"/>
  </bookViews>
  <sheets>
    <sheet name="LiSL2TfNCN" sheetId="1" r:id="rId1"/>
    <sheet name="LiSL2TfNMs" sheetId="2" r:id="rId2"/>
    <sheet name="LiSL2TfNAc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1" i="1" l="1"/>
  <c r="C20" i="1"/>
  <c r="C19" i="1"/>
  <c r="H29" i="3"/>
  <c r="H28" i="3"/>
  <c r="H29" i="2"/>
  <c r="H28" i="2"/>
  <c r="H29" i="1"/>
  <c r="H28" i="1"/>
  <c r="D18" i="1" l="1"/>
  <c r="C16" i="1"/>
  <c r="C15" i="1"/>
  <c r="C14" i="1"/>
  <c r="C18" i="3"/>
  <c r="C18" i="2" l="1"/>
  <c r="D18" i="3"/>
  <c r="D12" i="2" l="1"/>
  <c r="D12" i="3"/>
  <c r="H23" i="3" l="1"/>
  <c r="H22" i="3"/>
  <c r="C15" i="3"/>
  <c r="D15" i="3"/>
  <c r="D11" i="3"/>
  <c r="D10" i="3" s="1"/>
  <c r="C11" i="3"/>
  <c r="C10" i="3"/>
  <c r="H23" i="2"/>
  <c r="H22" i="2"/>
  <c r="D18" i="2"/>
  <c r="C15" i="2"/>
  <c r="D15" i="2"/>
  <c r="D11" i="2"/>
  <c r="D10" i="2" s="1"/>
  <c r="C11" i="2"/>
  <c r="C11" i="1"/>
  <c r="C18" i="1"/>
  <c r="D14" i="3" l="1"/>
  <c r="D16" i="3" s="1"/>
  <c r="D14" i="2"/>
  <c r="D16" i="2" s="1"/>
  <c r="D34" i="3"/>
  <c r="D34" i="2"/>
  <c r="C34" i="3"/>
  <c r="C14" i="3"/>
  <c r="C16" i="3" s="1"/>
  <c r="C14" i="2"/>
  <c r="C16" i="2" s="1"/>
  <c r="C10" i="2"/>
  <c r="C34" i="2"/>
  <c r="C31" i="1"/>
  <c r="C10" i="1"/>
  <c r="D12" i="1"/>
  <c r="C19" i="3" l="1"/>
  <c r="C24" i="3" s="1"/>
  <c r="H16" i="3"/>
  <c r="C20" i="2"/>
  <c r="C25" i="2" s="1"/>
  <c r="C19" i="2"/>
  <c r="C28" i="2" s="1"/>
  <c r="H16" i="2"/>
  <c r="C21" i="2"/>
  <c r="C29" i="2" s="1"/>
  <c r="D32" i="3"/>
  <c r="C21" i="3"/>
  <c r="C20" i="3"/>
  <c r="C25" i="3" s="1"/>
  <c r="C32" i="3"/>
  <c r="C31" i="3"/>
  <c r="D21" i="3"/>
  <c r="D19" i="3"/>
  <c r="D20" i="3"/>
  <c r="D25" i="3" s="1"/>
  <c r="C32" i="2"/>
  <c r="C36" i="2"/>
  <c r="C31" i="2"/>
  <c r="D21" i="2"/>
  <c r="H21" i="2" s="1"/>
  <c r="D20" i="2"/>
  <c r="D25" i="2" s="1"/>
  <c r="D19" i="2"/>
  <c r="D32" i="2"/>
  <c r="C25" i="1"/>
  <c r="C24" i="1"/>
  <c r="C26" i="1" s="1"/>
  <c r="C32" i="1"/>
  <c r="D11" i="1"/>
  <c r="D15" i="1"/>
  <c r="C26" i="3" l="1"/>
  <c r="D29" i="3"/>
  <c r="H21" i="3"/>
  <c r="C29" i="3"/>
  <c r="D36" i="3"/>
  <c r="D28" i="3"/>
  <c r="D24" i="3"/>
  <c r="D26" i="3" s="1"/>
  <c r="H26" i="3" s="1"/>
  <c r="H25" i="3"/>
  <c r="H20" i="3"/>
  <c r="C37" i="3"/>
  <c r="C36" i="3"/>
  <c r="C28" i="3"/>
  <c r="H19" i="3"/>
  <c r="C24" i="2"/>
  <c r="C37" i="2"/>
  <c r="H25" i="2"/>
  <c r="D29" i="2"/>
  <c r="D24" i="2"/>
  <c r="D26" i="2" s="1"/>
  <c r="D36" i="2"/>
  <c r="D28" i="2"/>
  <c r="H19" i="2"/>
  <c r="H20" i="2"/>
  <c r="C28" i="1"/>
  <c r="C36" i="1"/>
  <c r="C29" i="1"/>
  <c r="D10" i="1"/>
  <c r="D14" i="1"/>
  <c r="H23" i="1"/>
  <c r="H22" i="1"/>
  <c r="C26" i="2" l="1"/>
  <c r="C38" i="2" s="1"/>
  <c r="H24" i="3"/>
  <c r="H24" i="2"/>
  <c r="C34" i="1"/>
  <c r="D34" i="1"/>
  <c r="D16" i="1"/>
  <c r="D32" i="1" l="1"/>
  <c r="H16" i="1"/>
  <c r="H26" i="2"/>
  <c r="C38" i="3"/>
  <c r="C37" i="1"/>
  <c r="D19" i="1"/>
  <c r="D20" i="1"/>
  <c r="D25" i="1" s="1"/>
  <c r="D21" i="1"/>
  <c r="H20" i="1" l="1"/>
  <c r="H25" i="1"/>
  <c r="D36" i="1"/>
  <c r="D29" i="1"/>
  <c r="H21" i="1"/>
  <c r="D28" i="1"/>
  <c r="D24" i="1"/>
  <c r="D26" i="1" s="1"/>
  <c r="H19" i="1"/>
  <c r="H24" i="1"/>
  <c r="C38" i="1" l="1"/>
  <c r="H26" i="1"/>
</calcChain>
</file>

<file path=xl/sharedStrings.xml><?xml version="1.0" encoding="utf-8"?>
<sst xmlns="http://schemas.openxmlformats.org/spreadsheetml/2006/main" count="130" uniqueCount="32">
  <si>
    <r>
      <t xml:space="preserve">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 xml:space="preserve"> Li</t>
    </r>
  </si>
  <si>
    <r>
      <t xml:space="preserve">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 xml:space="preserve"> Sulfolane</t>
    </r>
  </si>
  <si>
    <r>
      <t xml:space="preserve"> </t>
    </r>
    <r>
      <rPr>
        <sz val="11"/>
        <color theme="1"/>
        <rFont val="Calibri"/>
        <family val="2"/>
      </rPr>
      <t>µ</t>
    </r>
    <r>
      <rPr>
        <sz val="11"/>
        <color theme="1"/>
        <rFont val="Calibri"/>
        <family val="2"/>
        <scheme val="minor"/>
      </rPr>
      <t xml:space="preserve"> Anion</t>
    </r>
  </si>
  <si>
    <t>value</t>
  </si>
  <si>
    <t>error</t>
  </si>
  <si>
    <t>(m^2/Vs)</t>
  </si>
  <si>
    <t>tPPLi</t>
  </si>
  <si>
    <t>self +</t>
  </si>
  <si>
    <t>self -</t>
  </si>
  <si>
    <t>distinct ++</t>
  </si>
  <si>
    <t>distinct --</t>
  </si>
  <si>
    <t>𝜎++</t>
  </si>
  <si>
    <t>𝜎--</t>
  </si>
  <si>
    <t>𝜎+-</t>
  </si>
  <si>
    <t>c sulfolane</t>
  </si>
  <si>
    <t>c lithium</t>
  </si>
  <si>
    <t>c anion</t>
  </si>
  <si>
    <t>t µ Li</t>
  </si>
  <si>
    <t>S / m</t>
  </si>
  <si>
    <t>cross</t>
  </si>
  <si>
    <t>alpha</t>
  </si>
  <si>
    <t>beta</t>
  </si>
  <si>
    <t>Nernst-Einstein</t>
  </si>
  <si>
    <t>Ionicity</t>
  </si>
  <si>
    <t>check</t>
  </si>
  <si>
    <t>teNMR</t>
  </si>
  <si>
    <t>tABC</t>
  </si>
  <si>
    <t>conductivity</t>
  </si>
  <si>
    <t>sigma Li</t>
  </si>
  <si>
    <t>sigma Anion</t>
  </si>
  <si>
    <t>𝜎 𝑖𝑜𝑛 eNMR</t>
  </si>
  <si>
    <t>mass ratio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</si>
</sst>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9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0" xfId="0" applyFont="1"/>
    <xf numFmtId="164" fontId="0" fillId="0" borderId="0" xfId="0" applyNumberFormat="1" applyAlignment="1">
      <alignment horizontal="right"/>
    </xf>
    <xf numFmtId="164" fontId="4" fillId="0" borderId="0" xfId="0" applyNumberFormat="1" applyFont="1" applyAlignment="1">
      <alignment horizontal="right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5" xfId="0" applyFont="1" applyBorder="1"/>
    <xf numFmtId="0" fontId="3" fillId="0" borderId="6" xfId="0" applyFont="1" applyBorder="1"/>
    <xf numFmtId="164" fontId="0" fillId="0" borderId="0" xfId="0" applyNumberFormat="1"/>
    <xf numFmtId="11" fontId="0" fillId="0" borderId="0" xfId="0" applyNumberFormat="1"/>
    <xf numFmtId="9" fontId="0" fillId="0" borderId="0" xfId="1" applyFont="1"/>
    <xf numFmtId="0" fontId="0" fillId="2" borderId="0" xfId="0" applyFill="1"/>
    <xf numFmtId="165" fontId="0" fillId="0" borderId="0" xfId="0" applyNumberFormat="1"/>
    <xf numFmtId="11" fontId="3" fillId="0" borderId="1" xfId="0" applyNumberFormat="1" applyFont="1" applyBorder="1"/>
    <xf numFmtId="11" fontId="3" fillId="0" borderId="2" xfId="0" applyNumberFormat="1" applyFont="1" applyBorder="1"/>
    <xf numFmtId="0" fontId="4" fillId="0" borderId="0" xfId="0" applyFont="1"/>
    <xf numFmtId="11" fontId="4" fillId="0" borderId="0" xfId="0" applyNumberFormat="1" applyFont="1"/>
    <xf numFmtId="0" fontId="4" fillId="0" borderId="0" xfId="0" quotePrefix="1" applyFont="1"/>
    <xf numFmtId="0" fontId="5" fillId="0" borderId="1" xfId="0" applyFont="1" applyBorder="1"/>
    <xf numFmtId="0" fontId="5" fillId="0" borderId="2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3" xfId="0" applyFont="1" applyBorder="1"/>
    <xf numFmtId="0" fontId="5" fillId="0" borderId="4" xfId="0" applyFont="1" applyBorder="1"/>
    <xf numFmtId="0" fontId="5" fillId="0" borderId="0" xfId="0" applyFont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38"/>
  <sheetViews>
    <sheetView tabSelected="1" workbookViewId="0">
      <selection activeCell="C22" sqref="C22:D23"/>
    </sheetView>
  </sheetViews>
  <sheetFormatPr defaultRowHeight="15" x14ac:dyDescent="0.25"/>
  <cols>
    <col min="2" max="2" width="13.28515625" bestFit="1" customWidth="1"/>
    <col min="3" max="3" width="12.7109375" bestFit="1" customWidth="1"/>
    <col min="4" max="4" width="12" bestFit="1" customWidth="1"/>
  </cols>
  <sheetData>
    <row r="2" spans="2:8" ht="15.75" thickBot="1" x14ac:dyDescent="0.3">
      <c r="C2" t="s">
        <v>3</v>
      </c>
      <c r="D2" t="s">
        <v>4</v>
      </c>
    </row>
    <row r="3" spans="2:8" x14ac:dyDescent="0.25">
      <c r="B3" t="s">
        <v>0</v>
      </c>
      <c r="C3" s="15">
        <v>4.1466666666666668E-11</v>
      </c>
      <c r="D3" s="16">
        <v>4.816729856400613E-12</v>
      </c>
      <c r="E3" t="s">
        <v>5</v>
      </c>
    </row>
    <row r="4" spans="2:8" x14ac:dyDescent="0.25">
      <c r="B4" t="s">
        <v>1</v>
      </c>
      <c r="C4" s="8">
        <v>5.4320000000000003E-12</v>
      </c>
      <c r="D4" s="9">
        <v>1.9825786420232738E-12</v>
      </c>
      <c r="E4" t="s">
        <v>5</v>
      </c>
    </row>
    <row r="5" spans="2:8" x14ac:dyDescent="0.25">
      <c r="B5" t="s">
        <v>2</v>
      </c>
      <c r="C5" s="8">
        <v>-1.27E-11</v>
      </c>
      <c r="D5" s="9">
        <v>1.8393512168803137E-12</v>
      </c>
      <c r="E5" t="s">
        <v>5</v>
      </c>
    </row>
    <row r="6" spans="2:8" ht="15.75" thickBot="1" x14ac:dyDescent="0.3">
      <c r="B6" t="s">
        <v>6</v>
      </c>
      <c r="C6" s="6">
        <v>0.83197953052475704</v>
      </c>
      <c r="D6" s="7">
        <v>8.4182832736818571E-3</v>
      </c>
    </row>
    <row r="7" spans="2:8" x14ac:dyDescent="0.25">
      <c r="C7" s="1"/>
      <c r="D7" s="1"/>
    </row>
    <row r="8" spans="2:8" x14ac:dyDescent="0.25">
      <c r="C8" s="1"/>
      <c r="D8" s="1"/>
    </row>
    <row r="9" spans="2:8" ht="15.75" thickBot="1" x14ac:dyDescent="0.3"/>
    <row r="10" spans="2:8" x14ac:dyDescent="0.25">
      <c r="B10" t="s">
        <v>14</v>
      </c>
      <c r="C10" s="4">
        <f>C11*2</f>
        <v>6.8524856263595799</v>
      </c>
      <c r="D10" s="5">
        <f>D11*2</f>
        <v>4.2851604540101399E-3</v>
      </c>
    </row>
    <row r="11" spans="2:8" x14ac:dyDescent="0.25">
      <c r="B11" t="s">
        <v>15</v>
      </c>
      <c r="C11" s="8">
        <f>C12</f>
        <v>3.42624281317979</v>
      </c>
      <c r="D11" s="9">
        <f>D12</f>
        <v>2.14258022700507E-3</v>
      </c>
    </row>
    <row r="12" spans="2:8" ht="15.75" thickBot="1" x14ac:dyDescent="0.3">
      <c r="B12" t="s">
        <v>16</v>
      </c>
      <c r="C12" s="6">
        <v>3.42624281317979</v>
      </c>
      <c r="D12" s="7">
        <f>2.14258022700507/1000</f>
        <v>2.14258022700507E-3</v>
      </c>
    </row>
    <row r="14" spans="2:8" x14ac:dyDescent="0.25">
      <c r="B14" s="17" t="s">
        <v>28</v>
      </c>
      <c r="C14" s="18">
        <f>C3*96485000*C11</f>
        <v>1.3708093702002905E-2</v>
      </c>
      <c r="D14" s="17">
        <f>SQRT((D3*96485000*C11)^2+(C3*96485000*D11)^2)</f>
        <v>1.5923426291810647E-3</v>
      </c>
      <c r="E14" t="s">
        <v>18</v>
      </c>
    </row>
    <row r="15" spans="2:8" x14ac:dyDescent="0.25">
      <c r="B15" s="17" t="s">
        <v>29</v>
      </c>
      <c r="C15" s="17">
        <f>-C5*96485000*C12</f>
        <v>4.198379180436581E-3</v>
      </c>
      <c r="D15" s="17">
        <f>SQRT((D5*96485000*C12)^2+(C5*96485000*D12)^2)</f>
        <v>6.0806030216731407E-4</v>
      </c>
      <c r="E15" t="s">
        <v>18</v>
      </c>
    </row>
    <row r="16" spans="2:8" x14ac:dyDescent="0.25">
      <c r="B16" s="17" t="s">
        <v>30</v>
      </c>
      <c r="C16" s="18">
        <f>C14+C15</f>
        <v>1.7906472882439486E-2</v>
      </c>
      <c r="D16" s="17">
        <f>SQRT((D14)^2+(D15)^2)</f>
        <v>1.7044918244975746E-3</v>
      </c>
      <c r="H16" s="13" t="str">
        <f>TEXT(10*C16,"0.000")&amp;"("&amp;TEXT(10*1000*D16,"0")&amp;")"&amp;" mS/cm"</f>
        <v>0.179(17) mS/cm</v>
      </c>
    </row>
    <row r="18" spans="2:8" x14ac:dyDescent="0.25">
      <c r="B18" t="s">
        <v>17</v>
      </c>
      <c r="C18" s="11">
        <f>C3/(C3-C5)</f>
        <v>0.76553846153846161</v>
      </c>
      <c r="D18">
        <f>SQRT((D3*(C5)/(C3-C5)^2)^2+(D5*C3/(C3-C5)^2)^2)</f>
        <v>3.3323629599215102E-2</v>
      </c>
    </row>
    <row r="19" spans="2:8" x14ac:dyDescent="0.25">
      <c r="B19" t="s">
        <v>11</v>
      </c>
      <c r="C19" s="11">
        <f>C16*(2*C18*C6-C6-C18^2)/(C6-1)</f>
        <v>1.5368277140539933E-2</v>
      </c>
      <c r="D19">
        <f>SQRT((D16*(2*C18*C6-C6-C18^2)/(C6-1))^2+(D18*(2*C16*(C6-C18))/(C6-1))^2+(D6*(C16*(C18-1)^2)/((C6-1)^2))^2)</f>
        <v>1.5648954902581914E-3</v>
      </c>
      <c r="E19" t="s">
        <v>18</v>
      </c>
      <c r="H19" s="13" t="str">
        <f>TEXT(10*C19,"0.000")&amp;"("&amp;TEXT(10*1000*D19,"0")&amp;")"&amp;" mS/cm"</f>
        <v>0.154(16) mS/cm</v>
      </c>
    </row>
    <row r="20" spans="2:8" x14ac:dyDescent="0.25">
      <c r="B20" s="17" t="s">
        <v>12</v>
      </c>
      <c r="C20" s="11">
        <f>C16*((C18*C6-C6+C18-C18^2)^2)/((1-C6)*(C6-C18)^2)</f>
        <v>5.8585626189736305E-3</v>
      </c>
      <c r="D20">
        <f>SQRT((D16*((C18*C6-C6+C18-C18^2)^2)/((1-C6)*(C6-C18)^2))^2+(D18*(2*C16*(C18-1))/(C6-1))^2+(D6*C16*(C18-1)^2/((1-C6)^2))^2)</f>
        <v>1.7805887605089837E-3</v>
      </c>
      <c r="E20" t="s">
        <v>18</v>
      </c>
      <c r="H20" s="13" t="str">
        <f>TEXT(10*C20,"0.000")&amp;"("&amp;TEXT(10*1000*D20,"0")&amp;")"&amp;" mS/cm"</f>
        <v>0.059(18) mS/cm</v>
      </c>
    </row>
    <row r="21" spans="2:8" ht="15.75" thickBot="1" x14ac:dyDescent="0.3">
      <c r="B21" s="19" t="s">
        <v>13</v>
      </c>
      <c r="C21" s="11">
        <f>C16*((C18*C6-C6+C18-C18^2)/(C6-1))</f>
        <v>1.6601834385370244E-3</v>
      </c>
      <c r="D21">
        <f>SQRT((D16*((C18*C6-C6+C18-C18^2)/(C6-1)))^2+(D6*C16*(C18-1)^2/((C6-1)^2))^2+(D18*C16*(C6-2*C18+1)/(C6-1))^2)</f>
        <v>1.1194181256684275E-3</v>
      </c>
      <c r="E21" t="s">
        <v>18</v>
      </c>
      <c r="H21" s="13" t="str">
        <f>TEXT(10*C21,"0.000")&amp;"("&amp;TEXT(10*1000*D21,"0")&amp;")"&amp;" mS/cm"</f>
        <v>0.017(11) mS/cm</v>
      </c>
    </row>
    <row r="22" spans="2:8" x14ac:dyDescent="0.25">
      <c r="B22" s="17" t="s">
        <v>7</v>
      </c>
      <c r="C22" s="4">
        <v>2.1590850440254022E-2</v>
      </c>
      <c r="D22" s="5">
        <v>1.0745463378406188E-3</v>
      </c>
      <c r="E22" t="s">
        <v>18</v>
      </c>
      <c r="H22" s="13" t="str">
        <f t="shared" ref="H22:H26" si="0">TEXT(10*C22,"0.000")&amp;"("&amp;TEXT(10*1000*D22,"0")&amp;")"&amp;" mS/cm"</f>
        <v>0.216(11) mS/cm</v>
      </c>
    </row>
    <row r="23" spans="2:8" ht="15.75" thickBot="1" x14ac:dyDescent="0.3">
      <c r="B23" s="17" t="s">
        <v>8</v>
      </c>
      <c r="C23" s="6">
        <v>1.30952877912537E-2</v>
      </c>
      <c r="D23" s="7">
        <v>3.6313281135310932E-4</v>
      </c>
      <c r="E23" t="s">
        <v>18</v>
      </c>
      <c r="H23" s="13" t="str">
        <f t="shared" si="0"/>
        <v>0.131(4) mS/cm</v>
      </c>
    </row>
    <row r="24" spans="2:8" x14ac:dyDescent="0.25">
      <c r="B24" s="17" t="s">
        <v>9</v>
      </c>
      <c r="C24" s="2">
        <f>C19-C22</f>
        <v>-6.222573299714089E-3</v>
      </c>
      <c r="D24" s="2">
        <f>SQRT(D19^2+D22^2)</f>
        <v>1.89830127419151E-3</v>
      </c>
      <c r="E24" t="s">
        <v>18</v>
      </c>
      <c r="H24" s="13" t="str">
        <f t="shared" si="0"/>
        <v>-0.062(19) mS/cm</v>
      </c>
    </row>
    <row r="25" spans="2:8" x14ac:dyDescent="0.25">
      <c r="B25" s="17" t="s">
        <v>10</v>
      </c>
      <c r="C25" s="3">
        <f>C20-C23</f>
        <v>-7.2367251722800698E-3</v>
      </c>
      <c r="D25" s="3">
        <f>SQRT(D20^2+D23^2)</f>
        <v>1.8172401527404493E-3</v>
      </c>
      <c r="E25" t="s">
        <v>18</v>
      </c>
      <c r="H25" s="13" t="str">
        <f t="shared" si="0"/>
        <v>-0.072(18) mS/cm</v>
      </c>
    </row>
    <row r="26" spans="2:8" x14ac:dyDescent="0.25">
      <c r="B26" s="17" t="s">
        <v>19</v>
      </c>
      <c r="C26" s="3">
        <f>C24+C25-2*C21</f>
        <v>-1.6779665349068208E-2</v>
      </c>
      <c r="D26" s="3">
        <f>SQRT(D24^2+D25^2+(2*D21)^2)</f>
        <v>3.4522886989111008E-3</v>
      </c>
      <c r="E26" t="s">
        <v>18</v>
      </c>
      <c r="H26" s="13" t="str">
        <f t="shared" si="0"/>
        <v>-0.168(35) mS/cm</v>
      </c>
    </row>
    <row r="27" spans="2:8" x14ac:dyDescent="0.25">
      <c r="C27" s="10"/>
      <c r="D27" s="10"/>
      <c r="H27" s="13"/>
    </row>
    <row r="28" spans="2:8" x14ac:dyDescent="0.25">
      <c r="B28" t="s">
        <v>20</v>
      </c>
      <c r="C28" s="10">
        <f>C19/(C19+C20)</f>
        <v>0.72400212724327428</v>
      </c>
      <c r="D28" s="10">
        <f>SQRT((D19*C19/((C19+C20)^2))^2+(D20*C19/((C19+C20)^2))^2)</f>
        <v>8.0853579476812834E-2</v>
      </c>
      <c r="H28" s="13" t="str">
        <f>TEXT(C28,"0.00")&amp;"("&amp;TEXT(100*D28,"0")&amp;")"</f>
        <v>0.72(8)</v>
      </c>
    </row>
    <row r="29" spans="2:8" x14ac:dyDescent="0.25">
      <c r="B29" t="s">
        <v>21</v>
      </c>
      <c r="C29" s="10">
        <f>2*C21/(C19+C20)</f>
        <v>0.15642304340597418</v>
      </c>
      <c r="D29" s="10">
        <f>SQRT((2*D21/(C19+C20))^2+(2*C21*D19/((C19+C20)^2))^2+(2*C21*D20/((C19+C20)^2))^2)</f>
        <v>0.10690878252525128</v>
      </c>
      <c r="H29" s="13" t="str">
        <f>TEXT(C29,"0.00")&amp;"("&amp;TEXT(100*D29,"0")&amp;")"</f>
        <v>0.16(11)</v>
      </c>
    </row>
    <row r="31" spans="2:8" x14ac:dyDescent="0.25">
      <c r="B31" t="s">
        <v>22</v>
      </c>
      <c r="C31" s="11">
        <f>1-(C16)/(C22+C23)</f>
        <v>0.48375709158150537</v>
      </c>
    </row>
    <row r="32" spans="2:8" x14ac:dyDescent="0.25">
      <c r="B32" t="s">
        <v>23</v>
      </c>
      <c r="C32" s="12">
        <f>(C16)/(C22+C23)</f>
        <v>0.51624290841849463</v>
      </c>
      <c r="D32" s="12">
        <f>SQRT((D16/(C22+C23))^2+(D22*C16/((C22+C23)^2))^2+(D23*C16/((C22+C23)^2))^2)</f>
        <v>5.1959214945427844E-2</v>
      </c>
    </row>
    <row r="34" spans="1:4" x14ac:dyDescent="0.25">
      <c r="B34" t="s">
        <v>31</v>
      </c>
      <c r="C34">
        <f>C18/(1-C18)</f>
        <v>3.2650918635170618</v>
      </c>
      <c r="D34">
        <f>ABS((1/((1-C18)^2))*D18)</f>
        <v>0.60619043276381013</v>
      </c>
    </row>
    <row r="35" spans="1:4" x14ac:dyDescent="0.25">
      <c r="A35" t="s">
        <v>24</v>
      </c>
    </row>
    <row r="36" spans="1:4" x14ac:dyDescent="0.25">
      <c r="A36" t="s">
        <v>25</v>
      </c>
      <c r="C36" s="11">
        <f>(C19-C21)/(C19+C20-2*C21)</f>
        <v>0.76553846153846039</v>
      </c>
      <c r="D36">
        <f>SQRT((D19*(C20 - C21)/(C19 + C20 - 2*C21)^2)^2+(D20*(C20-C21)/(C19+C20-2*C21)^2)^2+(D21*(C19 - C20)/(C19 + C20 - 2*C21)^2)^2)</f>
        <v>4.5449549532439432E-2</v>
      </c>
    </row>
    <row r="37" spans="1:4" x14ac:dyDescent="0.25">
      <c r="A37" t="s">
        <v>26</v>
      </c>
      <c r="C37">
        <f>(C19-C21^2/C20)/(C19+C20-2*C21)</f>
        <v>0.83197953052475604</v>
      </c>
    </row>
    <row r="38" spans="1:4" x14ac:dyDescent="0.25">
      <c r="A38" t="s">
        <v>27</v>
      </c>
      <c r="C38" s="14">
        <f>C22+C23+C26</f>
        <v>1.7906472882439513E-2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30A130-D72C-46E5-A219-E9ED5C69CC3B}">
  <dimension ref="A2:H38"/>
  <sheetViews>
    <sheetView workbookViewId="0">
      <selection activeCell="C3" sqref="C3:D6"/>
    </sheetView>
  </sheetViews>
  <sheetFormatPr defaultRowHeight="15" x14ac:dyDescent="0.25"/>
  <cols>
    <col min="2" max="2" width="13.28515625" bestFit="1" customWidth="1"/>
    <col min="3" max="3" width="12.7109375" bestFit="1" customWidth="1"/>
    <col min="4" max="4" width="12" bestFit="1" customWidth="1"/>
  </cols>
  <sheetData>
    <row r="2" spans="2:8" ht="15.75" thickBot="1" x14ac:dyDescent="0.3">
      <c r="C2" t="s">
        <v>3</v>
      </c>
      <c r="D2" t="s">
        <v>4</v>
      </c>
    </row>
    <row r="3" spans="2:8" x14ac:dyDescent="0.25">
      <c r="B3" t="s">
        <v>0</v>
      </c>
      <c r="C3" s="15">
        <v>3.7550000000000002E-11</v>
      </c>
      <c r="D3" s="16">
        <v>4.7743729796869541E-12</v>
      </c>
      <c r="E3" t="s">
        <v>5</v>
      </c>
    </row>
    <row r="4" spans="2:8" x14ac:dyDescent="0.25">
      <c r="B4" t="s">
        <v>1</v>
      </c>
      <c r="C4" s="8">
        <v>1.6475E-12</v>
      </c>
      <c r="D4" s="9">
        <v>9.3202366417865117E-13</v>
      </c>
      <c r="E4" t="s">
        <v>5</v>
      </c>
    </row>
    <row r="5" spans="2:8" x14ac:dyDescent="0.25">
      <c r="B5" t="s">
        <v>2</v>
      </c>
      <c r="C5" s="8">
        <v>-7.9699999999999994E-12</v>
      </c>
      <c r="D5" s="9">
        <v>1.5646953789830648E-12</v>
      </c>
      <c r="E5" t="s">
        <v>5</v>
      </c>
    </row>
    <row r="6" spans="2:8" ht="15.75" thickBot="1" x14ac:dyDescent="0.3">
      <c r="B6" t="s">
        <v>6</v>
      </c>
      <c r="C6" s="6">
        <v>0.86898777877250455</v>
      </c>
      <c r="D6" s="7">
        <v>3.4108180493888023E-2</v>
      </c>
    </row>
    <row r="7" spans="2:8" x14ac:dyDescent="0.25">
      <c r="C7" s="1"/>
      <c r="D7" s="1"/>
    </row>
    <row r="8" spans="2:8" x14ac:dyDescent="0.25">
      <c r="C8" s="1"/>
      <c r="D8" s="1"/>
    </row>
    <row r="9" spans="2:8" ht="15.75" thickBot="1" x14ac:dyDescent="0.3"/>
    <row r="10" spans="2:8" x14ac:dyDescent="0.25">
      <c r="B10" t="s">
        <v>14</v>
      </c>
      <c r="C10" s="20">
        <f>C11*2</f>
        <v>6.3425081841642399</v>
      </c>
      <c r="D10" s="21">
        <f>D11*2</f>
        <v>3.5982791415342802E-3</v>
      </c>
    </row>
    <row r="11" spans="2:8" x14ac:dyDescent="0.25">
      <c r="B11" t="s">
        <v>15</v>
      </c>
      <c r="C11" s="22">
        <f>C12</f>
        <v>3.1712540920821199</v>
      </c>
      <c r="D11" s="23">
        <f>D12</f>
        <v>1.7991395707671401E-3</v>
      </c>
    </row>
    <row r="12" spans="2:8" ht="15.75" thickBot="1" x14ac:dyDescent="0.3">
      <c r="B12" t="s">
        <v>16</v>
      </c>
      <c r="C12" s="24">
        <v>3.1712540920821199</v>
      </c>
      <c r="D12" s="25">
        <f>1.79913957076714/1000</f>
        <v>1.7991395707671401E-3</v>
      </c>
    </row>
    <row r="14" spans="2:8" x14ac:dyDescent="0.25">
      <c r="B14" s="17" t="s">
        <v>28</v>
      </c>
      <c r="C14" s="18">
        <f>C3*96485000*C11</f>
        <v>1.1489490837849104E-2</v>
      </c>
      <c r="D14" s="17">
        <f>SQRT((D3*96485000*C11)^2+(C3*96485000*D11)^2)</f>
        <v>1.4608697913680753E-3</v>
      </c>
      <c r="E14" s="17" t="s">
        <v>18</v>
      </c>
      <c r="F14" s="17"/>
    </row>
    <row r="15" spans="2:8" x14ac:dyDescent="0.25">
      <c r="B15" s="17" t="s">
        <v>29</v>
      </c>
      <c r="C15" s="17">
        <f>-C5*96485000*C12</f>
        <v>2.4386482550641103E-3</v>
      </c>
      <c r="D15" s="17">
        <f>SQRT((D5*96485000*C12)^2+(C5*96485000*D12)^2)</f>
        <v>4.7876506747218233E-4</v>
      </c>
      <c r="E15" s="17" t="s">
        <v>18</v>
      </c>
      <c r="F15" s="17"/>
    </row>
    <row r="16" spans="2:8" x14ac:dyDescent="0.25">
      <c r="B16" s="17" t="s">
        <v>30</v>
      </c>
      <c r="C16" s="18">
        <f>C14+C15</f>
        <v>1.3928139092913214E-2</v>
      </c>
      <c r="D16" s="17">
        <f>SQRT((D14)^2+(D15)^2)</f>
        <v>1.5373212212037688E-3</v>
      </c>
      <c r="E16" s="17" t="s">
        <v>18</v>
      </c>
      <c r="F16" s="17"/>
      <c r="H16" s="13" t="str">
        <f>TEXT(10*C16,"0.000")&amp;"("&amp;TEXT(10*1000*D16,"0")&amp;")"&amp;" mS/cm"</f>
        <v>0.139(15) mS/cm</v>
      </c>
    </row>
    <row r="18" spans="2:8" x14ac:dyDescent="0.25">
      <c r="B18" t="s">
        <v>17</v>
      </c>
      <c r="C18" s="11">
        <f>C3/(C3-C5)</f>
        <v>0.82491212653778556</v>
      </c>
      <c r="D18">
        <f>SQRT((D3*(C5)/(C3-C5)^2)^2+(D5*C3/(C3-C5)^2)^2)</f>
        <v>3.3782653183073781E-2</v>
      </c>
    </row>
    <row r="19" spans="2:8" x14ac:dyDescent="0.25">
      <c r="B19" t="s">
        <v>11</v>
      </c>
      <c r="C19" s="11">
        <f>C16*(2*C18*C6-C6-C18^2)/(C6-1)</f>
        <v>1.2309910577366143E-2</v>
      </c>
      <c r="D19">
        <f>SQRT((D16*(2*C18*C6-C6-C18^2)/(C6-1))^2+(D18*(2*C16*(C6-C18))/(C6-1))^2+(D6*(C16*(C18-1)^2)/((C6-1)^2))^2)</f>
        <v>1.6328612017717937E-3</v>
      </c>
      <c r="E19" t="s">
        <v>18</v>
      </c>
      <c r="H19" s="13" t="str">
        <f>TEXT(10*C19,"0.000")&amp;"("&amp;TEXT(10*1000*D19,"0")&amp;")"&amp;" mS/cm"</f>
        <v>0.123(16) mS/cm</v>
      </c>
    </row>
    <row r="20" spans="2:8" x14ac:dyDescent="0.25">
      <c r="B20" t="s">
        <v>12</v>
      </c>
      <c r="C20" s="11">
        <f>C16*((C18*C6-C6+C18-C18^2)^2)/((1-C6)*(C6-C18)^2)</f>
        <v>3.2590679945811532E-3</v>
      </c>
      <c r="D20">
        <f>SQRT((D16*((C18*C6-C6+C18-C18^2)^2)/((1-C6)*(C6-C18)^2))^2+(D18*(2*C16*(C18-1))/(C6-1))^2+(D6*C16*(C18-1)^2/((1-C6)^2))^2)</f>
        <v>1.5591681326615767E-3</v>
      </c>
      <c r="E20" t="s">
        <v>18</v>
      </c>
      <c r="H20" s="13" t="str">
        <f>TEXT(10*C20,"0.000")&amp;"("&amp;TEXT(10*1000*D20,"0")&amp;")"&amp;" mS/cm"</f>
        <v>0.033(16) mS/cm</v>
      </c>
    </row>
    <row r="21" spans="2:8" ht="15.75" thickBot="1" x14ac:dyDescent="0.3">
      <c r="B21" s="19" t="s">
        <v>13</v>
      </c>
      <c r="C21" s="11">
        <f>C16*((C18*C6-C6+C18-C18^2)/(C6-1))</f>
        <v>8.2041973951703633E-4</v>
      </c>
      <c r="D21">
        <f>SQRT((D16*((C18*C6-C6+C18-C18^2)/(C6-1)))^2+(D6*C16*(C18-1)^2/((C6-1)^2))^2+(D18*C16*(C6-2*C18+1)/(C6-1))^2)</f>
        <v>1.160895431231216E-3</v>
      </c>
      <c r="E21" t="s">
        <v>18</v>
      </c>
      <c r="H21" s="13" t="str">
        <f>TEXT(10*C21,"0.000")&amp;"("&amp;TEXT(10*1000*D21,"0")&amp;")"&amp;" mS/cm"</f>
        <v>0.008(12) mS/cm</v>
      </c>
    </row>
    <row r="22" spans="2:8" x14ac:dyDescent="0.25">
      <c r="B22" s="17" t="s">
        <v>7</v>
      </c>
      <c r="C22" s="20">
        <v>1.5251003453201918E-2</v>
      </c>
      <c r="D22" s="21">
        <v>3.3349859598287546E-4</v>
      </c>
      <c r="E22" t="s">
        <v>18</v>
      </c>
      <c r="H22" s="13" t="str">
        <f t="shared" ref="H22:H26" si="0">TEXT(10*C22,"0.000")&amp;"("&amp;TEXT(10*1000*D22,"0")&amp;")"&amp;" mS/cm"</f>
        <v>0.153(3) mS/cm</v>
      </c>
    </row>
    <row r="23" spans="2:8" ht="15.75" thickBot="1" x14ac:dyDescent="0.3">
      <c r="B23" s="17" t="s">
        <v>8</v>
      </c>
      <c r="C23" s="24">
        <v>8.2690280209031589E-3</v>
      </c>
      <c r="D23" s="25">
        <v>1.3137480348074759E-4</v>
      </c>
      <c r="E23" t="s">
        <v>18</v>
      </c>
      <c r="H23" s="13" t="str">
        <f t="shared" si="0"/>
        <v>0.083(1) mS/cm</v>
      </c>
    </row>
    <row r="24" spans="2:8" x14ac:dyDescent="0.25">
      <c r="B24" s="17" t="s">
        <v>9</v>
      </c>
      <c r="C24" s="2">
        <f>C19-C22</f>
        <v>-2.9410928758357748E-3</v>
      </c>
      <c r="D24" s="2">
        <f>SQRT(D19^2+D22^2)</f>
        <v>1.666570435887477E-3</v>
      </c>
      <c r="E24" t="s">
        <v>18</v>
      </c>
      <c r="H24" s="13" t="str">
        <f t="shared" si="0"/>
        <v>-0.029(17) mS/cm</v>
      </c>
    </row>
    <row r="25" spans="2:8" x14ac:dyDescent="0.25">
      <c r="B25" s="17" t="s">
        <v>10</v>
      </c>
      <c r="C25" s="3">
        <f>C20-C23</f>
        <v>-5.0099600263220061E-3</v>
      </c>
      <c r="D25" s="3">
        <f>SQRT(D20^2+D23^2)</f>
        <v>1.5646931344186926E-3</v>
      </c>
      <c r="E25" t="s">
        <v>18</v>
      </c>
      <c r="H25" s="13" t="str">
        <f t="shared" si="0"/>
        <v>-0.050(16) mS/cm</v>
      </c>
    </row>
    <row r="26" spans="2:8" x14ac:dyDescent="0.25">
      <c r="B26" s="17" t="s">
        <v>19</v>
      </c>
      <c r="C26" s="3">
        <f>C24+C25-2*C21</f>
        <v>-9.5918923811918536E-3</v>
      </c>
      <c r="D26" s="3">
        <f>SQRT(D24^2+D25^2+(2*D21)^2)</f>
        <v>3.2582870394864249E-3</v>
      </c>
      <c r="E26" t="s">
        <v>18</v>
      </c>
      <c r="H26" s="13" t="str">
        <f t="shared" si="0"/>
        <v>-0.096(33) mS/cm</v>
      </c>
    </row>
    <row r="27" spans="2:8" x14ac:dyDescent="0.25">
      <c r="C27" s="10"/>
      <c r="D27" s="10"/>
      <c r="H27" s="13"/>
    </row>
    <row r="28" spans="2:8" x14ac:dyDescent="0.25">
      <c r="B28" t="s">
        <v>20</v>
      </c>
      <c r="C28" s="10">
        <f>C19/(C19+C20)</f>
        <v>0.79066911939531792</v>
      </c>
      <c r="D28" s="10">
        <f>SQRT((D19*C19/((C19+C20)^2))^2+(D20*C19/((C19+C20)^2))^2)</f>
        <v>0.11465743946882309</v>
      </c>
      <c r="H28" s="13" t="str">
        <f>TEXT(C28,"0.00")&amp;"("&amp;TEXT(100*D28,"0")&amp;")"</f>
        <v>0.79(11)</v>
      </c>
    </row>
    <row r="29" spans="2:8" x14ac:dyDescent="0.25">
      <c r="B29" t="s">
        <v>21</v>
      </c>
      <c r="C29" s="10">
        <f>2*C21/(C19+C20)</f>
        <v>0.10539159466701251</v>
      </c>
      <c r="D29" s="10">
        <f>SQRT((2*D21/(C19+C20))^2+(2*C21*D19/((C19+C20)^2))^2+(2*C21*D20/((C19+C20)^2))^2)</f>
        <v>0.14991038367837167</v>
      </c>
      <c r="H29" s="13" t="str">
        <f>TEXT(C29,"0.00")&amp;"("&amp;TEXT(100*D29,"0")&amp;")"</f>
        <v>0.11(15)</v>
      </c>
    </row>
    <row r="31" spans="2:8" x14ac:dyDescent="0.25">
      <c r="B31" t="s">
        <v>22</v>
      </c>
      <c r="C31" s="11">
        <f>1-(C16)/(C22+C23)</f>
        <v>0.40781800788626832</v>
      </c>
    </row>
    <row r="32" spans="2:8" x14ac:dyDescent="0.25">
      <c r="B32" t="s">
        <v>23</v>
      </c>
      <c r="C32" s="12">
        <f>(C16)/(C22+C23)</f>
        <v>0.59218199211373168</v>
      </c>
      <c r="D32" s="12">
        <f>SQRT((D16/(C22+C23))^2+(D22*C16/((C22+C23)^2))^2+(D23*C16/((C22+C23)^2))^2)</f>
        <v>6.5982307427430831E-2</v>
      </c>
    </row>
    <row r="34" spans="1:4" x14ac:dyDescent="0.25">
      <c r="B34" t="s">
        <v>31</v>
      </c>
      <c r="C34">
        <f>C18/(1-C18)</f>
        <v>4.7114178168130483</v>
      </c>
      <c r="D34">
        <f>ABS((1/((1-C18)^2))*D18)</f>
        <v>1.1020000613044358</v>
      </c>
    </row>
    <row r="35" spans="1:4" x14ac:dyDescent="0.25">
      <c r="A35" t="s">
        <v>24</v>
      </c>
    </row>
    <row r="36" spans="1:4" x14ac:dyDescent="0.25">
      <c r="A36" t="s">
        <v>25</v>
      </c>
      <c r="C36" s="11">
        <f>(C19-C21)/(C19+C20-2*C21)</f>
        <v>0.82491212653778534</v>
      </c>
      <c r="D36">
        <f>SQRT((D19*(C20 - C21)/(C19 + C20 - 2*C21)^2)^2+(D20*(C20-C21)/(C19+C20-2*C21)^2)^2+(D21*(C19 - C20)/(C19 + C20 - 2*C21)^2)^2)</f>
        <v>6.1147613527146955E-2</v>
      </c>
    </row>
    <row r="37" spans="1:4" x14ac:dyDescent="0.25">
      <c r="A37" t="s">
        <v>26</v>
      </c>
      <c r="C37">
        <f>(C19-C21^2/C20)/(C19+C20-2*C21)</f>
        <v>0.86898777877250433</v>
      </c>
    </row>
    <row r="38" spans="1:4" x14ac:dyDescent="0.25">
      <c r="A38" t="s">
        <v>27</v>
      </c>
      <c r="C38" s="14">
        <f>C22+C23+C26</f>
        <v>1.3928139092913225E-2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AB81E-A2B4-455E-9219-5E66B2BF8241}">
  <dimension ref="A2:H38"/>
  <sheetViews>
    <sheetView workbookViewId="0">
      <selection activeCell="C3" sqref="C3:D6"/>
    </sheetView>
  </sheetViews>
  <sheetFormatPr defaultRowHeight="15" x14ac:dyDescent="0.25"/>
  <cols>
    <col min="2" max="2" width="13.28515625" bestFit="1" customWidth="1"/>
    <col min="3" max="3" width="12.7109375" bestFit="1" customWidth="1"/>
    <col min="4" max="4" width="12" bestFit="1" customWidth="1"/>
  </cols>
  <sheetData>
    <row r="2" spans="2:8" ht="15.75" thickBot="1" x14ac:dyDescent="0.3">
      <c r="C2" t="s">
        <v>3</v>
      </c>
      <c r="D2" t="s">
        <v>4</v>
      </c>
    </row>
    <row r="3" spans="2:8" x14ac:dyDescent="0.25">
      <c r="B3" t="s">
        <v>0</v>
      </c>
      <c r="C3" s="15">
        <v>2.2383333333333333E-11</v>
      </c>
      <c r="D3" s="16">
        <v>5.3432405178274685E-12</v>
      </c>
      <c r="E3" t="s">
        <v>5</v>
      </c>
    </row>
    <row r="4" spans="2:8" x14ac:dyDescent="0.25">
      <c r="B4" t="s">
        <v>1</v>
      </c>
      <c r="C4" s="8">
        <v>8.1983333333333339E-12</v>
      </c>
      <c r="D4" s="9">
        <v>1.8710440195017304E-12</v>
      </c>
      <c r="E4" t="s">
        <v>5</v>
      </c>
    </row>
    <row r="5" spans="2:8" x14ac:dyDescent="0.25">
      <c r="B5" t="s">
        <v>2</v>
      </c>
      <c r="C5" s="8">
        <v>-1.238E-11</v>
      </c>
      <c r="D5" s="9">
        <v>2.791315117564973E-12</v>
      </c>
      <c r="E5" t="s">
        <v>5</v>
      </c>
    </row>
    <row r="6" spans="2:8" ht="15.75" thickBot="1" x14ac:dyDescent="0.3">
      <c r="B6" t="s">
        <v>6</v>
      </c>
      <c r="C6" s="6">
        <v>0.89110679380704194</v>
      </c>
      <c r="D6" s="7">
        <v>1.8341058072193505E-2</v>
      </c>
    </row>
    <row r="7" spans="2:8" x14ac:dyDescent="0.25">
      <c r="C7" s="1"/>
      <c r="D7" s="1"/>
    </row>
    <row r="8" spans="2:8" x14ac:dyDescent="0.25">
      <c r="C8" s="1"/>
      <c r="D8" s="1"/>
    </row>
    <row r="9" spans="2:8" ht="15.75" thickBot="1" x14ac:dyDescent="0.3"/>
    <row r="10" spans="2:8" x14ac:dyDescent="0.25">
      <c r="B10" t="s">
        <v>14</v>
      </c>
      <c r="C10" s="20">
        <f>C11*2</f>
        <v>6.48382941352176</v>
      </c>
      <c r="D10" s="21">
        <f>D11*2</f>
        <v>3.95122839958324E-3</v>
      </c>
    </row>
    <row r="11" spans="2:8" x14ac:dyDescent="0.25">
      <c r="B11" t="s">
        <v>15</v>
      </c>
      <c r="C11" s="22">
        <f>C12</f>
        <v>3.24191470676088</v>
      </c>
      <c r="D11" s="23">
        <f>D12</f>
        <v>1.97561419979162E-3</v>
      </c>
    </row>
    <row r="12" spans="2:8" ht="15.75" thickBot="1" x14ac:dyDescent="0.3">
      <c r="B12" t="s">
        <v>16</v>
      </c>
      <c r="C12" s="24">
        <v>3.24191470676088</v>
      </c>
      <c r="D12" s="25">
        <f>1.97561419979162/1000</f>
        <v>1.97561419979162E-3</v>
      </c>
    </row>
    <row r="14" spans="2:8" x14ac:dyDescent="0.25">
      <c r="B14" s="17" t="s">
        <v>28</v>
      </c>
      <c r="C14" s="18">
        <f>C3*96485000*C11</f>
        <v>7.0014202777848155E-3</v>
      </c>
      <c r="D14" s="17">
        <f>SQRT((D3*96485000*C11)^2+(C3*96485000*D11)^2)</f>
        <v>1.6713504576294307E-3</v>
      </c>
      <c r="E14" s="17" t="s">
        <v>18</v>
      </c>
      <c r="F14" s="17"/>
    </row>
    <row r="15" spans="2:8" x14ac:dyDescent="0.25">
      <c r="B15" s="17" t="s">
        <v>29</v>
      </c>
      <c r="C15" s="17">
        <f>-C5*96485000*C12</f>
        <v>3.8724162191649753E-3</v>
      </c>
      <c r="D15" s="17">
        <f>SQRT((D5*96485000*C12)^2+(C5*96485000*D12)^2)</f>
        <v>8.7311578471344444E-4</v>
      </c>
      <c r="E15" s="17" t="s">
        <v>18</v>
      </c>
      <c r="F15" s="17"/>
    </row>
    <row r="16" spans="2:8" x14ac:dyDescent="0.25">
      <c r="B16" s="17" t="s">
        <v>30</v>
      </c>
      <c r="C16" s="18">
        <f>C14+C15</f>
        <v>1.0873836496949792E-2</v>
      </c>
      <c r="D16" s="17">
        <f>SQRT((D14)^2+(D15)^2)</f>
        <v>1.885667925625793E-3</v>
      </c>
      <c r="E16" s="17"/>
      <c r="F16" s="17"/>
      <c r="H16" s="13" t="str">
        <f>TEXT(10*C16,"0.000")&amp;"("&amp;TEXT(10*1000*D16,"0")&amp;")"&amp;" mS/cm"</f>
        <v>0.109(19) mS/cm</v>
      </c>
    </row>
    <row r="17" spans="2:8" x14ac:dyDescent="0.25">
      <c r="B17" s="17"/>
      <c r="C17" s="12"/>
    </row>
    <row r="18" spans="2:8" x14ac:dyDescent="0.25">
      <c r="B18" t="s">
        <v>17</v>
      </c>
      <c r="C18" s="12">
        <f>C3/(C3-C5)</f>
        <v>0.64387764886374521</v>
      </c>
      <c r="D18" s="26">
        <f>SQRT((D3*(C5)/(C3-C5)^2)^2+(D5*C3/(C3-C5)^2)^2)</f>
        <v>7.5293119196607222E-2</v>
      </c>
    </row>
    <row r="19" spans="2:8" x14ac:dyDescent="0.25">
      <c r="B19" t="s">
        <v>11</v>
      </c>
      <c r="C19" s="11">
        <f>C16*(2*C18*C6-C6-C18^2)/(C6-1)</f>
        <v>1.5793283280075784E-2</v>
      </c>
      <c r="D19">
        <f>SQRT((D16*(2*C18*C6-C6-C18^2)/(C6-1))^2+(D18*(2*C16*(C6-C18))/(C6-1))^2+(D6*(C16*(C18-1)^2)/((C6-1)^2))^2)</f>
        <v>5.086415834771197E-3</v>
      </c>
      <c r="E19" t="s">
        <v>18</v>
      </c>
      <c r="H19" s="13" t="str">
        <f>TEXT(10*C19,"0.000")&amp;"("&amp;TEXT(10*1000*D19,"0")&amp;")"&amp;" mS/cm"</f>
        <v>0.158(51) mS/cm</v>
      </c>
    </row>
    <row r="20" spans="2:8" x14ac:dyDescent="0.25">
      <c r="B20" t="s">
        <v>12</v>
      </c>
      <c r="C20" s="11">
        <f>C16*((C18*C6-C6+C18-C18^2)^2)/((1-C6)*(C6-C18)^2)</f>
        <v>1.2664279221455937E-2</v>
      </c>
      <c r="D20">
        <f>SQRT((D16*((C18*C6-C6+C18-C18^2)^2)/((1-C6)*(C6-C18)^2))^2+(D18*(2*C16*(C18-1))/(C6-1))^2+(D6*C16*(C18-1)^2/((1-C6)^2))^2)</f>
        <v>6.1684696152367506E-3</v>
      </c>
      <c r="E20" t="s">
        <v>18</v>
      </c>
      <c r="H20" s="13" t="str">
        <f>TEXT(10*C20,"0.000")&amp;"("&amp;TEXT(10*1000*D20,"0")&amp;")"&amp;" mS/cm"</f>
        <v>0.127(62) mS/cm</v>
      </c>
    </row>
    <row r="21" spans="2:8" ht="15.75" thickBot="1" x14ac:dyDescent="0.3">
      <c r="B21" s="19" t="s">
        <v>13</v>
      </c>
      <c r="C21" s="11">
        <f>C16*((C18*C6-C6+C18-C18^2)/(C6-1))</f>
        <v>8.7918630022909752E-3</v>
      </c>
      <c r="D21">
        <f>SQRT((D16*((C18*C6-C6+C18-C18^2)/(C6-1)))^2+(D6*C16*(C18-1)^2/((C6-1)^2))^2+(D18*C16*(C6-2*C18+1)/(C6-1))^2)</f>
        <v>5.2395639187502356E-3</v>
      </c>
      <c r="E21" t="s">
        <v>18</v>
      </c>
      <c r="H21" s="13" t="str">
        <f>TEXT(10*C21,"0.000")&amp;"("&amp;TEXT(10*1000*D21,"0")&amp;")"&amp;" mS/cm"</f>
        <v>0.088(52) mS/cm</v>
      </c>
    </row>
    <row r="22" spans="2:8" x14ac:dyDescent="0.25">
      <c r="B22" s="17" t="s">
        <v>7</v>
      </c>
      <c r="C22" s="20">
        <v>2.1534934300823358E-2</v>
      </c>
      <c r="D22" s="21">
        <v>2.29696869659342E-3</v>
      </c>
      <c r="E22" t="s">
        <v>18</v>
      </c>
      <c r="H22" s="13" t="str">
        <f t="shared" ref="H22:H26" si="0">TEXT(10*C22,"0.000")&amp;"("&amp;TEXT(10*1000*D22,"0")&amp;")"&amp;" mS/cm"</f>
        <v>0.215(23) mS/cm</v>
      </c>
    </row>
    <row r="23" spans="2:8" ht="15.75" thickBot="1" x14ac:dyDescent="0.3">
      <c r="B23" s="17" t="s">
        <v>8</v>
      </c>
      <c r="C23" s="24">
        <v>1.9068015897122995E-2</v>
      </c>
      <c r="D23" s="25">
        <v>2.6940064053151963E-4</v>
      </c>
      <c r="E23" t="s">
        <v>18</v>
      </c>
      <c r="H23" s="13" t="str">
        <f t="shared" si="0"/>
        <v>0.191(3) mS/cm</v>
      </c>
    </row>
    <row r="24" spans="2:8" x14ac:dyDescent="0.25">
      <c r="B24" s="17" t="s">
        <v>9</v>
      </c>
      <c r="C24" s="2">
        <f>C19-C22</f>
        <v>-5.7416510207475742E-3</v>
      </c>
      <c r="D24" s="2">
        <f>SQRT(D19^2+D22^2)</f>
        <v>5.5810116679094347E-3</v>
      </c>
      <c r="E24" t="s">
        <v>18</v>
      </c>
      <c r="H24" s="13" t="str">
        <f t="shared" si="0"/>
        <v>-0.057(56) mS/cm</v>
      </c>
    </row>
    <row r="25" spans="2:8" x14ac:dyDescent="0.25">
      <c r="B25" s="17" t="s">
        <v>10</v>
      </c>
      <c r="C25" s="3">
        <f>C20-C23</f>
        <v>-6.4037366756670572E-3</v>
      </c>
      <c r="D25" s="3">
        <f>SQRT(D20^2+D23^2)</f>
        <v>6.174349690389898E-3</v>
      </c>
      <c r="E25" t="s">
        <v>18</v>
      </c>
      <c r="H25" s="13" t="str">
        <f t="shared" si="0"/>
        <v>-0.064(62) mS/cm</v>
      </c>
    </row>
    <row r="26" spans="2:8" x14ac:dyDescent="0.25">
      <c r="B26" s="17" t="s">
        <v>19</v>
      </c>
      <c r="C26" s="3">
        <f>C24+C25-2*C21</f>
        <v>-2.9729113700996582E-2</v>
      </c>
      <c r="D26" s="3">
        <f>SQRT(D24^2+D25^2+(2*D21)^2)</f>
        <v>1.3382167446689507E-2</v>
      </c>
      <c r="E26" t="s">
        <v>18</v>
      </c>
      <c r="H26" s="13" t="str">
        <f t="shared" si="0"/>
        <v>-0.297(134) mS/cm</v>
      </c>
    </row>
    <row r="27" spans="2:8" x14ac:dyDescent="0.25">
      <c r="C27" s="10"/>
      <c r="D27" s="10"/>
      <c r="H27" s="13"/>
    </row>
    <row r="28" spans="2:8" x14ac:dyDescent="0.25">
      <c r="B28" t="s">
        <v>20</v>
      </c>
      <c r="C28" s="10">
        <f>C19/(C19+C20)</f>
        <v>0.55497667023399189</v>
      </c>
      <c r="D28" s="10">
        <f>SQRT((D19*C19/((C19+C20)^2))^2+(D20*C19/((C19+C20)^2))^2)</f>
        <v>0.15591970149421985</v>
      </c>
      <c r="H28" s="13" t="str">
        <f>TEXT(C28,"0.00")&amp;"("&amp;TEXT(100*D28,"0")&amp;")"</f>
        <v>0.55(16)</v>
      </c>
    </row>
    <row r="29" spans="2:8" x14ac:dyDescent="0.25">
      <c r="B29" t="s">
        <v>21</v>
      </c>
      <c r="C29" s="10">
        <f>2*C21/(C19+C20)</f>
        <v>0.61789290645098327</v>
      </c>
      <c r="D29" s="10">
        <f>SQRT((2*D21/(C19+C20))^2+(2*C21*D19/((C19+C20)^2))^2+(2*C21*D20/((C19+C20)^2))^2)</f>
        <v>0.40710445433997738</v>
      </c>
      <c r="H29" s="13" t="str">
        <f>TEXT(C29,"0.00")&amp;"("&amp;TEXT(100*D29,"0")&amp;")"</f>
        <v>0.62(41)</v>
      </c>
    </row>
    <row r="31" spans="2:8" x14ac:dyDescent="0.25">
      <c r="B31" t="s">
        <v>22</v>
      </c>
      <c r="C31" s="11">
        <f>1-(C16)/(C22+C23)</f>
        <v>0.7321909751892911</v>
      </c>
    </row>
    <row r="32" spans="2:8" x14ac:dyDescent="0.25">
      <c r="B32" t="s">
        <v>23</v>
      </c>
      <c r="C32" s="12">
        <f>(C16)/(C22+C23)</f>
        <v>0.2678090248107089</v>
      </c>
      <c r="D32" s="12">
        <f>SQRT((D16/(C22+C23))^2+(D22*C16/((C22+C23)^2))^2+(D23*C16/((C22+C23)^2))^2)</f>
        <v>4.8882688508963976E-2</v>
      </c>
    </row>
    <row r="34" spans="1:4" x14ac:dyDescent="0.25">
      <c r="B34" t="s">
        <v>31</v>
      </c>
      <c r="C34">
        <f>C18/(1-C18)</f>
        <v>1.8080236941303167</v>
      </c>
      <c r="D34">
        <f>ABS((1/((1-C18)^2))*D18)</f>
        <v>0.59368602401526527</v>
      </c>
    </row>
    <row r="35" spans="1:4" x14ac:dyDescent="0.25">
      <c r="A35" t="s">
        <v>24</v>
      </c>
    </row>
    <row r="36" spans="1:4" x14ac:dyDescent="0.25">
      <c r="A36" t="s">
        <v>25</v>
      </c>
      <c r="C36" s="11">
        <f>(C19-C21)/(C19+C20-2*C21)</f>
        <v>0.64387764886374588</v>
      </c>
      <c r="D36">
        <f>SQRT((D19*(C20 - C21)/(C19 + C20 - 2*C21)^2)^2+(D20*(C20-C21)/(C19+C20-2*C21)^2)^2+(D21*(C19 - C20)/(C19 + C20 - 2*C21)^2)^2)</f>
        <v>0.29628837015467652</v>
      </c>
    </row>
    <row r="37" spans="1:4" x14ac:dyDescent="0.25">
      <c r="A37" t="s">
        <v>26</v>
      </c>
      <c r="C37">
        <f>(C19-C21^2/C20)/(C19+C20-2*C21)</f>
        <v>0.89110679380704227</v>
      </c>
    </row>
    <row r="38" spans="1:4" x14ac:dyDescent="0.25">
      <c r="A38" t="s">
        <v>27</v>
      </c>
      <c r="C38" s="14">
        <f>C22+C23+C26</f>
        <v>1.0873836496949771E-2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LiSL2TfNCN</vt:lpstr>
      <vt:lpstr>LiSL2TfNMs</vt:lpstr>
      <vt:lpstr>LiSL2TfNAc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 Philippi</dc:creator>
  <cp:lastModifiedBy>philippi-frederik-fb@ynu.ac.jp</cp:lastModifiedBy>
  <dcterms:created xsi:type="dcterms:W3CDTF">2015-06-05T18:17:20Z</dcterms:created>
  <dcterms:modified xsi:type="dcterms:W3CDTF">2024-02-15T07:39:06Z</dcterms:modified>
</cp:coreProperties>
</file>