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nuacjpoffice365-my.sharepoint.com/personal/philippi-frederik-fb_ynu_ac_jp/Documents/Data/ESIdata/"/>
    </mc:Choice>
  </mc:AlternateContent>
  <xr:revisionPtr revIDLastSave="1065" documentId="8_{E478CAFD-629F-4841-A8F4-42FD9219EE23}" xr6:coauthVersionLast="47" xr6:coauthVersionMax="47" xr10:uidLastSave="{DFD97228-1A3E-430A-A634-C38924CB9F2A}"/>
  <bookViews>
    <workbookView xWindow="-120" yWindow="-120" windowWidth="29040" windowHeight="15720" xr2:uid="{BFAED7C0-0575-4ACA-B60F-E49FF34FD413}"/>
  </bookViews>
  <sheets>
    <sheet name="LiSL2TfNCN" sheetId="3" r:id="rId1"/>
    <sheet name="LiSL2TfNMs" sheetId="5" r:id="rId2"/>
    <sheet name="LiSL2TfNAc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5" l="1"/>
  <c r="E21" i="5"/>
  <c r="E19" i="5"/>
  <c r="A4" i="5"/>
  <c r="A3" i="5"/>
  <c r="A2" i="5"/>
  <c r="A1" i="5"/>
  <c r="D21" i="5"/>
  <c r="D20" i="5"/>
  <c r="D19" i="5"/>
  <c r="E29" i="3"/>
  <c r="D29" i="3"/>
  <c r="I29" i="3" s="1"/>
  <c r="E28" i="3"/>
  <c r="D28" i="3"/>
  <c r="I28" i="3" s="1"/>
  <c r="D29" i="5"/>
  <c r="D28" i="5"/>
  <c r="I29" i="4"/>
  <c r="I28" i="4"/>
  <c r="D28" i="4"/>
  <c r="D25" i="4"/>
  <c r="D24" i="4"/>
  <c r="D26" i="4" s="1"/>
  <c r="E27" i="4"/>
  <c r="D27" i="4"/>
  <c r="I27" i="4" s="1"/>
  <c r="D22" i="4"/>
  <c r="D23" i="4"/>
  <c r="D21" i="4"/>
  <c r="D20" i="4"/>
  <c r="D19" i="4"/>
  <c r="D19" i="3"/>
  <c r="D41" i="5"/>
  <c r="D41" i="4"/>
  <c r="D39" i="4"/>
  <c r="D39" i="5"/>
  <c r="D39" i="3"/>
  <c r="A4" i="3"/>
  <c r="A3" i="3"/>
  <c r="A2" i="3"/>
  <c r="A1" i="3"/>
  <c r="D23" i="5"/>
  <c r="D22" i="5"/>
  <c r="D24" i="5" s="1"/>
  <c r="A4" i="4"/>
  <c r="A3" i="4"/>
  <c r="A2" i="4"/>
  <c r="A1" i="4"/>
  <c r="D29" i="4"/>
  <c r="B1" i="3"/>
  <c r="E23" i="5"/>
  <c r="E27" i="5"/>
  <c r="I10" i="5"/>
  <c r="I9" i="5"/>
  <c r="I8" i="5"/>
  <c r="I7" i="5"/>
  <c r="I6" i="5"/>
  <c r="I5" i="5"/>
  <c r="I4" i="5"/>
  <c r="B4" i="5"/>
  <c r="I3" i="5"/>
  <c r="B3" i="5"/>
  <c r="B2" i="5"/>
  <c r="B1" i="5"/>
  <c r="E23" i="4"/>
  <c r="E22" i="4"/>
  <c r="E41" i="4" s="1"/>
  <c r="I10" i="4"/>
  <c r="I9" i="4"/>
  <c r="I8" i="4"/>
  <c r="I7" i="4"/>
  <c r="I6" i="4"/>
  <c r="I5" i="4"/>
  <c r="I4" i="4"/>
  <c r="B4" i="4"/>
  <c r="I3" i="4"/>
  <c r="B3" i="4"/>
  <c r="B2" i="4"/>
  <c r="B1" i="4"/>
  <c r="I3" i="3"/>
  <c r="E29" i="5" l="1"/>
  <c r="I29" i="5" s="1"/>
  <c r="E28" i="5"/>
  <c r="I28" i="5" s="1"/>
  <c r="I41" i="4"/>
  <c r="I41" i="5"/>
  <c r="E41" i="5"/>
  <c r="D27" i="5"/>
  <c r="I27" i="5" s="1"/>
  <c r="D32" i="5"/>
  <c r="I22" i="5"/>
  <c r="J20" i="4"/>
  <c r="I23" i="5"/>
  <c r="I23" i="4"/>
  <c r="K19" i="4"/>
  <c r="D25" i="5"/>
  <c r="D31" i="5"/>
  <c r="M19" i="4"/>
  <c r="D21" i="3"/>
  <c r="M19" i="5"/>
  <c r="L19" i="4"/>
  <c r="D20" i="3"/>
  <c r="J20" i="5"/>
  <c r="L19" i="5"/>
  <c r="K20" i="5"/>
  <c r="L20" i="5"/>
  <c r="M20" i="5"/>
  <c r="J21" i="5"/>
  <c r="K21" i="5"/>
  <c r="L21" i="5"/>
  <c r="M21" i="5"/>
  <c r="E32" i="5"/>
  <c r="I32" i="5" s="1"/>
  <c r="J19" i="5"/>
  <c r="K19" i="5"/>
  <c r="K20" i="4"/>
  <c r="L21" i="4"/>
  <c r="M21" i="4"/>
  <c r="D31" i="4"/>
  <c r="D32" i="4"/>
  <c r="E32" i="4"/>
  <c r="J19" i="4"/>
  <c r="I22" i="4"/>
  <c r="M20" i="4"/>
  <c r="L20" i="4"/>
  <c r="J21" i="4"/>
  <c r="K21" i="4"/>
  <c r="D23" i="3"/>
  <c r="D22" i="3"/>
  <c r="D27" i="3" l="1"/>
  <c r="D41" i="3"/>
  <c r="I41" i="3" s="1"/>
  <c r="D24" i="3"/>
  <c r="D25" i="3"/>
  <c r="D32" i="3"/>
  <c r="D31" i="3"/>
  <c r="E19" i="4"/>
  <c r="E24" i="4" s="1"/>
  <c r="D37" i="3"/>
  <c r="E20" i="4"/>
  <c r="I20" i="4" s="1"/>
  <c r="D36" i="3"/>
  <c r="D26" i="3"/>
  <c r="D38" i="3" s="1"/>
  <c r="D26" i="5"/>
  <c r="D38" i="5" s="1"/>
  <c r="I21" i="5"/>
  <c r="E20" i="5"/>
  <c r="D36" i="5"/>
  <c r="D37" i="5"/>
  <c r="E21" i="4"/>
  <c r="D38" i="4"/>
  <c r="D37" i="4"/>
  <c r="D36" i="4"/>
  <c r="I32" i="4"/>
  <c r="I7" i="3"/>
  <c r="I10" i="3"/>
  <c r="I9" i="3"/>
  <c r="I8" i="3"/>
  <c r="I5" i="3"/>
  <c r="I6" i="3"/>
  <c r="I4" i="3"/>
  <c r="B4" i="3"/>
  <c r="B3" i="3"/>
  <c r="B2" i="3"/>
  <c r="E23" i="3"/>
  <c r="I23" i="3" s="1"/>
  <c r="E22" i="3"/>
  <c r="E27" i="3" s="1"/>
  <c r="I27" i="3" l="1"/>
  <c r="E32" i="3"/>
  <c r="I32" i="3" s="1"/>
  <c r="E29" i="4"/>
  <c r="I22" i="3"/>
  <c r="I19" i="4"/>
  <c r="E28" i="4"/>
  <c r="E25" i="4"/>
  <c r="I25" i="4" s="1"/>
  <c r="E36" i="4"/>
  <c r="I21" i="4"/>
  <c r="E25" i="5"/>
  <c r="I25" i="5" s="1"/>
  <c r="I20" i="5"/>
  <c r="E36" i="5"/>
  <c r="E24" i="5"/>
  <c r="I19" i="5"/>
  <c r="I24" i="4"/>
  <c r="M21" i="3"/>
  <c r="J20" i="3"/>
  <c r="L19" i="3"/>
  <c r="M19" i="3"/>
  <c r="K20" i="3"/>
  <c r="M20" i="3"/>
  <c r="L20" i="3"/>
  <c r="J21" i="3"/>
  <c r="K21" i="3"/>
  <c r="L21" i="3"/>
  <c r="J19" i="3"/>
  <c r="K19" i="3"/>
  <c r="E26" i="4" l="1"/>
  <c r="I26" i="4" s="1"/>
  <c r="E26" i="5"/>
  <c r="I26" i="5" s="1"/>
  <c r="I24" i="5"/>
  <c r="E19" i="3"/>
  <c r="E20" i="3"/>
  <c r="E25" i="3" s="1"/>
  <c r="E21" i="3"/>
  <c r="I21" i="3" s="1"/>
  <c r="I20" i="3" l="1"/>
  <c r="E36" i="3"/>
  <c r="I19" i="3"/>
  <c r="I25" i="3"/>
  <c r="E24" i="3"/>
  <c r="E26" i="3" l="1"/>
  <c r="I24" i="3"/>
  <c r="I26" i="3"/>
</calcChain>
</file>

<file path=xl/sharedStrings.xml><?xml version="1.0" encoding="utf-8"?>
<sst xmlns="http://schemas.openxmlformats.org/spreadsheetml/2006/main" count="150" uniqueCount="39">
  <si>
    <t>𝜎 𝑖𝑜𝑛</t>
  </si>
  <si>
    <t>tPPLi</t>
  </si>
  <si>
    <t>Dsalt</t>
  </si>
  <si>
    <t>A1</t>
  </si>
  <si>
    <t>A2</t>
  </si>
  <si>
    <t>A3</t>
  </si>
  <si>
    <t>A4</t>
  </si>
  <si>
    <t>V</t>
  </si>
  <si>
    <t>error</t>
  </si>
  <si>
    <t>unit</t>
  </si>
  <si>
    <t>value</t>
  </si>
  <si>
    <t>c salt</t>
  </si>
  <si>
    <t>1 / ohm m</t>
  </si>
  <si>
    <t>DERIVATIVES</t>
  </si>
  <si>
    <t>D+</t>
  </si>
  <si>
    <t>D-</t>
  </si>
  <si>
    <t>m^2 / s</t>
  </si>
  <si>
    <t>self +</t>
  </si>
  <si>
    <t>self -</t>
  </si>
  <si>
    <t>distinct ++</t>
  </si>
  <si>
    <t>distinct --</t>
  </si>
  <si>
    <t>alpha</t>
  </si>
  <si>
    <t>beta</t>
  </si>
  <si>
    <t>cross</t>
  </si>
  <si>
    <t>check</t>
  </si>
  <si>
    <t>teNMR</t>
  </si>
  <si>
    <t>Dsulfolan</t>
  </si>
  <si>
    <t>S / m</t>
  </si>
  <si>
    <t>mol / m^3</t>
  </si>
  <si>
    <t>tABC</t>
  </si>
  <si>
    <t>conductivity</t>
  </si>
  <si>
    <t>Nernst-Einstein</t>
  </si>
  <si>
    <t>Ionicity</t>
  </si>
  <si>
    <t>Enter experimental values above</t>
  </si>
  <si>
    <t>𝜎++</t>
  </si>
  <si>
    <t>𝜎--</t>
  </si>
  <si>
    <t>𝜎+-</t>
  </si>
  <si>
    <t>thermodynamic factor</t>
  </si>
  <si>
    <t>self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</si>
</sst>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0"/>
  </numFmts>
  <fonts count="10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Calibri"/>
      <family val="2"/>
      <scheme val="minor"/>
    </font>
    <font>
      <sz val="11"/>
      <color theme="9"/>
      <name val="Calibri"/>
      <family val="2"/>
      <scheme val="minor"/>
    </font>
    <font>
      <sz val="11"/>
      <color rgb="FF00B05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5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0" fontId="3" fillId="0" borderId="0">
      <alignment vertical="center"/>
    </xf>
    <xf numFmtId="9" fontId="8" fillId="0" borderId="0" applyFont="0" applyFill="0" applyBorder="0" applyAlignment="0" applyProtection="0"/>
  </cellStyleXfs>
  <cellXfs count="34">
    <xf numFmtId="0" fontId="0" fillId="0" borderId="0" xfId="0"/>
    <xf numFmtId="0" fontId="0" fillId="0" borderId="0" xfId="0" applyAlignment="1">
      <alignment wrapText="1"/>
    </xf>
    <xf numFmtId="11" fontId="0" fillId="0" borderId="0" xfId="0" applyNumberFormat="1"/>
    <xf numFmtId="0" fontId="1" fillId="0" borderId="0" xfId="0" applyFont="1"/>
    <xf numFmtId="0" fontId="5" fillId="0" borderId="0" xfId="0" applyFont="1"/>
    <xf numFmtId="0" fontId="0" fillId="0" borderId="0" xfId="0" quotePrefix="1"/>
    <xf numFmtId="164" fontId="0" fillId="0" borderId="0" xfId="0" applyNumberFormat="1"/>
    <xf numFmtId="0" fontId="6" fillId="0" borderId="0" xfId="0" applyFont="1"/>
    <xf numFmtId="11" fontId="5" fillId="0" borderId="0" xfId="0" applyNumberFormat="1" applyFont="1"/>
    <xf numFmtId="9" fontId="0" fillId="0" borderId="0" xfId="3" applyFont="1"/>
    <xf numFmtId="165" fontId="0" fillId="0" borderId="0" xfId="0" applyNumberFormat="1"/>
    <xf numFmtId="165" fontId="0" fillId="0" borderId="0" xfId="0" applyNumberFormat="1" applyAlignment="1">
      <alignment horizontal="right"/>
    </xf>
    <xf numFmtId="165" fontId="4" fillId="0" borderId="0" xfId="0" applyNumberFormat="1" applyFont="1" applyAlignment="1">
      <alignment horizontal="right"/>
    </xf>
    <xf numFmtId="11" fontId="6" fillId="0" borderId="2" xfId="0" applyNumberFormat="1" applyFont="1" applyBorder="1"/>
    <xf numFmtId="11" fontId="6" fillId="0" borderId="3" xfId="0" applyNumberFormat="1" applyFont="1" applyBorder="1"/>
    <xf numFmtId="0" fontId="6" fillId="0" borderId="4" xfId="0" applyFont="1" applyBorder="1"/>
    <xf numFmtId="0" fontId="6" fillId="0" borderId="5" xfId="0" applyFont="1" applyBorder="1"/>
    <xf numFmtId="11" fontId="6" fillId="0" borderId="4" xfId="0" applyNumberFormat="1" applyFont="1" applyBorder="1"/>
    <xf numFmtId="11" fontId="6" fillId="0" borderId="5" xfId="0" applyNumberFormat="1" applyFont="1" applyBorder="1"/>
    <xf numFmtId="0" fontId="0" fillId="2" borderId="0" xfId="0" applyFill="1"/>
    <xf numFmtId="11" fontId="9" fillId="0" borderId="0" xfId="0" applyNumberFormat="1" applyFont="1"/>
    <xf numFmtId="0" fontId="9" fillId="0" borderId="0" xfId="0" applyFont="1"/>
    <xf numFmtId="11" fontId="6" fillId="0" borderId="1" xfId="0" applyNumberFormat="1" applyFont="1" applyBorder="1"/>
    <xf numFmtId="0" fontId="6" fillId="0" borderId="6" xfId="0" applyFont="1" applyBorder="1"/>
    <xf numFmtId="11" fontId="5" fillId="0" borderId="4" xfId="0" applyNumberFormat="1" applyFont="1" applyBorder="1"/>
    <xf numFmtId="11" fontId="5" fillId="0" borderId="5" xfId="0" applyNumberFormat="1" applyFont="1" applyBorder="1"/>
    <xf numFmtId="11" fontId="5" fillId="0" borderId="2" xfId="0" applyNumberFormat="1" applyFont="1" applyBorder="1"/>
    <xf numFmtId="11" fontId="5" fillId="0" borderId="3" xfId="0" applyNumberFormat="1" applyFont="1" applyBorder="1"/>
    <xf numFmtId="0" fontId="5" fillId="0" borderId="4" xfId="0" applyFont="1" applyBorder="1"/>
    <xf numFmtId="0" fontId="5" fillId="0" borderId="5" xfId="0" applyFont="1" applyBorder="1"/>
    <xf numFmtId="11" fontId="5" fillId="0" borderId="1" xfId="0" applyNumberFormat="1" applyFont="1" applyBorder="1"/>
    <xf numFmtId="0" fontId="5" fillId="0" borderId="6" xfId="0" applyFont="1" applyBorder="1"/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</cellXfs>
  <cellStyles count="4">
    <cellStyle name="Normal" xfId="0" builtinId="0"/>
    <cellStyle name="Normal 2" xfId="1" xr:uid="{89E8E2AC-2A96-4F90-A13F-677E574B0D34}"/>
    <cellStyle name="Percent" xfId="3" builtinId="5"/>
    <cellStyle name="標準 2" xfId="2" xr:uid="{F0598978-7866-40F0-B854-20C9122BC0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5</xdr:row>
      <xdr:rowOff>0</xdr:rowOff>
    </xdr:from>
    <xdr:to>
      <xdr:col>2</xdr:col>
      <xdr:colOff>704850</xdr:colOff>
      <xdr:row>5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90E9D26-286A-4360-9DF6-C16C1DCC9AE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6825" y="952500"/>
          <a:ext cx="6572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5</xdr:row>
      <xdr:rowOff>0</xdr:rowOff>
    </xdr:from>
    <xdr:to>
      <xdr:col>2</xdr:col>
      <xdr:colOff>704850</xdr:colOff>
      <xdr:row>5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4C954B2-CF57-4E28-8EC6-BEBC9209A56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962025"/>
          <a:ext cx="6572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47625</xdr:colOff>
      <xdr:row>5</xdr:row>
      <xdr:rowOff>0</xdr:rowOff>
    </xdr:from>
    <xdr:to>
      <xdr:col>2</xdr:col>
      <xdr:colOff>704850</xdr:colOff>
      <xdr:row>5</xdr:row>
      <xdr:rowOff>180975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71A93DF-5EF1-40E6-B293-31D5EA4F71B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3975" y="962025"/>
          <a:ext cx="657225" cy="1809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5D3D6-F0B9-472C-A048-76BC9ADE375C}">
  <dimension ref="A1:M42"/>
  <sheetViews>
    <sheetView tabSelected="1" workbookViewId="0">
      <selection activeCell="D8" sqref="D8"/>
    </sheetView>
  </sheetViews>
  <sheetFormatPr defaultRowHeight="15"/>
  <cols>
    <col min="1" max="1" width="10" bestFit="1" customWidth="1"/>
    <col min="3" max="3" width="14.28515625" bestFit="1" customWidth="1"/>
    <col min="4" max="5" width="15.7109375" customWidth="1"/>
    <col min="8" max="8" width="12" bestFit="1" customWidth="1"/>
    <col min="9" max="9" width="24.140625" bestFit="1" customWidth="1"/>
    <col min="12" max="13" width="12" bestFit="1" customWidth="1"/>
  </cols>
  <sheetData>
    <row r="1" spans="1:12">
      <c r="A1" s="20">
        <f>D3</f>
        <v>1.7308665620709901E-2</v>
      </c>
      <c r="B1" s="20">
        <f>E3</f>
        <v>3.6154605439721029E-4</v>
      </c>
    </row>
    <row r="2" spans="1:12" ht="15.75" thickBot="1">
      <c r="A2" s="21">
        <f>D4</f>
        <v>0.83197953052475704</v>
      </c>
      <c r="B2" s="21">
        <f>E4</f>
        <v>8.4182832736818571E-3</v>
      </c>
      <c r="D2" t="s">
        <v>10</v>
      </c>
      <c r="E2" t="s">
        <v>8</v>
      </c>
      <c r="F2" t="s">
        <v>9</v>
      </c>
    </row>
    <row r="3" spans="1:12">
      <c r="A3" s="20">
        <f>D5*D7*1846719.09135532</f>
        <v>8.2617658661767138E-2</v>
      </c>
      <c r="B3" s="21">
        <f>SQRT((E5*D7*1846719.09135532)^2+(D5*E7*1846719.09135532)^2)</f>
        <v>8.5561972657986901E-3</v>
      </c>
      <c r="C3" t="s">
        <v>0</v>
      </c>
      <c r="D3" s="13">
        <v>1.7308665620709901E-2</v>
      </c>
      <c r="E3" s="14">
        <v>3.6154605439721029E-4</v>
      </c>
      <c r="F3" t="s">
        <v>27</v>
      </c>
      <c r="I3" s="19" t="str">
        <f>TEXT(10*D3,"0.000")&amp;"("&amp;TEXT(10*1000*E3,"0")&amp;")"&amp;" mS/cm"</f>
        <v>0.173(4) mS/cm</v>
      </c>
      <c r="L3" s="3"/>
    </row>
    <row r="4" spans="1:12">
      <c r="A4" s="21">
        <f>D6*19.139894642174</f>
        <v>3.110232879353275</v>
      </c>
      <c r="B4" s="21">
        <f>E6*19.139894642174</f>
        <v>7.4645589104478591E-2</v>
      </c>
      <c r="C4" s="1" t="s">
        <v>1</v>
      </c>
      <c r="D4" s="15">
        <v>0.83197953052475704</v>
      </c>
      <c r="E4" s="16">
        <v>8.4182832736818571E-3</v>
      </c>
      <c r="I4" s="19" t="str">
        <f>TEXT(D4,"0.000")&amp;"("&amp;TEXT(1000*E4,"0")&amp;")"</f>
        <v>0.832(8)</v>
      </c>
    </row>
    <row r="5" spans="1:12">
      <c r="C5" t="s">
        <v>2</v>
      </c>
      <c r="D5" s="17">
        <v>1.3057315760444814E-11</v>
      </c>
      <c r="E5" s="18">
        <v>1.3522403624173945E-12</v>
      </c>
      <c r="F5" t="s">
        <v>16</v>
      </c>
      <c r="I5" s="19" t="str">
        <f>TEXT(10^11*D5,"0.00")&amp;"("&amp;TEXT(10^11*100*E5,"0")&amp;")"&amp;" x 10^-11 m^2/s"</f>
        <v>1.31(14) x 10^-11 m^2/s</v>
      </c>
      <c r="L5" s="2"/>
    </row>
    <row r="6" spans="1:12">
      <c r="D6" s="15">
        <v>0.16250000000000001</v>
      </c>
      <c r="E6" s="16">
        <v>3.8999999999999998E-3</v>
      </c>
      <c r="F6" t="s">
        <v>7</v>
      </c>
      <c r="I6" s="19" t="str">
        <f>TEXT(1000*D6,"0")&amp;"("&amp;TEXT(1000*E6,"0")&amp;")"&amp;" mV"</f>
        <v>163(4) mV</v>
      </c>
    </row>
    <row r="7" spans="1:12">
      <c r="C7" t="s">
        <v>11</v>
      </c>
      <c r="D7" s="15">
        <v>3426.2428131797901</v>
      </c>
      <c r="E7" s="16">
        <v>2.14258022700507</v>
      </c>
      <c r="F7" t="s">
        <v>28</v>
      </c>
      <c r="I7" s="19" t="str">
        <f>TEXT(D7/1000,"0.000")&amp;"("&amp;TEXT(E7,"0")&amp;")"&amp;" M"</f>
        <v>3.426(2) M</v>
      </c>
    </row>
    <row r="8" spans="1:12">
      <c r="C8" t="s">
        <v>14</v>
      </c>
      <c r="D8" s="17">
        <v>1.7061656607608702E-12</v>
      </c>
      <c r="E8" s="16">
        <v>8.4906768119786373E-14</v>
      </c>
      <c r="F8" t="s">
        <v>16</v>
      </c>
      <c r="I8" s="19" t="str">
        <f>TEXT(10^12*D8,"0.00")&amp;"("&amp;TEXT(10^12*100*E8,"0")&amp;")"&amp;" x 10^-12 m^2/s"</f>
        <v>1.71(8) x 10^-12 m^2/s</v>
      </c>
    </row>
    <row r="9" spans="1:12">
      <c r="C9" t="s">
        <v>15</v>
      </c>
      <c r="D9" s="15">
        <v>1.0348240060781626E-12</v>
      </c>
      <c r="E9" s="16">
        <v>2.8688410105175566E-14</v>
      </c>
      <c r="F9" t="s">
        <v>16</v>
      </c>
      <c r="I9" s="19" t="str">
        <f>TEXT(10^12*D9,"0.00")&amp;"("&amp;TEXT(10^12*100*E9,"0")&amp;")"&amp;" x 10^-12 m^2/s"</f>
        <v>1.03(3) x 10^-12 m^2/s</v>
      </c>
    </row>
    <row r="10" spans="1:12" ht="15.75" thickBot="1">
      <c r="C10" t="s">
        <v>26</v>
      </c>
      <c r="D10" s="22">
        <v>1.6365656523248699E-12</v>
      </c>
      <c r="E10" s="23">
        <v>1.7056843906417433E-14</v>
      </c>
      <c r="F10" t="s">
        <v>16</v>
      </c>
      <c r="I10" s="19" t="str">
        <f>TEXT(10^12*D10,"0.00")&amp;"("&amp;TEXT(10^12*100*E10,"0")&amp;")"&amp;" x 10^-12 m^2/s"</f>
        <v>1.64(2) x 10^-12 m^2/s</v>
      </c>
    </row>
    <row r="11" spans="1:12">
      <c r="D11" s="32" t="s">
        <v>33</v>
      </c>
      <c r="E11" s="32"/>
    </row>
    <row r="12" spans="1:12">
      <c r="D12" s="8"/>
      <c r="E12" s="4"/>
    </row>
    <row r="13" spans="1:12">
      <c r="D13" s="8"/>
      <c r="E13" s="4"/>
    </row>
    <row r="14" spans="1:12">
      <c r="D14" s="4"/>
      <c r="E14" s="4"/>
    </row>
    <row r="15" spans="1:12">
      <c r="D15" s="7"/>
      <c r="E15" s="4"/>
    </row>
    <row r="17" spans="3:13">
      <c r="J17" s="21" t="s">
        <v>13</v>
      </c>
      <c r="K17" s="21"/>
      <c r="L17" s="21"/>
      <c r="M17" s="21"/>
    </row>
    <row r="18" spans="3:13">
      <c r="J18" s="21" t="s">
        <v>3</v>
      </c>
      <c r="K18" s="21" t="s">
        <v>4</v>
      </c>
      <c r="L18" s="21" t="s">
        <v>5</v>
      </c>
      <c r="M18" s="21" t="s">
        <v>6</v>
      </c>
    </row>
    <row r="19" spans="3:13">
      <c r="C19" t="s">
        <v>34</v>
      </c>
      <c r="D19" s="11">
        <f>(A1^2*A2^2*A4^2-2*A1*A2*A3*A4+A3^2+2*A1*A2^2*A3*A4-A2*A3^2)/(A1*A2^2*A4^2)</f>
        <v>1.6475056906674258E-2</v>
      </c>
      <c r="E19" s="11">
        <f>SQRT((J19*B$1)^2+(K19*B$2)^2+(L19*B$3)^2+(M19*B$4)^2)</f>
        <v>9.7698596949673429E-4</v>
      </c>
      <c r="F19" t="s">
        <v>12</v>
      </c>
      <c r="H19" s="6"/>
      <c r="I19" s="19" t="str">
        <f>TEXT(10*D19,"0.000")&amp;"("&amp;TEXT(10*1000*E19,"0")&amp;")"&amp;" mS/cm"</f>
        <v>0.165(10) mS/cm</v>
      </c>
      <c r="J19" s="20">
        <f>1 + ((A2-1)*A3^2)/(A1^2*A2^2*A4^2)</f>
        <v>0.42829803471269434</v>
      </c>
      <c r="K19" s="20">
        <f>(A3* ((-2 + A2)* A3 + 2* A1* A2 *A4))/(A1* A2^3 *A4^2)</f>
        <v>-5.9304896831037079E-3</v>
      </c>
      <c r="L19" s="20">
        <f>(2 *(-1 + A2) *(-A3 + A1* A2 *A4))/(A1* A2^2 *A4^2)</f>
        <v>0.10968344521748755</v>
      </c>
      <c r="M19" s="20">
        <f>(2* (-1 + A2) *A3* (A3 - A1 *A2 *A4))/(A1* A2^2* A4^3)</f>
        <v>-2.9135404933759435E-3</v>
      </c>
    </row>
    <row r="20" spans="3:13">
      <c r="C20" t="s">
        <v>35</v>
      </c>
      <c r="D20" s="11">
        <f>(A3^2*(1-A2))/(A1*A2^2*A4^2)</f>
        <v>9.8953981518606713E-3</v>
      </c>
      <c r="E20" s="11">
        <f>SQRT((J20*B$1)^2+(K20*B$2)^2+(L20*B$3)^2+(M20*B$4)^2)</f>
        <v>2.2256900997548591E-3</v>
      </c>
      <c r="F20" t="s">
        <v>12</v>
      </c>
      <c r="H20" s="6"/>
      <c r="I20" s="19" t="str">
        <f t="shared" ref="I20:I27" si="0">TEXT(10*D20,"0.000")&amp;"("&amp;TEXT(10*1000*E20,"0")&amp;")"&amp;" mS/cm"</f>
        <v>0.099(22) mS/cm</v>
      </c>
      <c r="J20" s="20">
        <f>((A2-1)* A3^2)/(A1^2 *A2^2 *A4^2)</f>
        <v>-0.57170196528730566</v>
      </c>
      <c r="K20" s="20">
        <f>((-2 + A2)* A3^2)/(A1 *A2^3 *A4^2)</f>
        <v>-8.2681603733554321E-2</v>
      </c>
      <c r="L20" s="21">
        <f>-(2* (-1 + A2)* A3)/(A1 *A2^2 *A4^2)</f>
        <v>0.23954680663057693</v>
      </c>
      <c r="M20" s="20">
        <f>(2 *(-1 + A2) *A3^2)/(A1 *A2^2 *A4^3)</f>
        <v>-6.3631236217387473E-3</v>
      </c>
    </row>
    <row r="21" spans="3:13">
      <c r="C21" s="5" t="s">
        <v>36</v>
      </c>
      <c r="D21" s="11">
        <f>(A3^2-A1*A2*A3*A4+A1*A2^2*A3*A4-A2*A3^2)/(A1*A2^2*A4^2)</f>
        <v>4.5308947189125204E-3</v>
      </c>
      <c r="E21" s="11">
        <f>SQRT((J21*B$1)^2+(K21*B$2)^2+(L21*B$3)^2+(M21*B$4)^2)</f>
        <v>1.591814692320295E-3</v>
      </c>
      <c r="F21" t="s">
        <v>12</v>
      </c>
      <c r="H21" s="6"/>
      <c r="I21" s="19" t="str">
        <f t="shared" si="0"/>
        <v>0.045(16) mS/cm</v>
      </c>
      <c r="J21" s="20">
        <f>((-1 + A2) *A3^2)/(A1^2 *A2^2 *A4^2)</f>
        <v>-0.57170196528730566</v>
      </c>
      <c r="K21" s="20">
        <f>(A3* ((-2 + A2)* A3 + A1 *A2* A4))/(A1 *A2^3* A4^2)</f>
        <v>-4.4306046708329008E-2</v>
      </c>
      <c r="L21" s="20">
        <f>((-1 + A2)* (-2 *A3 + A1 *A2* A4))/(A1 *A2^2* A4^2)</f>
        <v>0.17461512592403225</v>
      </c>
      <c r="M21" s="20">
        <f>((-1 + A2)* A3* (2 *A3 - A1* A2* A4))/(A1 *A2^2* A4^3)</f>
        <v>-4.6383320575573445E-3</v>
      </c>
    </row>
    <row r="22" spans="3:13">
      <c r="C22" t="s">
        <v>17</v>
      </c>
      <c r="D22" s="11">
        <f>3693434.611*D7*D8</f>
        <v>2.1590850440254022E-2</v>
      </c>
      <c r="E22" s="11">
        <f>SQRT((3693434.611*E7*D8)^2+(3693434.611*D7*E8)^2)</f>
        <v>1.0745463378406188E-3</v>
      </c>
      <c r="F22" t="s">
        <v>12</v>
      </c>
      <c r="H22" s="6"/>
      <c r="I22" s="19" t="str">
        <f t="shared" si="0"/>
        <v>0.216(11) mS/cm</v>
      </c>
    </row>
    <row r="23" spans="3:13">
      <c r="C23" t="s">
        <v>18</v>
      </c>
      <c r="D23" s="11">
        <f>3693434.611*D7*D9</f>
        <v>1.30952877912537E-2</v>
      </c>
      <c r="E23" s="11">
        <f>SQRT((3693434.611*E7*D9)^2+(3693434.611*D7*E9)^2)</f>
        <v>3.6313281135310932E-4</v>
      </c>
      <c r="F23" t="s">
        <v>12</v>
      </c>
      <c r="H23" s="6"/>
      <c r="I23" s="19" t="str">
        <f t="shared" si="0"/>
        <v>0.131(4) mS/cm</v>
      </c>
    </row>
    <row r="24" spans="3:13">
      <c r="C24" t="s">
        <v>19</v>
      </c>
      <c r="D24" s="11">
        <f>D19-D22</f>
        <v>-5.1157935335797641E-3</v>
      </c>
      <c r="E24" s="11">
        <f>SQRT(E19^2+E22^2)</f>
        <v>1.452291780862289E-3</v>
      </c>
      <c r="F24" t="s">
        <v>12</v>
      </c>
      <c r="H24" s="6"/>
      <c r="I24" s="19" t="str">
        <f t="shared" si="0"/>
        <v>-0.051(15) mS/cm</v>
      </c>
    </row>
    <row r="25" spans="3:13">
      <c r="C25" t="s">
        <v>20</v>
      </c>
      <c r="D25" s="12">
        <f>D20-D23</f>
        <v>-3.199889639393029E-3</v>
      </c>
      <c r="E25" s="12">
        <f>SQRT(E20^2+E23^2)</f>
        <v>2.2551190342924268E-3</v>
      </c>
      <c r="F25" t="s">
        <v>12</v>
      </c>
      <c r="H25" s="6"/>
      <c r="I25" s="19" t="str">
        <f t="shared" si="0"/>
        <v>-0.032(23) mS/cm</v>
      </c>
    </row>
    <row r="26" spans="3:13">
      <c r="C26" s="3" t="s">
        <v>23</v>
      </c>
      <c r="D26" s="12">
        <f>D24+D25-2*D21</f>
        <v>-1.7377472610797834E-2</v>
      </c>
      <c r="E26" s="12">
        <f>SQRT(E24^2+E25^2+(2*E21)^2)</f>
        <v>4.1629568018819495E-3</v>
      </c>
      <c r="F26" t="s">
        <v>12</v>
      </c>
      <c r="H26" s="6"/>
      <c r="I26" s="19" t="str">
        <f t="shared" si="0"/>
        <v>-0.174(42) mS/cm</v>
      </c>
    </row>
    <row r="27" spans="3:13">
      <c r="C27" t="s">
        <v>38</v>
      </c>
      <c r="D27" s="10">
        <f>SUM(D22:D23)</f>
        <v>3.4686138231507721E-2</v>
      </c>
      <c r="E27" s="10">
        <f>E22+E23</f>
        <v>1.437679149193728E-3</v>
      </c>
      <c r="I27" s="19" t="str">
        <f t="shared" si="0"/>
        <v>0.347(14) mS/cm</v>
      </c>
    </row>
    <row r="28" spans="3:13">
      <c r="C28" t="s">
        <v>21</v>
      </c>
      <c r="D28" s="10">
        <f>D19/(D19+D20)</f>
        <v>0.62475436506894955</v>
      </c>
      <c r="E28" s="10">
        <f>SQRT((E19*D19/((D19+D20)^2))^2+(E20*D19/((D19+D20)^2))^2)</f>
        <v>5.7586302701318849E-2</v>
      </c>
      <c r="I28" s="19" t="str">
        <f>TEXT(D28,"0.00")&amp;"("&amp;TEXT(109*E28,"0")&amp;")"</f>
        <v>0.62(6)</v>
      </c>
    </row>
    <row r="29" spans="3:13">
      <c r="C29" t="s">
        <v>22</v>
      </c>
      <c r="D29" s="10">
        <f>2*D21/(D19+D20)</f>
        <v>0.34363417004789792</v>
      </c>
      <c r="E29" s="10">
        <f>SQRT((2*E21/(D19+D20))^2+(2*D21*E19/((D19+D20)^2))^2+(2*D21*E20/((D19+D20)^2))^2)</f>
        <v>0.12481305150305576</v>
      </c>
      <c r="I29" s="19" t="str">
        <f>TEXT(D29,"0.00")&amp;"("&amp;TEXT(109*E29,"0")&amp;")"</f>
        <v>0.34(14)</v>
      </c>
    </row>
    <row r="31" spans="3:13">
      <c r="C31" t="s">
        <v>31</v>
      </c>
      <c r="D31" s="2">
        <f>1-(D3)/(D22+D23)</f>
        <v>0.5009918514080276</v>
      </c>
    </row>
    <row r="32" spans="3:13">
      <c r="C32" t="s">
        <v>32</v>
      </c>
      <c r="D32" s="9">
        <f>(D3)/(D22+D23)</f>
        <v>0.49900814859197246</v>
      </c>
      <c r="E32" s="9">
        <f>SQRT((E3/(D22+D23))^2+(E22*D3/((D22+D23)^2))^2+(E23*D3/((D22+D23)^2))^2)</f>
        <v>1.9362696099843413E-2</v>
      </c>
      <c r="I32" s="19" t="str">
        <f>TEXT(100*D32,"0")&amp;"("&amp;TEXT(100*E32,"0")&amp;")"&amp;"%"</f>
        <v>50(2)%</v>
      </c>
    </row>
    <row r="33" spans="2:9">
      <c r="D33" s="9"/>
    </row>
    <row r="35" spans="2:9">
      <c r="B35" t="s">
        <v>24</v>
      </c>
    </row>
    <row r="36" spans="2:9">
      <c r="B36" t="s">
        <v>25</v>
      </c>
      <c r="D36">
        <f>(D19-D21)/(D19+D20-2*D21)</f>
        <v>0.69006834203732614</v>
      </c>
      <c r="E36">
        <f>SQRT((E19*(D20 - D21)/(D19 + D20 - 2*D21)^2)^2+(E20*(D20-D21)/(D19+D20-2*D21)^2)^2+(E21*(D19 - D20)/(D19 + D20 - 2*D21)^2)^2)</f>
        <v>5.5825927675848076E-2</v>
      </c>
    </row>
    <row r="37" spans="2:9">
      <c r="B37" t="s">
        <v>29</v>
      </c>
      <c r="D37">
        <f>(D19-D21^2/D20)/(D19+D20-2*D21)</f>
        <v>0.83197953052475759</v>
      </c>
    </row>
    <row r="38" spans="2:9">
      <c r="B38" t="s">
        <v>30</v>
      </c>
      <c r="D38" s="6">
        <f>D22+D23+D26</f>
        <v>1.7308665620709887E-2</v>
      </c>
    </row>
    <row r="39" spans="2:9">
      <c r="B39" t="s">
        <v>37</v>
      </c>
      <c r="D39">
        <f>-(A2*A4*A4*D3*D3)/(A3*(A2*D3-A1))</f>
        <v>10.035221634983303</v>
      </c>
    </row>
    <row r="41" spans="2:9">
      <c r="C41" t="s">
        <v>38</v>
      </c>
      <c r="D41" s="10">
        <f>(D22+D23)</f>
        <v>3.4686138231507721E-2</v>
      </c>
      <c r="I41" s="19" t="str">
        <f>TEXT(10*D41,"0.000")&amp;"("&amp;TEXT(10*1000*E41,"0")&amp;")"&amp;" mS/cm"</f>
        <v>0.347(0) mS/cm</v>
      </c>
    </row>
    <row r="42" spans="2:9">
      <c r="D42" s="9"/>
    </row>
  </sheetData>
  <mergeCells count="1">
    <mergeCell ref="D11:E11"/>
  </mergeCells>
  <phoneticPr fontId="7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A0D20B-D28D-457C-93F8-7A7D455D06F2}">
  <dimension ref="A1:M41"/>
  <sheetViews>
    <sheetView workbookViewId="0">
      <selection activeCell="K11" sqref="K11"/>
    </sheetView>
  </sheetViews>
  <sheetFormatPr defaultRowHeight="15"/>
  <cols>
    <col min="1" max="1" width="10" bestFit="1" customWidth="1"/>
    <col min="3" max="3" width="14.28515625" bestFit="1" customWidth="1"/>
    <col min="4" max="5" width="15.7109375" customWidth="1"/>
    <col min="8" max="8" width="12" bestFit="1" customWidth="1"/>
    <col min="9" max="9" width="24.140625" bestFit="1" customWidth="1"/>
    <col min="12" max="13" width="12" bestFit="1" customWidth="1"/>
  </cols>
  <sheetData>
    <row r="1" spans="1:12">
      <c r="A1" s="20">
        <f>D3</f>
        <v>1.31743078665153E-2</v>
      </c>
      <c r="B1" s="21">
        <f>E3</f>
        <v>2.4514082955572059E-4</v>
      </c>
    </row>
    <row r="2" spans="1:12" ht="15.75" thickBot="1">
      <c r="A2" s="21">
        <f>D4</f>
        <v>0.86898777877250455</v>
      </c>
      <c r="B2" s="21">
        <f>E4</f>
        <v>3.4108180493888023E-2</v>
      </c>
      <c r="D2" t="s">
        <v>10</v>
      </c>
      <c r="E2" t="s">
        <v>8</v>
      </c>
      <c r="F2" t="s">
        <v>9</v>
      </c>
    </row>
    <row r="3" spans="1:12">
      <c r="A3" s="20">
        <f>D5*D7*1846719.09135532</f>
        <v>3.3307738225547515E-2</v>
      </c>
      <c r="B3" s="21">
        <f>SQRT((E5*D7*1846719.09135532)^2+(D5*E7*1846719.09135532)^2)</f>
        <v>5.7453953474527657E-3</v>
      </c>
      <c r="C3" t="s">
        <v>0</v>
      </c>
      <c r="D3" s="26">
        <v>1.31743078665153E-2</v>
      </c>
      <c r="E3" s="27">
        <v>2.4514082955572059E-4</v>
      </c>
      <c r="F3" t="s">
        <v>27</v>
      </c>
      <c r="I3" s="19" t="str">
        <f>TEXT(10*D3,"0.000")&amp;"("&amp;TEXT(10*1000*E3,"0")&amp;")"&amp;" mS/cm"</f>
        <v>0.132(2) mS/cm</v>
      </c>
      <c r="L3" s="3"/>
    </row>
    <row r="4" spans="1:12">
      <c r="A4" s="21">
        <f>D6*19.139894642174</f>
        <v>2.497756250803707</v>
      </c>
      <c r="B4" s="21">
        <f>E6*19.139894642174</f>
        <v>0.66156261094994095</v>
      </c>
      <c r="C4" s="1" t="s">
        <v>1</v>
      </c>
      <c r="D4" s="28">
        <v>0.86898777877250455</v>
      </c>
      <c r="E4" s="29">
        <v>3.4108180493888023E-2</v>
      </c>
      <c r="I4" s="19" t="str">
        <f>TEXT(D4,"0.000")&amp;"("&amp;TEXT(1000*E4,"0")&amp;")"</f>
        <v>0.869(34)</v>
      </c>
    </row>
    <row r="5" spans="1:12">
      <c r="C5" t="s">
        <v>2</v>
      </c>
      <c r="D5" s="24">
        <v>5.6873933151657082E-12</v>
      </c>
      <c r="E5" s="25">
        <v>9.8103768367180298E-13</v>
      </c>
      <c r="F5" t="s">
        <v>16</v>
      </c>
      <c r="I5" s="19" t="str">
        <f>TEXT(10^11*D5,"0.00")&amp;"("&amp;TEXT(10^11*100*E5,"0")&amp;")"&amp;" x 10^-11 m^2/s"</f>
        <v>0.57(10) x 10^-11 m^2/s</v>
      </c>
      <c r="L5" s="2"/>
    </row>
    <row r="6" spans="1:12">
      <c r="D6" s="28">
        <v>0.1305</v>
      </c>
      <c r="E6" s="29">
        <v>3.4564589999999999E-2</v>
      </c>
      <c r="F6" t="s">
        <v>7</v>
      </c>
      <c r="I6" s="19" t="str">
        <f>TEXT(1000*D6,"0")&amp;"("&amp;TEXT(1000*E6,"0")&amp;")"&amp;" mV"</f>
        <v>131(35) mV</v>
      </c>
    </row>
    <row r="7" spans="1:12">
      <c r="C7" t="s">
        <v>11</v>
      </c>
      <c r="D7" s="15">
        <v>3171.2540920821202</v>
      </c>
      <c r="E7" s="16">
        <v>1.79913957076714</v>
      </c>
      <c r="F7" t="s">
        <v>28</v>
      </c>
      <c r="I7" s="19" t="str">
        <f>TEXT(D7/1000,"0.000")&amp;"("&amp;TEXT(E7,"0")&amp;")"&amp;" M"</f>
        <v>3.171(2) M</v>
      </c>
    </row>
    <row r="8" spans="1:12">
      <c r="C8" t="s">
        <v>14</v>
      </c>
      <c r="D8" s="24">
        <v>1.3020778892547086E-12</v>
      </c>
      <c r="E8" s="29">
        <v>2.8463371728774056E-14</v>
      </c>
      <c r="F8" t="s">
        <v>16</v>
      </c>
      <c r="I8" s="19" t="str">
        <f>TEXT(10^12*D8,"0.00")&amp;"("&amp;TEXT(10^12*100*E8,"0")&amp;")"&amp;" x 10^-12 m^2/s"</f>
        <v>1.30(3) x 10^-12 m^2/s</v>
      </c>
    </row>
    <row r="9" spans="1:12">
      <c r="C9" t="s">
        <v>15</v>
      </c>
      <c r="D9" s="24">
        <v>7.0598099231202603E-13</v>
      </c>
      <c r="E9" s="29">
        <v>1.1209172633013054E-14</v>
      </c>
      <c r="F9" t="s">
        <v>16</v>
      </c>
      <c r="I9" s="19" t="str">
        <f>TEXT(10^12*D9,"0.00")&amp;"("&amp;TEXT(10^12*100*E9,"0")&amp;")"&amp;" x 10^-12 m^2/s"</f>
        <v>0.71(1) x 10^-12 m^2/s</v>
      </c>
    </row>
    <row r="10" spans="1:12" ht="15.75" thickBot="1">
      <c r="C10" t="s">
        <v>26</v>
      </c>
      <c r="D10" s="30">
        <v>1.1458846883998312E-12</v>
      </c>
      <c r="E10" s="31">
        <v>1.358784595008012E-14</v>
      </c>
      <c r="F10" t="s">
        <v>16</v>
      </c>
      <c r="I10" s="19" t="str">
        <f>TEXT(10^12*D10,"0.00")&amp;"("&amp;TEXT(10^12*100*E10,"0")&amp;")"&amp;" x 10^-12 m^2/s"</f>
        <v>1.15(1) x 10^-12 m^2/s</v>
      </c>
    </row>
    <row r="11" spans="1:12">
      <c r="D11" s="32" t="s">
        <v>33</v>
      </c>
      <c r="E11" s="32"/>
    </row>
    <row r="12" spans="1:12">
      <c r="D12" s="8"/>
      <c r="E12" s="4"/>
    </row>
    <row r="13" spans="1:12">
      <c r="D13" s="8"/>
      <c r="E13" s="4"/>
    </row>
    <row r="14" spans="1:12">
      <c r="D14" s="8"/>
      <c r="E14" s="8"/>
    </row>
    <row r="15" spans="1:12">
      <c r="D15" s="7"/>
      <c r="E15" s="4"/>
    </row>
    <row r="17" spans="3:13">
      <c r="J17" s="21" t="s">
        <v>13</v>
      </c>
      <c r="K17" s="21"/>
      <c r="L17" s="21"/>
      <c r="M17" s="21"/>
    </row>
    <row r="18" spans="3:13">
      <c r="J18" s="21" t="s">
        <v>3</v>
      </c>
      <c r="K18" s="21" t="s">
        <v>4</v>
      </c>
      <c r="L18" s="21" t="s">
        <v>5</v>
      </c>
      <c r="M18" s="21" t="s">
        <v>6</v>
      </c>
    </row>
    <row r="19" spans="3:13">
      <c r="C19" t="s">
        <v>34</v>
      </c>
      <c r="D19" s="11">
        <f>(A1^2*A2^2*A4^2-2*A1*A2*A3*A4+A3^2+2*A1*A2^2*A3*A4-A2*A3^2)/(A1*A2^2*A4^2)</f>
        <v>1.1495192338494879E-2</v>
      </c>
      <c r="E19" s="11">
        <f>SQRT((J19*B$1)^2+(K19*B$2)^2+(L19*B$3)^2+(M19*B$4)^2)</f>
        <v>5.035218559997169E-4</v>
      </c>
      <c r="F19" t="s">
        <v>12</v>
      </c>
      <c r="H19" s="6"/>
      <c r="I19" s="19" t="str">
        <f>TEXT(10*D19,"0.000")&amp;"("&amp;TEXT(10*1000*E19,"0")&amp;")"&amp;" mS/cm"</f>
        <v>0.115(5) mS/cm</v>
      </c>
      <c r="J19" s="20">
        <f>1 + ((A2-1)*A3^2)/(A1^2*A2^2*A4^2)</f>
        <v>0.82224614310451116</v>
      </c>
      <c r="K19" s="20">
        <f>(A3* ((-2 + A2)* A3 + 2* A1* A2 *A4))/(A1* A2^3 *A4^2)</f>
        <v>1.205390493908271E-2</v>
      </c>
      <c r="L19" s="20">
        <f>(2 *(-1 + A2) *(-A3 + A1* A2 *A4))/(A1* A2^2 *A4^2)</f>
        <v>1.9895331910378001E-2</v>
      </c>
      <c r="M19" s="20">
        <f>(2* (-1 + A2) *A3* (A3 - A1 *A2 *A4))/(A1* A2^2* A4^3)</f>
        <v>-2.6530551448646154E-4</v>
      </c>
    </row>
    <row r="20" spans="3:13">
      <c r="C20" t="s">
        <v>35</v>
      </c>
      <c r="D20" s="11">
        <f>(A3^2*(1-A2))/(A1*A2^2*A4^2)</f>
        <v>2.3417840352016744E-3</v>
      </c>
      <c r="E20" s="11">
        <f>SQRT((J20*B$1)^2+(K20*B$2)^2+(L20*B$3)^2+(M20*B$4)^2)</f>
        <v>1.6802003769757165E-3</v>
      </c>
      <c r="F20" t="s">
        <v>12</v>
      </c>
      <c r="H20" s="6"/>
      <c r="I20" s="19" t="str">
        <f t="shared" ref="I20:I27" si="0">TEXT(10*D20,"0.000")&amp;"("&amp;TEXT(10*1000*E20,"0")&amp;")"&amp;" mS/cm"</f>
        <v>0.023(17) mS/cm</v>
      </c>
      <c r="J20" s="20">
        <f>((A2-1)* A3^2)/(A1^2 *A2^2 *A4^2)</f>
        <v>-0.17775385689548889</v>
      </c>
      <c r="K20" s="20">
        <f>((-2 + A2)* A3^2)/(A1 *A2^3 *A4^2)</f>
        <v>-2.3264228783616146E-2</v>
      </c>
      <c r="L20" s="21">
        <f>-(2* (-1 + A2)* A3)/(A1 *A2^2 *A4^2)</f>
        <v>0.14061501380513985</v>
      </c>
      <c r="M20" s="20">
        <f>(2 *(-1 + A2) *A3^2)/(A1 *A2^2 *A4^3)</f>
        <v>-1.8751101389081943E-3</v>
      </c>
    </row>
    <row r="21" spans="3:13">
      <c r="C21" s="5" t="s">
        <v>36</v>
      </c>
      <c r="D21" s="11">
        <f>(A3^2-A1*A2*A3*A4+A1*A2^2*A3*A4-A2*A3^2)/(A1*A2^2*A4^2)</f>
        <v>3.313342535906247E-4</v>
      </c>
      <c r="E21" s="11">
        <f>SQRT((J21*B$1)^2+(K21*B$2)^2+(L21*B$3)^2+(M21*B$4)^2)</f>
        <v>8.6737407245807152E-4</v>
      </c>
      <c r="F21" t="s">
        <v>12</v>
      </c>
      <c r="H21" s="6"/>
      <c r="I21" s="19" t="str">
        <f t="shared" si="0"/>
        <v>0.003(9) mS/cm</v>
      </c>
      <c r="J21" s="20">
        <f>((-1 + A2) *A3^2)/(A1^2 *A2^2 *A4^2)</f>
        <v>-0.17775385689548889</v>
      </c>
      <c r="K21" s="20">
        <f>(A3* ((-2 + A2)* A3 + A1 *A2* A4))/(A1 *A2^3* A4^2)</f>
        <v>-5.6051619222667153E-3</v>
      </c>
      <c r="L21" s="20">
        <f>((-1 + A2)* (-2 *A3 + A1 *A2* A4))/(A1 *A2^2* A4^2)</f>
        <v>8.0255172857758933E-2</v>
      </c>
      <c r="M21" s="20">
        <f>((-1 + A2)* A3* (2 *A3 - A1* A2* A4))/(A1 *A2^2* A4^3)</f>
        <v>-1.0702078266973279E-3</v>
      </c>
    </row>
    <row r="22" spans="3:13">
      <c r="C22" t="s">
        <v>17</v>
      </c>
      <c r="D22" s="11">
        <f>3693434.611*D7*D8</f>
        <v>1.5251003453201918E-2</v>
      </c>
      <c r="E22" s="11">
        <f>SQRT((3693434.611*E7*D8)^2+(3693434.611*D7*E8)^2)</f>
        <v>3.3349859598287546E-4</v>
      </c>
      <c r="F22" t="s">
        <v>12</v>
      </c>
      <c r="H22" s="6"/>
      <c r="I22" s="19" t="str">
        <f>TEXT(10*D22,"0.000")&amp;"("&amp;TEXT(10*1000*E22,"0")&amp;")"&amp;" mS/cm"</f>
        <v>0.153(3) mS/cm</v>
      </c>
    </row>
    <row r="23" spans="3:13">
      <c r="C23" t="s">
        <v>18</v>
      </c>
      <c r="D23" s="11">
        <f>3693434.611*D7*D9</f>
        <v>8.2690280209031589E-3</v>
      </c>
      <c r="E23" s="11">
        <f>SQRT((3693434.611*E7*D9)^2+(3693434.611*D7*E9)^2)</f>
        <v>1.3137480348074759E-4</v>
      </c>
      <c r="F23" t="s">
        <v>12</v>
      </c>
      <c r="H23" s="6"/>
      <c r="I23" s="19" t="str">
        <f t="shared" si="0"/>
        <v>0.083(1) mS/cm</v>
      </c>
    </row>
    <row r="24" spans="3:13">
      <c r="C24" t="s">
        <v>19</v>
      </c>
      <c r="D24" s="11">
        <f>D19-D22</f>
        <v>-3.7558111147070385E-3</v>
      </c>
      <c r="E24" s="11">
        <f>SQRT(E19^2+E22^2)</f>
        <v>6.0394997557078258E-4</v>
      </c>
      <c r="F24" t="s">
        <v>12</v>
      </c>
      <c r="H24" s="6"/>
      <c r="I24" s="19" t="str">
        <f t="shared" si="0"/>
        <v>-0.038(6) mS/cm</v>
      </c>
    </row>
    <row r="25" spans="3:13">
      <c r="C25" t="s">
        <v>20</v>
      </c>
      <c r="D25" s="12">
        <f>D20-D23</f>
        <v>-5.9272439857014844E-3</v>
      </c>
      <c r="E25" s="12">
        <f>SQRT(E20^2+E23^2)</f>
        <v>1.6853286462227314E-3</v>
      </c>
      <c r="F25" t="s">
        <v>12</v>
      </c>
      <c r="H25" s="6"/>
      <c r="I25" s="19" t="str">
        <f t="shared" si="0"/>
        <v>-0.059(17) mS/cm</v>
      </c>
    </row>
    <row r="26" spans="3:13">
      <c r="C26" s="3" t="s">
        <v>23</v>
      </c>
      <c r="D26" s="12">
        <f>D24+D25-2*D21</f>
        <v>-1.0345723607589773E-2</v>
      </c>
      <c r="E26" s="12">
        <f>SQRT(E24^2+E25^2+(2*E21)^2)</f>
        <v>2.4928777236480921E-3</v>
      </c>
      <c r="F26" t="s">
        <v>12</v>
      </c>
      <c r="H26" s="6"/>
      <c r="I26" s="19" t="str">
        <f t="shared" si="0"/>
        <v>-0.103(25) mS/cm</v>
      </c>
    </row>
    <row r="27" spans="3:13">
      <c r="C27" t="s">
        <v>38</v>
      </c>
      <c r="D27" s="10">
        <f>SUM(D22:D23)</f>
        <v>2.3520031474105078E-2</v>
      </c>
      <c r="E27" s="10">
        <f>E22+E23</f>
        <v>4.6487339946362307E-4</v>
      </c>
      <c r="I27" s="19" t="str">
        <f t="shared" si="0"/>
        <v>0.235(5) mS/cm</v>
      </c>
    </row>
    <row r="28" spans="3:13">
      <c r="C28" t="s">
        <v>21</v>
      </c>
      <c r="D28" s="10">
        <f>D19/(D19+D20)</f>
        <v>0.83075897710909619</v>
      </c>
      <c r="E28" s="10">
        <f>SQRT((E19*D19/((D19+D20)^2))^2+(E20*D19/((D19+D20)^2))^2)</f>
        <v>0.10531006853735002</v>
      </c>
      <c r="I28" s="19" t="str">
        <f>TEXT(D28,"0.00")&amp;"("&amp;TEXT(109*E28,"0")&amp;")"</f>
        <v>0.83(11)</v>
      </c>
    </row>
    <row r="29" spans="3:13">
      <c r="C29" t="s">
        <v>22</v>
      </c>
      <c r="D29" s="10">
        <f>2*D21/(D19+D20)</f>
        <v>4.7891135265718261E-2</v>
      </c>
      <c r="E29" s="10">
        <f>SQRT((2*E21/(D19+D20))^2+(2*D21*E19/((D19+D20)^2))^2+(2*D21*E20/((D19+D20)^2))^2)</f>
        <v>0.12551736327433771</v>
      </c>
      <c r="I29" s="19" t="str">
        <f>TEXT(D29,"0.00")&amp;"("&amp;TEXT(109*E29,"0")&amp;")"</f>
        <v>0.05(14)</v>
      </c>
    </row>
    <row r="31" spans="3:13">
      <c r="C31" t="s">
        <v>31</v>
      </c>
      <c r="D31" s="2">
        <f>1-(D3)/(D22+D23)</f>
        <v>0.43986861237750219</v>
      </c>
    </row>
    <row r="32" spans="3:13">
      <c r="C32" t="s">
        <v>32</v>
      </c>
      <c r="D32" s="9">
        <f>(D3)/(D22+D23)</f>
        <v>0.56013138762249781</v>
      </c>
      <c r="E32" s="9">
        <f>SQRT((E3/(D22+D23))^2+(E22*D3/((D22+D23)^2))^2+(E23*D3/((D22+D23)^2))^2)</f>
        <v>1.3472203065216156E-2</v>
      </c>
      <c r="I32" s="19" t="str">
        <f>TEXT(100*D32,"0")&amp;"("&amp;TEXT(100*E32,"0")&amp;")"&amp;"%"</f>
        <v>56(1)%</v>
      </c>
    </row>
    <row r="33" spans="2:9">
      <c r="D33" s="9"/>
    </row>
    <row r="35" spans="2:9">
      <c r="B35" t="s">
        <v>24</v>
      </c>
    </row>
    <row r="36" spans="2:9">
      <c r="B36" t="s">
        <v>25</v>
      </c>
      <c r="D36">
        <f>(D19-D21)/(D19+D20-2*D21)</f>
        <v>0.84739617428244995</v>
      </c>
      <c r="E36">
        <f>SQRT((E19*(D20 - D21)/(D19 + D20 - 2*D21)^2)^2+(E20*(D20-D21)/(D19+D20-2*D21)^2)^2+(E21*(D19 - D20)/(D19 + D20 - 2*D21)^2)^2)</f>
        <v>5.0053133224453455E-2</v>
      </c>
    </row>
    <row r="37" spans="2:9">
      <c r="B37" t="s">
        <v>29</v>
      </c>
      <c r="D37">
        <f>(D19-D21^2/D20)/(D19+D20-2*D21)</f>
        <v>0.86898777877250444</v>
      </c>
    </row>
    <row r="38" spans="2:9">
      <c r="B38" t="s">
        <v>30</v>
      </c>
      <c r="D38" s="6">
        <f>D22+D23+D26</f>
        <v>1.3174307866515305E-2</v>
      </c>
    </row>
    <row r="39" spans="2:9">
      <c r="B39" t="s">
        <v>37</v>
      </c>
      <c r="D39">
        <f>-(A2*A4*A4*D3*D3)/(A3*(A2*D3-A1))</f>
        <v>16.367586061877191</v>
      </c>
    </row>
    <row r="41" spans="2:9">
      <c r="C41" t="s">
        <v>38</v>
      </c>
      <c r="D41" s="10">
        <f>(D22+D23)</f>
        <v>2.3520031474105078E-2</v>
      </c>
      <c r="E41" s="10">
        <f>(E22+E23)</f>
        <v>4.6487339946362307E-4</v>
      </c>
      <c r="I41" s="19" t="str">
        <f>TEXT(10*D41,"0.000")&amp;"("&amp;TEXT(10*1000*E41,"0")&amp;")"&amp;" mS/cm"</f>
        <v>0.235(5) mS/cm</v>
      </c>
    </row>
  </sheetData>
  <mergeCells count="1">
    <mergeCell ref="D11:E11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E66BE-4C95-4F77-811E-0619F60E59DE}">
  <dimension ref="A1:M41"/>
  <sheetViews>
    <sheetView workbookViewId="0">
      <selection activeCell="D3" sqref="D3:E10"/>
    </sheetView>
  </sheetViews>
  <sheetFormatPr defaultRowHeight="15"/>
  <cols>
    <col min="1" max="1" width="10" bestFit="1" customWidth="1"/>
    <col min="3" max="3" width="14.28515625" bestFit="1" customWidth="1"/>
    <col min="4" max="5" width="15.7109375" customWidth="1"/>
    <col min="8" max="8" width="12" bestFit="1" customWidth="1"/>
    <col min="9" max="9" width="24.140625" bestFit="1" customWidth="1"/>
    <col min="12" max="13" width="12" bestFit="1" customWidth="1"/>
  </cols>
  <sheetData>
    <row r="1" spans="1:12">
      <c r="A1" s="20">
        <f>D3</f>
        <v>1.01095350211616E-2</v>
      </c>
      <c r="B1" s="21">
        <f>E3</f>
        <v>2.7554598466677865E-4</v>
      </c>
    </row>
    <row r="2" spans="1:12" ht="15.75" thickBot="1">
      <c r="A2" s="21">
        <f>D4</f>
        <v>0.89110679380704194</v>
      </c>
      <c r="B2" s="21">
        <f>E4</f>
        <v>1.8341058072193505E-2</v>
      </c>
      <c r="D2" t="s">
        <v>10</v>
      </c>
      <c r="E2" t="s">
        <v>8</v>
      </c>
      <c r="F2" t="s">
        <v>9</v>
      </c>
    </row>
    <row r="3" spans="1:12">
      <c r="A3" s="20">
        <f>D5*D7*1846719.09135532</f>
        <v>8.1047681175246786E-2</v>
      </c>
      <c r="B3" s="21">
        <f>SQRT((E5*D7*1846719.09135532)^2+(D5*E7*1846719.09135532)^2)</f>
        <v>8.4771470690738118E-3</v>
      </c>
      <c r="C3" t="s">
        <v>0</v>
      </c>
      <c r="D3" s="26">
        <v>1.01095350211616E-2</v>
      </c>
      <c r="E3" s="27">
        <v>2.7554598466677865E-4</v>
      </c>
      <c r="F3" t="s">
        <v>27</v>
      </c>
      <c r="I3" s="19" t="str">
        <f>TEXT(10*D3,"0.000")&amp;"("&amp;TEXT(10*1000*E3,"0")&amp;")"&amp;" mS/cm"</f>
        <v>0.101(3) mS/cm</v>
      </c>
      <c r="L3" s="3"/>
    </row>
    <row r="4" spans="1:12">
      <c r="A4" s="21">
        <f>D6*19.139894642174</f>
        <v>2.6235694772498417</v>
      </c>
      <c r="B4" s="21">
        <f>E6*19.139894642174</f>
        <v>0.34988493001679755</v>
      </c>
      <c r="C4" s="1" t="s">
        <v>1</v>
      </c>
      <c r="D4" s="28">
        <v>0.89110679380704194</v>
      </c>
      <c r="E4" s="29">
        <v>1.8341058072193505E-2</v>
      </c>
      <c r="I4" s="19" t="str">
        <f>TEXT(D4,"0.000")&amp;"("&amp;TEXT(1000*E4,"0")&amp;")"</f>
        <v>0.891(18)</v>
      </c>
    </row>
    <row r="5" spans="1:12">
      <c r="C5" t="s">
        <v>2</v>
      </c>
      <c r="D5" s="24">
        <v>1.3537490672628824E-11</v>
      </c>
      <c r="E5" s="25">
        <v>1.4159239340802893E-12</v>
      </c>
      <c r="F5" t="s">
        <v>16</v>
      </c>
      <c r="I5" s="19" t="str">
        <f>TEXT(10^11*D5,"0.00")&amp;"("&amp;TEXT(10^11*100*E5,"0")&amp;")"&amp;" x 10^-11 m^2/s"</f>
        <v>1.35(14) x 10^-11 m^2/s</v>
      </c>
      <c r="L5" s="2"/>
    </row>
    <row r="6" spans="1:12">
      <c r="D6" s="28">
        <v>0.13707335000000001</v>
      </c>
      <c r="E6" s="29">
        <v>1.8280399999999999E-2</v>
      </c>
      <c r="F6" t="s">
        <v>7</v>
      </c>
      <c r="I6" s="19" t="str">
        <f>TEXT(1000*D6,"0")&amp;"("&amp;TEXT(1000*E6,"0")&amp;")"&amp;" mV"</f>
        <v>137(18) mV</v>
      </c>
    </row>
    <row r="7" spans="1:12">
      <c r="C7" t="s">
        <v>11</v>
      </c>
      <c r="D7" s="15">
        <v>3241.9147067608801</v>
      </c>
      <c r="E7" s="16">
        <v>1.9756141997916199</v>
      </c>
      <c r="F7" t="s">
        <v>28</v>
      </c>
      <c r="I7" s="19" t="str">
        <f>TEXT(D7/1000,"0.000")&amp;"("&amp;TEXT(E7,"0")&amp;")"&amp;" M"</f>
        <v>3.242(2) M</v>
      </c>
    </row>
    <row r="8" spans="1:12">
      <c r="C8" t="s">
        <v>14</v>
      </c>
      <c r="D8" s="24">
        <v>1.7985045958551364E-12</v>
      </c>
      <c r="E8" s="29">
        <v>1.9182976251861691E-13</v>
      </c>
      <c r="F8" t="s">
        <v>16</v>
      </c>
      <c r="I8" s="19" t="str">
        <f>TEXT(10^12*D8,"0.00")&amp;"("&amp;TEXT(10^12*100*E8,"0")&amp;")"&amp;" x 10^-12 m^2/s"</f>
        <v>1.80(19) x 10^-12 m^2/s</v>
      </c>
    </row>
    <row r="9" spans="1:12">
      <c r="C9" t="s">
        <v>15</v>
      </c>
      <c r="D9" s="24">
        <v>1.5924782377210843E-12</v>
      </c>
      <c r="E9" s="29">
        <v>2.2478237721083981E-14</v>
      </c>
      <c r="F9" t="s">
        <v>16</v>
      </c>
      <c r="I9" s="19" t="str">
        <f>TEXT(10^12*D9,"0.00")&amp;"("&amp;TEXT(10^12*100*E9,"0")&amp;")"&amp;" x 10^-12 m^2/s"</f>
        <v>1.59(2) x 10^-12 m^2/s</v>
      </c>
    </row>
    <row r="10" spans="1:12" ht="15.75" thickBot="1">
      <c r="C10" t="s">
        <v>26</v>
      </c>
      <c r="D10" s="30">
        <v>4.232785051945434E-12</v>
      </c>
      <c r="E10" s="31">
        <v>1.4301831255376759E-13</v>
      </c>
      <c r="F10" t="s">
        <v>16</v>
      </c>
      <c r="I10" s="19" t="str">
        <f>TEXT(10^12*D10,"0.00")&amp;"("&amp;TEXT(10^12*100*E10,"0")&amp;")"&amp;" x 10^-12 m^2/s"</f>
        <v>4.23(14) x 10^-12 m^2/s</v>
      </c>
    </row>
    <row r="11" spans="1:12">
      <c r="D11" s="33" t="s">
        <v>33</v>
      </c>
      <c r="E11" s="33"/>
    </row>
    <row r="12" spans="1:12">
      <c r="D12" s="8"/>
      <c r="E12" s="4"/>
    </row>
    <row r="13" spans="1:12">
      <c r="D13" s="8"/>
      <c r="E13" s="4"/>
    </row>
    <row r="14" spans="1:12">
      <c r="D14" s="4"/>
      <c r="E14" s="4"/>
    </row>
    <row r="15" spans="1:12">
      <c r="D15" s="7"/>
      <c r="E15" s="4"/>
    </row>
    <row r="17" spans="3:13">
      <c r="J17" s="21" t="s">
        <v>13</v>
      </c>
      <c r="K17" s="21"/>
      <c r="L17" s="21"/>
      <c r="M17" s="21"/>
    </row>
    <row r="18" spans="3:13">
      <c r="J18" s="21" t="s">
        <v>3</v>
      </c>
      <c r="K18" s="21" t="s">
        <v>4</v>
      </c>
      <c r="L18" s="21" t="s">
        <v>5</v>
      </c>
      <c r="M18" s="21" t="s">
        <v>6</v>
      </c>
    </row>
    <row r="19" spans="3:13">
      <c r="C19" t="s">
        <v>34</v>
      </c>
      <c r="D19" s="11">
        <f>(A1^2*A2^2*A4^2-2*A1*A2*A3*A4+A3^2+2*A1*A2^2*A3*A4-A2*A3^2)/(A1*A2^2*A4^2)</f>
        <v>1.5504620397889463E-2</v>
      </c>
      <c r="E19" s="11">
        <f>SQRT((J19*B$1)^2+(K19*B$2)^2+(L19*B$3)^2+(M19*B$4)^2)</f>
        <v>3.3648847700236354E-3</v>
      </c>
      <c r="F19" t="s">
        <v>12</v>
      </c>
      <c r="H19" s="6"/>
      <c r="I19" s="19" t="str">
        <f>TEXT(10*D19,"0.000")&amp;"("&amp;TEXT(10*1000*E19,"0")&amp;")"&amp;" mS/cm"</f>
        <v>0.155(34) mS/cm</v>
      </c>
      <c r="J19" s="20">
        <f>1 + ((A2-1)*A3^2)/(A1^2*A2^2*A4^2)</f>
        <v>-0.28048637592324055</v>
      </c>
      <c r="K19" s="20">
        <f>(A3* ((-2 + A2)* A3 + 2* A1* A2 *A4))/(A1* A2^3 *A4^2)</f>
        <v>-7.0126117711310568E-2</v>
      </c>
      <c r="L19" s="20">
        <f>(2 *(-1 + A2) *(-A3 + A1* A2 *A4))/(A1* A2^2 *A4^2)</f>
        <v>0.22628910503420488</v>
      </c>
      <c r="M19" s="20">
        <f>(2* (-1 + A2) *A3* (A3 - A1 *A2 *A4))/(A1* A2^2* A4^3)</f>
        <v>-6.9905551948520554E-3</v>
      </c>
    </row>
    <row r="20" spans="3:13">
      <c r="C20" t="s">
        <v>35</v>
      </c>
      <c r="D20" s="11">
        <f>(A3^2*(1-A2))/(A1*A2^2*A4^2)</f>
        <v>1.2945121861516296E-2</v>
      </c>
      <c r="E20" s="11">
        <f>SQRT((J20*B$1)^2+(K20*B$2)^2+(L20*B$3)^2+(M20*B$4)^2)</f>
        <v>5.1711745929714009E-3</v>
      </c>
      <c r="F20" t="s">
        <v>12</v>
      </c>
      <c r="H20" s="6"/>
      <c r="I20" s="19" t="str">
        <f t="shared" ref="I20:I27" si="0">TEXT(10*D20,"0.000")&amp;"("&amp;TEXT(10*1000*E20,"0")&amp;")"&amp;" mS/cm"</f>
        <v>0.129(52) mS/cm</v>
      </c>
      <c r="J20" s="20">
        <f>((A2-1)* A3^2)/(A1^2 *A2^2 *A4^2)</f>
        <v>-1.2804863759232405</v>
      </c>
      <c r="K20" s="20">
        <f>((-2 + A2)* A3^2)/(A1 *A2^3 *A4^2)</f>
        <v>-0.14793308902348326</v>
      </c>
      <c r="L20" s="21">
        <f>-(2* (-1 + A2)* A3)/(A1 *A2^2 *A4^2)</f>
        <v>0.31944459542341447</v>
      </c>
      <c r="M20" s="20">
        <f>(2 *(-1 + A2) *A3^2)/(A1 *A2^2 *A4^3)</f>
        <v>-9.8683278440074174E-3</v>
      </c>
    </row>
    <row r="21" spans="3:13">
      <c r="C21" s="5" t="s">
        <v>36</v>
      </c>
      <c r="D21" s="11">
        <f>(A3^2-A1*A2*A3*A4+A1*A2^2*A3*A4-A2*A3^2)/(A1*A2^2*A4^2)</f>
        <v>9.1701036191220667E-3</v>
      </c>
      <c r="E21" s="11">
        <f>SQRT((J21*B$1)^2+(K21*B$2)^2+(L21*B$3)^2+(M21*B$4)^2)</f>
        <v>4.2629239006375238E-3</v>
      </c>
      <c r="F21" t="s">
        <v>12</v>
      </c>
      <c r="H21" s="6"/>
      <c r="I21" s="19" t="str">
        <f t="shared" si="0"/>
        <v>0.092(43) mS/cm</v>
      </c>
      <c r="J21" s="20">
        <f>((-1 + A2) *A3^2)/(A1^2 *A2^2 *A4^2)</f>
        <v>-1.2804863759232405</v>
      </c>
      <c r="K21" s="20">
        <f>(A3* ((-2 + A2)* A3 + A1 *A2* A4))/(A1 *A2^3* A4^2)</f>
        <v>-0.10902960336739692</v>
      </c>
      <c r="L21" s="20">
        <f>((-1 + A2)* (-2 *A3 + A1 *A2* A4))/(A1 *A2^2* A4^2)</f>
        <v>0.27286685022880974</v>
      </c>
      <c r="M21" s="20">
        <f>((-1 + A2)* A3* (2 *A3 - A1* A2* A4))/(A1 *A2^2* A4^3)</f>
        <v>-8.4294415194297381E-3</v>
      </c>
    </row>
    <row r="22" spans="3:13">
      <c r="C22" t="s">
        <v>17</v>
      </c>
      <c r="D22" s="11">
        <f>3693434.611*D7*D8</f>
        <v>2.1534934300823358E-2</v>
      </c>
      <c r="E22" s="11">
        <f>SQRT((3693434.611*E7*D8)^2+(3693434.611*D7*E8)^2)</f>
        <v>2.29696869659342E-3</v>
      </c>
      <c r="F22" t="s">
        <v>12</v>
      </c>
      <c r="H22" s="6"/>
      <c r="I22" s="19" t="str">
        <f t="shared" si="0"/>
        <v>0.215(23) mS/cm</v>
      </c>
    </row>
    <row r="23" spans="3:13">
      <c r="C23" t="s">
        <v>18</v>
      </c>
      <c r="D23" s="11">
        <f>3693434.611*D7*D9</f>
        <v>1.9068015897122995E-2</v>
      </c>
      <c r="E23" s="11">
        <f>SQRT((3693434.611*E7*D9)^2+(3693434.611*D7*E9)^2)</f>
        <v>2.6940064053151963E-4</v>
      </c>
      <c r="F23" t="s">
        <v>12</v>
      </c>
      <c r="H23" s="6"/>
      <c r="I23" s="19" t="str">
        <f t="shared" si="0"/>
        <v>0.191(3) mS/cm</v>
      </c>
    </row>
    <row r="24" spans="3:13">
      <c r="C24" t="s">
        <v>19</v>
      </c>
      <c r="D24" s="11">
        <f>D19-D22</f>
        <v>-6.030313902933895E-3</v>
      </c>
      <c r="E24" s="11">
        <f>SQRT(E19^2+E22^2)</f>
        <v>4.0741274782052526E-3</v>
      </c>
      <c r="F24" t="s">
        <v>12</v>
      </c>
      <c r="H24" s="6"/>
      <c r="I24" s="19" t="str">
        <f t="shared" si="0"/>
        <v>-0.060(41) mS/cm</v>
      </c>
    </row>
    <row r="25" spans="3:13">
      <c r="C25" t="s">
        <v>20</v>
      </c>
      <c r="D25" s="12">
        <f>D20-D23</f>
        <v>-6.1228940356066984E-3</v>
      </c>
      <c r="E25" s="12">
        <f>SQRT(E20^2+E23^2)</f>
        <v>5.1781872673853473E-3</v>
      </c>
      <c r="F25" t="s">
        <v>12</v>
      </c>
      <c r="H25" s="6"/>
      <c r="I25" s="19" t="str">
        <f t="shared" si="0"/>
        <v>-0.061(52) mS/cm</v>
      </c>
    </row>
    <row r="26" spans="3:13">
      <c r="C26" s="3" t="s">
        <v>23</v>
      </c>
      <c r="D26" s="12">
        <f>D24+D25-2*D21</f>
        <v>-3.0493415176784729E-2</v>
      </c>
      <c r="E26" s="12">
        <f>SQRT(E24^2+E25^2+(2*E21)^2)</f>
        <v>1.0775073958692134E-2</v>
      </c>
      <c r="F26" t="s">
        <v>12</v>
      </c>
      <c r="H26" s="6"/>
      <c r="I26" s="19" t="str">
        <f t="shared" si="0"/>
        <v>-0.305(108) mS/cm</v>
      </c>
    </row>
    <row r="27" spans="3:13">
      <c r="C27" t="s">
        <v>38</v>
      </c>
      <c r="D27" s="10">
        <f>SUM(D22:D23)</f>
        <v>4.0602950197946353E-2</v>
      </c>
      <c r="E27" s="10">
        <f>E22+E23</f>
        <v>2.5663693371249397E-3</v>
      </c>
      <c r="I27" s="19" t="str">
        <f t="shared" si="0"/>
        <v>0.406(26) mS/cm</v>
      </c>
    </row>
    <row r="28" spans="3:13">
      <c r="C28" t="s">
        <v>21</v>
      </c>
      <c r="D28" s="10">
        <f>D19/(D19+D20)</f>
        <v>0.54498280710305858</v>
      </c>
      <c r="E28" s="10">
        <f>SQRT((E19*D19/((D19+D20)^2))^2+(E20*D19/((D19+D20)^2))^2)</f>
        <v>0.11818403228745374</v>
      </c>
      <c r="I28" s="19" t="str">
        <f>TEXT(D28,"0.00")&amp;"("&amp;TEXT(109*E28,"0")&amp;")"</f>
        <v>0.54(13)</v>
      </c>
    </row>
    <row r="29" spans="3:13">
      <c r="C29" t="s">
        <v>22</v>
      </c>
      <c r="D29" s="10">
        <f>2*D21/(D19+D20)</f>
        <v>0.64465284328474659</v>
      </c>
      <c r="E29" s="10">
        <f>SQRT((2*E21/(D19+D20))^2+(2*D21*E19/((D19+D20)^2))^2+(2*D21*E20/((D19+D20)^2))^2)</f>
        <v>0.33068456294992882</v>
      </c>
      <c r="I29" s="19" t="str">
        <f>TEXT(D29,"0.00")&amp;"("&amp;TEXT(109*E29,"0")&amp;")"</f>
        <v>0.64(36)</v>
      </c>
    </row>
    <row r="31" spans="3:13">
      <c r="C31" t="s">
        <v>31</v>
      </c>
      <c r="D31" s="2">
        <f>1-(D3)/(D22+D23)</f>
        <v>0.75101476686113</v>
      </c>
    </row>
    <row r="32" spans="3:13">
      <c r="C32" t="s">
        <v>32</v>
      </c>
      <c r="D32" s="9">
        <f>(D3)/(D22+D23)</f>
        <v>0.24898523313886997</v>
      </c>
      <c r="E32" s="9">
        <f>SQRT((E3/(D22+D23))^2+(E22*D3/((D22+D23)^2))^2+(E23*D3/((D22+D23)^2))^2)</f>
        <v>1.5722085777246465E-2</v>
      </c>
      <c r="I32" s="19" t="str">
        <f>TEXT(100*D32,"0")&amp;"("&amp;TEXT(100*E32,"0")&amp;")"&amp;"%"</f>
        <v>25(2)%</v>
      </c>
    </row>
    <row r="33" spans="2:9">
      <c r="D33" s="9"/>
    </row>
    <row r="35" spans="2:9">
      <c r="B35" t="s">
        <v>24</v>
      </c>
    </row>
    <row r="36" spans="2:9">
      <c r="B36" t="s">
        <v>25</v>
      </c>
      <c r="D36">
        <f>(D19-D21)/(D19+D20-2*D21)</f>
        <v>0.62658834115592532</v>
      </c>
      <c r="E36">
        <f>SQRT((E19*(D20 - D21)/(D19 + D20 - 2*D21)^2)^2+(E20*(D20-D21)/(D19+D20-2*D21)^2)^2+(E21*(D19 - D20)/(D19 + D20 - 2*D21)^2)^2)</f>
        <v>0.25164995633449627</v>
      </c>
    </row>
    <row r="37" spans="2:9">
      <c r="B37" t="s">
        <v>29</v>
      </c>
      <c r="D37">
        <f>(D19-D21^2/D20)/(D19+D20-2*D21)</f>
        <v>0.89110679380704105</v>
      </c>
    </row>
    <row r="38" spans="2:9">
      <c r="B38" t="s">
        <v>30</v>
      </c>
      <c r="D38" s="6">
        <f>D22+D23+D26</f>
        <v>1.0109535021161624E-2</v>
      </c>
    </row>
    <row r="39" spans="2:9">
      <c r="B39" t="s">
        <v>37</v>
      </c>
      <c r="D39">
        <f>-(A2*A4*A4*D3*D3)/(A3*(A2*D3-A1))</f>
        <v>7.0259441962024267</v>
      </c>
    </row>
    <row r="41" spans="2:9">
      <c r="C41" t="s">
        <v>38</v>
      </c>
      <c r="D41" s="10">
        <f>(D22+D23)</f>
        <v>4.0602950197946353E-2</v>
      </c>
      <c r="E41" s="10">
        <f>(E22+E23)</f>
        <v>2.5663693371249397E-3</v>
      </c>
      <c r="I41" s="19" t="str">
        <f>TEXT(10*D41,"0.00")&amp;"("&amp;TEXT(1*1000*E41,"0")&amp;")"&amp;" mS/cm"</f>
        <v>0.41(3) mS/cm</v>
      </c>
    </row>
  </sheetData>
  <mergeCells count="1">
    <mergeCell ref="D11:E11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LiSL2TfNCN</vt:lpstr>
      <vt:lpstr>LiSL2TfNMs</vt:lpstr>
      <vt:lpstr>LiSL2TfNAc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 Philippi</dc:creator>
  <cp:lastModifiedBy>philippi-frederik-fb@ynu.ac.jp</cp:lastModifiedBy>
  <dcterms:created xsi:type="dcterms:W3CDTF">2023-10-23T04:22:20Z</dcterms:created>
  <dcterms:modified xsi:type="dcterms:W3CDTF">2024-02-15T07:39:47Z</dcterms:modified>
</cp:coreProperties>
</file>