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earch\Manuscripts\Particle filtration shear thinning\Soft Matter correspondence\"/>
    </mc:Choice>
  </mc:AlternateContent>
  <xr:revisionPtr revIDLastSave="0" documentId="8_{432EE3ED-1AA9-4D5A-A670-903A135909CC}" xr6:coauthVersionLast="47" xr6:coauthVersionMax="47" xr10:uidLastSave="{00000000-0000-0000-0000-000000000000}"/>
  <bookViews>
    <workbookView xWindow="-120" yWindow="-120" windowWidth="29040" windowHeight="15840" xr2:uid="{CE023315-173F-4C4B-9B68-6EC07AB309FB}"/>
  </bookViews>
  <sheets>
    <sheet name="figure 3-4" sheetId="1" r:id="rId1"/>
    <sheet name="figure 7" sheetId="4" r:id="rId2"/>
    <sheet name="figure 8" sheetId="5" r:id="rId3"/>
    <sheet name="figure 9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6" l="1"/>
  <c r="O28" i="6"/>
  <c r="M28" i="6"/>
  <c r="H28" i="6"/>
  <c r="F28" i="6"/>
  <c r="D28" i="6"/>
  <c r="Q25" i="6"/>
  <c r="O25" i="6"/>
  <c r="O27" i="6" s="1"/>
  <c r="O29" i="6" s="1"/>
  <c r="M25" i="6"/>
  <c r="H25" i="6"/>
  <c r="H27" i="6" s="1"/>
  <c r="H29" i="6" s="1"/>
  <c r="F25" i="6"/>
  <c r="D25" i="6"/>
  <c r="Q22" i="6"/>
  <c r="Q23" i="6" s="1"/>
  <c r="O22" i="6"/>
  <c r="O23" i="6" s="1"/>
  <c r="H22" i="6"/>
  <c r="H23" i="6" s="1"/>
  <c r="F22" i="6"/>
  <c r="F23" i="6" s="1"/>
  <c r="M20" i="6"/>
  <c r="M22" i="6" s="1"/>
  <c r="M23" i="6" s="1"/>
  <c r="D20" i="6"/>
  <c r="D22" i="6" s="1"/>
  <c r="D23" i="6" s="1"/>
  <c r="Q12" i="6"/>
  <c r="O12" i="6"/>
  <c r="M12" i="6"/>
  <c r="H12" i="6"/>
  <c r="F12" i="6"/>
  <c r="D12" i="6"/>
  <c r="Q9" i="6"/>
  <c r="O9" i="6"/>
  <c r="H9" i="6"/>
  <c r="H11" i="6" s="1"/>
  <c r="H13" i="6" s="1"/>
  <c r="F9" i="6"/>
  <c r="Q6" i="6"/>
  <c r="Q7" i="6" s="1"/>
  <c r="O6" i="6"/>
  <c r="O7" i="6" s="1"/>
  <c r="H6" i="6"/>
  <c r="H7" i="6" s="1"/>
  <c r="F6" i="6"/>
  <c r="F7" i="6" s="1"/>
  <c r="M4" i="6"/>
  <c r="M6" i="6" s="1"/>
  <c r="M7" i="6" s="1"/>
  <c r="D4" i="6"/>
  <c r="V9" i="4"/>
  <c r="U9" i="4"/>
  <c r="U11" i="4" s="1"/>
  <c r="U12" i="4" s="1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G11" i="4" s="1"/>
  <c r="G12" i="4" s="1"/>
  <c r="F9" i="4"/>
  <c r="E9" i="4"/>
  <c r="E11" i="4" s="1"/>
  <c r="E12" i="4" s="1"/>
  <c r="D9" i="4"/>
  <c r="C9" i="4"/>
  <c r="B9" i="4"/>
  <c r="V8" i="4"/>
  <c r="S8" i="4"/>
  <c r="R8" i="4"/>
  <c r="Q8" i="4"/>
  <c r="P8" i="4"/>
  <c r="O8" i="4"/>
  <c r="N8" i="4"/>
  <c r="M8" i="4"/>
  <c r="L8" i="4"/>
  <c r="K8" i="4"/>
  <c r="J8" i="4"/>
  <c r="I8" i="4"/>
  <c r="H8" i="4"/>
  <c r="D8" i="4"/>
  <c r="B8" i="4"/>
  <c r="V5" i="4"/>
  <c r="V6" i="4" s="1"/>
  <c r="S5" i="4"/>
  <c r="S6" i="4" s="1"/>
  <c r="R5" i="4"/>
  <c r="R6" i="4" s="1"/>
  <c r="Q5" i="4"/>
  <c r="Q6" i="4" s="1"/>
  <c r="P5" i="4"/>
  <c r="P6" i="4" s="1"/>
  <c r="O5" i="4"/>
  <c r="O6" i="4" s="1"/>
  <c r="N5" i="4"/>
  <c r="N6" i="4" s="1"/>
  <c r="M5" i="4"/>
  <c r="M6" i="4" s="1"/>
  <c r="L5" i="4"/>
  <c r="L6" i="4" s="1"/>
  <c r="K5" i="4"/>
  <c r="K6" i="4" s="1"/>
  <c r="J5" i="4"/>
  <c r="J6" i="4" s="1"/>
  <c r="B4" i="4"/>
  <c r="T3" i="4"/>
  <c r="T5" i="4" s="1"/>
  <c r="T6" i="4" s="1"/>
  <c r="I3" i="4"/>
  <c r="I5" i="4" s="1"/>
  <c r="I6" i="4" s="1"/>
  <c r="H3" i="4"/>
  <c r="H5" i="4" s="1"/>
  <c r="H6" i="4" s="1"/>
  <c r="F3" i="4"/>
  <c r="F5" i="4" s="1"/>
  <c r="F6" i="4" s="1"/>
  <c r="D3" i="4"/>
  <c r="D5" i="4" s="1"/>
  <c r="D6" i="4" s="1"/>
  <c r="C3" i="4"/>
  <c r="C5" i="4" s="1"/>
  <c r="C6" i="4" s="1"/>
  <c r="B3" i="4"/>
  <c r="M27" i="6" l="1"/>
  <c r="M29" i="6" s="1"/>
  <c r="D11" i="6"/>
  <c r="D13" i="6" s="1"/>
  <c r="F11" i="6"/>
  <c r="F13" i="6" s="1"/>
  <c r="O11" i="6"/>
  <c r="O13" i="6" s="1"/>
  <c r="M11" i="6"/>
  <c r="M13" i="6" s="1"/>
  <c r="D27" i="6"/>
  <c r="D29" i="6" s="1"/>
  <c r="F27" i="6"/>
  <c r="F29" i="6" s="1"/>
  <c r="Q11" i="6"/>
  <c r="Q13" i="6" s="1"/>
  <c r="R7" i="6"/>
  <c r="Q27" i="6"/>
  <c r="Q29" i="6" s="1"/>
  <c r="D6" i="6"/>
  <c r="D7" i="6" s="1"/>
  <c r="I7" i="6" s="1"/>
  <c r="M11" i="4"/>
  <c r="M12" i="4" s="1"/>
  <c r="N11" i="4"/>
  <c r="N12" i="4" s="1"/>
  <c r="J11" i="4"/>
  <c r="J12" i="4" s="1"/>
  <c r="B5" i="4"/>
  <c r="B6" i="4" s="1"/>
  <c r="V11" i="4"/>
  <c r="V12" i="4" s="1"/>
  <c r="O11" i="4"/>
  <c r="O12" i="4" s="1"/>
  <c r="P11" i="4"/>
  <c r="P12" i="4" s="1"/>
  <c r="Q11" i="4"/>
  <c r="Q12" i="4" s="1"/>
  <c r="I11" i="4"/>
  <c r="I12" i="4" s="1"/>
  <c r="D11" i="4"/>
  <c r="D12" i="4" s="1"/>
  <c r="H11" i="4"/>
  <c r="H12" i="4" s="1"/>
  <c r="F11" i="4"/>
  <c r="F12" i="4" s="1"/>
  <c r="K11" i="4"/>
  <c r="K12" i="4" s="1"/>
  <c r="L11" i="4"/>
  <c r="L12" i="4" s="1"/>
  <c r="B11" i="4"/>
  <c r="B12" i="4" s="1"/>
  <c r="R11" i="4"/>
  <c r="R12" i="4" s="1"/>
  <c r="T11" i="4"/>
  <c r="T12" i="4" s="1"/>
  <c r="C11" i="4"/>
  <c r="C12" i="4" s="1"/>
  <c r="S11" i="4"/>
  <c r="S12" i="4" s="1"/>
</calcChain>
</file>

<file path=xl/sharedStrings.xml><?xml version="1.0" encoding="utf-8"?>
<sst xmlns="http://schemas.openxmlformats.org/spreadsheetml/2006/main" count="175" uniqueCount="54">
  <si>
    <t>XG25(70/30)</t>
  </si>
  <si>
    <t>XG500(70/30)</t>
  </si>
  <si>
    <t>XG3000(70/30)</t>
  </si>
  <si>
    <t>CA_with_matching_A</t>
  </si>
  <si>
    <t>XG1000(70/30)</t>
  </si>
  <si>
    <t>XG50(70/30)</t>
  </si>
  <si>
    <t>XG250(60/40)</t>
  </si>
  <si>
    <t>XG100(70/30)</t>
  </si>
  <si>
    <t>XG2000(70/30)</t>
  </si>
  <si>
    <t>XG2000(85/15)</t>
  </si>
  <si>
    <t>h(calculated)withoutA</t>
  </si>
  <si>
    <t>PB1</t>
  </si>
  <si>
    <t>PB2</t>
  </si>
  <si>
    <t>PB0(0.5%)</t>
  </si>
  <si>
    <t>PB0(0.76%)</t>
  </si>
  <si>
    <t>PB0(2%)</t>
  </si>
  <si>
    <t>PB3</t>
  </si>
  <si>
    <t>LIQUID</t>
  </si>
  <si>
    <t>XG1000(1)</t>
  </si>
  <si>
    <t>XG1000(2)</t>
  </si>
  <si>
    <t>XG2000</t>
  </si>
  <si>
    <t>XG3000</t>
  </si>
  <si>
    <t>XG3000(1)</t>
  </si>
  <si>
    <t>XG2500(85/15)</t>
  </si>
  <si>
    <t>XG3000(85/15)</t>
  </si>
  <si>
    <t>XG1000</t>
  </si>
  <si>
    <t>XG1500</t>
  </si>
  <si>
    <t>XG3000(2)</t>
  </si>
  <si>
    <t>n</t>
  </si>
  <si>
    <t>A_new</t>
  </si>
  <si>
    <t>h0_from_A_exp</t>
  </si>
  <si>
    <t>CA_from_A_exp</t>
  </si>
  <si>
    <t>Particles</t>
  </si>
  <si>
    <t>v(m/s)</t>
  </si>
  <si>
    <t>Ca</t>
  </si>
  <si>
    <t>Phi_s(small)</t>
  </si>
  <si>
    <t>Phi_s(big)</t>
  </si>
  <si>
    <t>Phi_s(small)_std</t>
  </si>
  <si>
    <t>Phi_s(big)_std</t>
  </si>
  <si>
    <t>PB2+PB1</t>
  </si>
  <si>
    <t>A</t>
  </si>
  <si>
    <t>PB3+PB1</t>
  </si>
  <si>
    <t xml:space="preserve">PB3 </t>
  </si>
  <si>
    <t>surface tension [N/m]</t>
  </si>
  <si>
    <t>density [kg/m^3]</t>
  </si>
  <si>
    <t>capillary length [m]</t>
  </si>
  <si>
    <t>K [Pa s^n]</t>
  </si>
  <si>
    <t>Boundary velocity [m/s]</t>
  </si>
  <si>
    <t>h0 [m]</t>
  </si>
  <si>
    <t xml:space="preserve">Ca </t>
  </si>
  <si>
    <t xml:space="preserve">Bo  </t>
  </si>
  <si>
    <t>average capillary length [m]</t>
  </si>
  <si>
    <t>H0_MEAN [m]</t>
  </si>
  <si>
    <t>H_STD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</si>
</sst>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DFAB-17F2-4FC7-8861-117C4F1B64A0}">
  <dimension ref="A1:S37"/>
  <sheetViews>
    <sheetView tabSelected="1" workbookViewId="0">
      <selection activeCell="E22" sqref="E22"/>
    </sheetView>
  </sheetViews>
  <sheetFormatPr defaultRowHeight="15" x14ac:dyDescent="0.25"/>
  <cols>
    <col min="1" max="1" width="25" customWidth="1"/>
    <col min="2" max="2" width="14.7109375" customWidth="1"/>
    <col min="3" max="3" width="13.42578125" customWidth="1"/>
    <col min="4" max="4" width="21.140625" bestFit="1" customWidth="1"/>
    <col min="5" max="5" width="22.85546875" customWidth="1"/>
    <col min="6" max="6" width="8.7109375" customWidth="1"/>
    <col min="8" max="8" width="16.140625" customWidth="1"/>
    <col min="9" max="9" width="11.85546875" customWidth="1"/>
    <col min="11" max="11" width="21.140625" bestFit="1" customWidth="1"/>
    <col min="12" max="12" width="20.140625" bestFit="1" customWidth="1"/>
    <col min="15" max="15" width="13.85546875" bestFit="1" customWidth="1"/>
    <col min="16" max="16" width="15" customWidth="1"/>
    <col min="17" max="17" width="12" bestFit="1" customWidth="1"/>
    <col min="18" max="18" width="21.140625" bestFit="1" customWidth="1"/>
    <col min="19" max="19" width="20.140625" bestFit="1" customWidth="1"/>
  </cols>
  <sheetData>
    <row r="1" spans="1:19" x14ac:dyDescent="0.25">
      <c r="A1" t="s">
        <v>0</v>
      </c>
      <c r="H1" t="s">
        <v>1</v>
      </c>
      <c r="O1" t="s">
        <v>2</v>
      </c>
    </row>
    <row r="2" spans="1:19" x14ac:dyDescent="0.25">
      <c r="B2" t="s">
        <v>52</v>
      </c>
      <c r="C2" t="s">
        <v>53</v>
      </c>
      <c r="D2" t="s">
        <v>10</v>
      </c>
      <c r="E2" t="s">
        <v>3</v>
      </c>
      <c r="I2" t="s">
        <v>52</v>
      </c>
      <c r="J2" t="s">
        <v>53</v>
      </c>
      <c r="K2" t="s">
        <v>10</v>
      </c>
      <c r="L2" t="s">
        <v>3</v>
      </c>
      <c r="P2" t="s">
        <v>52</v>
      </c>
      <c r="Q2" t="s">
        <v>53</v>
      </c>
      <c r="R2" t="s">
        <v>10</v>
      </c>
      <c r="S2" t="s">
        <v>3</v>
      </c>
    </row>
    <row r="3" spans="1:19" x14ac:dyDescent="0.25">
      <c r="B3">
        <v>7.9329269353998672E-5</v>
      </c>
      <c r="C3">
        <v>1.2068596974723005E-6</v>
      </c>
      <c r="D3">
        <v>4.8331729704311063E-5</v>
      </c>
      <c r="E3">
        <v>5.5646736785968532E-3</v>
      </c>
      <c r="I3">
        <v>1.158435857138744E-4</v>
      </c>
      <c r="J3">
        <v>4.7349008679332395E-7</v>
      </c>
      <c r="K3">
        <v>8.8970649868288411E-5</v>
      </c>
      <c r="L3">
        <v>1.6466605756458835E-2</v>
      </c>
      <c r="P3">
        <v>3.1608091671467899E-4</v>
      </c>
      <c r="Q3">
        <v>1.5103535375597651E-5</v>
      </c>
      <c r="R3">
        <v>1.8985393879421129E-4</v>
      </c>
      <c r="S3">
        <v>5.0680065119404052E-2</v>
      </c>
    </row>
    <row r="4" spans="1:19" x14ac:dyDescent="0.25">
      <c r="B4">
        <v>5.6568128779855592E-5</v>
      </c>
      <c r="C4">
        <v>1.739269937322052E-6</v>
      </c>
      <c r="D4">
        <v>3.1023394575200473E-5</v>
      </c>
      <c r="E4">
        <v>2.8617070236972792E-3</v>
      </c>
      <c r="I4">
        <v>9.3578850309329164E-5</v>
      </c>
      <c r="J4">
        <v>2.1307053905699626E-6</v>
      </c>
      <c r="K4">
        <v>6.1027817232621694E-5</v>
      </c>
      <c r="L4">
        <v>9.3546102747934009E-3</v>
      </c>
      <c r="P4">
        <v>2.366605851097881E-4</v>
      </c>
      <c r="Q4">
        <v>1.0674189850164914E-5</v>
      </c>
      <c r="R4">
        <v>1.4415039449986185E-4</v>
      </c>
      <c r="S4">
        <v>3.3529841440334926E-2</v>
      </c>
    </row>
    <row r="5" spans="1:19" x14ac:dyDescent="0.25">
      <c r="B5">
        <v>3.9943570223251091E-5</v>
      </c>
      <c r="C5">
        <v>2.2286932690217488E-6</v>
      </c>
      <c r="D5">
        <v>1.9883264045352504E-5</v>
      </c>
      <c r="E5">
        <v>1.4683267623058431E-3</v>
      </c>
      <c r="I5">
        <v>7.2653347109568624E-5</v>
      </c>
      <c r="J5">
        <v>2.3674504339666389E-6</v>
      </c>
      <c r="K5">
        <v>4.1806989178014387E-5</v>
      </c>
      <c r="L5">
        <v>5.3040459960315691E-3</v>
      </c>
      <c r="P5">
        <v>1.6844312143908841E-4</v>
      </c>
      <c r="Q5">
        <v>5.4124852996241561E-6</v>
      </c>
      <c r="R5">
        <v>1.0934601007517585E-4</v>
      </c>
      <c r="S5">
        <v>2.2151959964658706E-2</v>
      </c>
    </row>
    <row r="6" spans="1:19" x14ac:dyDescent="0.25">
      <c r="B6">
        <v>3.2244949146702692E-5</v>
      </c>
      <c r="C6">
        <v>2.0176123608195458E-6</v>
      </c>
      <c r="D6">
        <v>1.5217191548102219E-5</v>
      </c>
      <c r="E6">
        <v>9.8308926941166933E-4</v>
      </c>
      <c r="I6">
        <v>6.1604681420095061E-5</v>
      </c>
      <c r="J6">
        <v>1.8939603471733197E-6</v>
      </c>
      <c r="K6">
        <v>2.8450624002516539E-5</v>
      </c>
      <c r="L6">
        <v>2.9776362143652552E-3</v>
      </c>
      <c r="P6">
        <v>1.4013587478394472E-4</v>
      </c>
      <c r="Q6">
        <v>3.381694014543111E-6</v>
      </c>
      <c r="R6">
        <v>9.2608526028884424E-5</v>
      </c>
      <c r="S6">
        <v>1.7265700563282659E-2</v>
      </c>
    </row>
    <row r="7" spans="1:19" x14ac:dyDescent="0.25">
      <c r="B7">
        <v>2.8228277280677441E-5</v>
      </c>
      <c r="C7">
        <v>1.075982797151482E-6</v>
      </c>
      <c r="D7">
        <v>1.264448569971203E-5</v>
      </c>
      <c r="E7">
        <v>7.4463414887067868E-4</v>
      </c>
      <c r="I7">
        <v>5.57455405241621E-5</v>
      </c>
      <c r="J7">
        <v>4.024665737743287E-6</v>
      </c>
      <c r="K7">
        <v>2.2787583294713098E-5</v>
      </c>
      <c r="L7">
        <v>2.1344272027240363E-3</v>
      </c>
      <c r="P7">
        <v>1.2863293003008772E-4</v>
      </c>
      <c r="Q7">
        <v>7.8096877984536649E-6</v>
      </c>
      <c r="R7">
        <v>8.2544365209049283E-5</v>
      </c>
      <c r="S7">
        <v>1.4529106085821768E-2</v>
      </c>
    </row>
    <row r="8" spans="1:19" x14ac:dyDescent="0.25">
      <c r="B8">
        <v>2.2203269481639573E-5</v>
      </c>
      <c r="C8">
        <v>1.0759827971514852E-6</v>
      </c>
      <c r="D8">
        <v>9.739501983843061E-6</v>
      </c>
      <c r="E8">
        <v>5.0338042169640229E-4</v>
      </c>
      <c r="I8">
        <v>4.7040531193061715E-5</v>
      </c>
      <c r="J8">
        <v>8.7595666056765657E-6</v>
      </c>
      <c r="K8">
        <v>1.9467311254719564E-5</v>
      </c>
      <c r="L8">
        <v>1.6853608550416739E-3</v>
      </c>
      <c r="P8">
        <v>1.1763011330900711E-4</v>
      </c>
      <c r="Q8">
        <v>3.2458270796499758E-6</v>
      </c>
      <c r="R8">
        <v>7.0188793889473312E-5</v>
      </c>
      <c r="S8">
        <v>1.1392247622818036E-2</v>
      </c>
    </row>
    <row r="9" spans="1:19" x14ac:dyDescent="0.25">
      <c r="B9">
        <v>1.9413914019122039E-5</v>
      </c>
      <c r="C9">
        <v>6.6944531100420852E-7</v>
      </c>
      <c r="D9">
        <v>8.0928858403569036E-6</v>
      </c>
      <c r="E9">
        <v>3.8128201130586763E-4</v>
      </c>
      <c r="P9">
        <v>1.0442673324371038E-4</v>
      </c>
      <c r="Q9">
        <v>3.161505471256458E-6</v>
      </c>
      <c r="R9">
        <v>6.2561080475629076E-5</v>
      </c>
      <c r="S9">
        <v>9.5865889847928445E-3</v>
      </c>
    </row>
    <row r="10" spans="1:19" x14ac:dyDescent="0.25">
      <c r="H10" t="s">
        <v>4</v>
      </c>
      <c r="I10" t="s">
        <v>52</v>
      </c>
      <c r="J10" t="s">
        <v>53</v>
      </c>
      <c r="K10" t="s">
        <v>10</v>
      </c>
      <c r="L10" t="s">
        <v>3</v>
      </c>
    </row>
    <row r="11" spans="1:19" x14ac:dyDescent="0.25">
      <c r="A11" t="s">
        <v>5</v>
      </c>
      <c r="B11" t="s">
        <v>52</v>
      </c>
      <c r="C11" t="s">
        <v>53</v>
      </c>
      <c r="D11" t="s">
        <v>10</v>
      </c>
      <c r="E11" t="s">
        <v>3</v>
      </c>
      <c r="I11">
        <v>1.519961873924638E-4</v>
      </c>
      <c r="J11">
        <v>2.112101078120113E-6</v>
      </c>
      <c r="K11">
        <v>1.1574877119370005E-4</v>
      </c>
      <c r="L11">
        <v>2.5186870723349443E-2</v>
      </c>
      <c r="O11" t="s">
        <v>6</v>
      </c>
      <c r="P11" t="s">
        <v>52</v>
      </c>
      <c r="Q11" t="s">
        <v>53</v>
      </c>
      <c r="R11" t="s">
        <v>10</v>
      </c>
      <c r="S11" t="s">
        <v>3</v>
      </c>
    </row>
    <row r="12" spans="1:19" x14ac:dyDescent="0.25">
      <c r="B12">
        <v>8.0932593531286663E-5</v>
      </c>
      <c r="C12">
        <v>6.9713639256286297E-7</v>
      </c>
      <c r="D12">
        <v>5.0093554264857552E-5</v>
      </c>
      <c r="E12">
        <v>6.1021228834285228E-3</v>
      </c>
      <c r="I12">
        <v>1.2242920569508248E-4</v>
      </c>
      <c r="J12">
        <v>1.8093581952071631E-6</v>
      </c>
      <c r="K12">
        <v>8.2228388274741039E-5</v>
      </c>
      <c r="L12">
        <v>1.5081074875690079E-2</v>
      </c>
      <c r="P12">
        <v>3.5105855536888353E-5</v>
      </c>
      <c r="Q12">
        <v>7.4824572546051556E-7</v>
      </c>
      <c r="R12">
        <v>2.079656252100264E-5</v>
      </c>
      <c r="S12">
        <v>1.640786829387484E-3</v>
      </c>
    </row>
    <row r="13" spans="1:19" x14ac:dyDescent="0.25">
      <c r="B13">
        <v>6.0057565958389262E-5</v>
      </c>
      <c r="C13">
        <v>3.8670169375036848E-7</v>
      </c>
      <c r="D13">
        <v>3.2275505678172619E-5</v>
      </c>
      <c r="E13">
        <v>3.1558602374344171E-3</v>
      </c>
      <c r="I13">
        <v>1.0304640658235478E-4</v>
      </c>
      <c r="J13">
        <v>1.6535245671548787E-6</v>
      </c>
      <c r="K13">
        <v>5.8347093109107578E-5</v>
      </c>
      <c r="L13">
        <v>9.0142264804408644E-3</v>
      </c>
      <c r="P13">
        <v>2.4801747768381874E-5</v>
      </c>
      <c r="Q13">
        <v>6.6570260394815561E-6</v>
      </c>
      <c r="R13">
        <v>1.4178051372646644E-5</v>
      </c>
      <c r="S13">
        <v>9.2361216767268626E-4</v>
      </c>
    </row>
    <row r="14" spans="1:19" x14ac:dyDescent="0.25">
      <c r="B14">
        <v>4.5545514704503402E-5</v>
      </c>
      <c r="C14">
        <v>3.3489349047429256E-7</v>
      </c>
      <c r="D14">
        <v>2.0764010437488228E-5</v>
      </c>
      <c r="E14">
        <v>1.6284522789666216E-3</v>
      </c>
      <c r="I14">
        <v>8.5963261601645609E-5</v>
      </c>
      <c r="J14">
        <v>1.8093581952071634E-6</v>
      </c>
      <c r="K14">
        <v>4.7472119247042019E-5</v>
      </c>
      <c r="L14">
        <v>6.6154220905882861E-3</v>
      </c>
      <c r="P14">
        <v>1.5575976859370259E-5</v>
      </c>
      <c r="Q14">
        <v>1.9796721091356352E-6</v>
      </c>
      <c r="R14">
        <v>9.6532250396616022E-6</v>
      </c>
      <c r="S14">
        <v>5.1888781623144235E-4</v>
      </c>
    </row>
    <row r="15" spans="1:19" x14ac:dyDescent="0.25">
      <c r="B15">
        <v>3.8066226750577581E-5</v>
      </c>
      <c r="C15">
        <v>3.1116873954052535E-6</v>
      </c>
      <c r="D15">
        <v>1.5927364851271952E-5</v>
      </c>
      <c r="E15">
        <v>1.0940170022786741E-3</v>
      </c>
      <c r="I15">
        <v>7.9611835903689617E-5</v>
      </c>
      <c r="J15">
        <v>3.9193837996097285E-6</v>
      </c>
      <c r="K15">
        <v>4.1153441572849856E-5</v>
      </c>
      <c r="L15">
        <v>5.3396017848513578E-3</v>
      </c>
      <c r="P15">
        <v>1.1622075041222422E-5</v>
      </c>
      <c r="Q15">
        <v>1.0981245073991499E-6</v>
      </c>
      <c r="R15">
        <v>6.5283506236265852E-6</v>
      </c>
      <c r="S15">
        <v>2.8858252851334242E-4</v>
      </c>
    </row>
    <row r="16" spans="1:19" x14ac:dyDescent="0.25">
      <c r="B16">
        <v>3.1145094614108934E-5</v>
      </c>
      <c r="C16">
        <v>3.1946802886277693E-6</v>
      </c>
      <c r="D16">
        <v>1.3255413424216584E-5</v>
      </c>
      <c r="E16">
        <v>8.3061179662126806E-4</v>
      </c>
      <c r="I16">
        <v>7.0194204696375572E-5</v>
      </c>
      <c r="J16">
        <v>2.9627756646807871E-6</v>
      </c>
      <c r="K16">
        <v>3.3649322245415792E-5</v>
      </c>
      <c r="L16">
        <v>3.9478815251203329E-3</v>
      </c>
    </row>
    <row r="17" spans="1:19" x14ac:dyDescent="0.25">
      <c r="B17">
        <v>2.5451905276046008E-5</v>
      </c>
      <c r="C17">
        <v>1.8646080416065079E-6</v>
      </c>
      <c r="D17">
        <v>1.0232719069472255E-5</v>
      </c>
      <c r="E17">
        <v>5.6337134717544064E-4</v>
      </c>
      <c r="I17">
        <v>6.2966720281460147E-5</v>
      </c>
      <c r="J17">
        <v>1.8093581952071623E-6</v>
      </c>
      <c r="K17">
        <v>2.9170499292680134E-5</v>
      </c>
      <c r="L17">
        <v>3.1865110100127358E-3</v>
      </c>
    </row>
    <row r="18" spans="1:19" x14ac:dyDescent="0.25">
      <c r="B18">
        <v>2.2549495025268837E-5</v>
      </c>
      <c r="C18">
        <v>2.1530639095093133E-6</v>
      </c>
      <c r="D18">
        <v>8.5160931190176062E-6</v>
      </c>
      <c r="E18">
        <v>4.2772908320942043E-4</v>
      </c>
      <c r="O18" t="s">
        <v>9</v>
      </c>
      <c r="P18" t="s">
        <v>52</v>
      </c>
      <c r="Q18" t="s">
        <v>53</v>
      </c>
      <c r="R18" t="s">
        <v>10</v>
      </c>
      <c r="S18" t="s">
        <v>3</v>
      </c>
    </row>
    <row r="19" spans="1:19" x14ac:dyDescent="0.25">
      <c r="P19">
        <v>1.1987183095361689E-3</v>
      </c>
      <c r="Q19">
        <v>1.8054269705041053E-5</v>
      </c>
      <c r="R19">
        <v>6.8876926998301272E-4</v>
      </c>
      <c r="S19">
        <v>0.40298784235568708</v>
      </c>
    </row>
    <row r="20" spans="1:19" x14ac:dyDescent="0.25">
      <c r="A20" t="s">
        <v>7</v>
      </c>
      <c r="B20" t="s">
        <v>52</v>
      </c>
      <c r="C20" t="s">
        <v>53</v>
      </c>
      <c r="D20" t="s">
        <v>10</v>
      </c>
      <c r="E20" t="s">
        <v>3</v>
      </c>
      <c r="H20" t="s">
        <v>8</v>
      </c>
      <c r="I20" t="s">
        <v>52</v>
      </c>
      <c r="J20" t="s">
        <v>53</v>
      </c>
      <c r="K20" t="s">
        <v>10</v>
      </c>
      <c r="L20" t="s">
        <v>3</v>
      </c>
      <c r="P20">
        <v>8.0783190425263562E-4</v>
      </c>
      <c r="Q20">
        <v>1.2637988793528739E-5</v>
      </c>
      <c r="R20">
        <v>5.5472276991143659E-4</v>
      </c>
      <c r="S20">
        <v>0.29126968749456783</v>
      </c>
    </row>
    <row r="21" spans="1:19" x14ac:dyDescent="0.25">
      <c r="B21">
        <v>8.5062946580469559E-5</v>
      </c>
      <c r="C21">
        <v>8.8604489148934498E-7</v>
      </c>
      <c r="D21">
        <v>5.2852827238463895E-5</v>
      </c>
      <c r="E21">
        <v>6.8037885302743495E-3</v>
      </c>
      <c r="I21">
        <v>2.4776758498097276E-4</v>
      </c>
      <c r="J21">
        <v>1.6567350711615724E-6</v>
      </c>
      <c r="K21">
        <v>1.4171727987470154E-4</v>
      </c>
      <c r="L21">
        <v>3.4234330359280488E-2</v>
      </c>
      <c r="P21">
        <v>4.7114841383508557E-4</v>
      </c>
      <c r="Q21">
        <v>1.8054269705041304E-6</v>
      </c>
      <c r="R21">
        <v>4.1187930717744513E-4</v>
      </c>
      <c r="S21">
        <v>0.18635294516190454</v>
      </c>
    </row>
    <row r="22" spans="1:19" x14ac:dyDescent="0.25">
      <c r="B22">
        <v>7.3118412086886574E-5</v>
      </c>
      <c r="C22">
        <v>6.9713639256286297E-7</v>
      </c>
      <c r="D22">
        <v>4.0913507104362211E-5</v>
      </c>
      <c r="E22">
        <v>4.6339200252115773E-3</v>
      </c>
      <c r="I22">
        <v>1.8760548421667343E-4</v>
      </c>
      <c r="J22">
        <v>2.1761167704473573E-6</v>
      </c>
      <c r="K22">
        <v>1.0483246939564677E-4</v>
      </c>
      <c r="L22">
        <v>2.1780675737029947E-2</v>
      </c>
      <c r="P22">
        <v>2.8102126630517497E-4</v>
      </c>
      <c r="Q22">
        <v>5.952435497601215E-6</v>
      </c>
      <c r="R22">
        <v>3.0550733963350762E-4</v>
      </c>
      <c r="S22">
        <v>0.11904571645128699</v>
      </c>
    </row>
    <row r="23" spans="1:19" x14ac:dyDescent="0.25">
      <c r="B23">
        <v>6.3629763190115024E-5</v>
      </c>
      <c r="C23">
        <v>3.3489349047429019E-6</v>
      </c>
      <c r="D23">
        <v>3.4335907343185675E-5</v>
      </c>
      <c r="E23">
        <v>3.5626344530779175E-3</v>
      </c>
      <c r="I23">
        <v>1.3777121075024548E-4</v>
      </c>
      <c r="J23">
        <v>7.4840782833013626E-6</v>
      </c>
      <c r="K23">
        <v>7.746775557005438E-5</v>
      </c>
      <c r="L23">
        <v>1.3835953246701407E-2</v>
      </c>
      <c r="P23">
        <v>2.3286406117424359E-4</v>
      </c>
      <c r="Q23">
        <v>2.8374512098332935E-6</v>
      </c>
      <c r="R23">
        <v>2.5527995885928436E-4</v>
      </c>
      <c r="S23">
        <v>9.0929830662069958E-2</v>
      </c>
    </row>
    <row r="24" spans="1:19" x14ac:dyDescent="0.25">
      <c r="B24">
        <v>5.2243384513989172E-5</v>
      </c>
      <c r="C24">
        <v>1.7720897829787014E-6</v>
      </c>
      <c r="D24">
        <v>2.6504909004966184E-5</v>
      </c>
      <c r="E24">
        <v>2.4162281925942633E-3</v>
      </c>
      <c r="I24">
        <v>1.1099907591013226E-4</v>
      </c>
      <c r="J24">
        <v>4.6698348117949183E-6</v>
      </c>
      <c r="K24">
        <v>6.4585969222946508E-5</v>
      </c>
      <c r="L24">
        <v>1.0532583174631845E-2</v>
      </c>
      <c r="P24">
        <v>2.0544989461702514E-4</v>
      </c>
      <c r="Q24">
        <v>6.0877969435596855E-6</v>
      </c>
      <c r="R24">
        <v>2.2542399664155958E-4</v>
      </c>
      <c r="S24">
        <v>7.5453869826826225E-2</v>
      </c>
    </row>
    <row r="25" spans="1:19" x14ac:dyDescent="0.25">
      <c r="B25">
        <v>4.8113031464806277E-5</v>
      </c>
      <c r="C25">
        <v>1.1761072865737956E-6</v>
      </c>
      <c r="D25">
        <v>2.2273480427530876E-5</v>
      </c>
      <c r="E25">
        <v>1.8613609480371085E-3</v>
      </c>
      <c r="I25">
        <v>9.716179273434342E-5</v>
      </c>
      <c r="J25">
        <v>5.7390986358661573E-6</v>
      </c>
      <c r="K25">
        <v>5.6943539276123188E-5</v>
      </c>
      <c r="L25">
        <v>8.7195547853932982E-3</v>
      </c>
      <c r="P25">
        <v>1.5155968887526865E-4</v>
      </c>
      <c r="Q25">
        <v>8.162446949085485E-6</v>
      </c>
      <c r="R25">
        <v>1.670519251650381E-4</v>
      </c>
      <c r="S25">
        <v>4.8134728655657828E-2</v>
      </c>
    </row>
    <row r="26" spans="1:19" x14ac:dyDescent="0.25">
      <c r="B26">
        <v>4.1973317472777633E-5</v>
      </c>
      <c r="C26">
        <v>3.6120919071343556E-6</v>
      </c>
      <c r="D26">
        <v>1.7170618015749734E-5</v>
      </c>
      <c r="E26">
        <v>1.2598747188228539E-3</v>
      </c>
      <c r="I26">
        <v>9.1045312489973005E-5</v>
      </c>
      <c r="J26">
        <v>3.5123195714807926E-6</v>
      </c>
      <c r="K26">
        <v>4.7682386538062871E-5</v>
      </c>
      <c r="L26">
        <v>6.6813558274416819E-3</v>
      </c>
    </row>
    <row r="27" spans="1:19" x14ac:dyDescent="0.25">
      <c r="B27">
        <v>3.54987099902747E-5</v>
      </c>
      <c r="C27">
        <v>1.772089782978695E-6</v>
      </c>
      <c r="D27">
        <v>1.4339519290597752E-5</v>
      </c>
      <c r="E27">
        <v>9.6150237172222108E-4</v>
      </c>
      <c r="I27">
        <v>7.4801545283612159E-5</v>
      </c>
      <c r="J27">
        <v>4.0840865336394986E-6</v>
      </c>
      <c r="K27">
        <v>4.2040150361798639E-5</v>
      </c>
      <c r="L27">
        <v>5.5312592770971154E-3</v>
      </c>
    </row>
    <row r="28" spans="1:19" x14ac:dyDescent="0.25">
      <c r="B28">
        <v>3.3712611374411822E-5</v>
      </c>
      <c r="C28">
        <v>3.9672276900468911E-6</v>
      </c>
      <c r="D28">
        <v>1.2510897509535301E-5</v>
      </c>
      <c r="E28">
        <v>7.8357608101530516E-4</v>
      </c>
    </row>
    <row r="29" spans="1:19" x14ac:dyDescent="0.25">
      <c r="B29">
        <v>3.2484668576006097E-5</v>
      </c>
      <c r="C29">
        <v>4.0603677843788721E-6</v>
      </c>
      <c r="D29">
        <v>1.1123604380251934E-5</v>
      </c>
      <c r="E29">
        <v>6.5692648683278411E-4</v>
      </c>
    </row>
    <row r="30" spans="1:19" x14ac:dyDescent="0.25">
      <c r="B30">
        <v>2.7349635055400318E-5</v>
      </c>
      <c r="C30">
        <v>2.279572865306525E-6</v>
      </c>
      <c r="D30">
        <v>9.2895398415842009E-6</v>
      </c>
      <c r="E30">
        <v>5.0134856195442026E-4</v>
      </c>
    </row>
    <row r="32" spans="1:19" x14ac:dyDescent="0.25">
      <c r="I32" s="1"/>
    </row>
    <row r="36" spans="1:1" x14ac:dyDescent="0.25">
      <c r="A36" t="s">
        <v>51</v>
      </c>
    </row>
    <row r="37" spans="1:1" x14ac:dyDescent="0.25">
      <c r="A37">
        <v>1.62521E-3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F51E-6588-4230-8DFE-E22D987034F0}">
  <dimension ref="A1:V12"/>
  <sheetViews>
    <sheetView workbookViewId="0">
      <selection activeCell="D18" sqref="D18"/>
    </sheetView>
  </sheetViews>
  <sheetFormatPr defaultRowHeight="15" x14ac:dyDescent="0.25"/>
  <cols>
    <col min="1" max="1" width="22.42578125" customWidth="1"/>
  </cols>
  <sheetData>
    <row r="1" spans="1:22" x14ac:dyDescent="0.25">
      <c r="A1" t="s">
        <v>32</v>
      </c>
      <c r="B1" t="s">
        <v>11</v>
      </c>
      <c r="C1" t="s">
        <v>12</v>
      </c>
      <c r="D1" t="s">
        <v>11</v>
      </c>
      <c r="F1" t="s">
        <v>12</v>
      </c>
      <c r="H1" t="s">
        <v>11</v>
      </c>
      <c r="I1" t="s">
        <v>12</v>
      </c>
      <c r="J1" t="s">
        <v>13</v>
      </c>
      <c r="K1" t="s">
        <v>13</v>
      </c>
      <c r="L1" t="s">
        <v>13</v>
      </c>
      <c r="M1" t="s">
        <v>14</v>
      </c>
      <c r="N1" t="s">
        <v>14</v>
      </c>
      <c r="O1" t="s">
        <v>14</v>
      </c>
      <c r="Q1" t="s">
        <v>15</v>
      </c>
      <c r="R1" t="s">
        <v>16</v>
      </c>
      <c r="S1" t="s">
        <v>16</v>
      </c>
      <c r="T1" t="s">
        <v>16</v>
      </c>
      <c r="V1" t="s">
        <v>11</v>
      </c>
    </row>
    <row r="2" spans="1:22" x14ac:dyDescent="0.25">
      <c r="A2" t="s">
        <v>17</v>
      </c>
      <c r="B2" t="s">
        <v>18</v>
      </c>
      <c r="C2" t="s">
        <v>19</v>
      </c>
      <c r="D2" t="s">
        <v>20</v>
      </c>
      <c r="F2" t="s">
        <v>20</v>
      </c>
      <c r="H2" t="s">
        <v>21</v>
      </c>
      <c r="I2" t="s">
        <v>22</v>
      </c>
      <c r="J2" t="s">
        <v>9</v>
      </c>
      <c r="K2" t="s">
        <v>23</v>
      </c>
      <c r="L2" t="s">
        <v>24</v>
      </c>
      <c r="M2" t="s">
        <v>9</v>
      </c>
      <c r="N2" t="s">
        <v>23</v>
      </c>
      <c r="O2" t="s">
        <v>24</v>
      </c>
      <c r="Q2" t="s">
        <v>9</v>
      </c>
      <c r="R2" t="s">
        <v>25</v>
      </c>
      <c r="S2" t="s">
        <v>26</v>
      </c>
      <c r="T2" t="s">
        <v>20</v>
      </c>
      <c r="V2" t="s">
        <v>27</v>
      </c>
    </row>
    <row r="3" spans="1:22" x14ac:dyDescent="0.25">
      <c r="A3" t="s">
        <v>43</v>
      </c>
      <c r="B3">
        <f>32.42/1000</f>
        <v>3.2420000000000004E-2</v>
      </c>
      <c r="C3">
        <f>30.1/1000</f>
        <v>3.0100000000000002E-2</v>
      </c>
      <c r="D3">
        <f>31.3/1000</f>
        <v>3.1300000000000001E-2</v>
      </c>
      <c r="E3">
        <v>3.1300000000000001E-2</v>
      </c>
      <c r="F3">
        <f>31.3/1000</f>
        <v>3.1300000000000001E-2</v>
      </c>
      <c r="G3">
        <v>3.1300000000000001E-2</v>
      </c>
      <c r="H3">
        <f>38.15/1000</f>
        <v>3.8149999999999996E-2</v>
      </c>
      <c r="I3">
        <f>36.02/1000</f>
        <v>3.6020000000000003E-2</v>
      </c>
      <c r="J3">
        <v>3.85E-2</v>
      </c>
      <c r="K3">
        <v>3.7199999999999997E-2</v>
      </c>
      <c r="L3">
        <v>3.2599999999999997E-2</v>
      </c>
      <c r="M3">
        <v>3.85E-2</v>
      </c>
      <c r="N3">
        <v>3.7199999999999997E-2</v>
      </c>
      <c r="O3">
        <v>3.2599999999999997E-2</v>
      </c>
      <c r="P3">
        <v>2.9960000000000001E-2</v>
      </c>
      <c r="Q3">
        <v>2.9960000000000001E-2</v>
      </c>
      <c r="R3">
        <v>3.0099999999999998E-2</v>
      </c>
      <c r="S3">
        <v>3.6630000000000003E-2</v>
      </c>
      <c r="T3">
        <f>31.3/1000</f>
        <v>3.1300000000000001E-2</v>
      </c>
      <c r="U3">
        <v>3.1300000000000001E-2</v>
      </c>
      <c r="V3">
        <v>3.6549999999999999E-2</v>
      </c>
    </row>
    <row r="4" spans="1:22" x14ac:dyDescent="0.25">
      <c r="A4" t="s">
        <v>44</v>
      </c>
      <c r="B4">
        <f>1.1832*1000</f>
        <v>1183.2</v>
      </c>
      <c r="C4">
        <v>1181.9000000000001</v>
      </c>
      <c r="D4">
        <v>1199.0999999999999</v>
      </c>
      <c r="E4">
        <v>1199.0999999999999</v>
      </c>
      <c r="F4">
        <v>1199.0999999999999</v>
      </c>
      <c r="G4">
        <v>1199.0999999999999</v>
      </c>
      <c r="H4">
        <v>1231.5</v>
      </c>
      <c r="I4">
        <v>1223</v>
      </c>
      <c r="J4">
        <v>1255</v>
      </c>
      <c r="K4">
        <v>1259</v>
      </c>
      <c r="L4">
        <v>1231.5</v>
      </c>
      <c r="M4">
        <v>1255</v>
      </c>
      <c r="N4">
        <v>1259</v>
      </c>
      <c r="O4">
        <v>1261</v>
      </c>
      <c r="P4">
        <v>1259</v>
      </c>
      <c r="Q4">
        <v>1259</v>
      </c>
      <c r="R4">
        <v>1181.9000000000001</v>
      </c>
      <c r="S4">
        <v>1221.4000000000001</v>
      </c>
      <c r="T4">
        <v>1199.0999999999999</v>
      </c>
      <c r="U4">
        <v>1199.0999999999999</v>
      </c>
      <c r="V4">
        <v>1231.5</v>
      </c>
    </row>
    <row r="5" spans="1:22" x14ac:dyDescent="0.25">
      <c r="A5" t="s">
        <v>45</v>
      </c>
      <c r="B5">
        <f>SQRT(B3/(B4*9.8))</f>
        <v>1.6721082394966942E-3</v>
      </c>
      <c r="C5">
        <f t="shared" ref="C5:V5" si="0">SQRT(C3/(C4*9.8))</f>
        <v>1.6120549579447582E-3</v>
      </c>
      <c r="D5">
        <f t="shared" si="0"/>
        <v>1.6320423700301166E-3</v>
      </c>
      <c r="E5">
        <v>1.6320423700301166E-3</v>
      </c>
      <c r="F5">
        <f t="shared" si="0"/>
        <v>1.6320423700301166E-3</v>
      </c>
      <c r="G5">
        <v>1.6320423700301166E-3</v>
      </c>
      <c r="H5">
        <f t="shared" si="0"/>
        <v>1.7779396906335032E-3</v>
      </c>
      <c r="I5">
        <f t="shared" si="0"/>
        <v>1.7335867855857428E-3</v>
      </c>
      <c r="J5">
        <f>SQRT(J3/(J4*9.8))</f>
        <v>1.7692755013446913E-3</v>
      </c>
      <c r="K5">
        <f>SQRT(K3/(K4*9.8))</f>
        <v>1.7363831671193862E-3</v>
      </c>
      <c r="L5">
        <f>SQRT(L3/(L4*9.8))</f>
        <v>1.6435334750448791E-3</v>
      </c>
      <c r="M5">
        <f t="shared" si="0"/>
        <v>1.7692755013446913E-3</v>
      </c>
      <c r="N5">
        <f t="shared" si="0"/>
        <v>1.7363831671193862E-3</v>
      </c>
      <c r="O5">
        <f>SQRT(O3/(O4*9.8))</f>
        <v>1.6241951858629096E-3</v>
      </c>
      <c r="P5">
        <f>SQRT(P3/(P4*9.8))</f>
        <v>1.5582782236665382E-3</v>
      </c>
      <c r="Q5">
        <f>SQRT(Q3/(Q4*9.8))</f>
        <v>1.5582782236665382E-3</v>
      </c>
      <c r="R5">
        <f>SQRT(R3/(R4*9.8))</f>
        <v>1.6120549579447582E-3</v>
      </c>
      <c r="S5">
        <f t="shared" si="0"/>
        <v>1.7493490103690763E-3</v>
      </c>
      <c r="T5">
        <f t="shared" si="0"/>
        <v>1.6320423700301166E-3</v>
      </c>
      <c r="U5">
        <v>1.6320423700301166E-3</v>
      </c>
      <c r="V5">
        <f t="shared" si="0"/>
        <v>1.7402572218850104E-3</v>
      </c>
    </row>
    <row r="6" spans="1:22" x14ac:dyDescent="0.25">
      <c r="A6" t="s">
        <v>50</v>
      </c>
      <c r="B6">
        <f>(0.381833*0.001/B5)^2</f>
        <v>5.2145657224901748E-2</v>
      </c>
      <c r="C6">
        <f>(0.185319*0.001/C5)^2</f>
        <v>1.3215396837129367E-2</v>
      </c>
      <c r="D6">
        <f>(0.381833*0.001/D5)^2</f>
        <v>5.4737386852869621E-2</v>
      </c>
      <c r="E6">
        <v>5.4737386852869621E-2</v>
      </c>
      <c r="F6">
        <f>(0.185319*0.001/F5)^2</f>
        <v>1.2893684443681408E-2</v>
      </c>
      <c r="G6">
        <v>1.2893684443681408E-2</v>
      </c>
      <c r="H6">
        <f>(0.381833*0.001/H5)^2</f>
        <v>4.6122503121582559E-2</v>
      </c>
      <c r="I6">
        <f>(0.185319*0.001/I5)^2</f>
        <v>1.1427433964694322E-2</v>
      </c>
      <c r="J6">
        <f t="shared" ref="J6:Q6" si="1">(0.557375*0.001/J5)^2</f>
        <v>9.9243950332386324E-2</v>
      </c>
      <c r="K6">
        <f t="shared" si="1"/>
        <v>0.10303952230939178</v>
      </c>
      <c r="L6">
        <f t="shared" si="1"/>
        <v>0.11501059824803488</v>
      </c>
      <c r="M6">
        <f t="shared" si="1"/>
        <v>9.9243950332386324E-2</v>
      </c>
      <c r="N6">
        <f t="shared" si="1"/>
        <v>0.10303952230939178</v>
      </c>
      <c r="O6">
        <f t="shared" si="1"/>
        <v>0.1177656227290069</v>
      </c>
      <c r="P6">
        <f t="shared" si="1"/>
        <v>0.1279395937886974</v>
      </c>
      <c r="Q6">
        <f t="shared" si="1"/>
        <v>0.1279395937886974</v>
      </c>
      <c r="R6">
        <f>(0.148284*0.001/R5)^2</f>
        <v>8.4611403340690613E-3</v>
      </c>
      <c r="S6">
        <f>(0.148284*0.001/S5)^2</f>
        <v>7.185147006601591E-3</v>
      </c>
      <c r="T6">
        <f>(0.148284*0.001/T5)^2</f>
        <v>8.2551643999582772E-3</v>
      </c>
      <c r="U6">
        <v>8.2551643999582772E-3</v>
      </c>
      <c r="V6">
        <f>(0.381833*0.001/V5)^2</f>
        <v>4.8141545665892592E-2</v>
      </c>
    </row>
    <row r="7" spans="1:22" x14ac:dyDescent="0.25">
      <c r="A7" t="s">
        <v>46</v>
      </c>
      <c r="B7">
        <v>0.59860000000000002</v>
      </c>
      <c r="C7">
        <v>0.3463</v>
      </c>
      <c r="D7">
        <v>1.0249999999999999</v>
      </c>
      <c r="E7">
        <v>1.0249999999999999</v>
      </c>
      <c r="F7">
        <v>1.0249999999999999</v>
      </c>
      <c r="G7">
        <v>1.0249999999999999</v>
      </c>
      <c r="H7">
        <v>1.609</v>
      </c>
      <c r="I7">
        <v>1.556</v>
      </c>
      <c r="J7">
        <v>3.875</v>
      </c>
      <c r="K7">
        <v>4.2750000000000004</v>
      </c>
      <c r="L7">
        <v>5.3239999999999998</v>
      </c>
      <c r="M7">
        <v>3.875</v>
      </c>
      <c r="N7">
        <v>4.2750000000000004</v>
      </c>
      <c r="O7">
        <v>5.3239999999999998</v>
      </c>
      <c r="P7">
        <v>4.2640000000000002</v>
      </c>
      <c r="Q7">
        <v>4.2640000000000002</v>
      </c>
      <c r="R7">
        <v>0.3463</v>
      </c>
      <c r="S7">
        <v>1.528</v>
      </c>
      <c r="T7">
        <v>1.0249999999999999</v>
      </c>
      <c r="U7">
        <v>1.0249999999999999</v>
      </c>
      <c r="V7">
        <v>1.556</v>
      </c>
    </row>
    <row r="8" spans="1:22" x14ac:dyDescent="0.25">
      <c r="A8" t="s">
        <v>28</v>
      </c>
      <c r="B8">
        <f>1-0.4168</f>
        <v>0.58319999999999994</v>
      </c>
      <c r="C8">
        <v>0.63060000000000005</v>
      </c>
      <c r="D8">
        <f>1-0.58</f>
        <v>0.42000000000000004</v>
      </c>
      <c r="E8">
        <v>0.42000000000000004</v>
      </c>
      <c r="F8">
        <v>0.42</v>
      </c>
      <c r="G8">
        <v>0.42</v>
      </c>
      <c r="H8">
        <f>1-0.5792</f>
        <v>0.42079999999999995</v>
      </c>
      <c r="I8">
        <f>1-0.599</f>
        <v>0.40100000000000002</v>
      </c>
      <c r="J8">
        <f>1-0.61</f>
        <v>0.39</v>
      </c>
      <c r="K8">
        <f>1-0.6235</f>
        <v>0.37649999999999995</v>
      </c>
      <c r="L8">
        <f>1-0.6984</f>
        <v>0.30159999999999998</v>
      </c>
      <c r="M8">
        <f>1-0.61</f>
        <v>0.39</v>
      </c>
      <c r="N8">
        <f>1-0.6235</f>
        <v>0.37649999999999995</v>
      </c>
      <c r="O8">
        <f>1-0.6984</f>
        <v>0.30159999999999998</v>
      </c>
      <c r="P8">
        <f>1-0.6158</f>
        <v>0.38419999999999999</v>
      </c>
      <c r="Q8">
        <f>1-0.6158</f>
        <v>0.38419999999999999</v>
      </c>
      <c r="R8">
        <f>1-0.3694</f>
        <v>0.63060000000000005</v>
      </c>
      <c r="S8">
        <f>1-0.5958</f>
        <v>0.4042</v>
      </c>
      <c r="T8">
        <v>0.42</v>
      </c>
      <c r="U8">
        <v>0.42</v>
      </c>
      <c r="V8">
        <f>1-0.6135</f>
        <v>0.38649999999999995</v>
      </c>
    </row>
    <row r="9" spans="1:22" x14ac:dyDescent="0.25">
      <c r="A9" t="s">
        <v>47</v>
      </c>
      <c r="B9">
        <f>5.19882/1000</f>
        <v>5.1988200000000007E-3</v>
      </c>
      <c r="C9">
        <f>1.12837/1000</f>
        <v>1.1283700000000001E-3</v>
      </c>
      <c r="D9">
        <f>6.6/1000</f>
        <v>6.6E-3</v>
      </c>
      <c r="E9">
        <f>6.32/1000</f>
        <v>6.3200000000000001E-3</v>
      </c>
      <c r="F9">
        <f>0.81626/1000</f>
        <v>8.1625999999999997E-4</v>
      </c>
      <c r="G9">
        <f>0.9177/1000</f>
        <v>9.1769999999999992E-4</v>
      </c>
      <c r="H9">
        <f>2.08908/1000</f>
        <v>2.0890800000000001E-3</v>
      </c>
      <c r="I9">
        <f>0.56615/1000</f>
        <v>5.6615000000000007E-4</v>
      </c>
      <c r="J9">
        <f>5.819/1000</f>
        <v>5.8189999999999995E-3</v>
      </c>
      <c r="K9">
        <f>5.19882/1000</f>
        <v>5.1988200000000007E-3</v>
      </c>
      <c r="L9">
        <f>4.164/1000</f>
        <v>4.1639999999999993E-3</v>
      </c>
      <c r="M9">
        <f>2.435/1000</f>
        <v>2.4350000000000001E-3</v>
      </c>
      <c r="N9">
        <f>2.92/1000</f>
        <v>2.9199999999999999E-3</v>
      </c>
      <c r="O9">
        <f>2.92/1000</f>
        <v>2.9199999999999999E-3</v>
      </c>
      <c r="P9">
        <f>1.12/1000</f>
        <v>1.1200000000000001E-3</v>
      </c>
      <c r="Q9">
        <f>1.22/1000</f>
        <v>1.2199999999999999E-3</v>
      </c>
      <c r="R9">
        <f>0.735/1000</f>
        <v>7.3499999999999998E-4</v>
      </c>
      <c r="S9">
        <f>0.40954/1000</f>
        <v>4.0954000000000001E-4</v>
      </c>
      <c r="T9">
        <f>0.491/1000</f>
        <v>4.9100000000000001E-4</v>
      </c>
      <c r="U9">
        <f>0.53/1000</f>
        <v>5.2999999999999998E-4</v>
      </c>
      <c r="V9">
        <f>2.4353/1000</f>
        <v>2.4352999999999996E-3</v>
      </c>
    </row>
    <row r="10" spans="1:22" x14ac:dyDescent="0.25">
      <c r="A10" t="s">
        <v>29</v>
      </c>
      <c r="B10">
        <v>1.67</v>
      </c>
      <c r="C10">
        <v>1.67</v>
      </c>
      <c r="D10">
        <v>1.67</v>
      </c>
      <c r="E10">
        <v>1.67</v>
      </c>
      <c r="F10">
        <v>1.67</v>
      </c>
      <c r="G10">
        <v>1.67</v>
      </c>
      <c r="H10">
        <v>1.67</v>
      </c>
      <c r="I10">
        <v>1.67</v>
      </c>
      <c r="J10">
        <v>1.67</v>
      </c>
      <c r="K10">
        <v>1.67</v>
      </c>
      <c r="L10">
        <v>1.67</v>
      </c>
      <c r="M10">
        <v>1.67</v>
      </c>
      <c r="N10">
        <v>1.67</v>
      </c>
      <c r="O10">
        <v>1.67</v>
      </c>
      <c r="P10">
        <v>1.67</v>
      </c>
      <c r="Q10">
        <v>1.67</v>
      </c>
      <c r="R10">
        <v>1.67</v>
      </c>
      <c r="S10">
        <v>1.67</v>
      </c>
      <c r="T10">
        <v>1.67</v>
      </c>
      <c r="U10">
        <v>1.67</v>
      </c>
      <c r="V10">
        <v>1.67</v>
      </c>
    </row>
    <row r="11" spans="1:22" x14ac:dyDescent="0.25">
      <c r="A11" t="s">
        <v>30</v>
      </c>
      <c r="B11">
        <f t="shared" ref="B11:V11" si="2">B10*(B7^2*B9^(2*B8)/(SQRT(B3)*(B4*9.8)^(3/2)))^(1/(2*B8+1))</f>
        <v>2.0740669787457279E-4</v>
      </c>
      <c r="C11">
        <f t="shared" si="2"/>
        <v>6.4861823701941386E-5</v>
      </c>
      <c r="D11">
        <f t="shared" si="2"/>
        <v>2.1368080935354756E-4</v>
      </c>
      <c r="E11">
        <f t="shared" si="2"/>
        <v>2.0949354717725297E-4</v>
      </c>
      <c r="F11">
        <f t="shared" si="2"/>
        <v>8.2295046979906819E-5</v>
      </c>
      <c r="G11">
        <f t="shared" si="2"/>
        <v>8.6815639843394889E-5</v>
      </c>
      <c r="H11">
        <f t="shared" si="2"/>
        <v>1.918021423795498E-4</v>
      </c>
      <c r="I11">
        <f t="shared" si="2"/>
        <v>9.9103793882114496E-5</v>
      </c>
      <c r="J11">
        <f t="shared" si="2"/>
        <v>7.1625957453151168E-4</v>
      </c>
      <c r="K11">
        <f t="shared" si="2"/>
        <v>7.3850282048514189E-4</v>
      </c>
      <c r="L11">
        <f t="shared" si="2"/>
        <v>7.5478306765650884E-4</v>
      </c>
      <c r="M11">
        <f t="shared" si="2"/>
        <v>4.8896400159460915E-4</v>
      </c>
      <c r="N11">
        <f t="shared" si="2"/>
        <v>5.7642210599261772E-4</v>
      </c>
      <c r="O11">
        <f t="shared" si="2"/>
        <v>6.4597101563961098E-4</v>
      </c>
      <c r="P11">
        <f t="shared" si="2"/>
        <v>4.1048595372127441E-4</v>
      </c>
      <c r="Q11">
        <f t="shared" si="2"/>
        <v>4.2602692806435841E-4</v>
      </c>
      <c r="R11">
        <f t="shared" si="2"/>
        <v>5.1068697903172976E-5</v>
      </c>
      <c r="S11">
        <f t="shared" si="2"/>
        <v>8.4415626516056656E-5</v>
      </c>
      <c r="T11">
        <f t="shared" si="2"/>
        <v>6.5252609298006056E-5</v>
      </c>
      <c r="U11">
        <f t="shared" si="2"/>
        <v>6.756967619284151E-5</v>
      </c>
      <c r="V11">
        <f t="shared" si="2"/>
        <v>1.7864182482205308E-4</v>
      </c>
    </row>
    <row r="12" spans="1:22" x14ac:dyDescent="0.25">
      <c r="A12" t="s">
        <v>31</v>
      </c>
      <c r="B12">
        <f t="shared" ref="B12:V12" si="3">B7*B11^(1-B8)*B9^(B8)/B3</f>
        <v>2.5066350253084745E-2</v>
      </c>
      <c r="C12">
        <f t="shared" si="3"/>
        <v>4.5197116189135403E-3</v>
      </c>
      <c r="D12">
        <f t="shared" si="3"/>
        <v>2.9556430416665155E-2</v>
      </c>
      <c r="E12">
        <f t="shared" si="3"/>
        <v>2.8691924405789951E-2</v>
      </c>
      <c r="F12">
        <f t="shared" si="3"/>
        <v>7.0642205315965372E-3</v>
      </c>
      <c r="G12">
        <f t="shared" si="3"/>
        <v>7.6542150175483367E-3</v>
      </c>
      <c r="H12">
        <f t="shared" si="3"/>
        <v>2.2096694750999603E-2</v>
      </c>
      <c r="I12">
        <f t="shared" si="3"/>
        <v>8.6109188875171262E-3</v>
      </c>
      <c r="J12">
        <f t="shared" si="3"/>
        <v>0.16319047453334795</v>
      </c>
      <c r="K12">
        <f t="shared" si="3"/>
        <v>0.17694932077974498</v>
      </c>
      <c r="L12">
        <f t="shared" si="3"/>
        <v>0.20631740604475041</v>
      </c>
      <c r="M12">
        <f t="shared" si="3"/>
        <v>9.2045905580439638E-2</v>
      </c>
      <c r="N12">
        <f t="shared" si="3"/>
        <v>0.12202016395099596</v>
      </c>
      <c r="O12">
        <f t="shared" si="3"/>
        <v>0.16627719752584602</v>
      </c>
      <c r="P12">
        <f t="shared" si="3"/>
        <v>8.5912042634787036E-2</v>
      </c>
      <c r="Q12">
        <f t="shared" si="3"/>
        <v>9.0836871786435139E-2</v>
      </c>
      <c r="R12">
        <f t="shared" si="3"/>
        <v>3.1576149492163869E-3</v>
      </c>
      <c r="S12">
        <f t="shared" si="3"/>
        <v>6.6671364483091022E-3</v>
      </c>
      <c r="T12">
        <f t="shared" si="3"/>
        <v>4.9877023300010535E-3</v>
      </c>
      <c r="U12">
        <f t="shared" si="3"/>
        <v>5.2557107898886833E-3</v>
      </c>
      <c r="V12">
        <f t="shared" si="3"/>
        <v>2.0874515336730674E-2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246B-6B0B-458A-BC3F-3426063F5B57}">
  <dimension ref="A1:G30"/>
  <sheetViews>
    <sheetView workbookViewId="0">
      <selection activeCell="A16" sqref="A16"/>
    </sheetView>
  </sheetViews>
  <sheetFormatPr defaultRowHeight="15" x14ac:dyDescent="0.25"/>
  <cols>
    <col min="4" max="5" width="15.85546875" customWidth="1"/>
    <col min="6" max="6" width="14.140625" customWidth="1"/>
    <col min="7" max="7" width="13.7109375" customWidth="1"/>
  </cols>
  <sheetData>
    <row r="1" spans="1:7" x14ac:dyDescent="0.25">
      <c r="A1" t="s">
        <v>26</v>
      </c>
      <c r="B1" t="s">
        <v>33</v>
      </c>
      <c r="C1" t="s">
        <v>34</v>
      </c>
      <c r="D1" t="s">
        <v>35</v>
      </c>
      <c r="E1" t="s">
        <v>37</v>
      </c>
      <c r="F1" t="s">
        <v>36</v>
      </c>
      <c r="G1" t="s">
        <v>38</v>
      </c>
    </row>
    <row r="2" spans="1:7" x14ac:dyDescent="0.25">
      <c r="B2">
        <v>1.1990000000000001E-2</v>
      </c>
      <c r="C2">
        <v>6.7582791966147901E-2</v>
      </c>
      <c r="D2">
        <v>1.7678764697599998E-3</v>
      </c>
      <c r="E2">
        <v>3.983855787753715E-4</v>
      </c>
      <c r="F2">
        <v>2.9299252560093434E-3</v>
      </c>
      <c r="G2">
        <v>1.4649626280046715E-3</v>
      </c>
    </row>
    <row r="3" spans="1:7" x14ac:dyDescent="0.25">
      <c r="B3">
        <v>7.6465999999999999E-3</v>
      </c>
      <c r="C3">
        <v>4.7718166365074997E-2</v>
      </c>
      <c r="D3">
        <v>1.1785843131733333E-3</v>
      </c>
      <c r="E3">
        <v>6.3792747231871324E-5</v>
      </c>
      <c r="F3">
        <v>3.174085694010122E-3</v>
      </c>
      <c r="G3">
        <v>2.3545979937305817E-3</v>
      </c>
    </row>
    <row r="4" spans="1:7" x14ac:dyDescent="0.25">
      <c r="B4">
        <v>7.2659999999999999E-3</v>
      </c>
      <c r="C4">
        <v>4.5869862616830043E-2</v>
      </c>
      <c r="D4">
        <v>1.7678764697599998E-3</v>
      </c>
      <c r="E4">
        <v>3.9838557877537145E-4</v>
      </c>
      <c r="F4">
        <v>3.174085694010122E-3</v>
      </c>
      <c r="G4">
        <v>1.8433708825490672E-3</v>
      </c>
    </row>
    <row r="5" spans="1:7" x14ac:dyDescent="0.25">
      <c r="B5">
        <v>3.6457E-3</v>
      </c>
      <c r="C5">
        <v>2.690162987585969E-2</v>
      </c>
      <c r="D5">
        <v>1.0680920338133331E-3</v>
      </c>
      <c r="E5">
        <v>2.3000802114722546E-4</v>
      </c>
      <c r="F5">
        <v>4.883208760015572E-4</v>
      </c>
      <c r="G5">
        <v>4.2289828381561939E-4</v>
      </c>
    </row>
    <row r="6" spans="1:7" x14ac:dyDescent="0.25">
      <c r="B6">
        <v>1.8289999999999999E-3</v>
      </c>
      <c r="C6">
        <v>1.5775710427835862E-2</v>
      </c>
      <c r="D6">
        <v>7.3661519573333311E-4</v>
      </c>
      <c r="E6">
        <v>6.3792747231871324E-5</v>
      </c>
    </row>
    <row r="7" spans="1:7" x14ac:dyDescent="0.25">
      <c r="B7">
        <v>9.1800000000000009E-4</v>
      </c>
      <c r="C7">
        <v>9.2544596664905845E-3</v>
      </c>
      <c r="D7">
        <v>3.3147683807999997E-4</v>
      </c>
      <c r="E7">
        <v>1.9137824169561399E-4</v>
      </c>
    </row>
    <row r="8" spans="1:7" x14ac:dyDescent="0.25">
      <c r="B8">
        <v>6.1299999999999994E-4</v>
      </c>
      <c r="C8">
        <v>6.7709461611429878E-3</v>
      </c>
      <c r="D8">
        <v>1.8415379893333328E-4</v>
      </c>
      <c r="E8">
        <v>6.379274723187131E-5</v>
      </c>
    </row>
    <row r="9" spans="1:7" x14ac:dyDescent="0.25">
      <c r="B9">
        <v>4.6050000000000003E-4</v>
      </c>
      <c r="C9">
        <v>5.4265766726896199E-3</v>
      </c>
      <c r="D9">
        <v>1.1049227935999998E-4</v>
      </c>
      <c r="E9">
        <v>0</v>
      </c>
    </row>
    <row r="10" spans="1:7" x14ac:dyDescent="0.25">
      <c r="B10">
        <v>4.0949999999999998E-4</v>
      </c>
      <c r="C10">
        <v>4.9554551963999875E-3</v>
      </c>
      <c r="D10">
        <v>7.3661519573333317E-5</v>
      </c>
      <c r="E10">
        <v>6.379274723187131E-5</v>
      </c>
    </row>
    <row r="16" spans="1:7" x14ac:dyDescent="0.25">
      <c r="A16" t="s">
        <v>20</v>
      </c>
      <c r="B16" t="s">
        <v>33</v>
      </c>
      <c r="C16" t="s">
        <v>34</v>
      </c>
      <c r="D16" t="s">
        <v>35</v>
      </c>
      <c r="E16" t="s">
        <v>37</v>
      </c>
      <c r="F16" t="s">
        <v>36</v>
      </c>
      <c r="G16" t="s">
        <v>38</v>
      </c>
    </row>
    <row r="17" spans="1:7" x14ac:dyDescent="0.25">
      <c r="B17">
        <v>1.1990000000000001E-2</v>
      </c>
      <c r="C17">
        <v>3.6442144763762771E-2</v>
      </c>
      <c r="D17">
        <v>2.09935330784E-3</v>
      </c>
      <c r="E17">
        <v>1.5625968000842878E-4</v>
      </c>
      <c r="F17">
        <v>3.6624065700116793E-3</v>
      </c>
      <c r="G17">
        <v>0</v>
      </c>
    </row>
    <row r="18" spans="1:7" x14ac:dyDescent="0.25">
      <c r="B18">
        <v>7.2659999999999999E-3</v>
      </c>
      <c r="C18">
        <v>2.4107136556299261E-2</v>
      </c>
      <c r="D18">
        <v>2.1545994475199995E-3</v>
      </c>
      <c r="E18">
        <v>7.0316856003792923E-4</v>
      </c>
      <c r="F18">
        <v>1.8312032850058397E-3</v>
      </c>
      <c r="G18">
        <v>2.5897125211174227E-3</v>
      </c>
    </row>
    <row r="19" spans="1:7" x14ac:dyDescent="0.25">
      <c r="B19">
        <v>3.6457E-3</v>
      </c>
      <c r="C19">
        <v>1.3647232070238055E-2</v>
      </c>
      <c r="D19">
        <v>1.2706612126399998E-3</v>
      </c>
      <c r="E19">
        <v>7.0316856003792944E-4</v>
      </c>
    </row>
    <row r="20" spans="1:7" x14ac:dyDescent="0.25">
      <c r="B20">
        <v>1.8289999999999999E-3</v>
      </c>
      <c r="C20">
        <v>7.7250268986924055E-3</v>
      </c>
      <c r="D20">
        <v>5.5246139679999984E-4</v>
      </c>
      <c r="E20">
        <v>3.1251936001685756E-4</v>
      </c>
    </row>
    <row r="21" spans="1:7" x14ac:dyDescent="0.25">
      <c r="B21">
        <v>1.0480000000000001E-3</v>
      </c>
      <c r="C21">
        <v>4.8794452067183565E-3</v>
      </c>
      <c r="D21">
        <v>1.1049227935999998E-4</v>
      </c>
      <c r="E21">
        <v>1.5625968000842878E-4</v>
      </c>
    </row>
    <row r="24" spans="1:7" x14ac:dyDescent="0.25">
      <c r="A24" t="s">
        <v>25</v>
      </c>
      <c r="B24" t="s">
        <v>33</v>
      </c>
      <c r="C24" t="s">
        <v>34</v>
      </c>
      <c r="D24" t="s">
        <v>35</v>
      </c>
      <c r="E24" t="s">
        <v>37</v>
      </c>
      <c r="F24" t="s">
        <v>36</v>
      </c>
      <c r="G24" t="s">
        <v>38</v>
      </c>
    </row>
    <row r="25" spans="1:7" x14ac:dyDescent="0.25">
      <c r="B25">
        <v>1.1990000000000001E-2</v>
      </c>
      <c r="C25">
        <v>3.1473272913837426E-2</v>
      </c>
      <c r="D25">
        <v>9.391843745599998E-4</v>
      </c>
      <c r="E25">
        <v>3.9064920002107205E-4</v>
      </c>
      <c r="F25">
        <v>3.2961659130105112E-3</v>
      </c>
      <c r="G25">
        <v>1.5538275126704534E-3</v>
      </c>
    </row>
    <row r="26" spans="1:7" x14ac:dyDescent="0.25">
      <c r="B26">
        <v>8.0690000000000015E-3</v>
      </c>
      <c r="C26">
        <v>2.2858351857625112E-2</v>
      </c>
      <c r="D26">
        <v>4.419691174399999E-4</v>
      </c>
      <c r="E26">
        <v>4.6877904002528626E-4</v>
      </c>
      <c r="F26">
        <v>1.0987219710035037E-3</v>
      </c>
      <c r="G26">
        <v>5.1794250422348444E-4</v>
      </c>
    </row>
    <row r="27" spans="1:7" x14ac:dyDescent="0.25">
      <c r="B27">
        <v>7.2659999999999999E-3</v>
      </c>
      <c r="C27">
        <v>2.1003035119746775E-2</v>
      </c>
      <c r="D27">
        <v>5.5246139679999984E-4</v>
      </c>
      <c r="E27">
        <v>3.1251936001685756E-4</v>
      </c>
    </row>
    <row r="28" spans="1:7" x14ac:dyDescent="0.25">
      <c r="B28">
        <v>3.6457E-3</v>
      </c>
      <c r="C28">
        <v>1.2034033049385788E-2</v>
      </c>
      <c r="D28">
        <v>1.6573841903999996E-4</v>
      </c>
      <c r="E28">
        <v>7.812984000421439E-5</v>
      </c>
    </row>
    <row r="29" spans="1:7" x14ac:dyDescent="0.25">
      <c r="B29">
        <v>1.8289999999999999E-3</v>
      </c>
      <c r="C29">
        <v>6.8944200099891441E-3</v>
      </c>
      <c r="D29">
        <v>2.7623069839999992E-4</v>
      </c>
      <c r="E29">
        <v>7.8129840004214377E-5</v>
      </c>
    </row>
    <row r="30" spans="1:7" x14ac:dyDescent="0.25">
      <c r="B30">
        <v>1.0480000000000001E-3</v>
      </c>
      <c r="C30">
        <v>4.3973543812863575E-3</v>
      </c>
      <c r="D30">
        <v>5.5246139679999988E-5</v>
      </c>
      <c r="E30">
        <v>7.812984000421439E-5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B4E3-AB99-4ED5-B8A6-535B233CDA6E}">
  <dimension ref="A1:R29"/>
  <sheetViews>
    <sheetView workbookViewId="0">
      <selection activeCell="A4" sqref="A4:A13"/>
    </sheetView>
  </sheetViews>
  <sheetFormatPr defaultRowHeight="15" x14ac:dyDescent="0.25"/>
  <cols>
    <col min="1" max="1" width="22.5703125" bestFit="1" customWidth="1"/>
    <col min="12" max="12" width="22.5703125" bestFit="1" customWidth="1"/>
  </cols>
  <sheetData>
    <row r="1" spans="1:18" x14ac:dyDescent="0.25">
      <c r="A1" t="s">
        <v>39</v>
      </c>
    </row>
    <row r="2" spans="1:18" x14ac:dyDescent="0.25">
      <c r="A2" t="s">
        <v>12</v>
      </c>
      <c r="L2" t="s">
        <v>11</v>
      </c>
    </row>
    <row r="3" spans="1:18" x14ac:dyDescent="0.25">
      <c r="A3" t="s">
        <v>17</v>
      </c>
      <c r="D3" t="s">
        <v>25</v>
      </c>
      <c r="F3" t="s">
        <v>21</v>
      </c>
      <c r="H3" t="s">
        <v>26</v>
      </c>
      <c r="L3" t="s">
        <v>17</v>
      </c>
      <c r="M3" t="s">
        <v>25</v>
      </c>
      <c r="O3" t="s">
        <v>21</v>
      </c>
      <c r="Q3" t="s">
        <v>26</v>
      </c>
    </row>
    <row r="4" spans="1:18" x14ac:dyDescent="0.25">
      <c r="A4" t="s">
        <v>43</v>
      </c>
      <c r="D4">
        <f>30.1/1000</f>
        <v>3.0100000000000002E-2</v>
      </c>
      <c r="F4">
        <v>3.6549999999999999E-2</v>
      </c>
      <c r="H4">
        <v>3.6630000000000003E-2</v>
      </c>
      <c r="L4" t="s">
        <v>43</v>
      </c>
      <c r="M4">
        <f>30.1/1000</f>
        <v>3.0100000000000002E-2</v>
      </c>
      <c r="O4">
        <v>3.6549999999999999E-2</v>
      </c>
      <c r="Q4">
        <v>3.6630000000000003E-2</v>
      </c>
    </row>
    <row r="5" spans="1:18" x14ac:dyDescent="0.25">
      <c r="A5" t="s">
        <v>44</v>
      </c>
      <c r="D5">
        <v>1181.9000000000001</v>
      </c>
      <c r="F5">
        <v>1231.5</v>
      </c>
      <c r="H5">
        <v>1221.4000000000001</v>
      </c>
      <c r="L5" t="s">
        <v>44</v>
      </c>
      <c r="M5">
        <v>1181.9000000000001</v>
      </c>
      <c r="O5">
        <v>1231.5</v>
      </c>
      <c r="Q5">
        <v>1221.4000000000001</v>
      </c>
    </row>
    <row r="6" spans="1:18" x14ac:dyDescent="0.25">
      <c r="A6" t="s">
        <v>45</v>
      </c>
      <c r="D6">
        <f>SQRT(D4/(D5*9.8))</f>
        <v>1.6120549579447582E-3</v>
      </c>
      <c r="F6">
        <f>SQRT(F4/(F5*9.8))</f>
        <v>1.7402572218850104E-3</v>
      </c>
      <c r="H6">
        <f>SQRT(H4/(H5*9.8))</f>
        <v>1.7493490103690763E-3</v>
      </c>
      <c r="L6" t="s">
        <v>45</v>
      </c>
      <c r="M6">
        <f>SQRT(M4/(M5*9.8))</f>
        <v>1.6120549579447582E-3</v>
      </c>
      <c r="O6">
        <f>SQRT(O4/(O5*9.8))</f>
        <v>1.7402572218850104E-3</v>
      </c>
      <c r="Q6">
        <f>SQRT(Q4/(Q5*9.8))</f>
        <v>1.7493490103690763E-3</v>
      </c>
    </row>
    <row r="7" spans="1:18" x14ac:dyDescent="0.25">
      <c r="A7" t="s">
        <v>50</v>
      </c>
      <c r="D7">
        <f>(0.185319*0.001/D6)^2</f>
        <v>1.3215396837129367E-2</v>
      </c>
      <c r="F7">
        <f>(0.185319*0.001/F6)^2</f>
        <v>1.1339998749219718E-2</v>
      </c>
      <c r="H7">
        <f>(0.185319*0.001/H6)^2</f>
        <v>1.1222431643523805E-2</v>
      </c>
      <c r="I7">
        <f>(D7+F7+H7)/3</f>
        <v>1.192594240995763E-2</v>
      </c>
      <c r="L7" t="s">
        <v>50</v>
      </c>
      <c r="M7">
        <f>(0.381833*0.001/M6)^2</f>
        <v>5.610314819226344E-2</v>
      </c>
      <c r="O7">
        <f>(0.381833*0.001/O6)^2</f>
        <v>4.8141545665892592E-2</v>
      </c>
      <c r="Q7">
        <f>(0.381833*0.001/Q6)^2</f>
        <v>4.7642439597820385E-2</v>
      </c>
      <c r="R7">
        <f>(M7+O7+Q7)/3</f>
        <v>5.0629044485325479E-2</v>
      </c>
    </row>
    <row r="8" spans="1:18" x14ac:dyDescent="0.25">
      <c r="A8" t="s">
        <v>46</v>
      </c>
      <c r="D8">
        <v>0.3463</v>
      </c>
      <c r="F8">
        <v>1.556</v>
      </c>
      <c r="H8">
        <v>1.528</v>
      </c>
      <c r="L8" t="s">
        <v>46</v>
      </c>
      <c r="M8">
        <v>0.3463</v>
      </c>
      <c r="O8">
        <v>1.556</v>
      </c>
      <c r="Q8">
        <v>1.528</v>
      </c>
    </row>
    <row r="9" spans="1:18" x14ac:dyDescent="0.25">
      <c r="A9" t="s">
        <v>28</v>
      </c>
      <c r="D9">
        <v>0.63060000000000005</v>
      </c>
      <c r="F9">
        <f>1-0.6135</f>
        <v>0.38649999999999995</v>
      </c>
      <c r="H9">
        <f>1-0.5958</f>
        <v>0.4042</v>
      </c>
      <c r="L9" t="s">
        <v>28</v>
      </c>
      <c r="M9">
        <v>0.63060000000000005</v>
      </c>
      <c r="O9">
        <f>1-0.6135</f>
        <v>0.38649999999999995</v>
      </c>
      <c r="Q9">
        <f>1-0.5958</f>
        <v>0.4042</v>
      </c>
    </row>
    <row r="10" spans="1:18" x14ac:dyDescent="0.25">
      <c r="A10" t="s">
        <v>40</v>
      </c>
      <c r="D10">
        <v>1.67</v>
      </c>
      <c r="F10">
        <v>1.67</v>
      </c>
      <c r="H10">
        <v>1.67</v>
      </c>
      <c r="L10" t="s">
        <v>40</v>
      </c>
      <c r="M10">
        <v>1.67</v>
      </c>
      <c r="O10">
        <v>1.67</v>
      </c>
      <c r="Q10">
        <v>1.67</v>
      </c>
    </row>
    <row r="11" spans="1:18" x14ac:dyDescent="0.25">
      <c r="A11" t="s">
        <v>48</v>
      </c>
      <c r="D11">
        <f>D10*(D8^2*D12^(2*D9)/(SQRT(D4)*(D5*9.8)^(3/2)))^(1/(2*D9+1))</f>
        <v>1.1023118254138582E-4</v>
      </c>
      <c r="F11">
        <f>F10*(F8^2*F12^(2*F9)/(SQRT(F4)*(F5*9.8)^(3/2)))^(1/(2*F9+1))</f>
        <v>1.1685961178490855E-4</v>
      </c>
      <c r="H11">
        <f>H10*(H8^2*H12^(2*H9)/(SQRT(H4)*(H5*9.8)^(3/2)))^(1/(2*H9+1))</f>
        <v>1.0109405119634636E-4</v>
      </c>
      <c r="L11" t="s">
        <v>48</v>
      </c>
      <c r="M11">
        <f>M10*(M8^2*M12^(2*M9)/(SQRT(M4)*(M5*9.8)^(3/2)))^(1/(2*M9+1))</f>
        <v>1.4628882976246347E-4</v>
      </c>
      <c r="O11">
        <f>O10*(O8^2*O12^(2*O9)/(SQRT(O4)*(O5*9.8)^(3/2)))^(1/(2*O9+1))</f>
        <v>2.2796334446730966E-4</v>
      </c>
      <c r="Q11">
        <f>Q10*(Q8^2*Q12^(2*Q9)/(SQRT(Q4)*(Q5*9.8)^(3/2)))^(1/(2*Q9+1))</f>
        <v>1.8746017399497289E-4</v>
      </c>
    </row>
    <row r="12" spans="1:18" x14ac:dyDescent="0.25">
      <c r="A12" t="s">
        <v>47</v>
      </c>
      <c r="D12">
        <f>2.92/1000</f>
        <v>2.9199999999999999E-3</v>
      </c>
      <c r="F12">
        <f>0.92/1000</f>
        <v>9.2000000000000003E-4</v>
      </c>
      <c r="H12">
        <f>0.613/1000</f>
        <v>6.1299999999999994E-4</v>
      </c>
      <c r="L12" t="s">
        <v>47</v>
      </c>
      <c r="M12">
        <f>4.85/1000</f>
        <v>4.8499999999999993E-3</v>
      </c>
      <c r="O12">
        <f>4.26/1000</f>
        <v>4.2599999999999999E-3</v>
      </c>
      <c r="Q12">
        <f>2.44/1000</f>
        <v>2.4399999999999999E-3</v>
      </c>
    </row>
    <row r="13" spans="1:18" x14ac:dyDescent="0.25">
      <c r="A13" t="s">
        <v>49</v>
      </c>
      <c r="D13">
        <f>D8*D11^(1-D9)*D12^(D9)/D4</f>
        <v>1.0013449040604999E-2</v>
      </c>
      <c r="F13">
        <f>F8*F11^(1-F9)*F12^(F9)/F4</f>
        <v>1.104430368941862E-2</v>
      </c>
      <c r="H13">
        <f>H8*H11^(1-H9)*H12^(H9)/H4</f>
        <v>8.7376264169237109E-3</v>
      </c>
      <c r="L13" t="s">
        <v>49</v>
      </c>
      <c r="M13">
        <f>M8*M11^(1-M9)*M12^(M9)/M4</f>
        <v>1.530889135577441E-2</v>
      </c>
      <c r="O13">
        <f>O8*O11^(1-O9)*O12^(O9)/O4</f>
        <v>3.0091179485110992E-2</v>
      </c>
      <c r="Q13">
        <f>Q8*Q11^(1-Q9)*Q12^(Q9)/Q4</f>
        <v>2.206320473277322E-2</v>
      </c>
    </row>
    <row r="17" spans="1:17" x14ac:dyDescent="0.25">
      <c r="A17" t="s">
        <v>41</v>
      </c>
    </row>
    <row r="18" spans="1:17" x14ac:dyDescent="0.25">
      <c r="A18" t="s">
        <v>42</v>
      </c>
      <c r="L18" t="s">
        <v>11</v>
      </c>
    </row>
    <row r="19" spans="1:17" x14ac:dyDescent="0.25">
      <c r="A19" t="s">
        <v>17</v>
      </c>
      <c r="D19" t="s">
        <v>25</v>
      </c>
      <c r="F19" t="s">
        <v>26</v>
      </c>
      <c r="H19" t="s">
        <v>20</v>
      </c>
      <c r="L19" t="s">
        <v>17</v>
      </c>
      <c r="M19" t="s">
        <v>25</v>
      </c>
      <c r="O19" t="s">
        <v>26</v>
      </c>
      <c r="Q19" t="s">
        <v>20</v>
      </c>
    </row>
    <row r="20" spans="1:17" x14ac:dyDescent="0.25">
      <c r="A20" t="s">
        <v>43</v>
      </c>
      <c r="D20">
        <f>33.18/1000</f>
        <v>3.3180000000000001E-2</v>
      </c>
      <c r="F20">
        <v>2.9960000000000001E-2</v>
      </c>
      <c r="H20">
        <v>3.3079999999999998E-2</v>
      </c>
      <c r="L20" t="s">
        <v>43</v>
      </c>
      <c r="M20">
        <f>33.18/1000</f>
        <v>3.3180000000000001E-2</v>
      </c>
      <c r="O20">
        <v>2.9960000000000001E-2</v>
      </c>
      <c r="Q20">
        <v>3.3079999999999998E-2</v>
      </c>
    </row>
    <row r="21" spans="1:17" x14ac:dyDescent="0.25">
      <c r="A21" t="s">
        <v>44</v>
      </c>
      <c r="D21">
        <v>1173.2</v>
      </c>
      <c r="F21">
        <v>1182.4000000000001</v>
      </c>
      <c r="H21">
        <v>1170.2</v>
      </c>
      <c r="L21" t="s">
        <v>44</v>
      </c>
      <c r="M21">
        <v>1173.2</v>
      </c>
      <c r="O21">
        <v>1182.4000000000001</v>
      </c>
      <c r="Q21">
        <v>1170.2</v>
      </c>
    </row>
    <row r="22" spans="1:17" x14ac:dyDescent="0.25">
      <c r="A22" t="s">
        <v>45</v>
      </c>
      <c r="D22">
        <f>SQRT(D20/(D21*9.8))</f>
        <v>1.6987877704258468E-3</v>
      </c>
      <c r="F22">
        <f>SQRT(F20/(F21*9.8))</f>
        <v>1.6079615372987161E-3</v>
      </c>
      <c r="H22">
        <f>SQRT(H20/(H21*9.8))</f>
        <v>1.6983987663617883E-3</v>
      </c>
      <c r="L22" t="s">
        <v>45</v>
      </c>
      <c r="M22">
        <f>SQRT(M20/(M21*9.8))</f>
        <v>1.6987877704258468E-3</v>
      </c>
      <c r="O22">
        <f>SQRT(O20/(O21*9.8))</f>
        <v>1.6079615372987161E-3</v>
      </c>
      <c r="Q22">
        <f>SQRT(Q20/(Q21*9.8))</f>
        <v>1.6983987663617883E-3</v>
      </c>
    </row>
    <row r="23" spans="1:17" x14ac:dyDescent="0.25">
      <c r="A23" t="s">
        <v>50</v>
      </c>
      <c r="D23">
        <f>(0.1483*0.001/D22)^2</f>
        <v>7.6208611745147677E-3</v>
      </c>
      <c r="F23">
        <f>(0.1483*0.001/F22)^2</f>
        <v>8.5061099042990657E-3</v>
      </c>
      <c r="H23">
        <f>(0.148284*0.001/H22)^2</f>
        <v>7.6227074785133559E-3</v>
      </c>
      <c r="L23" t="s">
        <v>50</v>
      </c>
      <c r="M23">
        <f>(0.381833*0.001/M22)^2</f>
        <v>5.0520619533519974E-2</v>
      </c>
      <c r="O23">
        <f>(0.381833*0.001/O22)^2</f>
        <v>5.6389157648283901E-2</v>
      </c>
      <c r="Q23">
        <f>(0.381833*0.001/Q22)^2</f>
        <v>5.0543764836440651E-2</v>
      </c>
    </row>
    <row r="24" spans="1:17" x14ac:dyDescent="0.25">
      <c r="A24" t="s">
        <v>46</v>
      </c>
      <c r="D24">
        <v>0.44080000000000003</v>
      </c>
      <c r="F24">
        <v>0.84760000000000002</v>
      </c>
      <c r="H24">
        <v>0.43769999999999998</v>
      </c>
      <c r="L24" t="s">
        <v>46</v>
      </c>
      <c r="M24">
        <v>0.44080000000000003</v>
      </c>
      <c r="O24">
        <v>0.84760000000000002</v>
      </c>
      <c r="Q24">
        <v>0.43769999999999998</v>
      </c>
    </row>
    <row r="25" spans="1:17" x14ac:dyDescent="0.25">
      <c r="A25" t="s">
        <v>28</v>
      </c>
      <c r="D25">
        <f>1-0.4169</f>
        <v>0.58309999999999995</v>
      </c>
      <c r="F25">
        <f>1-0.4673</f>
        <v>0.53269999999999995</v>
      </c>
      <c r="H25">
        <f>1-0.38888</f>
        <v>0.61112</v>
      </c>
      <c r="L25" t="s">
        <v>28</v>
      </c>
      <c r="M25">
        <f>1-0.4169</f>
        <v>0.58309999999999995</v>
      </c>
      <c r="O25">
        <f>1-0.4673</f>
        <v>0.53269999999999995</v>
      </c>
      <c r="Q25">
        <f>1-0.38888</f>
        <v>0.61112</v>
      </c>
    </row>
    <row r="26" spans="1:17" x14ac:dyDescent="0.25">
      <c r="A26" t="s">
        <v>40</v>
      </c>
      <c r="D26">
        <v>1.67</v>
      </c>
      <c r="F26">
        <v>1.67</v>
      </c>
      <c r="H26">
        <v>1.67</v>
      </c>
      <c r="L26" t="s">
        <v>40</v>
      </c>
      <c r="M26">
        <v>1.67</v>
      </c>
      <c r="O26">
        <v>1.67</v>
      </c>
      <c r="Q26">
        <v>1.67</v>
      </c>
    </row>
    <row r="27" spans="1:17" x14ac:dyDescent="0.25">
      <c r="A27" t="s">
        <v>48</v>
      </c>
      <c r="D27">
        <f>D26*(D24^2*D28^(2*D25)/(SQRT(D20)*(D21*9.8)^(3/2)))^(1/(2*D25+1))</f>
        <v>6.6031258842873112E-5</v>
      </c>
      <c r="F27">
        <f>F26*(F24^2*F28^(2*F25)/(SQRT(F20)*(F21*9.8)^(3/2)))^(1/(2*F25+1))</f>
        <v>6.6526941634347677E-5</v>
      </c>
      <c r="H27">
        <f>H26*(H24^2*H28^(2*H25)/(SQRT(H20)*(H21*9.8)^(3/2)))^(1/(2*H25+1))</f>
        <v>7.1438080969758556E-5</v>
      </c>
      <c r="L27" t="s">
        <v>48</v>
      </c>
      <c r="M27">
        <f>M26*(M24^2*M28^(2*M25)/(SQRT(M20)*(M21*9.8)^(3/2)))^(1/(2*M25+1))</f>
        <v>1.981459536988342E-4</v>
      </c>
      <c r="O27">
        <f>O26*(O24^2*O28^(2*O25)/(SQRT(O20)*(O21*9.8)^(3/2)))^(1/(2*O25+1))</f>
        <v>3.0118310660479829E-4</v>
      </c>
      <c r="Q27">
        <f>Q26*(Q24^2*Q28^(2*Q25)/(SQRT(Q20)*(Q21*9.8)^(3/2)))^(1/(2*Q25+1))</f>
        <v>2.072271088678961E-4</v>
      </c>
    </row>
    <row r="28" spans="1:17" x14ac:dyDescent="0.25">
      <c r="A28" t="s">
        <v>47</v>
      </c>
      <c r="D28">
        <f>1.048/1000</f>
        <v>1.0480000000000001E-3</v>
      </c>
      <c r="F28">
        <f>0.4095/1000</f>
        <v>4.0949999999999998E-4</v>
      </c>
      <c r="H28">
        <f>1.048/1000</f>
        <v>1.0480000000000001E-3</v>
      </c>
      <c r="L28" t="s">
        <v>47</v>
      </c>
      <c r="M28">
        <f>8.069/1000</f>
        <v>8.0690000000000015E-3</v>
      </c>
      <c r="O28">
        <f>7.65/1000</f>
        <v>7.6500000000000005E-3</v>
      </c>
      <c r="Q28">
        <f>7.266/1000</f>
        <v>7.2659999999999999E-3</v>
      </c>
    </row>
    <row r="29" spans="1:17" x14ac:dyDescent="0.25">
      <c r="A29" t="s">
        <v>49</v>
      </c>
      <c r="D29">
        <f>D24*D27^(1-D25)*D28^(D25)/D20</f>
        <v>4.3973543812863575E-3</v>
      </c>
      <c r="F29">
        <f>F24*F27^(1-F25)*F28^(F25)/F20</f>
        <v>4.9554551963999875E-3</v>
      </c>
      <c r="H29">
        <f>H24*H27^(1-H25)*H28^(H25)/H20</f>
        <v>4.8794452067183565E-3</v>
      </c>
      <c r="L29" t="s">
        <v>49</v>
      </c>
      <c r="M29">
        <f>M24*M27^(1-M25)*M28^(M25)/M20</f>
        <v>2.2858351857625112E-2</v>
      </c>
      <c r="O29">
        <f>O24*O27^(1-O25)*O28^(O25)/O20</f>
        <v>4.7734582549729704E-2</v>
      </c>
      <c r="Q29">
        <f>Q24*Q27^(1-Q25)*Q28^(Q25)/Q20</f>
        <v>2.4107136556299261E-2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3-4</vt:lpstr>
      <vt:lpstr>figure 7</vt:lpstr>
      <vt:lpstr>figure 8</vt:lpstr>
      <vt:lpstr>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Dingqian Ding</dc:creator>
  <cp:lastModifiedBy>Joshua B Bostwick</cp:lastModifiedBy>
  <dcterms:created xsi:type="dcterms:W3CDTF">2024-09-08T14:52:27Z</dcterms:created>
  <dcterms:modified xsi:type="dcterms:W3CDTF">2024-09-09T15:05:15Z</dcterms:modified>
</cp:coreProperties>
</file>