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https://uclouvain-my.sharepoint.com/personal/damien_debecker_uclouvain_be/Documents/Documents/Damien Debecker/4 PUBLI - OUTPUTS/1 ARTICLES/A0 en péparation/hippo 1/RSC Sustainability/"/>
    </mc:Choice>
  </mc:AlternateContent>
  <xr:revisionPtr revIDLastSave="0" documentId="8_{E6AFD27E-7693-4211-9E85-07EAF655EDFB}" xr6:coauthVersionLast="36" xr6:coauthVersionMax="36" xr10:uidLastSave="{00000000-0000-0000-0000-000000000000}"/>
  <bookViews>
    <workbookView xWindow="-120" yWindow="-120" windowWidth="29040" windowHeight="15840" xr2:uid="{E59FF9C2-8B1E-456D-A245-F60CBA0540C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2" i="1" l="1"/>
  <c r="Q45" i="1"/>
  <c r="Q38" i="1"/>
  <c r="Q22" i="1"/>
  <c r="V72" i="1"/>
  <c r="K7" i="1"/>
  <c r="J7" i="1"/>
  <c r="AY72" i="1"/>
  <c r="AV72" i="1"/>
  <c r="W55" i="1" l="1"/>
  <c r="AD60" i="1"/>
  <c r="AD59" i="1" s="1"/>
  <c r="AE61" i="1"/>
  <c r="AE60" i="1" s="1"/>
  <c r="AD22" i="1"/>
  <c r="AD23" i="1" s="1"/>
  <c r="AD15" i="1"/>
  <c r="AD16" i="1" s="1"/>
  <c r="AE5" i="1"/>
  <c r="AE7" i="1" s="1"/>
  <c r="AD5" i="1"/>
  <c r="AD9" i="1" s="1"/>
  <c r="P39" i="1"/>
  <c r="W12" i="1"/>
  <c r="Q4" i="1"/>
  <c r="P4" i="1"/>
  <c r="P5" i="1" s="1"/>
  <c r="P15" i="1" s="1"/>
  <c r="P23" i="1"/>
  <c r="P22" i="1" s="1"/>
  <c r="P16" i="1"/>
  <c r="Q7" i="1"/>
  <c r="Q9" i="1" s="1"/>
  <c r="P7" i="1"/>
  <c r="P9" i="1" s="1"/>
  <c r="Q5" i="1"/>
  <c r="W61" i="1"/>
  <c r="W60" i="1" s="1"/>
  <c r="W59" i="1" s="1"/>
  <c r="W22" i="1"/>
  <c r="W23" i="1"/>
  <c r="V13" i="1"/>
  <c r="V12" i="1" s="1"/>
  <c r="V22" i="1"/>
  <c r="V20" i="1" s="1"/>
  <c r="V19" i="1" s="1"/>
  <c r="W5" i="1"/>
  <c r="W7" i="1" s="1"/>
  <c r="V5" i="1"/>
  <c r="V23" i="1" s="1"/>
  <c r="V15" i="1"/>
  <c r="W15" i="1" s="1"/>
  <c r="W13" i="1" s="1"/>
  <c r="W54" i="1"/>
  <c r="W53" i="1" s="1"/>
  <c r="J65" i="1"/>
  <c r="J64" i="1"/>
  <c r="J23" i="1"/>
  <c r="J16" i="1"/>
  <c r="D16" i="1"/>
  <c r="K9" i="1"/>
  <c r="J9" i="1"/>
  <c r="K5" i="1"/>
  <c r="J5" i="1"/>
  <c r="E7" i="1"/>
  <c r="D7" i="1"/>
  <c r="E22" i="1"/>
  <c r="E5" i="1"/>
  <c r="E59" i="1" s="1"/>
  <c r="D22" i="1"/>
  <c r="D20" i="1"/>
  <c r="D69" i="1"/>
  <c r="D5" i="1"/>
  <c r="C5" i="1"/>
  <c r="P20" i="1" l="1"/>
  <c r="P19" i="1" s="1"/>
  <c r="P13" i="1"/>
  <c r="Q15" i="1"/>
  <c r="E67" i="1"/>
  <c r="E66" i="1" s="1"/>
  <c r="D67" i="1"/>
  <c r="J15" i="1"/>
  <c r="W16" i="1"/>
  <c r="V9" i="1"/>
  <c r="V7" i="1" s="1"/>
  <c r="U7" i="1" s="1"/>
  <c r="J22" i="1"/>
  <c r="V16" i="1"/>
  <c r="W38" i="1"/>
  <c r="AE38" i="1"/>
  <c r="AE55" i="1"/>
  <c r="AE54" i="1" s="1"/>
  <c r="AE53" i="1" s="1"/>
  <c r="J29" i="1"/>
  <c r="J30" i="1" s="1"/>
  <c r="J28" i="1" s="1"/>
  <c r="K28" i="1" s="1"/>
  <c r="J62" i="1" s="1"/>
  <c r="C61" i="1"/>
  <c r="C60" i="1"/>
  <c r="C59" i="1" s="1"/>
  <c r="AE59" i="1"/>
  <c r="AD7" i="1"/>
  <c r="AE40" i="1"/>
  <c r="AE41" i="1" s="1"/>
  <c r="AE15" i="1"/>
  <c r="AE22" i="1"/>
  <c r="AD13" i="1"/>
  <c r="AD12" i="1" s="1"/>
  <c r="AD20" i="1"/>
  <c r="AD19" i="1" s="1"/>
  <c r="P12" i="1"/>
  <c r="D15" i="1"/>
  <c r="D59" i="1"/>
  <c r="D66" i="1"/>
  <c r="E69" i="1"/>
  <c r="Q23" i="1" l="1"/>
  <c r="Q20" i="1"/>
  <c r="Q19" i="1" s="1"/>
  <c r="K15" i="1"/>
  <c r="K13" i="1" s="1"/>
  <c r="K12" i="1" s="1"/>
  <c r="K38" i="1"/>
  <c r="K22" i="1"/>
  <c r="K20" i="1" s="1"/>
  <c r="K19" i="1" s="1"/>
  <c r="L28" i="1"/>
  <c r="Q40" i="1"/>
  <c r="Q44" i="1"/>
  <c r="Q43" i="1" s="1"/>
  <c r="Q50" i="1"/>
  <c r="Q49" i="1" s="1"/>
  <c r="Q48" i="1" s="1"/>
  <c r="E38" i="1"/>
  <c r="E15" i="1"/>
  <c r="E13" i="1" s="1"/>
  <c r="E12" i="1" s="1"/>
  <c r="W50" i="1"/>
  <c r="W49" i="1" s="1"/>
  <c r="W48" i="1" s="1"/>
  <c r="AE45" i="1"/>
  <c r="W40" i="1"/>
  <c r="W41" i="1" s="1"/>
  <c r="W45" i="1"/>
  <c r="W44" i="1" s="1"/>
  <c r="W43" i="1" s="1"/>
  <c r="D13" i="1"/>
  <c r="D12" i="1" s="1"/>
  <c r="AE23" i="1"/>
  <c r="AE20" i="1"/>
  <c r="AE19" i="1" s="1"/>
  <c r="AE16" i="1"/>
  <c r="AE13" i="1"/>
  <c r="AE12" i="1" s="1"/>
  <c r="Q13" i="1"/>
  <c r="Q12" i="1" s="1"/>
  <c r="Q16" i="1"/>
  <c r="W20" i="1"/>
  <c r="W19" i="1" s="1"/>
  <c r="K23" i="1"/>
  <c r="J13" i="1"/>
  <c r="J12" i="1" s="1"/>
  <c r="K55" i="1"/>
  <c r="K54" i="1" s="1"/>
  <c r="K53" i="1" s="1"/>
  <c r="J20" i="1"/>
  <c r="J19" i="1" s="1"/>
  <c r="E50" i="1" l="1"/>
  <c r="E45" i="1"/>
  <c r="F38" i="1" s="1"/>
  <c r="V73" i="1"/>
  <c r="K40" i="1"/>
  <c r="K50" i="1"/>
  <c r="K45" i="1"/>
  <c r="K44" i="1" s="1"/>
  <c r="K43" i="1" s="1"/>
  <c r="V74" i="1"/>
  <c r="AE44" i="1"/>
  <c r="AE43" i="1" s="1"/>
  <c r="AE50" i="1"/>
  <c r="AE49" i="1" s="1"/>
  <c r="AE48" i="1" s="1"/>
  <c r="K16" i="1"/>
  <c r="K29" i="1" s="1"/>
  <c r="K49" i="1"/>
  <c r="K48" i="1" s="1"/>
  <c r="E44" i="1"/>
  <c r="E43" i="1" s="1"/>
  <c r="E72" i="1" s="1"/>
  <c r="E49" i="1"/>
  <c r="E48" i="1" s="1"/>
  <c r="AD73" i="1" l="1"/>
  <c r="AD72" i="1"/>
  <c r="J61" i="1"/>
  <c r="J60" i="1" s="1"/>
  <c r="J59" i="1" s="1"/>
  <c r="J72" i="1" s="1"/>
</calcChain>
</file>

<file path=xl/sharedStrings.xml><?xml version="1.0" encoding="utf-8"?>
<sst xmlns="http://schemas.openxmlformats.org/spreadsheetml/2006/main" count="342" uniqueCount="94">
  <si>
    <t>Catalyst</t>
  </si>
  <si>
    <t>Method</t>
  </si>
  <si>
    <t>Imine</t>
  </si>
  <si>
    <t>Solvent</t>
  </si>
  <si>
    <t>(mL)</t>
  </si>
  <si>
    <t>(mol/L)</t>
  </si>
  <si>
    <t>Ligand</t>
  </si>
  <si>
    <t>(g/L)</t>
  </si>
  <si>
    <t>(L)</t>
  </si>
  <si>
    <t>1 eq</t>
  </si>
  <si>
    <t>prep.</t>
  </si>
  <si>
    <t>L6 (1.1 eq)</t>
  </si>
  <si>
    <t>(g/mol)</t>
  </si>
  <si>
    <t>Reactant 1</t>
  </si>
  <si>
    <t>Reactant 2</t>
  </si>
  <si>
    <r>
      <t>H</t>
    </r>
    <r>
      <rPr>
        <vertAlign val="subscript"/>
        <sz val="11"/>
        <color theme="1"/>
        <rFont val="Aptos Narrow"/>
        <family val="2"/>
        <scheme val="minor"/>
      </rPr>
      <t>2</t>
    </r>
  </si>
  <si>
    <t>(atm)</t>
  </si>
  <si>
    <t>(Pa)</t>
  </si>
  <si>
    <t>(mol)</t>
  </si>
  <si>
    <t>(m^3)</t>
  </si>
  <si>
    <t xml:space="preserve"> ?</t>
  </si>
  <si>
    <t>(K)</t>
  </si>
  <si>
    <r>
      <t>H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 xml:space="preserve"> </t>
    </r>
  </si>
  <si>
    <t>ee (%)</t>
  </si>
  <si>
    <t>yield (%)</t>
  </si>
  <si>
    <t>reaction i</t>
  </si>
  <si>
    <t>reaction f</t>
  </si>
  <si>
    <t>Target product</t>
  </si>
  <si>
    <t>Undesired product</t>
  </si>
  <si>
    <t>Total products</t>
  </si>
  <si>
    <t>R,S-MBA</t>
  </si>
  <si>
    <t>A - Reductive amination of imines</t>
  </si>
  <si>
    <t>(g)</t>
  </si>
  <si>
    <t>R,S-MBA.HCl</t>
  </si>
  <si>
    <t>S-MBA.HCl</t>
  </si>
  <si>
    <t>R-MBA.HCl</t>
  </si>
  <si>
    <t>?</t>
  </si>
  <si>
    <t>check</t>
  </si>
  <si>
    <t>Reaction efficiency</t>
  </si>
  <si>
    <t>(g/mL)</t>
  </si>
  <si>
    <t>E factor reaction</t>
  </si>
  <si>
    <t>(g waste/g target)</t>
  </si>
  <si>
    <t>B - Reductive amination of ketones</t>
  </si>
  <si>
    <t>TFE</t>
  </si>
  <si>
    <r>
      <t>NH</t>
    </r>
    <r>
      <rPr>
        <vertAlign val="subscript"/>
        <sz val="11"/>
        <color theme="1"/>
        <rFont val="Aptos Narrow"/>
        <family val="2"/>
        <scheme val="minor"/>
      </rPr>
      <t>4</t>
    </r>
    <r>
      <rPr>
        <sz val="11"/>
        <color theme="1"/>
        <rFont val="Aptos Narrow"/>
        <family val="2"/>
        <scheme val="minor"/>
      </rPr>
      <t>OAc</t>
    </r>
  </si>
  <si>
    <t>R,S-BMBA</t>
  </si>
  <si>
    <t>Ketone (BAP)</t>
  </si>
  <si>
    <t xml:space="preserve">Reactant  3 </t>
  </si>
  <si>
    <t>R-BMBA</t>
  </si>
  <si>
    <t>S-BMBA</t>
  </si>
  <si>
    <t>By product</t>
  </si>
  <si>
    <t xml:space="preserve"> /</t>
  </si>
  <si>
    <t>HOAc</t>
  </si>
  <si>
    <t>0.5 mol %</t>
  </si>
  <si>
    <r>
      <t>H</t>
    </r>
    <r>
      <rPr>
        <vertAlign val="subscript"/>
        <sz val="11"/>
        <color theme="1"/>
        <rFont val="Aptos Narrow"/>
        <family val="2"/>
        <scheme val="minor"/>
      </rPr>
      <t xml:space="preserve">2 </t>
    </r>
    <r>
      <rPr>
        <sz val="11"/>
        <color theme="1"/>
        <rFont val="Aptos Narrow"/>
        <family val="2"/>
        <scheme val="minor"/>
      </rPr>
      <t xml:space="preserve"> (57 bar, 100 °C but no info on volume)</t>
    </r>
  </si>
  <si>
    <t>(mol solv + reactants)</t>
  </si>
  <si>
    <t>(mol TOT syst)</t>
  </si>
  <si>
    <t>(mol cat)</t>
  </si>
  <si>
    <t>Total amine product</t>
  </si>
  <si>
    <t>Mass balance</t>
  </si>
  <si>
    <r>
      <t xml:space="preserve"> + H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>0 (neglected in E-factor calculation)</t>
    </r>
  </si>
  <si>
    <r>
      <t>(g/mol Ru(Oac)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>)</t>
    </r>
  </si>
  <si>
    <t>(g/mol Ar group)</t>
  </si>
  <si>
    <t>(g/mol ligand)</t>
  </si>
  <si>
    <t>C - Solvent-switch assisted chiral resolution</t>
  </si>
  <si>
    <t>pyruvate</t>
  </si>
  <si>
    <t>L-alanine</t>
  </si>
  <si>
    <t>TA_immPP</t>
  </si>
  <si>
    <t>PLP</t>
  </si>
  <si>
    <t>(g/mol PLP)</t>
  </si>
  <si>
    <t>Keto by-product (BAP)</t>
  </si>
  <si>
    <t>HEPES buffer</t>
  </si>
  <si>
    <r>
      <t>H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>O</t>
    </r>
  </si>
  <si>
    <t>i-PrOH</t>
  </si>
  <si>
    <t>resolving agent (S-TPA)</t>
  </si>
  <si>
    <t>R,S-MBA:S-TPA</t>
  </si>
  <si>
    <t>S-MBA:S-TPA</t>
  </si>
  <si>
    <t>R-MBA:S-TPA</t>
  </si>
  <si>
    <t>with PLP addition</t>
  </si>
  <si>
    <t>D - Biocatalytic transamination (kinetic resolution) using immobilized TA_PP</t>
  </si>
  <si>
    <t>TA free</t>
  </si>
  <si>
    <t>DMSO</t>
  </si>
  <si>
    <t>if 0.05 M</t>
  </si>
  <si>
    <t>with PLP addition (HEPES 0.1M)</t>
  </si>
  <si>
    <t>without PLP addition (HEPES 0.1M)</t>
  </si>
  <si>
    <t>without PLP addition (HEPES 0.05M)</t>
  </si>
  <si>
    <r>
      <t>[Rh(COD)Cl]</t>
    </r>
    <r>
      <rPr>
        <vertAlign val="subscript"/>
        <sz val="11"/>
        <color rgb="FFFF0000"/>
        <rFont val="Aptos Narrow"/>
        <family val="2"/>
        <scheme val="minor"/>
      </rPr>
      <t>2</t>
    </r>
  </si>
  <si>
    <t>with PLP addition (if HEPES was 0.05M)</t>
  </si>
  <si>
    <t>if FMBA:DPPA is the prod</t>
  </si>
  <si>
    <t>if FMBA is the prod (and DPPA is a waste)</t>
  </si>
  <si>
    <t>By products</t>
  </si>
  <si>
    <t>E - Biocatalytic transamination (kinetic resolution) using soluble TAs</t>
  </si>
  <si>
    <r>
      <t>[Rh(COD)Cl]</t>
    </r>
    <r>
      <rPr>
        <vertAlign val="subscript"/>
        <sz val="11"/>
        <color rgb="FFFF0000"/>
        <rFont val="Aptos Narrow"/>
        <family val="2"/>
        <scheme val="minor"/>
      </rPr>
      <t xml:space="preserve">2 </t>
    </r>
    <r>
      <rPr>
        <sz val="11"/>
        <color rgb="FFFF0000"/>
        <rFont val="Aptos Narrow"/>
        <family val="2"/>
        <scheme val="minor"/>
      </rPr>
      <t>(dissolved in medium)</t>
    </r>
  </si>
  <si>
    <r>
      <t>Ru(OAc)</t>
    </r>
    <r>
      <rPr>
        <vertAlign val="subscript"/>
        <sz val="11"/>
        <color rgb="FFFF0000"/>
        <rFont val="Aptos Narrow"/>
        <family val="2"/>
        <scheme val="minor"/>
      </rPr>
      <t>2</t>
    </r>
    <r>
      <rPr>
        <sz val="11"/>
        <color rgb="FFFF0000"/>
        <rFont val="Aptos Narrow"/>
        <family val="2"/>
        <scheme val="minor"/>
      </rPr>
      <t>(Ligand) (dissolved in medium)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</si>
</sst>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0.00000"/>
  </numFmts>
  <fonts count="10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vertAlign val="subscript"/>
      <sz val="11"/>
      <color rgb="FFFF0000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9"/>
      <name val="Aptos Narrow"/>
      <family val="2"/>
      <scheme val="minor"/>
    </font>
    <font>
      <b/>
      <sz val="11"/>
      <color theme="9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2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7" fontId="2" fillId="0" borderId="0" xfId="0" applyNumberFormat="1" applyFont="1"/>
    <xf numFmtId="11" fontId="0" fillId="0" borderId="0" xfId="0" applyNumberFormat="1"/>
    <xf numFmtId="11" fontId="2" fillId="0" borderId="0" xfId="0" applyNumberFormat="1" applyFont="1"/>
    <xf numFmtId="2" fontId="0" fillId="0" borderId="0" xfId="0" applyNumberFormat="1" applyAlignment="1">
      <alignment horizontal="right"/>
    </xf>
    <xf numFmtId="0" fontId="6" fillId="0" borderId="0" xfId="0" applyFont="1"/>
    <xf numFmtId="11" fontId="7" fillId="0" borderId="0" xfId="0" applyNumberFormat="1" applyFont="1"/>
    <xf numFmtId="0" fontId="7" fillId="0" borderId="0" xfId="0" applyFont="1"/>
    <xf numFmtId="11" fontId="8" fillId="0" borderId="0" xfId="0" applyNumberFormat="1" applyFont="1"/>
    <xf numFmtId="11" fontId="1" fillId="0" borderId="0" xfId="0" applyNumberFormat="1" applyFont="1"/>
    <xf numFmtId="0" fontId="9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45186-EF72-4F41-9BB0-446016A1F4F0}">
  <dimension ref="A1:AZ74"/>
  <sheetViews>
    <sheetView tabSelected="1" topLeftCell="A60" workbookViewId="0">
      <selection activeCell="P73" sqref="P73"/>
    </sheetView>
  </sheetViews>
  <sheetFormatPr baseColWidth="10" defaultRowHeight="13.8"/>
  <cols>
    <col min="10" max="10" width="12" bestFit="1" customWidth="1"/>
    <col min="23" max="23" width="12.59765625" bestFit="1" customWidth="1"/>
  </cols>
  <sheetData>
    <row r="1" spans="1:31" ht="15">
      <c r="A1" s="2" t="s">
        <v>1</v>
      </c>
      <c r="B1" s="2"/>
      <c r="C1" s="2" t="s">
        <v>31</v>
      </c>
      <c r="D1" s="2"/>
      <c r="H1" s="2" t="s">
        <v>1</v>
      </c>
      <c r="I1" s="2" t="s">
        <v>42</v>
      </c>
      <c r="J1" s="2"/>
      <c r="N1" s="2" t="s">
        <v>1</v>
      </c>
      <c r="O1" s="2" t="s">
        <v>64</v>
      </c>
      <c r="T1" s="2" t="s">
        <v>1</v>
      </c>
      <c r="U1" s="2" t="s">
        <v>79</v>
      </c>
      <c r="AB1" s="2" t="s">
        <v>1</v>
      </c>
      <c r="AC1" s="2" t="s">
        <v>91</v>
      </c>
    </row>
    <row r="2" spans="1:31" ht="15">
      <c r="C2" t="s">
        <v>10</v>
      </c>
      <c r="D2" t="s">
        <v>25</v>
      </c>
      <c r="E2" t="s">
        <v>26</v>
      </c>
      <c r="J2" t="s">
        <v>25</v>
      </c>
      <c r="K2" t="s">
        <v>26</v>
      </c>
      <c r="P2" t="s">
        <v>25</v>
      </c>
      <c r="Q2" t="s">
        <v>26</v>
      </c>
      <c r="V2" t="s">
        <v>25</v>
      </c>
      <c r="W2" t="s">
        <v>26</v>
      </c>
      <c r="AD2" t="s">
        <v>25</v>
      </c>
      <c r="AE2" t="s">
        <v>26</v>
      </c>
    </row>
    <row r="3" spans="1:31" ht="18">
      <c r="A3" s="2" t="s">
        <v>3</v>
      </c>
      <c r="C3" t="s">
        <v>73</v>
      </c>
      <c r="D3" t="s">
        <v>73</v>
      </c>
      <c r="E3" t="s">
        <v>73</v>
      </c>
      <c r="H3" s="2" t="s">
        <v>3</v>
      </c>
      <c r="J3" t="s">
        <v>43</v>
      </c>
      <c r="K3" t="s">
        <v>43</v>
      </c>
      <c r="N3" s="2" t="s">
        <v>3</v>
      </c>
      <c r="P3" t="s">
        <v>73</v>
      </c>
      <c r="Q3" t="s">
        <v>73</v>
      </c>
      <c r="T3" s="2" t="s">
        <v>3</v>
      </c>
      <c r="V3" t="s">
        <v>72</v>
      </c>
      <c r="W3" t="s">
        <v>72</v>
      </c>
      <c r="AB3" s="2" t="s">
        <v>3</v>
      </c>
      <c r="AD3" t="s">
        <v>72</v>
      </c>
      <c r="AE3" t="s">
        <v>72</v>
      </c>
    </row>
    <row r="4" spans="1:31" ht="15">
      <c r="A4" t="s">
        <v>4</v>
      </c>
      <c r="C4">
        <v>6</v>
      </c>
      <c r="D4">
        <v>2</v>
      </c>
      <c r="E4">
        <v>2</v>
      </c>
      <c r="H4" t="s">
        <v>4</v>
      </c>
      <c r="J4">
        <v>0.4</v>
      </c>
      <c r="K4">
        <v>0.4</v>
      </c>
      <c r="N4" t="s">
        <v>4</v>
      </c>
      <c r="P4" s="7">
        <f>(0.121*40)</f>
        <v>4.84</v>
      </c>
      <c r="Q4" s="7">
        <f>(0.121*40)</f>
        <v>4.84</v>
      </c>
      <c r="T4" t="s">
        <v>4</v>
      </c>
      <c r="V4">
        <v>5</v>
      </c>
      <c r="W4">
        <v>5</v>
      </c>
      <c r="AB4" t="s">
        <v>4</v>
      </c>
      <c r="AD4">
        <v>5</v>
      </c>
      <c r="AE4">
        <v>5</v>
      </c>
    </row>
    <row r="5" spans="1:31" ht="15">
      <c r="A5" t="s">
        <v>8</v>
      </c>
      <c r="C5">
        <f>(C4/1000)</f>
        <v>6.0000000000000001E-3</v>
      </c>
      <c r="D5">
        <f>(D4/1000)</f>
        <v>2E-3</v>
      </c>
      <c r="E5">
        <f>(E4/1000)</f>
        <v>2E-3</v>
      </c>
      <c r="H5" t="s">
        <v>8</v>
      </c>
      <c r="J5">
        <f>(J4/1000)</f>
        <v>4.0000000000000002E-4</v>
      </c>
      <c r="K5">
        <f>(K4/1000)</f>
        <v>4.0000000000000002E-4</v>
      </c>
      <c r="N5" t="s">
        <v>8</v>
      </c>
      <c r="P5" s="3">
        <f>(P4*10^-3)</f>
        <v>4.8399999999999997E-3</v>
      </c>
      <c r="Q5" s="3">
        <f>(Q4*10^-3)</f>
        <v>4.8399999999999997E-3</v>
      </c>
      <c r="T5" t="s">
        <v>8</v>
      </c>
      <c r="V5">
        <f>(V4*10^-3)</f>
        <v>5.0000000000000001E-3</v>
      </c>
      <c r="W5">
        <f>(W4*10^-3)</f>
        <v>5.0000000000000001E-3</v>
      </c>
      <c r="AB5" t="s">
        <v>8</v>
      </c>
      <c r="AD5">
        <f>(AD4*10^-3)</f>
        <v>5.0000000000000001E-3</v>
      </c>
      <c r="AE5">
        <f>(AE4*10^-3)</f>
        <v>5.0000000000000001E-3</v>
      </c>
    </row>
    <row r="6" spans="1:31" ht="15">
      <c r="A6" t="s">
        <v>39</v>
      </c>
      <c r="C6">
        <v>0.78100000000000003</v>
      </c>
      <c r="D6">
        <v>0.78100000000000003</v>
      </c>
      <c r="E6">
        <v>0.78100000000000003</v>
      </c>
      <c r="H6" t="s">
        <v>39</v>
      </c>
      <c r="J6">
        <v>1.39</v>
      </c>
      <c r="K6">
        <v>1.39</v>
      </c>
      <c r="N6" t="s">
        <v>39</v>
      </c>
      <c r="P6" s="7">
        <v>0.78100000000000003</v>
      </c>
      <c r="Q6" s="7">
        <v>0.78100000000000003</v>
      </c>
      <c r="T6" t="s">
        <v>39</v>
      </c>
      <c r="V6" s="2" t="s">
        <v>71</v>
      </c>
      <c r="W6" s="2" t="s">
        <v>81</v>
      </c>
      <c r="AB6" t="s">
        <v>39</v>
      </c>
      <c r="AD6" s="2" t="s">
        <v>71</v>
      </c>
      <c r="AE6" s="2" t="s">
        <v>81</v>
      </c>
    </row>
    <row r="7" spans="1:31" ht="15">
      <c r="A7" t="s">
        <v>32</v>
      </c>
      <c r="D7">
        <f>(D6*D4)</f>
        <v>1.5620000000000001</v>
      </c>
      <c r="E7" s="2">
        <f>(E6*E4)</f>
        <v>1.5620000000000001</v>
      </c>
      <c r="H7" t="s">
        <v>32</v>
      </c>
      <c r="J7">
        <f>(J6*J4)</f>
        <v>0.55599999999999994</v>
      </c>
      <c r="K7" s="2">
        <f>(K6*K4)</f>
        <v>0.55599999999999994</v>
      </c>
      <c r="N7" t="s">
        <v>32</v>
      </c>
      <c r="P7" s="7">
        <f>(P6*P4)</f>
        <v>3.7800400000000001</v>
      </c>
      <c r="Q7" s="10">
        <f>(Q6*Q4)</f>
        <v>3.7800400000000001</v>
      </c>
      <c r="T7" s="2" t="s">
        <v>32</v>
      </c>
      <c r="U7" s="17">
        <f>(V7/2)</f>
        <v>7.0750000000000007E-2</v>
      </c>
      <c r="V7" s="2">
        <f>(V9*V8)</f>
        <v>0.14150000000000001</v>
      </c>
      <c r="W7" s="13">
        <f>((3/100)*(W5)*1.1)</f>
        <v>1.65E-4</v>
      </c>
      <c r="AB7" s="2" t="s">
        <v>32</v>
      </c>
      <c r="AD7" s="2">
        <f>(AD9*AD8)</f>
        <v>0.14150000000000001</v>
      </c>
      <c r="AE7" s="13">
        <f>((3/100)*(AE5)*1.1)</f>
        <v>1.65E-4</v>
      </c>
    </row>
    <row r="8" spans="1:31" ht="15">
      <c r="E8" s="2"/>
      <c r="H8" t="s">
        <v>12</v>
      </c>
      <c r="J8">
        <v>100</v>
      </c>
      <c r="K8">
        <v>100</v>
      </c>
      <c r="N8" t="s">
        <v>12</v>
      </c>
      <c r="P8" s="7">
        <v>60</v>
      </c>
      <c r="Q8" s="7">
        <v>60</v>
      </c>
      <c r="T8" t="s">
        <v>12</v>
      </c>
      <c r="U8" s="17"/>
      <c r="V8">
        <v>283</v>
      </c>
      <c r="AB8" t="s">
        <v>12</v>
      </c>
      <c r="AD8">
        <v>283</v>
      </c>
    </row>
    <row r="9" spans="1:31" ht="15">
      <c r="H9" t="s">
        <v>18</v>
      </c>
      <c r="J9">
        <f>(J7/J8)</f>
        <v>5.559999999999999E-3</v>
      </c>
      <c r="K9">
        <f>(K7/K8)</f>
        <v>5.559999999999999E-3</v>
      </c>
      <c r="N9" t="s">
        <v>18</v>
      </c>
      <c r="P9" s="7">
        <f>(P7/P8)</f>
        <v>6.3000666666666663E-2</v>
      </c>
      <c r="Q9" s="7">
        <f>(Q7/Q8)</f>
        <v>6.3000666666666663E-2</v>
      </c>
      <c r="T9" t="s">
        <v>18</v>
      </c>
      <c r="U9" s="17" t="s">
        <v>82</v>
      </c>
      <c r="V9">
        <f>(0.1*V5)</f>
        <v>5.0000000000000001E-4</v>
      </c>
      <c r="AB9" t="s">
        <v>18</v>
      </c>
      <c r="AD9">
        <f>(0.1*AD5)</f>
        <v>5.0000000000000001E-4</v>
      </c>
    </row>
    <row r="11" spans="1:31" ht="15">
      <c r="A11" s="2" t="s">
        <v>13</v>
      </c>
      <c r="D11" t="s">
        <v>2</v>
      </c>
      <c r="E11" t="s">
        <v>2</v>
      </c>
      <c r="H11" s="2" t="s">
        <v>13</v>
      </c>
      <c r="J11" t="s">
        <v>46</v>
      </c>
      <c r="K11" t="s">
        <v>46</v>
      </c>
      <c r="N11" s="2" t="s">
        <v>13</v>
      </c>
      <c r="P11" t="s">
        <v>30</v>
      </c>
      <c r="Q11" t="s">
        <v>30</v>
      </c>
      <c r="T11" s="2" t="s">
        <v>13</v>
      </c>
      <c r="V11" t="s">
        <v>45</v>
      </c>
      <c r="W11" t="s">
        <v>45</v>
      </c>
      <c r="AB11" s="2" t="s">
        <v>13</v>
      </c>
      <c r="AD11" t="s">
        <v>45</v>
      </c>
      <c r="AE11" t="s">
        <v>45</v>
      </c>
    </row>
    <row r="12" spans="1:31" ht="15">
      <c r="A12" t="s">
        <v>32</v>
      </c>
      <c r="D12">
        <f>(D13*D5)</f>
        <v>3.1140000000000001E-2</v>
      </c>
      <c r="E12" s="2">
        <f>(E13*E5)</f>
        <v>1.5570000000000013E-3</v>
      </c>
      <c r="H12" t="s">
        <v>32</v>
      </c>
      <c r="J12">
        <f>(J13*$J$5)</f>
        <v>3.9800000000000002E-2</v>
      </c>
      <c r="K12" s="2">
        <f>(K13*$K$5)</f>
        <v>4.7759999999999999E-3</v>
      </c>
      <c r="N12" t="s">
        <v>32</v>
      </c>
      <c r="P12" s="7">
        <f>(P13*$V$5)</f>
        <v>0.125</v>
      </c>
      <c r="Q12" s="10">
        <f>(Q13*$Q$5)</f>
        <v>3.7510000000000002E-2</v>
      </c>
      <c r="T12" t="s">
        <v>32</v>
      </c>
      <c r="V12">
        <f>(V13*$V$5)</f>
        <v>0.01</v>
      </c>
      <c r="W12" s="2">
        <f>(W13*$W$5)</f>
        <v>5.0000000000000001E-3</v>
      </c>
      <c r="AB12" t="s">
        <v>32</v>
      </c>
      <c r="AD12">
        <f>(AD13*$V$5)</f>
        <v>0.01</v>
      </c>
      <c r="AE12" s="2">
        <f>(AE13*$W$5)</f>
        <v>5.0000000000000001E-3</v>
      </c>
    </row>
    <row r="13" spans="1:31" ht="15">
      <c r="A13" t="s">
        <v>7</v>
      </c>
      <c r="D13">
        <f>(D15*$D$14)</f>
        <v>15.57</v>
      </c>
      <c r="E13">
        <f>(E15*$D$14)</f>
        <v>0.77850000000000064</v>
      </c>
      <c r="H13" t="s">
        <v>7</v>
      </c>
      <c r="J13">
        <f>(J15*$J$14)</f>
        <v>99.5</v>
      </c>
      <c r="K13">
        <f>(K15*J14)</f>
        <v>11.94</v>
      </c>
      <c r="N13" t="s">
        <v>7</v>
      </c>
      <c r="P13" s="7">
        <f>(P15*$P$14)</f>
        <v>25</v>
      </c>
      <c r="Q13" s="7">
        <f>(Q15*P14)</f>
        <v>7.7500000000000009</v>
      </c>
      <c r="T13" t="s">
        <v>7</v>
      </c>
      <c r="V13">
        <f>(V15*$V$14)</f>
        <v>2</v>
      </c>
      <c r="W13">
        <f>(W15*V14)</f>
        <v>1</v>
      </c>
      <c r="AB13" t="s">
        <v>7</v>
      </c>
      <c r="AD13">
        <f>(AD15*$V$14)</f>
        <v>2</v>
      </c>
      <c r="AE13">
        <f>(AE15*AD14)</f>
        <v>1</v>
      </c>
    </row>
    <row r="14" spans="1:31" ht="15">
      <c r="A14" t="s">
        <v>12</v>
      </c>
      <c r="D14">
        <v>155.69999999999999</v>
      </c>
      <c r="H14" t="s">
        <v>12</v>
      </c>
      <c r="J14">
        <v>199</v>
      </c>
      <c r="N14" t="s">
        <v>12</v>
      </c>
      <c r="P14" s="7">
        <v>121</v>
      </c>
      <c r="Q14" s="7"/>
      <c r="T14" t="s">
        <v>12</v>
      </c>
      <c r="V14">
        <v>200</v>
      </c>
      <c r="AB14" t="s">
        <v>12</v>
      </c>
      <c r="AD14">
        <v>200</v>
      </c>
    </row>
    <row r="15" spans="1:31" ht="15">
      <c r="A15" t="s">
        <v>5</v>
      </c>
      <c r="D15">
        <f>((D16)/(D5))</f>
        <v>0.1</v>
      </c>
      <c r="E15">
        <f>(D15-((D34/100)*D15))</f>
        <v>5.0000000000000044E-3</v>
      </c>
      <c r="H15" t="s">
        <v>5</v>
      </c>
      <c r="J15">
        <f>((J16)/($J$5))</f>
        <v>0.5</v>
      </c>
      <c r="K15">
        <f>(J15-(($J$34/100)*J15))</f>
        <v>0.06</v>
      </c>
      <c r="N15" t="s">
        <v>5</v>
      </c>
      <c r="P15" s="7">
        <f>P16/P5</f>
        <v>0.20661157024793389</v>
      </c>
      <c r="Q15" s="7">
        <f>(P15-(($P$34/100)*P15))</f>
        <v>6.4049586776859513E-2</v>
      </c>
      <c r="T15" t="s">
        <v>5</v>
      </c>
      <c r="V15">
        <f>(10*(10^-3))</f>
        <v>0.01</v>
      </c>
      <c r="W15">
        <f>(V15-(($V$34/100)*V15))</f>
        <v>5.0000000000000001E-3</v>
      </c>
      <c r="AB15" t="s">
        <v>5</v>
      </c>
      <c r="AD15">
        <f>(10*(10^-3))</f>
        <v>0.01</v>
      </c>
      <c r="AE15">
        <f>(AD15-(($V$34/100)*AD15))</f>
        <v>5.0000000000000001E-3</v>
      </c>
    </row>
    <row r="16" spans="1:31" ht="15">
      <c r="A16" t="s">
        <v>18</v>
      </c>
      <c r="D16">
        <f>(0.2*10^-3)</f>
        <v>2.0000000000000001E-4</v>
      </c>
      <c r="H16" t="s">
        <v>18</v>
      </c>
      <c r="J16">
        <f>(0.2*10^-3)</f>
        <v>2.0000000000000001E-4</v>
      </c>
      <c r="K16">
        <f>(K15*K5)</f>
        <v>2.4000000000000001E-5</v>
      </c>
      <c r="N16" t="s">
        <v>18</v>
      </c>
      <c r="P16" s="3">
        <f>10^-3</f>
        <v>1E-3</v>
      </c>
      <c r="Q16" s="3">
        <f>(Q15*Q5)</f>
        <v>3.1E-4</v>
      </c>
      <c r="T16" t="s">
        <v>18</v>
      </c>
      <c r="V16">
        <f>(V15*V5)</f>
        <v>5.0000000000000002E-5</v>
      </c>
      <c r="W16">
        <f>(W15*W5)</f>
        <v>2.5000000000000001E-5</v>
      </c>
      <c r="AB16" t="s">
        <v>18</v>
      </c>
      <c r="AD16">
        <f>(AD15*AD5)</f>
        <v>5.0000000000000002E-5</v>
      </c>
      <c r="AE16">
        <f>(AE15*AE5)</f>
        <v>2.5000000000000001E-5</v>
      </c>
    </row>
    <row r="18" spans="1:31" ht="18">
      <c r="A18" s="2" t="s">
        <v>14</v>
      </c>
      <c r="D18" t="s">
        <v>22</v>
      </c>
      <c r="E18" t="s">
        <v>15</v>
      </c>
      <c r="H18" s="2" t="s">
        <v>14</v>
      </c>
      <c r="J18" t="s">
        <v>44</v>
      </c>
      <c r="K18" t="s">
        <v>44</v>
      </c>
      <c r="N18" s="2" t="s">
        <v>14</v>
      </c>
      <c r="P18" t="s">
        <v>74</v>
      </c>
      <c r="T18" s="2" t="s">
        <v>14</v>
      </c>
      <c r="V18" t="s">
        <v>65</v>
      </c>
      <c r="W18" t="s">
        <v>65</v>
      </c>
      <c r="AB18" s="2" t="s">
        <v>14</v>
      </c>
      <c r="AD18" t="s">
        <v>65</v>
      </c>
      <c r="AE18" t="s">
        <v>65</v>
      </c>
    </row>
    <row r="19" spans="1:31" ht="15">
      <c r="A19" t="s">
        <v>16</v>
      </c>
      <c r="D19">
        <v>10</v>
      </c>
      <c r="E19" t="s">
        <v>36</v>
      </c>
      <c r="H19" t="s">
        <v>32</v>
      </c>
      <c r="J19">
        <f>(J20*$J$5)</f>
        <v>3.0800000000000001E-2</v>
      </c>
      <c r="K19" s="12">
        <f>(K20*$K$5)</f>
        <v>1.7248000000000003E-2</v>
      </c>
      <c r="N19" t="s">
        <v>32</v>
      </c>
      <c r="P19">
        <f>(P20*$P$5)</f>
        <v>0.31899999999999995</v>
      </c>
      <c r="Q19" s="12">
        <f>(Q20*$Q$5)</f>
        <v>9.8890000000000006E-2</v>
      </c>
      <c r="T19" t="s">
        <v>32</v>
      </c>
      <c r="V19">
        <f>(V20*$V$5)</f>
        <v>5.5000000000000005E-3</v>
      </c>
      <c r="W19" s="12">
        <f>(W20*$W$5)</f>
        <v>2.7500000000000003E-3</v>
      </c>
      <c r="AB19" t="s">
        <v>32</v>
      </c>
      <c r="AD19">
        <f>(AD20*$V$5)</f>
        <v>5.5000000000000005E-3</v>
      </c>
      <c r="AE19" s="12">
        <f>(AE20*$W$5)</f>
        <v>2.7500000000000003E-3</v>
      </c>
    </row>
    <row r="20" spans="1:31" ht="15">
      <c r="A20" t="s">
        <v>17</v>
      </c>
      <c r="D20">
        <f>((1.013*10^5)*D19)</f>
        <v>1012999.9999999999</v>
      </c>
      <c r="E20" t="s">
        <v>36</v>
      </c>
      <c r="H20" t="s">
        <v>7</v>
      </c>
      <c r="J20">
        <f>(J22*$J$21)</f>
        <v>77</v>
      </c>
      <c r="K20">
        <f>(K22*J21)</f>
        <v>43.120000000000005</v>
      </c>
      <c r="N20" t="s">
        <v>7</v>
      </c>
      <c r="P20" s="7">
        <f>(P22*$P$21)</f>
        <v>65.909090909090907</v>
      </c>
      <c r="Q20" s="7">
        <f>(Q22*P21)</f>
        <v>20.431818181818183</v>
      </c>
      <c r="T20" t="s">
        <v>7</v>
      </c>
      <c r="V20">
        <f>(V22*$V$21)</f>
        <v>1.1000000000000001</v>
      </c>
      <c r="W20">
        <f>(W22*V21)</f>
        <v>0.55000000000000004</v>
      </c>
      <c r="AB20" t="s">
        <v>7</v>
      </c>
      <c r="AD20">
        <f>(AD22*$V$21)</f>
        <v>1.1000000000000001</v>
      </c>
      <c r="AE20">
        <f>(AE22*AD21)</f>
        <v>0.55000000000000004</v>
      </c>
    </row>
    <row r="21" spans="1:31" ht="15">
      <c r="A21" t="s">
        <v>12</v>
      </c>
      <c r="D21">
        <v>2</v>
      </c>
      <c r="E21">
        <v>2</v>
      </c>
      <c r="H21" t="s">
        <v>12</v>
      </c>
      <c r="J21">
        <v>77</v>
      </c>
      <c r="N21" t="s">
        <v>12</v>
      </c>
      <c r="P21">
        <v>319</v>
      </c>
      <c r="T21" t="s">
        <v>12</v>
      </c>
      <c r="V21">
        <v>110</v>
      </c>
      <c r="AB21" t="s">
        <v>12</v>
      </c>
      <c r="AD21">
        <v>110</v>
      </c>
    </row>
    <row r="22" spans="1:31" ht="15">
      <c r="A22" t="s">
        <v>21</v>
      </c>
      <c r="D22">
        <f>(25+273)</f>
        <v>298</v>
      </c>
      <c r="E22">
        <f>(25+273)</f>
        <v>298</v>
      </c>
      <c r="H22" t="s">
        <v>5</v>
      </c>
      <c r="J22">
        <f>((J23)/($J$5))</f>
        <v>1</v>
      </c>
      <c r="K22">
        <f>(J22-(($J$34/100)*J15))</f>
        <v>0.56000000000000005</v>
      </c>
      <c r="N22" t="s">
        <v>5</v>
      </c>
      <c r="P22" s="3">
        <f>P23/P5</f>
        <v>0.20661157024793389</v>
      </c>
      <c r="Q22" s="3">
        <f>(P22-(($P$34/100)*P22))</f>
        <v>6.4049586776859513E-2</v>
      </c>
      <c r="T22" t="s">
        <v>5</v>
      </c>
      <c r="V22">
        <f>((10*(10^-3)))</f>
        <v>0.01</v>
      </c>
      <c r="W22">
        <f>(V22-(($V$34/100)*V22))</f>
        <v>5.0000000000000001E-3</v>
      </c>
      <c r="AB22" t="s">
        <v>5</v>
      </c>
      <c r="AD22">
        <f>((10*(10^-3)))</f>
        <v>0.01</v>
      </c>
      <c r="AE22">
        <f>(AD22-(($V$34/100)*AD22))</f>
        <v>5.0000000000000001E-3</v>
      </c>
    </row>
    <row r="23" spans="1:31" ht="15">
      <c r="A23" t="s">
        <v>19</v>
      </c>
      <c r="D23" s="4" t="s">
        <v>20</v>
      </c>
      <c r="E23" t="s">
        <v>36</v>
      </c>
      <c r="H23" t="s">
        <v>18</v>
      </c>
      <c r="J23">
        <f>(0.4*10^-3)</f>
        <v>4.0000000000000002E-4</v>
      </c>
      <c r="K23">
        <f>(K22*K5)</f>
        <v>2.2400000000000002E-4</v>
      </c>
      <c r="N23" t="s">
        <v>18</v>
      </c>
      <c r="P23" s="3">
        <f>10^-3</f>
        <v>1E-3</v>
      </c>
      <c r="Q23">
        <f>(Q22*Q5)</f>
        <v>3.1E-4</v>
      </c>
      <c r="T23" t="s">
        <v>18</v>
      </c>
      <c r="V23">
        <f>(V22*V5)</f>
        <v>5.0000000000000002E-5</v>
      </c>
      <c r="W23">
        <f>(W22*W5)</f>
        <v>2.5000000000000001E-5</v>
      </c>
      <c r="AB23" t="s">
        <v>18</v>
      </c>
      <c r="AD23">
        <f>(AD22*AD5)</f>
        <v>5.0000000000000002E-5</v>
      </c>
      <c r="AE23">
        <f>(AE22*AE5)</f>
        <v>2.5000000000000001E-5</v>
      </c>
    </row>
    <row r="24" spans="1:31" ht="15">
      <c r="A24" t="s">
        <v>18</v>
      </c>
      <c r="D24" s="4" t="s">
        <v>20</v>
      </c>
      <c r="E24" t="s">
        <v>36</v>
      </c>
    </row>
    <row r="25" spans="1:31" ht="16.2">
      <c r="D25" s="4"/>
      <c r="H25" s="2" t="s">
        <v>47</v>
      </c>
      <c r="J25" t="s">
        <v>54</v>
      </c>
      <c r="N25" s="2"/>
      <c r="T25" s="2"/>
      <c r="AB25" s="2"/>
    </row>
    <row r="26" spans="1:31" ht="15">
      <c r="D26" s="4"/>
      <c r="H26" s="2"/>
      <c r="N26" s="2"/>
      <c r="T26" s="2"/>
      <c r="AB26" s="2"/>
    </row>
    <row r="27" spans="1:31" ht="15">
      <c r="A27" s="2"/>
      <c r="D27" s="4"/>
      <c r="H27" s="2" t="s">
        <v>59</v>
      </c>
      <c r="N27" s="2"/>
      <c r="T27" s="2"/>
      <c r="AB27" s="2"/>
    </row>
    <row r="28" spans="1:31" ht="15">
      <c r="D28" s="4"/>
      <c r="H28" t="s">
        <v>57</v>
      </c>
      <c r="J28" s="9">
        <f>(J30-J29)</f>
        <v>3.095477386934678E-5</v>
      </c>
      <c r="K28" s="9">
        <f>J28</f>
        <v>3.095477386934678E-5</v>
      </c>
      <c r="L28">
        <f>($J$28/$J$30)*100</f>
        <v>0.50000000000000089</v>
      </c>
      <c r="P28" s="9"/>
      <c r="Q28" s="9"/>
      <c r="V28" s="9"/>
      <c r="W28" s="9"/>
      <c r="AD28" s="9"/>
      <c r="AE28" s="9"/>
    </row>
    <row r="29" spans="1:31" ht="15">
      <c r="D29" s="4"/>
      <c r="H29" t="s">
        <v>55</v>
      </c>
      <c r="J29">
        <f>(J9+J16+J23)</f>
        <v>6.1599999999999988E-3</v>
      </c>
      <c r="K29">
        <f>(K9+K16+K23+(3*K40))</f>
        <v>6.3359999999999988E-3</v>
      </c>
      <c r="L29">
        <v>99.5</v>
      </c>
    </row>
    <row r="30" spans="1:31" ht="15">
      <c r="A30" s="2"/>
      <c r="D30" s="4"/>
      <c r="H30" s="2" t="s">
        <v>56</v>
      </c>
      <c r="I30" s="2"/>
      <c r="J30" s="13">
        <f>(J29*L30/L29)</f>
        <v>6.1909547738693456E-3</v>
      </c>
      <c r="K30">
        <v>100</v>
      </c>
      <c r="L30">
        <v>100</v>
      </c>
      <c r="N30" s="2"/>
      <c r="O30" s="2"/>
      <c r="P30" s="13"/>
      <c r="T30" s="2"/>
      <c r="U30" s="2"/>
      <c r="V30" s="13"/>
      <c r="AB30" s="2"/>
      <c r="AC30" s="2"/>
      <c r="AD30" s="13"/>
    </row>
    <row r="31" spans="1:31" ht="15">
      <c r="D31" s="4"/>
      <c r="J31" s="9"/>
      <c r="P31" s="9"/>
      <c r="V31" s="9"/>
      <c r="AD31" s="9"/>
    </row>
    <row r="32" spans="1:31" ht="15">
      <c r="A32" s="2" t="s">
        <v>38</v>
      </c>
      <c r="D32" s="4"/>
      <c r="H32" s="2" t="s">
        <v>38</v>
      </c>
      <c r="N32" s="2" t="s">
        <v>38</v>
      </c>
      <c r="T32" s="2" t="s">
        <v>38</v>
      </c>
      <c r="AB32" s="2" t="s">
        <v>38</v>
      </c>
    </row>
    <row r="33" spans="1:31" ht="15">
      <c r="A33" t="s">
        <v>23</v>
      </c>
      <c r="D33" s="4">
        <v>90</v>
      </c>
      <c r="H33" t="s">
        <v>23</v>
      </c>
      <c r="J33" s="4">
        <v>95</v>
      </c>
      <c r="N33" t="s">
        <v>23</v>
      </c>
      <c r="P33" s="4">
        <v>69</v>
      </c>
      <c r="T33" t="s">
        <v>23</v>
      </c>
      <c r="V33" s="4">
        <v>100</v>
      </c>
      <c r="AB33" t="s">
        <v>23</v>
      </c>
      <c r="AD33" s="4">
        <v>100</v>
      </c>
    </row>
    <row r="34" spans="1:31" ht="15">
      <c r="A34" t="s">
        <v>24</v>
      </c>
      <c r="D34" s="4">
        <v>95</v>
      </c>
      <c r="H34" t="s">
        <v>24</v>
      </c>
      <c r="J34" s="4">
        <v>88</v>
      </c>
      <c r="N34" t="s">
        <v>24</v>
      </c>
      <c r="P34" s="4">
        <v>69</v>
      </c>
      <c r="T34" t="s">
        <v>24</v>
      </c>
      <c r="V34" s="4">
        <v>50</v>
      </c>
      <c r="AB34" t="s">
        <v>24</v>
      </c>
      <c r="AD34" s="4">
        <v>50</v>
      </c>
    </row>
    <row r="35" spans="1:31" ht="15">
      <c r="D35" s="4"/>
    </row>
    <row r="36" spans="1:31" ht="15">
      <c r="D36" s="4"/>
    </row>
    <row r="37" spans="1:31" ht="15">
      <c r="A37" s="2" t="s">
        <v>29</v>
      </c>
      <c r="D37" s="5" t="s">
        <v>33</v>
      </c>
      <c r="F37" t="s">
        <v>37</v>
      </c>
      <c r="H37" s="2" t="s">
        <v>58</v>
      </c>
      <c r="J37" s="5" t="s">
        <v>45</v>
      </c>
      <c r="N37" s="2" t="s">
        <v>58</v>
      </c>
      <c r="P37" s="5" t="s">
        <v>75</v>
      </c>
      <c r="T37" s="2" t="s">
        <v>70</v>
      </c>
      <c r="V37" s="5"/>
      <c r="AB37" s="2" t="s">
        <v>70</v>
      </c>
      <c r="AD37" s="5"/>
    </row>
    <row r="38" spans="1:31" ht="15">
      <c r="A38" t="s">
        <v>5</v>
      </c>
      <c r="D38" s="4">
        <v>0</v>
      </c>
      <c r="E38">
        <f>(($D$34/100)*$D$15)</f>
        <v>9.5000000000000001E-2</v>
      </c>
      <c r="F38" s="3">
        <f>(E45+E50)</f>
        <v>9.5000000000000001E-2</v>
      </c>
      <c r="H38" t="s">
        <v>5</v>
      </c>
      <c r="J38" s="4">
        <v>0</v>
      </c>
      <c r="K38">
        <f>(($J$34/100)*$J$15)</f>
        <v>0.44</v>
      </c>
      <c r="N38" t="s">
        <v>5</v>
      </c>
      <c r="P38" s="4">
        <v>0</v>
      </c>
      <c r="Q38">
        <f>(($P$34/100)*$P$15)</f>
        <v>0.14256198347107438</v>
      </c>
      <c r="T38" t="s">
        <v>5</v>
      </c>
      <c r="V38" s="4">
        <v>0</v>
      </c>
      <c r="W38">
        <f>(($V$34/100)*$V$15)</f>
        <v>5.0000000000000001E-3</v>
      </c>
      <c r="AB38" t="s">
        <v>5</v>
      </c>
      <c r="AD38" s="4">
        <v>0</v>
      </c>
      <c r="AE38">
        <f>(($V$34/100)*$V$15)</f>
        <v>5.0000000000000001E-3</v>
      </c>
    </row>
    <row r="39" spans="1:31" ht="15">
      <c r="A39" t="s">
        <v>12</v>
      </c>
      <c r="D39" s="4">
        <v>157.69999999999999</v>
      </c>
      <c r="H39" t="s">
        <v>12</v>
      </c>
      <c r="J39" s="4">
        <v>200</v>
      </c>
      <c r="N39" t="s">
        <v>12</v>
      </c>
      <c r="P39" s="16">
        <f>(P14+P21)</f>
        <v>440</v>
      </c>
      <c r="T39" t="s">
        <v>12</v>
      </c>
      <c r="V39" s="4">
        <v>199</v>
      </c>
      <c r="AB39" t="s">
        <v>12</v>
      </c>
      <c r="AD39" s="4">
        <v>199</v>
      </c>
    </row>
    <row r="40" spans="1:31" ht="15">
      <c r="D40" s="4"/>
      <c r="H40" t="s">
        <v>18</v>
      </c>
      <c r="K40">
        <f>(K38*K5)</f>
        <v>1.7600000000000002E-4</v>
      </c>
      <c r="N40" t="s">
        <v>18</v>
      </c>
      <c r="Q40">
        <f>(Q38*Q5)</f>
        <v>6.8999999999999997E-4</v>
      </c>
      <c r="T40" t="s">
        <v>18</v>
      </c>
      <c r="W40">
        <f>(W38*W5)</f>
        <v>2.5000000000000001E-5</v>
      </c>
      <c r="AB40" t="s">
        <v>18</v>
      </c>
      <c r="AE40">
        <f>(AE38*AE5)</f>
        <v>2.5000000000000001E-5</v>
      </c>
    </row>
    <row r="41" spans="1:31" ht="15">
      <c r="D41" s="4"/>
      <c r="T41" t="s">
        <v>32</v>
      </c>
      <c r="W41" s="2">
        <f>(W40*V39)</f>
        <v>4.9750000000000003E-3</v>
      </c>
      <c r="AB41" t="s">
        <v>32</v>
      </c>
      <c r="AE41" s="2">
        <f>(AE40*AD39)</f>
        <v>4.9750000000000003E-3</v>
      </c>
    </row>
    <row r="42" spans="1:31" ht="15">
      <c r="A42" s="2" t="s">
        <v>27</v>
      </c>
      <c r="D42" t="s">
        <v>34</v>
      </c>
      <c r="H42" s="2" t="s">
        <v>27</v>
      </c>
      <c r="J42" t="s">
        <v>48</v>
      </c>
      <c r="N42" s="2" t="s">
        <v>27</v>
      </c>
      <c r="P42" t="s">
        <v>76</v>
      </c>
      <c r="T42" s="2" t="s">
        <v>27</v>
      </c>
      <c r="V42" t="s">
        <v>48</v>
      </c>
      <c r="AB42" s="2" t="s">
        <v>27</v>
      </c>
      <c r="AD42" t="s">
        <v>48</v>
      </c>
    </row>
    <row r="43" spans="1:31" ht="15">
      <c r="A43" t="s">
        <v>32</v>
      </c>
      <c r="E43" s="10">
        <f>(E44*E5)</f>
        <v>2.69667E-2</v>
      </c>
      <c r="H43" t="s">
        <v>32</v>
      </c>
      <c r="K43" s="10">
        <f>(K44*$K$5)</f>
        <v>3.3439999999999998E-2</v>
      </c>
      <c r="N43" t="s">
        <v>32</v>
      </c>
      <c r="Q43" s="12">
        <f>(Q44*$Q$5)</f>
        <v>0.20948399999999998</v>
      </c>
      <c r="T43" t="s">
        <v>32</v>
      </c>
      <c r="W43" s="12">
        <f>(W44*$W$5)</f>
        <v>5.0000000000000001E-3</v>
      </c>
      <c r="AB43" t="s">
        <v>32</v>
      </c>
      <c r="AE43" s="12">
        <f>(AE44*$W$5)</f>
        <v>5.0000000000000001E-3</v>
      </c>
    </row>
    <row r="44" spans="1:31" ht="15">
      <c r="A44" t="s">
        <v>7</v>
      </c>
      <c r="D44">
        <v>0</v>
      </c>
      <c r="E44" s="8">
        <f>(D39*E45)</f>
        <v>13.48335</v>
      </c>
      <c r="H44" t="s">
        <v>7</v>
      </c>
      <c r="J44">
        <v>0</v>
      </c>
      <c r="K44" s="8">
        <f>(J39*K45)</f>
        <v>83.6</v>
      </c>
      <c r="N44" t="s">
        <v>7</v>
      </c>
      <c r="P44">
        <v>0</v>
      </c>
      <c r="Q44" s="8">
        <f>(P39*Q45)</f>
        <v>43.281818181818181</v>
      </c>
      <c r="T44" t="s">
        <v>7</v>
      </c>
      <c r="V44">
        <v>0</v>
      </c>
      <c r="W44" s="8">
        <f>(V14*W45)</f>
        <v>1</v>
      </c>
      <c r="AB44" t="s">
        <v>7</v>
      </c>
      <c r="AD44">
        <v>0</v>
      </c>
      <c r="AE44" s="8">
        <f>(AD14*AE45)</f>
        <v>1</v>
      </c>
    </row>
    <row r="45" spans="1:31" ht="15">
      <c r="A45" t="s">
        <v>5</v>
      </c>
      <c r="D45" s="4">
        <v>0</v>
      </c>
      <c r="E45" s="6">
        <f>($E$38*(D33/100))</f>
        <v>8.5500000000000007E-2</v>
      </c>
      <c r="H45" t="s">
        <v>5</v>
      </c>
      <c r="J45" s="4">
        <v>0</v>
      </c>
      <c r="K45" s="6">
        <f>($K$38*(J33/100))</f>
        <v>0.41799999999999998</v>
      </c>
      <c r="N45" t="s">
        <v>5</v>
      </c>
      <c r="P45" s="4">
        <v>0</v>
      </c>
      <c r="Q45" s="6">
        <f>($Q$38*(P33/100))</f>
        <v>9.8367768595041316E-2</v>
      </c>
      <c r="T45" t="s">
        <v>5</v>
      </c>
      <c r="V45" s="4">
        <v>0</v>
      </c>
      <c r="W45" s="6">
        <f>($W$38*(V33/100))</f>
        <v>5.0000000000000001E-3</v>
      </c>
      <c r="AB45" t="s">
        <v>5</v>
      </c>
      <c r="AD45" s="4">
        <v>0</v>
      </c>
      <c r="AE45" s="6">
        <f>($W$38*(AD33/100))</f>
        <v>5.0000000000000001E-3</v>
      </c>
    </row>
    <row r="47" spans="1:31" ht="15">
      <c r="A47" s="2" t="s">
        <v>28</v>
      </c>
      <c r="D47" t="s">
        <v>35</v>
      </c>
      <c r="H47" s="2" t="s">
        <v>28</v>
      </c>
      <c r="J47" t="s">
        <v>49</v>
      </c>
      <c r="N47" s="2" t="s">
        <v>28</v>
      </c>
      <c r="P47" t="s">
        <v>77</v>
      </c>
      <c r="T47" s="2" t="s">
        <v>28</v>
      </c>
      <c r="V47" t="s">
        <v>49</v>
      </c>
      <c r="AB47" s="2" t="s">
        <v>28</v>
      </c>
      <c r="AD47" t="s">
        <v>49</v>
      </c>
    </row>
    <row r="48" spans="1:31" ht="15">
      <c r="A48" t="s">
        <v>32</v>
      </c>
      <c r="E48" s="11">
        <f>(E49*E5)</f>
        <v>2.9962999999999999E-3</v>
      </c>
      <c r="H48" t="s">
        <v>32</v>
      </c>
      <c r="K48" s="11">
        <f>(K49*K5)</f>
        <v>1.7600000000000003E-3</v>
      </c>
      <c r="N48" t="s">
        <v>32</v>
      </c>
      <c r="Q48" s="11">
        <f>(Q49*Q5)</f>
        <v>9.4115999999999991E-2</v>
      </c>
      <c r="T48" t="s">
        <v>32</v>
      </c>
      <c r="W48" s="12">
        <f>(W49*W5)</f>
        <v>0</v>
      </c>
      <c r="AB48" t="s">
        <v>32</v>
      </c>
      <c r="AE48" s="12">
        <f>(AE49*AE5)</f>
        <v>0</v>
      </c>
    </row>
    <row r="49" spans="1:31" ht="15">
      <c r="A49" t="s">
        <v>7</v>
      </c>
      <c r="D49">
        <v>0</v>
      </c>
      <c r="E49" s="8">
        <f>(E50*D39)</f>
        <v>1.4981499999999999</v>
      </c>
      <c r="H49" t="s">
        <v>7</v>
      </c>
      <c r="J49">
        <v>0</v>
      </c>
      <c r="K49" s="8">
        <f>(K50*J39)</f>
        <v>4.4000000000000004</v>
      </c>
      <c r="N49" t="s">
        <v>7</v>
      </c>
      <c r="P49">
        <v>0</v>
      </c>
      <c r="Q49" s="8">
        <f>(Q50*P39)</f>
        <v>19.445454545454545</v>
      </c>
      <c r="T49" t="s">
        <v>7</v>
      </c>
      <c r="V49">
        <v>0</v>
      </c>
      <c r="W49" s="8">
        <f>(W50*V39)</f>
        <v>0</v>
      </c>
      <c r="AB49" t="s">
        <v>7</v>
      </c>
      <c r="AD49">
        <v>0</v>
      </c>
      <c r="AE49" s="8">
        <f>(AE50*AD39)</f>
        <v>0</v>
      </c>
    </row>
    <row r="50" spans="1:31" ht="15">
      <c r="A50" t="s">
        <v>5</v>
      </c>
      <c r="D50">
        <v>0</v>
      </c>
      <c r="E50" s="6">
        <f>(($E$38*(100-D33)/100))</f>
        <v>9.4999999999999998E-3</v>
      </c>
      <c r="H50" t="s">
        <v>5</v>
      </c>
      <c r="J50" s="4">
        <v>0</v>
      </c>
      <c r="K50" s="6">
        <f>(($K$38*(100-J33)/100))</f>
        <v>2.2000000000000002E-2</v>
      </c>
      <c r="N50" t="s">
        <v>5</v>
      </c>
      <c r="P50" s="4">
        <v>0</v>
      </c>
      <c r="Q50" s="6">
        <f>(($Q$38*(100-P33)/100))</f>
        <v>4.4194214876033061E-2</v>
      </c>
      <c r="T50" t="s">
        <v>5</v>
      </c>
      <c r="V50" s="4">
        <v>0</v>
      </c>
      <c r="W50" s="6">
        <f>(($W$38*(100-V33)/100))</f>
        <v>0</v>
      </c>
      <c r="AB50" t="s">
        <v>5</v>
      </c>
      <c r="AD50" s="4">
        <v>0</v>
      </c>
      <c r="AE50" s="6">
        <f>(($K$38*(100-AD33)/100))</f>
        <v>0</v>
      </c>
    </row>
    <row r="52" spans="1:31" ht="18">
      <c r="A52" s="2" t="s">
        <v>50</v>
      </c>
      <c r="H52" s="2" t="s">
        <v>90</v>
      </c>
      <c r="J52" t="s">
        <v>52</v>
      </c>
      <c r="K52" t="s">
        <v>52</v>
      </c>
      <c r="L52" t="s">
        <v>60</v>
      </c>
      <c r="T52" s="2" t="s">
        <v>50</v>
      </c>
      <c r="V52" t="s">
        <v>66</v>
      </c>
      <c r="W52" t="s">
        <v>66</v>
      </c>
      <c r="AB52" s="2" t="s">
        <v>50</v>
      </c>
      <c r="AD52" t="s">
        <v>66</v>
      </c>
      <c r="AE52" t="s">
        <v>66</v>
      </c>
    </row>
    <row r="53" spans="1:31" ht="15">
      <c r="A53" t="s">
        <v>32</v>
      </c>
      <c r="D53">
        <v>0</v>
      </c>
      <c r="E53" t="s">
        <v>51</v>
      </c>
      <c r="H53" t="s">
        <v>32</v>
      </c>
      <c r="J53">
        <v>0</v>
      </c>
      <c r="K53" s="10">
        <f>(K54*$K$5)</f>
        <v>1.056E-2</v>
      </c>
      <c r="T53" t="s">
        <v>32</v>
      </c>
      <c r="V53">
        <v>0</v>
      </c>
      <c r="W53" s="12">
        <f>(W54*$W$5)</f>
        <v>2.225E-3</v>
      </c>
      <c r="AB53" t="s">
        <v>32</v>
      </c>
      <c r="AD53">
        <v>0</v>
      </c>
      <c r="AE53" s="12">
        <f>(AE54*$W$5)</f>
        <v>2.225E-3</v>
      </c>
    </row>
    <row r="54" spans="1:31" ht="15">
      <c r="A54" t="s">
        <v>7</v>
      </c>
      <c r="D54">
        <v>0</v>
      </c>
      <c r="E54" t="s">
        <v>51</v>
      </c>
      <c r="H54" t="s">
        <v>7</v>
      </c>
      <c r="J54">
        <v>0</v>
      </c>
      <c r="K54">
        <f>(K55*J56)</f>
        <v>26.4</v>
      </c>
      <c r="T54" t="s">
        <v>7</v>
      </c>
      <c r="V54">
        <v>0</v>
      </c>
      <c r="W54">
        <f>(W55*V56)</f>
        <v>0.44500000000000001</v>
      </c>
      <c r="AB54" t="s">
        <v>7</v>
      </c>
      <c r="AD54">
        <v>0</v>
      </c>
      <c r="AE54">
        <f>(AE55*AD56)</f>
        <v>0.44500000000000001</v>
      </c>
    </row>
    <row r="55" spans="1:31" ht="15">
      <c r="A55" t="s">
        <v>5</v>
      </c>
      <c r="D55">
        <v>0</v>
      </c>
      <c r="E55" t="s">
        <v>51</v>
      </c>
      <c r="H55" t="s">
        <v>5</v>
      </c>
      <c r="J55" s="4">
        <v>0</v>
      </c>
      <c r="K55">
        <f>(($J$34/100)*$J$15)</f>
        <v>0.44</v>
      </c>
      <c r="T55" t="s">
        <v>5</v>
      </c>
      <c r="V55" s="4">
        <v>0</v>
      </c>
      <c r="W55">
        <f>(($V$34/100)*$V$15)</f>
        <v>5.0000000000000001E-3</v>
      </c>
      <c r="AB55" t="s">
        <v>5</v>
      </c>
      <c r="AD55" s="4">
        <v>0</v>
      </c>
      <c r="AE55">
        <f>(($V$34/100)*$V$15)</f>
        <v>5.0000000000000001E-3</v>
      </c>
    </row>
    <row r="56" spans="1:31" ht="15">
      <c r="H56" t="s">
        <v>12</v>
      </c>
      <c r="J56" s="4">
        <v>60</v>
      </c>
      <c r="T56" t="s">
        <v>12</v>
      </c>
      <c r="V56" s="4">
        <v>89</v>
      </c>
      <c r="AB56" t="s">
        <v>12</v>
      </c>
      <c r="AD56" s="4">
        <v>89</v>
      </c>
    </row>
    <row r="57" spans="1:31" ht="15">
      <c r="J57" s="4"/>
      <c r="V57" s="4"/>
      <c r="AD57" s="4"/>
    </row>
    <row r="58" spans="1:31" ht="18">
      <c r="A58" s="2" t="s">
        <v>0</v>
      </c>
      <c r="B58" t="s">
        <v>9</v>
      </c>
      <c r="C58" s="1" t="s">
        <v>86</v>
      </c>
      <c r="D58" s="1" t="s">
        <v>92</v>
      </c>
      <c r="H58" s="2" t="s">
        <v>0</v>
      </c>
      <c r="I58" t="s">
        <v>53</v>
      </c>
      <c r="J58" s="1" t="s">
        <v>93</v>
      </c>
      <c r="T58" s="2" t="s">
        <v>0</v>
      </c>
      <c r="V58" s="23" t="s">
        <v>67</v>
      </c>
      <c r="W58" s="1" t="s">
        <v>68</v>
      </c>
      <c r="AB58" s="2" t="s">
        <v>0</v>
      </c>
      <c r="AD58" s="1" t="s">
        <v>80</v>
      </c>
      <c r="AE58" s="1" t="s">
        <v>68</v>
      </c>
    </row>
    <row r="59" spans="1:31" ht="15">
      <c r="A59" s="2" t="s">
        <v>32</v>
      </c>
      <c r="C59">
        <f>(C60*D5)</f>
        <v>1E-3</v>
      </c>
      <c r="D59">
        <f>(D60*E5)</f>
        <v>1E-3</v>
      </c>
      <c r="E59" s="2">
        <f>(E60*E5)</f>
        <v>1E-3</v>
      </c>
      <c r="H59" s="2" t="s">
        <v>32</v>
      </c>
      <c r="J59" s="15">
        <f>(J60*K5)</f>
        <v>3.6960000000000055E-2</v>
      </c>
      <c r="T59" s="2" t="s">
        <v>32</v>
      </c>
      <c r="V59" s="15"/>
      <c r="W59" s="12">
        <f>(W60*W5)</f>
        <v>1.235E-3</v>
      </c>
      <c r="AB59" s="2" t="s">
        <v>32</v>
      </c>
      <c r="AD59" s="15">
        <f>(AD60*AD5)</f>
        <v>1.25E-3</v>
      </c>
      <c r="AE59" s="12">
        <f>(AE60*AE5)</f>
        <v>1.235E-3</v>
      </c>
    </row>
    <row r="60" spans="1:31" ht="15">
      <c r="A60" t="s">
        <v>7</v>
      </c>
      <c r="C60">
        <f>(0.003/($C$5))</f>
        <v>0.5</v>
      </c>
      <c r="D60">
        <v>0.5</v>
      </c>
      <c r="E60">
        <v>0.5</v>
      </c>
      <c r="H60" t="s">
        <v>7</v>
      </c>
      <c r="J60" s="14">
        <f>(J65*J61)</f>
        <v>92.400000000000134</v>
      </c>
      <c r="T60" t="s">
        <v>7</v>
      </c>
      <c r="V60" s="14"/>
      <c r="W60">
        <f>(W61*W63)</f>
        <v>0.247</v>
      </c>
      <c r="AB60" t="s">
        <v>7</v>
      </c>
      <c r="AD60" s="14">
        <f>(0.25)</f>
        <v>0.25</v>
      </c>
      <c r="AE60">
        <f>(AE61*AE63)</f>
        <v>0.247</v>
      </c>
    </row>
    <row r="61" spans="1:31" ht="15">
      <c r="A61" t="s">
        <v>5</v>
      </c>
      <c r="C61">
        <f>((0.006*10^-3)/($C$5))</f>
        <v>1E-3</v>
      </c>
      <c r="D61">
        <v>1E-3</v>
      </c>
      <c r="E61">
        <v>1E-3</v>
      </c>
      <c r="H61" t="s">
        <v>5</v>
      </c>
      <c r="J61" s="14">
        <f>(J62/K5)</f>
        <v>7.738693467336695E-2</v>
      </c>
      <c r="T61" t="s">
        <v>5</v>
      </c>
      <c r="V61" s="14"/>
      <c r="W61">
        <f>(10^-3)</f>
        <v>1E-3</v>
      </c>
      <c r="AB61" t="s">
        <v>5</v>
      </c>
      <c r="AD61" s="14"/>
      <c r="AE61">
        <f>(10^-3)</f>
        <v>1E-3</v>
      </c>
    </row>
    <row r="62" spans="1:31" ht="15">
      <c r="H62" t="s">
        <v>18</v>
      </c>
      <c r="J62" s="14">
        <f>(K28)</f>
        <v>3.095477386934678E-5</v>
      </c>
      <c r="T62" t="s">
        <v>18</v>
      </c>
      <c r="V62" s="14"/>
      <c r="AB62" t="s">
        <v>18</v>
      </c>
      <c r="AD62" s="14"/>
    </row>
    <row r="63" spans="1:31" ht="18">
      <c r="H63" t="s">
        <v>61</v>
      </c>
      <c r="J63" s="14">
        <v>801.7</v>
      </c>
      <c r="T63" t="s">
        <v>69</v>
      </c>
      <c r="V63" s="14"/>
      <c r="W63">
        <v>247</v>
      </c>
      <c r="AB63" t="s">
        <v>69</v>
      </c>
      <c r="AD63" s="14"/>
      <c r="AE63">
        <v>247</v>
      </c>
    </row>
    <row r="64" spans="1:31">
      <c r="H64" t="s">
        <v>62</v>
      </c>
      <c r="J64">
        <f>((57*2)+16+5+(7*12))</f>
        <v>219</v>
      </c>
    </row>
    <row r="65" spans="1:52">
      <c r="A65" s="2" t="s">
        <v>6</v>
      </c>
      <c r="C65" t="s">
        <v>11</v>
      </c>
      <c r="D65" t="s">
        <v>11</v>
      </c>
      <c r="H65" t="s">
        <v>63</v>
      </c>
      <c r="J65">
        <f>((J64*4)+(2*30)+(78*2)+(16*2)+(70))</f>
        <v>1194</v>
      </c>
    </row>
    <row r="66" spans="1:52">
      <c r="A66" s="2" t="s">
        <v>32</v>
      </c>
      <c r="D66" s="6">
        <f>(D67*D5)</f>
        <v>1.9492000000000001E-3</v>
      </c>
      <c r="E66" s="12">
        <f>(E67*E5)</f>
        <v>1.9492000000000001E-3</v>
      </c>
      <c r="H66" s="2"/>
      <c r="T66" s="2"/>
      <c r="AB66" s="2"/>
    </row>
    <row r="67" spans="1:52">
      <c r="A67" t="s">
        <v>7</v>
      </c>
      <c r="D67" s="3">
        <f>(D69*D68)</f>
        <v>0.97460000000000002</v>
      </c>
      <c r="E67" s="3">
        <f>D67</f>
        <v>0.97460000000000002</v>
      </c>
    </row>
    <row r="68" spans="1:52">
      <c r="A68" t="s">
        <v>12</v>
      </c>
      <c r="C68">
        <v>886</v>
      </c>
      <c r="D68">
        <v>886</v>
      </c>
    </row>
    <row r="69" spans="1:52">
      <c r="A69" t="s">
        <v>5</v>
      </c>
      <c r="D69">
        <f>(D61*1.1)</f>
        <v>1.1000000000000001E-3</v>
      </c>
      <c r="E69">
        <f>D69</f>
        <v>1.1000000000000001E-3</v>
      </c>
    </row>
    <row r="71" spans="1:52">
      <c r="A71" s="2" t="s">
        <v>40</v>
      </c>
      <c r="H71" s="2" t="s">
        <v>40</v>
      </c>
      <c r="N71" s="2" t="s">
        <v>40</v>
      </c>
      <c r="T71" s="2" t="s">
        <v>40</v>
      </c>
      <c r="AB71" s="2" t="s">
        <v>40</v>
      </c>
      <c r="AI71" s="2"/>
      <c r="AT71" s="2" t="s">
        <v>40</v>
      </c>
    </row>
    <row r="72" spans="1:52">
      <c r="A72" t="s">
        <v>41</v>
      </c>
      <c r="E72" s="10">
        <f>((E43/(E7+E12+E48+E59+E66))^-1)</f>
        <v>58.201504077250831</v>
      </c>
      <c r="H72" t="s">
        <v>41</v>
      </c>
      <c r="J72" s="15">
        <f>((J59+K53+K48+K19+K7+K12)/(K43))</f>
        <v>18.759090909090908</v>
      </c>
      <c r="N72" t="s">
        <v>41</v>
      </c>
      <c r="P72" s="15">
        <f>((Q48+Q19+Q7+Q12)/(Q43))</f>
        <v>19.144927536231886</v>
      </c>
      <c r="T72" t="s">
        <v>41</v>
      </c>
      <c r="V72" s="15">
        <f>((W59+W53+W48+W19+V7+W12+W41+W7)/(W43))</f>
        <v>31.570000000000004</v>
      </c>
      <c r="W72" s="2" t="s">
        <v>83</v>
      </c>
      <c r="AB72" t="s">
        <v>41</v>
      </c>
      <c r="AD72" s="15">
        <f>((AE59+AE53+AE48+AE19+AD7+AE12+AE41+AD59+AE7)/(AE43))</f>
        <v>31.820000000000004</v>
      </c>
      <c r="AE72" s="2" t="s">
        <v>78</v>
      </c>
      <c r="AK72" s="15"/>
      <c r="AL72" s="2"/>
      <c r="AT72" t="s">
        <v>41</v>
      </c>
      <c r="AV72" s="20" t="e">
        <f>((#REF!+#REF!+#REF!+#REF!+#REF!+#REF!+#REF!+#REF!+#REF!+#REF!)/(#REF!))</f>
        <v>#REF!</v>
      </c>
      <c r="AW72" s="2" t="s">
        <v>78</v>
      </c>
      <c r="AY72" s="21" t="e">
        <f>((#REF!+#REF!+#REF!+#REF!+#REF!+#REF!+#REF!+#REF!+#REF!+#REF!)/(#REF!))</f>
        <v>#REF!</v>
      </c>
      <c r="AZ72" s="22" t="s">
        <v>78</v>
      </c>
    </row>
    <row r="73" spans="1:52">
      <c r="V73" s="15">
        <f>((V59+V7+W53+W48+W41+W19+W12+W7)/(W43))</f>
        <v>31.323000000000008</v>
      </c>
      <c r="W73" s="2" t="s">
        <v>84</v>
      </c>
      <c r="AD73" s="18">
        <f>((AE59+AE53+AE48+AE19+U7+AE12+AE41+AD59+AE7)/(AE43))</f>
        <v>17.670000000000002</v>
      </c>
      <c r="AE73" s="19" t="s">
        <v>87</v>
      </c>
      <c r="AW73" s="2" t="s">
        <v>88</v>
      </c>
      <c r="AZ73" s="1" t="s">
        <v>89</v>
      </c>
    </row>
    <row r="74" spans="1:52">
      <c r="V74" s="18">
        <f>((V59+U7+W53+W48+W41+W19+W12+W7)/(W43))</f>
        <v>17.173000000000005</v>
      </c>
      <c r="W74" s="19" t="s">
        <v>85</v>
      </c>
    </row>
  </sheetData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BDF34255DB3946B718DC8F57788EF5" ma:contentTypeVersion="18" ma:contentTypeDescription="Crée un document." ma:contentTypeScope="" ma:versionID="243ab0f83eaf8d64e6f51bfcf738b695">
  <xsd:schema xmlns:xsd="http://www.w3.org/2001/XMLSchema" xmlns:xs="http://www.w3.org/2001/XMLSchema" xmlns:p="http://schemas.microsoft.com/office/2006/metadata/properties" xmlns:ns3="a4011da1-56a7-4188-b9eb-66d86ff952f6" xmlns:ns4="daaa59f8-2733-463e-9327-85aebc789bcc" targetNamespace="http://schemas.microsoft.com/office/2006/metadata/properties" ma:root="true" ma:fieldsID="7341a1d3208e02fd702e5269d8df0bb9" ns3:_="" ns4:_="">
    <xsd:import namespace="a4011da1-56a7-4188-b9eb-66d86ff952f6"/>
    <xsd:import namespace="daaa59f8-2733-463e-9327-85aebc789b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11da1-56a7-4188-b9eb-66d86ff952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aa59f8-2733-463e-9327-85aebc789bc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4011da1-56a7-4188-b9eb-66d86ff952f6" xsi:nil="true"/>
  </documentManagement>
</p:properties>
</file>

<file path=customXml/itemProps1.xml><?xml version="1.0" encoding="utf-8"?>
<ds:datastoreItem xmlns:ds="http://schemas.openxmlformats.org/officeDocument/2006/customXml" ds:itemID="{4D2ABC9A-8D08-4992-8F17-623A69DDEF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011da1-56a7-4188-b9eb-66d86ff952f6"/>
    <ds:schemaRef ds:uri="daaa59f8-2733-463e-9327-85aebc789b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FA4228-8A06-4B67-9795-31CB54CEDF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FC46D1-48E7-4359-AB9E-898D300DE298}">
  <ds:schemaRefs>
    <ds:schemaRef ds:uri="a4011da1-56a7-4188-b9eb-66d86ff952f6"/>
    <ds:schemaRef ds:uri="http://purl.org/dc/terms/"/>
    <ds:schemaRef ds:uri="http://schemas.microsoft.com/office/2006/documentManagement/types"/>
    <ds:schemaRef ds:uri="daaa59f8-2733-463e-9327-85aebc789bcc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Hippolyte Meersseman Arango</dc:creator>
  <cp:lastModifiedBy>Damien Debecker</cp:lastModifiedBy>
  <dcterms:created xsi:type="dcterms:W3CDTF">2024-07-25T10:39:40Z</dcterms:created>
  <dcterms:modified xsi:type="dcterms:W3CDTF">2024-08-19T05:28:49Z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0x010100B7BDF34255DB3946B718DC8F57788EF5</vt:lpwstr>
  </property>
</Properties>
</file>