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rreyac-my.sharepoint.com/personal/vk0011_surrey_ac_uk/Documents/Desktop/mayank/letterMSZW/"/>
    </mc:Choice>
  </mc:AlternateContent>
  <xr:revisionPtr revIDLastSave="0" documentId="8_{3FCF84C3-59F8-4A72-9B28-A200D91ACA44}" xr6:coauthVersionLast="47" xr6:coauthVersionMax="47" xr10:uidLastSave="{00000000-0000-0000-0000-000000000000}"/>
  <bookViews>
    <workbookView xWindow="-120" yWindow="-120" windowWidth="29040" windowHeight="15840" activeTab="1" xr2:uid="{7B974D2F-CC8F-4497-BA90-05AE569FB5A3}"/>
  </bookViews>
  <sheets>
    <sheet name="borax" sheetId="1" r:id="rId1"/>
    <sheet name="Glycine" sheetId="2" r:id="rId2"/>
    <sheet name="Lysozyme" sheetId="3" r:id="rId3"/>
    <sheet name="Pyrazinamid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" l="1"/>
  <c r="O19" i="2" s="1"/>
  <c r="S19" i="4"/>
  <c r="S20" i="4"/>
  <c r="S21" i="4"/>
  <c r="S18" i="4"/>
  <c r="P18" i="4"/>
  <c r="O18" i="4"/>
  <c r="I19" i="4"/>
  <c r="I20" i="4"/>
  <c r="M20" i="4" s="1"/>
  <c r="I21" i="4"/>
  <c r="M21" i="4" s="1"/>
  <c r="I18" i="4"/>
  <c r="V18" i="4"/>
  <c r="V12" i="4"/>
  <c r="S12" i="4"/>
  <c r="P12" i="4"/>
  <c r="O12" i="4"/>
  <c r="Q15" i="4"/>
  <c r="R15" i="4"/>
  <c r="M12" i="4"/>
  <c r="I13" i="4"/>
  <c r="I14" i="4"/>
  <c r="I15" i="4"/>
  <c r="I12" i="4"/>
  <c r="R21" i="4"/>
  <c r="L21" i="4"/>
  <c r="Y21" i="4" s="1"/>
  <c r="Y20" i="4"/>
  <c r="R20" i="4"/>
  <c r="L20" i="4"/>
  <c r="J20" i="4"/>
  <c r="K20" i="4" s="1"/>
  <c r="Q20" i="4" s="1"/>
  <c r="Y19" i="4"/>
  <c r="R19" i="4"/>
  <c r="M19" i="4"/>
  <c r="L19" i="4"/>
  <c r="J19" i="4"/>
  <c r="K19" i="4" s="1"/>
  <c r="Q19" i="4" s="1"/>
  <c r="R18" i="4"/>
  <c r="O19" i="4"/>
  <c r="L18" i="4"/>
  <c r="Y18" i="4" s="1"/>
  <c r="J18" i="4"/>
  <c r="K18" i="4" s="1"/>
  <c r="Y15" i="4"/>
  <c r="L15" i="4"/>
  <c r="S14" i="4"/>
  <c r="R14" i="4"/>
  <c r="L14" i="4"/>
  <c r="Y14" i="4" s="1"/>
  <c r="M14" i="4"/>
  <c r="R13" i="4"/>
  <c r="L13" i="4"/>
  <c r="Y13" i="4" s="1"/>
  <c r="R12" i="4"/>
  <c r="L12" i="4"/>
  <c r="Y12" i="4" s="1"/>
  <c r="V12" i="3"/>
  <c r="S12" i="3"/>
  <c r="P12" i="3"/>
  <c r="O12" i="3"/>
  <c r="Y16" i="3"/>
  <c r="S16" i="3"/>
  <c r="X16" i="3" s="1"/>
  <c r="R16" i="3"/>
  <c r="Q16" i="3"/>
  <c r="Q13" i="3"/>
  <c r="Q14" i="3"/>
  <c r="Q15" i="3"/>
  <c r="N12" i="3"/>
  <c r="Y15" i="3" s="1"/>
  <c r="M13" i="3"/>
  <c r="M14" i="3"/>
  <c r="M15" i="3"/>
  <c r="M16" i="3"/>
  <c r="L13" i="3"/>
  <c r="L14" i="3"/>
  <c r="L15" i="3"/>
  <c r="L16" i="3"/>
  <c r="K15" i="3"/>
  <c r="K16" i="3"/>
  <c r="J16" i="3"/>
  <c r="I16" i="3"/>
  <c r="I13" i="3"/>
  <c r="I14" i="3"/>
  <c r="I15" i="3"/>
  <c r="I12" i="3"/>
  <c r="R15" i="3"/>
  <c r="R14" i="3"/>
  <c r="R13" i="3"/>
  <c r="R12" i="3"/>
  <c r="S15" i="3"/>
  <c r="L12" i="3"/>
  <c r="M12" i="3"/>
  <c r="X25" i="2"/>
  <c r="Y25" i="2"/>
  <c r="X26" i="2"/>
  <c r="Y26" i="2"/>
  <c r="X27" i="2"/>
  <c r="Y27" i="2"/>
  <c r="Y24" i="2"/>
  <c r="X24" i="2"/>
  <c r="W24" i="2"/>
  <c r="W25" i="2"/>
  <c r="W26" i="2"/>
  <c r="W27" i="2"/>
  <c r="V24" i="2"/>
  <c r="S25" i="2"/>
  <c r="T25" i="2"/>
  <c r="U25" i="2" s="1"/>
  <c r="S26" i="2"/>
  <c r="T26" i="2"/>
  <c r="U26" i="2" s="1"/>
  <c r="S27" i="2"/>
  <c r="T27" i="2"/>
  <c r="U27" i="2"/>
  <c r="U24" i="2"/>
  <c r="T24" i="2"/>
  <c r="S24" i="2"/>
  <c r="O25" i="2"/>
  <c r="P24" i="2"/>
  <c r="O24" i="2"/>
  <c r="Q25" i="2"/>
  <c r="R25" i="2"/>
  <c r="Q26" i="2"/>
  <c r="R26" i="2"/>
  <c r="Q27" i="2"/>
  <c r="R27" i="2"/>
  <c r="Q24" i="2"/>
  <c r="R24" i="2"/>
  <c r="I25" i="2"/>
  <c r="J25" i="2" s="1"/>
  <c r="K25" i="2" s="1"/>
  <c r="L25" i="2"/>
  <c r="I26" i="2"/>
  <c r="J26" i="2" s="1"/>
  <c r="K26" i="2" s="1"/>
  <c r="L26" i="2"/>
  <c r="I27" i="2"/>
  <c r="M27" i="2" s="1"/>
  <c r="L27" i="2"/>
  <c r="M24" i="2"/>
  <c r="L24" i="2"/>
  <c r="K24" i="2"/>
  <c r="J24" i="2"/>
  <c r="I24" i="2"/>
  <c r="P18" i="2"/>
  <c r="Q18" i="2"/>
  <c r="V18" i="2"/>
  <c r="K19" i="2"/>
  <c r="K20" i="2"/>
  <c r="K21" i="2"/>
  <c r="K18" i="2"/>
  <c r="I19" i="2"/>
  <c r="J19" i="2" s="1"/>
  <c r="Q19" i="2" s="1"/>
  <c r="I20" i="2"/>
  <c r="J20" i="2" s="1"/>
  <c r="I21" i="2"/>
  <c r="I18" i="2"/>
  <c r="M18" i="2" s="1"/>
  <c r="V12" i="2"/>
  <c r="S12" i="2"/>
  <c r="P12" i="2"/>
  <c r="O12" i="2"/>
  <c r="O13" i="2" s="1"/>
  <c r="Q12" i="2"/>
  <c r="L12" i="2"/>
  <c r="K13" i="2"/>
  <c r="K14" i="2"/>
  <c r="K15" i="2"/>
  <c r="K12" i="2"/>
  <c r="I13" i="2"/>
  <c r="M13" i="2" s="1"/>
  <c r="I14" i="2"/>
  <c r="M14" i="2" s="1"/>
  <c r="I15" i="2"/>
  <c r="M15" i="2" s="1"/>
  <c r="I12" i="2"/>
  <c r="M12" i="2" s="1"/>
  <c r="R21" i="2"/>
  <c r="L21" i="2"/>
  <c r="Y21" i="2" s="1"/>
  <c r="J21" i="2"/>
  <c r="R20" i="2"/>
  <c r="L20" i="2"/>
  <c r="Y20" i="2" s="1"/>
  <c r="R19" i="2"/>
  <c r="L19" i="2"/>
  <c r="Y19" i="2" s="1"/>
  <c r="R18" i="2"/>
  <c r="L18" i="2"/>
  <c r="Y18" i="2" s="1"/>
  <c r="R15" i="2"/>
  <c r="L15" i="2"/>
  <c r="Y15" i="2" s="1"/>
  <c r="R14" i="2"/>
  <c r="L14" i="2"/>
  <c r="R13" i="2"/>
  <c r="L13" i="2"/>
  <c r="R12" i="2"/>
  <c r="Y12" i="2"/>
  <c r="V18" i="1"/>
  <c r="S19" i="1"/>
  <c r="X19" i="1" s="1"/>
  <c r="P18" i="1"/>
  <c r="S20" i="1" s="1"/>
  <c r="X20" i="1" s="1"/>
  <c r="O18" i="1"/>
  <c r="O19" i="1" s="1"/>
  <c r="R13" i="1"/>
  <c r="R14" i="1"/>
  <c r="R15" i="1"/>
  <c r="R16" i="1"/>
  <c r="R12" i="1"/>
  <c r="R19" i="1"/>
  <c r="R20" i="1"/>
  <c r="R21" i="1"/>
  <c r="R22" i="1"/>
  <c r="R18" i="1"/>
  <c r="N18" i="1"/>
  <c r="L19" i="1"/>
  <c r="Y19" i="1" s="1"/>
  <c r="L20" i="1"/>
  <c r="Y20" i="1" s="1"/>
  <c r="J21" i="1"/>
  <c r="K21" i="1"/>
  <c r="Q21" i="1" s="1"/>
  <c r="L21" i="1"/>
  <c r="Y21" i="1" s="1"/>
  <c r="L22" i="1"/>
  <c r="Y22" i="1" s="1"/>
  <c r="L18" i="1"/>
  <c r="Y18" i="1" s="1"/>
  <c r="I19" i="1"/>
  <c r="J19" i="1" s="1"/>
  <c r="K19" i="1" s="1"/>
  <c r="Q19" i="1" s="1"/>
  <c r="I20" i="1"/>
  <c r="J20" i="1" s="1"/>
  <c r="K20" i="1" s="1"/>
  <c r="Q20" i="1" s="1"/>
  <c r="I21" i="1"/>
  <c r="M21" i="1" s="1"/>
  <c r="I22" i="1"/>
  <c r="J22" i="1" s="1"/>
  <c r="K22" i="1" s="1"/>
  <c r="Q22" i="1" s="1"/>
  <c r="O12" i="1"/>
  <c r="O13" i="1" s="1"/>
  <c r="P12" i="1"/>
  <c r="S12" i="1" s="1"/>
  <c r="I13" i="1"/>
  <c r="I14" i="1"/>
  <c r="I15" i="1"/>
  <c r="I16" i="1"/>
  <c r="I12" i="1"/>
  <c r="I18" i="1"/>
  <c r="M18" i="1" s="1"/>
  <c r="V12" i="1"/>
  <c r="Q18" i="4" l="1"/>
  <c r="M18" i="4"/>
  <c r="S13" i="4"/>
  <c r="S15" i="4"/>
  <c r="X15" i="4" s="1"/>
  <c r="O13" i="4"/>
  <c r="X21" i="4"/>
  <c r="T14" i="4"/>
  <c r="U14" i="4" s="1"/>
  <c r="W14" i="4" s="1"/>
  <c r="M15" i="4"/>
  <c r="T15" i="4" s="1"/>
  <c r="U15" i="4" s="1"/>
  <c r="W15" i="4" s="1"/>
  <c r="M13" i="4"/>
  <c r="T13" i="4" s="1"/>
  <c r="U13" i="4" s="1"/>
  <c r="W13" i="4" s="1"/>
  <c r="J12" i="4"/>
  <c r="K12" i="4" s="1"/>
  <c r="Q12" i="4" s="1"/>
  <c r="T12" i="4"/>
  <c r="U12" i="4" s="1"/>
  <c r="W12" i="4" s="1"/>
  <c r="X12" i="4"/>
  <c r="X13" i="4"/>
  <c r="X14" i="4"/>
  <c r="T21" i="4"/>
  <c r="U21" i="4" s="1"/>
  <c r="W21" i="4" s="1"/>
  <c r="T20" i="4"/>
  <c r="U20" i="4" s="1"/>
  <c r="W20" i="4" s="1"/>
  <c r="T19" i="4"/>
  <c r="U19" i="4" s="1"/>
  <c r="W19" i="4" s="1"/>
  <c r="T18" i="4"/>
  <c r="U18" i="4" s="1"/>
  <c r="W18" i="4" s="1"/>
  <c r="J13" i="4"/>
  <c r="K13" i="4" s="1"/>
  <c r="Q13" i="4" s="1"/>
  <c r="X18" i="4"/>
  <c r="J14" i="4"/>
  <c r="K14" i="4" s="1"/>
  <c r="Q14" i="4" s="1"/>
  <c r="J15" i="4"/>
  <c r="K15" i="4" s="1"/>
  <c r="J21" i="4"/>
  <c r="K21" i="4" s="1"/>
  <c r="Q21" i="4" s="1"/>
  <c r="X19" i="4"/>
  <c r="X20" i="4"/>
  <c r="Y14" i="3"/>
  <c r="Y13" i="3"/>
  <c r="Y12" i="3"/>
  <c r="X15" i="3"/>
  <c r="J12" i="3"/>
  <c r="K12" i="3" s="1"/>
  <c r="Q12" i="3" s="1"/>
  <c r="S13" i="3"/>
  <c r="X13" i="3" s="1"/>
  <c r="J13" i="3"/>
  <c r="K13" i="3" s="1"/>
  <c r="X12" i="3"/>
  <c r="O13" i="3"/>
  <c r="S14" i="3"/>
  <c r="X14" i="3" s="1"/>
  <c r="J14" i="3"/>
  <c r="K14" i="3" s="1"/>
  <c r="J15" i="3"/>
  <c r="J27" i="2"/>
  <c r="K27" i="2" s="1"/>
  <c r="M26" i="2"/>
  <c r="M25" i="2"/>
  <c r="Q20" i="2"/>
  <c r="Q21" i="2"/>
  <c r="J18" i="2"/>
  <c r="M19" i="2"/>
  <c r="T19" i="2" s="1"/>
  <c r="U19" i="2" s="1"/>
  <c r="W19" i="2" s="1"/>
  <c r="S21" i="2"/>
  <c r="X21" i="2" s="1"/>
  <c r="Y14" i="2"/>
  <c r="T15" i="2"/>
  <c r="U15" i="2" s="1"/>
  <c r="W15" i="2" s="1"/>
  <c r="T12" i="2"/>
  <c r="U12" i="2" s="1"/>
  <c r="W12" i="2" s="1"/>
  <c r="T14" i="2"/>
  <c r="U14" i="2" s="1"/>
  <c r="W14" i="2" s="1"/>
  <c r="T13" i="2"/>
  <c r="U13" i="2" s="1"/>
  <c r="W13" i="2" s="1"/>
  <c r="J13" i="2"/>
  <c r="Q13" i="2" s="1"/>
  <c r="J14" i="2"/>
  <c r="Q14" i="2" s="1"/>
  <c r="S18" i="2"/>
  <c r="X18" i="2" s="1"/>
  <c r="J15" i="2"/>
  <c r="Q15" i="2" s="1"/>
  <c r="T18" i="2"/>
  <c r="U18" i="2" s="1"/>
  <c r="W18" i="2" s="1"/>
  <c r="M20" i="2"/>
  <c r="T20" i="2" s="1"/>
  <c r="U20" i="2" s="1"/>
  <c r="W20" i="2" s="1"/>
  <c r="X12" i="2"/>
  <c r="M21" i="2"/>
  <c r="S19" i="2"/>
  <c r="X19" i="2" s="1"/>
  <c r="Y13" i="2"/>
  <c r="S14" i="2"/>
  <c r="X14" i="2" s="1"/>
  <c r="T21" i="2"/>
  <c r="U21" i="2" s="1"/>
  <c r="W21" i="2" s="1"/>
  <c r="S20" i="2"/>
  <c r="X20" i="2" s="1"/>
  <c r="S13" i="2"/>
  <c r="X13" i="2" s="1"/>
  <c r="S15" i="2"/>
  <c r="X15" i="2" s="1"/>
  <c r="J12" i="2"/>
  <c r="T21" i="1"/>
  <c r="U21" i="1" s="1"/>
  <c r="W21" i="1" s="1"/>
  <c r="T18" i="1"/>
  <c r="U18" i="1" s="1"/>
  <c r="W18" i="1" s="1"/>
  <c r="J18" i="1"/>
  <c r="K18" i="1" s="1"/>
  <c r="Q18" i="1" s="1"/>
  <c r="M20" i="1"/>
  <c r="T20" i="1" s="1"/>
  <c r="U20" i="1" s="1"/>
  <c r="W20" i="1" s="1"/>
  <c r="S18" i="1"/>
  <c r="X18" i="1" s="1"/>
  <c r="M22" i="1"/>
  <c r="T22" i="1" s="1"/>
  <c r="U22" i="1" s="1"/>
  <c r="W22" i="1" s="1"/>
  <c r="M19" i="1"/>
  <c r="T19" i="1" s="1"/>
  <c r="U19" i="1" s="1"/>
  <c r="W19" i="1" s="1"/>
  <c r="S22" i="1"/>
  <c r="X22" i="1" s="1"/>
  <c r="S21" i="1"/>
  <c r="X21" i="1" s="1"/>
  <c r="S14" i="1"/>
  <c r="S16" i="1"/>
  <c r="S13" i="1"/>
  <c r="S15" i="1"/>
  <c r="N12" i="1"/>
  <c r="M13" i="1"/>
  <c r="T13" i="1" s="1"/>
  <c r="U13" i="1" s="1"/>
  <c r="W13" i="1" s="1"/>
  <c r="M14" i="1"/>
  <c r="T14" i="1" s="1"/>
  <c r="U14" i="1" s="1"/>
  <c r="W14" i="1" s="1"/>
  <c r="M15" i="1"/>
  <c r="T15" i="1" s="1"/>
  <c r="U15" i="1" s="1"/>
  <c r="W15" i="1" s="1"/>
  <c r="M16" i="1"/>
  <c r="T16" i="1" s="1"/>
  <c r="U16" i="1" s="1"/>
  <c r="W16" i="1" s="1"/>
  <c r="M12" i="1"/>
  <c r="T12" i="1" s="1"/>
  <c r="L13" i="1"/>
  <c r="L14" i="1"/>
  <c r="L15" i="1"/>
  <c r="L16" i="1"/>
  <c r="L12" i="1"/>
  <c r="J13" i="1"/>
  <c r="K13" i="1" s="1"/>
  <c r="J14" i="1"/>
  <c r="K14" i="1" s="1"/>
  <c r="J15" i="1"/>
  <c r="K15" i="1" s="1"/>
  <c r="J16" i="1"/>
  <c r="K16" i="1" s="1"/>
  <c r="J12" i="1"/>
  <c r="K12" i="1" s="1"/>
  <c r="T16" i="3" l="1"/>
  <c r="U16" i="3" s="1"/>
  <c r="W16" i="3" s="1"/>
  <c r="T15" i="3"/>
  <c r="T12" i="3"/>
  <c r="U12" i="3" s="1"/>
  <c r="W12" i="3" s="1"/>
  <c r="U15" i="3"/>
  <c r="W15" i="3" s="1"/>
  <c r="T14" i="3"/>
  <c r="U14" i="3" s="1"/>
  <c r="W14" i="3" s="1"/>
  <c r="T13" i="3"/>
  <c r="U13" i="3" s="1"/>
  <c r="W13" i="3" s="1"/>
  <c r="Y16" i="1"/>
  <c r="Y12" i="1"/>
  <c r="Y14" i="1"/>
  <c r="X12" i="1"/>
  <c r="Y15" i="1"/>
  <c r="Y13" i="1"/>
  <c r="X15" i="1"/>
  <c r="U12" i="1"/>
  <c r="W12" i="1" s="1"/>
  <c r="X13" i="1"/>
  <c r="X16" i="1"/>
  <c r="X14" i="1"/>
  <c r="Q14" i="1"/>
  <c r="Q13" i="1"/>
  <c r="Q16" i="1"/>
  <c r="Q15" i="1"/>
  <c r="Q12" i="1"/>
</calcChain>
</file>

<file path=xl/sharedStrings.xml><?xml version="1.0" encoding="utf-8"?>
<sst xmlns="http://schemas.openxmlformats.org/spreadsheetml/2006/main" count="157" uniqueCount="49">
  <si>
    <t>Supplementary File Model Calculations for estimating nucleation kinetics parameters based on the literature reported.</t>
  </si>
  <si>
    <t>Compound</t>
  </si>
  <si>
    <t>Borax</t>
  </si>
  <si>
    <t>g/mol</t>
  </si>
  <si>
    <t>Molecular wt.</t>
  </si>
  <si>
    <t>Molecular Formula</t>
  </si>
  <si>
    <t>Units</t>
  </si>
  <si>
    <t>Solvent</t>
  </si>
  <si>
    <t>S</t>
  </si>
  <si>
    <r>
      <t>Δc</t>
    </r>
    <r>
      <rPr>
        <i/>
        <sz val="8"/>
        <color theme="1"/>
        <rFont val="Times New Roman"/>
        <family val="1"/>
      </rPr>
      <t>max</t>
    </r>
  </si>
  <si>
    <r>
      <rPr>
        <sz val="11"/>
        <color theme="1"/>
        <rFont val="Aptos Narrow"/>
        <family val="2"/>
      </rPr>
      <t>Δ</t>
    </r>
    <r>
      <rPr>
        <i/>
        <sz val="11"/>
        <color theme="1"/>
        <rFont val="Times New Roman"/>
        <family val="1"/>
      </rPr>
      <t>T</t>
    </r>
    <r>
      <rPr>
        <i/>
        <sz val="8"/>
        <color theme="1"/>
        <rFont val="Times New Roman"/>
        <family val="1"/>
      </rPr>
      <t>max</t>
    </r>
  </si>
  <si>
    <t>J</t>
  </si>
  <si>
    <t>T,K</t>
  </si>
  <si>
    <t>c*, g/mL</t>
  </si>
  <si>
    <r>
      <t>T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K</t>
    </r>
  </si>
  <si>
    <r>
      <t>c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g/mL</t>
    </r>
  </si>
  <si>
    <r>
      <t>c*-c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g/mL</t>
    </r>
  </si>
  <si>
    <r>
      <t>c*-c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mol/m</t>
    </r>
    <r>
      <rPr>
        <i/>
        <vertAlign val="superscript"/>
        <sz val="10"/>
        <color theme="1"/>
        <rFont val="Times New Roman"/>
        <family val="1"/>
      </rPr>
      <t>3</t>
    </r>
  </si>
  <si>
    <r>
      <t>T-T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K</t>
    </r>
  </si>
  <si>
    <t>R', K/sec</t>
  </si>
  <si>
    <t>ΔG, kJ/mol</t>
  </si>
  <si>
    <r>
      <t>k</t>
    </r>
    <r>
      <rPr>
        <i/>
        <sz val="8"/>
        <color theme="1"/>
        <rFont val="Times New Roman"/>
        <family val="1"/>
      </rPr>
      <t>n</t>
    </r>
    <r>
      <rPr>
        <i/>
        <sz val="11"/>
        <color theme="1"/>
        <rFont val="Times New Roman"/>
        <family val="1"/>
      </rPr>
      <t>, #/m</t>
    </r>
    <r>
      <rPr>
        <i/>
        <vertAlign val="superscript"/>
        <sz val="11"/>
        <color theme="1"/>
        <rFont val="Times New Roman"/>
        <family val="1"/>
      </rPr>
      <t>3</t>
    </r>
    <r>
      <rPr>
        <i/>
        <sz val="11"/>
        <color theme="1"/>
        <rFont val="Times New Roman"/>
        <family val="1"/>
      </rPr>
      <t>sec</t>
    </r>
  </si>
  <si>
    <r>
      <t>1/T</t>
    </r>
    <r>
      <rPr>
        <i/>
        <sz val="8"/>
        <color theme="1"/>
        <rFont val="Times New Roman"/>
        <family val="1"/>
      </rPr>
      <t>nuc</t>
    </r>
    <r>
      <rPr>
        <i/>
        <sz val="11"/>
        <color theme="1"/>
        <rFont val="Times New Roman"/>
        <family val="1"/>
      </rPr>
      <t>, K</t>
    </r>
  </si>
  <si>
    <r>
      <t>J, #/m</t>
    </r>
    <r>
      <rPr>
        <i/>
        <vertAlign val="superscript"/>
        <sz val="11"/>
        <color theme="1"/>
        <rFont val="Times New Roman"/>
        <family val="1"/>
      </rPr>
      <t>3</t>
    </r>
    <r>
      <rPr>
        <i/>
        <sz val="11"/>
        <color theme="1"/>
        <rFont val="Times New Roman"/>
        <family val="1"/>
      </rPr>
      <t>sec</t>
    </r>
  </si>
  <si>
    <r>
      <t xml:space="preserve">       </t>
    </r>
    <r>
      <rPr>
        <sz val="11"/>
        <color theme="1"/>
        <rFont val="Aptos Display"/>
        <family val="2"/>
      </rPr>
      <t>γ</t>
    </r>
    <r>
      <rPr>
        <i/>
        <sz val="11"/>
        <color theme="1"/>
        <rFont val="Times New Roman"/>
        <family val="1"/>
      </rPr>
      <t>,mJ/m</t>
    </r>
    <r>
      <rPr>
        <i/>
        <vertAlign val="superscript"/>
        <sz val="11"/>
        <color theme="1"/>
        <rFont val="Times New Roman"/>
        <family val="1"/>
      </rPr>
      <t>2</t>
    </r>
  </si>
  <si>
    <r>
      <t>r</t>
    </r>
    <r>
      <rPr>
        <i/>
        <sz val="8"/>
        <color theme="1"/>
        <rFont val="Times New Roman"/>
        <family val="1"/>
      </rPr>
      <t>c</t>
    </r>
    <r>
      <rPr>
        <i/>
        <sz val="11"/>
        <color theme="1"/>
        <rFont val="Times New Roman"/>
        <family val="1"/>
      </rPr>
      <t>, m</t>
    </r>
  </si>
  <si>
    <r>
      <t>V</t>
    </r>
    <r>
      <rPr>
        <i/>
        <vertAlign val="subscript"/>
        <sz val="11"/>
        <color theme="1"/>
        <rFont val="Times New Roman"/>
        <family val="1"/>
      </rPr>
      <t>cell</t>
    </r>
    <r>
      <rPr>
        <i/>
        <vertAlign val="superscript"/>
        <sz val="11"/>
        <color theme="1"/>
        <rFont val="Times New Roman"/>
        <family val="1"/>
      </rPr>
      <t>1/3</t>
    </r>
    <r>
      <rPr>
        <i/>
        <sz val="11"/>
        <color theme="1"/>
        <rFont val="Times New Roman"/>
        <family val="1"/>
      </rPr>
      <t>,m</t>
    </r>
  </si>
  <si>
    <r>
      <t>2r</t>
    </r>
    <r>
      <rPr>
        <i/>
        <vertAlign val="subscript"/>
        <sz val="11"/>
        <color theme="1"/>
        <rFont val="Times New Roman"/>
        <family val="1"/>
      </rPr>
      <t>c</t>
    </r>
    <r>
      <rPr>
        <i/>
        <sz val="11"/>
        <color theme="1"/>
        <rFont val="Times New Roman"/>
        <family val="1"/>
      </rPr>
      <t>/V</t>
    </r>
    <r>
      <rPr>
        <i/>
        <vertAlign val="subscript"/>
        <sz val="11"/>
        <color theme="1"/>
        <rFont val="Times New Roman"/>
        <family val="1"/>
      </rPr>
      <t>cell</t>
    </r>
    <r>
      <rPr>
        <i/>
        <vertAlign val="superscript"/>
        <sz val="11"/>
        <color theme="1"/>
        <rFont val="Times New Roman"/>
        <family val="1"/>
      </rPr>
      <t>1/3</t>
    </r>
  </si>
  <si>
    <r>
      <t>N</t>
    </r>
    <r>
      <rPr>
        <i/>
        <vertAlign val="subscript"/>
        <sz val="11"/>
        <color theme="1"/>
        <rFont val="Times New Roman"/>
        <family val="1"/>
      </rPr>
      <t>m</t>
    </r>
    <r>
      <rPr>
        <i/>
        <sz val="11"/>
        <color theme="1"/>
        <rFont val="Times New Roman"/>
        <family val="1"/>
      </rPr>
      <t>/V, #/m</t>
    </r>
    <r>
      <rPr>
        <i/>
        <vertAlign val="superscript"/>
        <sz val="11"/>
        <color theme="1"/>
        <rFont val="Times New Roman"/>
        <family val="1"/>
      </rPr>
      <t>3</t>
    </r>
  </si>
  <si>
    <r>
      <t>t</t>
    </r>
    <r>
      <rPr>
        <i/>
        <vertAlign val="subscript"/>
        <sz val="11"/>
        <color theme="1"/>
        <rFont val="Times New Roman"/>
        <family val="1"/>
      </rPr>
      <t>ind</t>
    </r>
    <r>
      <rPr>
        <i/>
        <sz val="11"/>
        <color theme="1"/>
        <rFont val="Times New Roman"/>
        <family val="1"/>
      </rPr>
      <t>, sec</t>
    </r>
  </si>
  <si>
    <t>Avagadro Number</t>
  </si>
  <si>
    <t>molecules/mol</t>
  </si>
  <si>
    <r>
      <t>Na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B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O</t>
    </r>
    <r>
      <rPr>
        <vertAlign val="subscript"/>
        <sz val="11"/>
        <color theme="1"/>
        <rFont val="Aptos Narrow"/>
        <family val="2"/>
        <scheme val="minor"/>
      </rPr>
      <t>7</t>
    </r>
    <r>
      <rPr>
        <sz val="11"/>
        <color theme="1"/>
        <rFont val="Aptos Narrow"/>
        <family val="2"/>
        <scheme val="minor"/>
      </rPr>
      <t>·10H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</si>
  <si>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r>
      <t>c*/c</t>
    </r>
    <r>
      <rPr>
        <i/>
        <vertAlign val="subscript"/>
        <sz val="11"/>
        <color theme="1"/>
        <rFont val="Times New Roman"/>
        <family val="1"/>
      </rPr>
      <t>nuc</t>
    </r>
  </si>
  <si>
    <t>Water</t>
  </si>
  <si>
    <t>Glycine</t>
  </si>
  <si>
    <r>
      <t>C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H</t>
    </r>
    <r>
      <rPr>
        <vertAlign val="subscript"/>
        <sz val="11"/>
        <color theme="1"/>
        <rFont val="Aptos Narrow"/>
        <family val="2"/>
        <scheme val="minor"/>
      </rPr>
      <t>5</t>
    </r>
    <r>
      <rPr>
        <sz val="11"/>
        <color theme="1"/>
        <rFont val="Aptos Narrow"/>
        <family val="2"/>
        <scheme val="minor"/>
      </rPr>
      <t>NO</t>
    </r>
    <r>
      <rPr>
        <vertAlign val="subscript"/>
        <sz val="11"/>
        <color theme="1"/>
        <rFont val="Aptos Narrow"/>
        <family val="2"/>
        <scheme val="minor"/>
      </rPr>
      <t>2</t>
    </r>
  </si>
  <si>
    <t>Lysozyme</t>
  </si>
  <si>
    <t>NaCL</t>
  </si>
  <si>
    <t>Pyrazinamide</t>
  </si>
  <si>
    <t>Acetone</t>
  </si>
  <si>
    <t>Density</t>
  </si>
  <si>
    <t>g/mL</t>
  </si>
  <si>
    <r>
      <t>C</t>
    </r>
    <r>
      <rPr>
        <vertAlign val="subscript"/>
        <sz val="11"/>
        <color theme="1"/>
        <rFont val="Aptos Narrow"/>
        <family val="2"/>
        <scheme val="minor"/>
      </rPr>
      <t>5</t>
    </r>
    <r>
      <rPr>
        <sz val="11"/>
        <color theme="1"/>
        <rFont val="Aptos Narrow"/>
        <family val="2"/>
        <scheme val="minor"/>
      </rPr>
      <t>H</t>
    </r>
    <r>
      <rPr>
        <vertAlign val="subscript"/>
        <sz val="11"/>
        <color theme="1"/>
        <rFont val="Aptos Narrow"/>
        <family val="2"/>
        <scheme val="minor"/>
      </rPr>
      <t>5</t>
    </r>
    <r>
      <rPr>
        <sz val="11"/>
        <color theme="1"/>
        <rFont val="Aptos Narrow"/>
        <family val="2"/>
        <scheme val="minor"/>
      </rPr>
      <t>N</t>
    </r>
    <r>
      <rPr>
        <vertAlign val="sub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O</t>
    </r>
  </si>
  <si>
    <t>DOI</t>
  </si>
  <si>
    <t>https://doi.org/10.1021/je201073e</t>
  </si>
  <si>
    <t>https://doi.org/10.1016/j.jcrysgro.2010.11.098</t>
  </si>
  <si>
    <t>10.1080/00986445.2011.545301</t>
  </si>
  <si>
    <t>https://doi.org/10.1021/acs.iecr.2c01123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</si>
</sst>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00"/>
    <numFmt numFmtId="167" formatCode="0.0000"/>
    <numFmt numFmtId="168" formatCode="0.0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2"/>
    </font>
    <font>
      <i/>
      <vertAlign val="superscript"/>
      <sz val="10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sz val="11"/>
      <color theme="1"/>
      <name val="Aptos Display"/>
      <family val="2"/>
    </font>
    <font>
      <vertAlign val="subscript"/>
      <sz val="11"/>
      <color theme="1"/>
      <name val="Aptos Narrow"/>
      <family val="2"/>
      <scheme val="minor"/>
    </font>
    <font>
      <i/>
      <vertAlign val="sub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8"/>
      <color theme="1"/>
      <name val="Times New Roman"/>
      <family val="1"/>
    </font>
    <font>
      <u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2" borderId="1" xfId="0" applyFont="1" applyFill="1" applyBorder="1"/>
    <xf numFmtId="0" fontId="0" fillId="0" borderId="1" xfId="0" applyBorder="1"/>
    <xf numFmtId="0" fontId="0" fillId="2" borderId="1" xfId="0" applyFill="1" applyBorder="1"/>
    <xf numFmtId="11" fontId="3" fillId="0" borderId="0" xfId="0" applyNumberFormat="1" applyFont="1"/>
    <xf numFmtId="2" fontId="0" fillId="0" borderId="1" xfId="0" applyNumberFormat="1" applyBorder="1"/>
    <xf numFmtId="164" fontId="0" fillId="0" borderId="1" xfId="0" applyNumberFormat="1" applyBorder="1"/>
    <xf numFmtId="11" fontId="0" fillId="0" borderId="1" xfId="0" applyNumberFormat="1" applyBorder="1"/>
    <xf numFmtId="165" fontId="0" fillId="0" borderId="1" xfId="0" applyNumberFormat="1" applyBorder="1"/>
    <xf numFmtId="168" fontId="0" fillId="0" borderId="1" xfId="0" applyNumberFormat="1" applyBorder="1"/>
    <xf numFmtId="2" fontId="0" fillId="0" borderId="4" xfId="0" applyNumberFormat="1" applyBorder="1"/>
    <xf numFmtId="164" fontId="0" fillId="0" borderId="4" xfId="0" applyNumberFormat="1" applyBorder="1"/>
    <xf numFmtId="11" fontId="0" fillId="0" borderId="4" xfId="0" applyNumberFormat="1" applyBorder="1"/>
    <xf numFmtId="165" fontId="0" fillId="0" borderId="4" xfId="0" applyNumberFormat="1" applyBorder="1"/>
    <xf numFmtId="0" fontId="0" fillId="0" borderId="4" xfId="0" applyBorder="1"/>
    <xf numFmtId="168" fontId="0" fillId="0" borderId="4" xfId="0" applyNumberFormat="1" applyBorder="1"/>
    <xf numFmtId="2" fontId="0" fillId="0" borderId="5" xfId="0" applyNumberFormat="1" applyBorder="1"/>
    <xf numFmtId="164" fontId="0" fillId="0" borderId="5" xfId="0" applyNumberFormat="1" applyBorder="1"/>
    <xf numFmtId="11" fontId="0" fillId="0" borderId="5" xfId="0" applyNumberFormat="1" applyBorder="1"/>
    <xf numFmtId="165" fontId="0" fillId="0" borderId="5" xfId="0" applyNumberFormat="1" applyBorder="1"/>
    <xf numFmtId="0" fontId="0" fillId="0" borderId="5" xfId="0" applyBorder="1"/>
    <xf numFmtId="168" fontId="0" fillId="0" borderId="5" xfId="0" applyNumberFormat="1" applyBorder="1"/>
    <xf numFmtId="0" fontId="0" fillId="0" borderId="0" xfId="0" applyAlignment="1">
      <alignment horizontal="right"/>
    </xf>
    <xf numFmtId="2" fontId="0" fillId="0" borderId="13" xfId="0" applyNumberFormat="1" applyBorder="1"/>
    <xf numFmtId="164" fontId="0" fillId="0" borderId="14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164" fontId="0" fillId="0" borderId="15" xfId="0" applyNumberFormat="1" applyBorder="1"/>
    <xf numFmtId="11" fontId="0" fillId="0" borderId="15" xfId="0" applyNumberFormat="1" applyBorder="1"/>
    <xf numFmtId="165" fontId="0" fillId="0" borderId="15" xfId="0" applyNumberFormat="1" applyBorder="1"/>
    <xf numFmtId="168" fontId="0" fillId="0" borderId="18" xfId="0" applyNumberFormat="1" applyBorder="1"/>
    <xf numFmtId="2" fontId="0" fillId="0" borderId="19" xfId="0" applyNumberFormat="1" applyBorder="1"/>
    <xf numFmtId="164" fontId="0" fillId="0" borderId="0" xfId="0" applyNumberFormat="1"/>
    <xf numFmtId="2" fontId="0" fillId="0" borderId="0" xfId="0" applyNumberFormat="1"/>
    <xf numFmtId="168" fontId="0" fillId="0" borderId="20" xfId="0" applyNumberFormat="1" applyBorder="1"/>
    <xf numFmtId="2" fontId="0" fillId="0" borderId="21" xfId="0" applyNumberFormat="1" applyBorder="1"/>
    <xf numFmtId="164" fontId="0" fillId="0" borderId="22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164" fontId="0" fillId="0" borderId="23" xfId="0" applyNumberFormat="1" applyBorder="1"/>
    <xf numFmtId="11" fontId="0" fillId="0" borderId="23" xfId="0" applyNumberFormat="1" applyBorder="1"/>
    <xf numFmtId="165" fontId="0" fillId="0" borderId="23" xfId="0" applyNumberFormat="1" applyBorder="1"/>
    <xf numFmtId="2" fontId="0" fillId="0" borderId="26" xfId="0" applyNumberFormat="1" applyBorder="1"/>
    <xf numFmtId="168" fontId="0" fillId="0" borderId="27" xfId="0" applyNumberFormat="1" applyBorder="1"/>
    <xf numFmtId="2" fontId="0" fillId="0" borderId="28" xfId="0" applyNumberFormat="1" applyBorder="1"/>
    <xf numFmtId="0" fontId="0" fillId="0" borderId="15" xfId="0" applyBorder="1"/>
    <xf numFmtId="2" fontId="0" fillId="0" borderId="29" xfId="0" applyNumberFormat="1" applyBorder="1"/>
    <xf numFmtId="2" fontId="0" fillId="0" borderId="30" xfId="0" applyNumberFormat="1" applyBorder="1"/>
    <xf numFmtId="0" fontId="0" fillId="0" borderId="23" xfId="0" applyBorder="1"/>
    <xf numFmtId="0" fontId="3" fillId="2" borderId="4" xfId="0" applyFont="1" applyFill="1" applyBorder="1"/>
    <xf numFmtId="0" fontId="0" fillId="2" borderId="4" xfId="0" applyFill="1" applyBorder="1"/>
    <xf numFmtId="11" fontId="0" fillId="0" borderId="0" xfId="0" applyNumberFormat="1"/>
    <xf numFmtId="0" fontId="0" fillId="0" borderId="0" xfId="0" applyAlignment="1">
      <alignment vertical="center"/>
    </xf>
    <xf numFmtId="11" fontId="0" fillId="0" borderId="31" xfId="0" applyNumberFormat="1" applyBorder="1"/>
    <xf numFmtId="11" fontId="0" fillId="0" borderId="32" xfId="0" applyNumberFormat="1" applyBorder="1"/>
    <xf numFmtId="11" fontId="0" fillId="0" borderId="33" xfId="0" applyNumberFormat="1" applyBorder="1"/>
    <xf numFmtId="11" fontId="0" fillId="0" borderId="34" xfId="0" applyNumberFormat="1" applyBorder="1"/>
    <xf numFmtId="11" fontId="0" fillId="0" borderId="3" xfId="0" applyNumberFormat="1" applyBorder="1"/>
    <xf numFmtId="11" fontId="0" fillId="0" borderId="37" xfId="0" applyNumberFormat="1" applyBorder="1"/>
    <xf numFmtId="2" fontId="0" fillId="0" borderId="38" xfId="0" applyNumberFormat="1" applyBorder="1"/>
    <xf numFmtId="2" fontId="0" fillId="0" borderId="39" xfId="0" applyNumberFormat="1" applyBorder="1"/>
    <xf numFmtId="2" fontId="0" fillId="0" borderId="2" xfId="0" applyNumberFormat="1" applyBorder="1"/>
    <xf numFmtId="165" fontId="0" fillId="0" borderId="0" xfId="0" applyNumberFormat="1"/>
    <xf numFmtId="168" fontId="0" fillId="0" borderId="0" xfId="0" applyNumberFormat="1"/>
    <xf numFmtId="165" fontId="0" fillId="0" borderId="0" xfId="0" applyNumberFormat="1" applyAlignment="1">
      <alignment vertical="center"/>
    </xf>
    <xf numFmtId="11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15" xfId="0" applyNumberFormat="1" applyBorder="1"/>
    <xf numFmtId="166" fontId="0" fillId="0" borderId="15" xfId="0" applyNumberFormat="1" applyBorder="1"/>
    <xf numFmtId="166" fontId="0" fillId="0" borderId="1" xfId="0" applyNumberFormat="1" applyBorder="1"/>
    <xf numFmtId="166" fontId="0" fillId="0" borderId="23" xfId="0" applyNumberFormat="1" applyBorder="1"/>
    <xf numFmtId="0" fontId="11" fillId="0" borderId="0" xfId="0" applyFont="1"/>
    <xf numFmtId="0" fontId="0" fillId="0" borderId="1" xfId="0" applyBorder="1" applyAlignment="1">
      <alignment horizontal="right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3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16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1" fontId="0" fillId="0" borderId="11" xfId="0" applyNumberFormat="1" applyBorder="1" applyAlignment="1">
      <alignment horizontal="center" vertical="center"/>
    </xf>
    <xf numFmtId="11" fontId="0" fillId="0" borderId="12" xfId="0" applyNumberFormat="1" applyBorder="1" applyAlignment="1">
      <alignment horizontal="center" vertical="center"/>
    </xf>
    <xf numFmtId="11" fontId="0" fillId="0" borderId="26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Borax-cooling</a:t>
            </a:r>
            <a:r>
              <a:rPr lang="en-IN" baseline="0"/>
              <a:t> rate_R_0.2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32698086652212E-2"/>
                  <c:y val="-0.39861250617535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borax!$R$12:$R$16</c:f>
              <c:numCache>
                <c:formatCode>0.00E+00</c:formatCode>
                <c:ptCount val="5"/>
                <c:pt idx="0">
                  <c:v>3.5932446999640674E-3</c:v>
                </c:pt>
                <c:pt idx="1">
                  <c:v>3.5458478122119001E-3</c:v>
                </c:pt>
                <c:pt idx="2">
                  <c:v>3.4689700627883583E-3</c:v>
                </c:pt>
                <c:pt idx="3">
                  <c:v>3.4193879295606089E-3</c:v>
                </c:pt>
                <c:pt idx="4">
                  <c:v>3.3815602437807361E-3</c:v>
                </c:pt>
              </c:numCache>
            </c:numRef>
          </c:xVal>
          <c:yVal>
            <c:numRef>
              <c:f>borax!$Q$12:$Q$16</c:f>
              <c:numCache>
                <c:formatCode>0.00</c:formatCode>
                <c:ptCount val="5"/>
                <c:pt idx="0">
                  <c:v>50.307147400692067</c:v>
                </c:pt>
                <c:pt idx="1">
                  <c:v>50.473412686569269</c:v>
                </c:pt>
                <c:pt idx="2">
                  <c:v>50.702049324346177</c:v>
                </c:pt>
                <c:pt idx="3">
                  <c:v>50.873715862400715</c:v>
                </c:pt>
                <c:pt idx="4">
                  <c:v>51.014161430246233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38-4559-BC9A-59FCC968F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Pyrazinamide-cooling</a:t>
            </a:r>
            <a:r>
              <a:rPr lang="en-IN" baseline="0"/>
              <a:t> rate_R_0.001667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9.5473665791776033E-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32698086652212E-2"/>
                  <c:y val="-0.39861250617535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Pyrazinamide!$R$12:$R$14</c:f>
              <c:numCache>
                <c:formatCode>0.00E+00</c:formatCode>
                <c:ptCount val="3"/>
                <c:pt idx="0">
                  <c:v>3.3962119331340211E-3</c:v>
                </c:pt>
                <c:pt idx="1">
                  <c:v>3.3364506904284236E-3</c:v>
                </c:pt>
                <c:pt idx="2">
                  <c:v>3.2732217077445077E-3</c:v>
                </c:pt>
              </c:numCache>
            </c:numRef>
          </c:xVal>
          <c:yVal>
            <c:numRef>
              <c:f>Pyrazinamide!$Q$12:$Q$14</c:f>
              <c:numCache>
                <c:formatCode>0.00</c:formatCode>
                <c:ptCount val="3"/>
                <c:pt idx="0">
                  <c:v>48.815439134012628</c:v>
                </c:pt>
                <c:pt idx="1">
                  <c:v>49.07528810268488</c:v>
                </c:pt>
                <c:pt idx="2">
                  <c:v>49.152038378371351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35-4545-B7B7-FC1CBD78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Pyrazinamide-cooling</a:t>
            </a:r>
            <a:r>
              <a:rPr lang="en-IN" baseline="0"/>
              <a:t> rate_R_0.0033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Pyrazinamide!$R$18:$R$21</c:f>
              <c:numCache>
                <c:formatCode>0.00E+00</c:formatCode>
                <c:ptCount val="4"/>
                <c:pt idx="0">
                  <c:v>3.4164276875499229E-3</c:v>
                </c:pt>
                <c:pt idx="1">
                  <c:v>3.3546228883906903E-3</c:v>
                </c:pt>
                <c:pt idx="2">
                  <c:v>3.2924260372952851E-3</c:v>
                </c:pt>
                <c:pt idx="3">
                  <c:v>3.2275191190163808E-3</c:v>
                </c:pt>
              </c:numCache>
            </c:numRef>
          </c:xVal>
          <c:yVal>
            <c:numRef>
              <c:f>Pyrazinamide!$Q$18:$Q$21</c:f>
              <c:numCache>
                <c:formatCode>0.00</c:formatCode>
                <c:ptCount val="4"/>
                <c:pt idx="0">
                  <c:v>49.603036990060751</c:v>
                </c:pt>
                <c:pt idx="1">
                  <c:v>49.839403270890578</c:v>
                </c:pt>
                <c:pt idx="2">
                  <c:v>49.995591122249685</c:v>
                </c:pt>
                <c:pt idx="3">
                  <c:v>50.092464144837272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32-413F-879D-478F444BD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1218285214348206E-2"/>
                  <c:y val="0.362517862350539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Pyrazinamide!$F$12:$F$15</c:f>
              <c:numCache>
                <c:formatCode>0.00</c:formatCode>
                <c:ptCount val="4"/>
                <c:pt idx="0">
                  <c:v>298.1284</c:v>
                </c:pt>
                <c:pt idx="1">
                  <c:v>303.32310000000001</c:v>
                </c:pt>
                <c:pt idx="2">
                  <c:v>308.40010000000001</c:v>
                </c:pt>
                <c:pt idx="3">
                  <c:v>313.39940000000001</c:v>
                </c:pt>
              </c:numCache>
            </c:numRef>
          </c:xVal>
          <c:yVal>
            <c:numRef>
              <c:f>Pyrazinamide!$G$12:$G$15</c:f>
              <c:numCache>
                <c:formatCode>0.0000</c:formatCode>
                <c:ptCount val="4"/>
                <c:pt idx="0">
                  <c:v>7.6204459999999995E-3</c:v>
                </c:pt>
                <c:pt idx="1">
                  <c:v>9.3539699999999996E-3</c:v>
                </c:pt>
                <c:pt idx="2">
                  <c:v>1.1322813999999999E-2</c:v>
                </c:pt>
                <c:pt idx="3">
                  <c:v>1.3672876400000001E-2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0D-46F8-B4D0-95202A23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53568"/>
        <c:axId val="178073248"/>
      </c:scatterChart>
      <c:valAx>
        <c:axId val="17805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T(K)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73248"/>
        <c:crosses val="autoZero"/>
        <c:crossBetween val="midCat"/>
      </c:valAx>
      <c:valAx>
        <c:axId val="178073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c* (g/mL)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5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Borax-cooling</a:t>
            </a:r>
            <a:r>
              <a:rPr lang="en-IN" baseline="0"/>
              <a:t> rate_R_0.64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32698086652212E-2"/>
                  <c:y val="-0.39861250617535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borax!$R$18:$R$22</c:f>
              <c:numCache>
                <c:formatCode>0.00E+00</c:formatCode>
                <c:ptCount val="5"/>
                <c:pt idx="0">
                  <c:v>3.6505564689247841E-3</c:v>
                </c:pt>
                <c:pt idx="1">
                  <c:v>3.5845367101007366E-3</c:v>
                </c:pt>
                <c:pt idx="2">
                  <c:v>3.5058860320592244E-3</c:v>
                </c:pt>
                <c:pt idx="3">
                  <c:v>3.460975973074161E-3</c:v>
                </c:pt>
                <c:pt idx="4">
                  <c:v>3.4157842158934119E-3</c:v>
                </c:pt>
              </c:numCache>
            </c:numRef>
          </c:xVal>
          <c:yVal>
            <c:numRef>
              <c:f>borax!$Q$18:$Q$22</c:f>
              <c:numCache>
                <c:formatCode>0.00</c:formatCode>
                <c:ptCount val="5"/>
                <c:pt idx="0">
                  <c:v>51.380452067773042</c:v>
                </c:pt>
                <c:pt idx="1">
                  <c:v>51.573555122591344</c:v>
                </c:pt>
                <c:pt idx="2">
                  <c:v>51.801168366390868</c:v>
                </c:pt>
                <c:pt idx="3">
                  <c:v>51.962407184365063</c:v>
                </c:pt>
                <c:pt idx="4">
                  <c:v>52.114207415040191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2-418A-A642-A55CCB7D3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Solubility Curve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borax!$F$12:$F$16</c:f>
              <c:numCache>
                <c:formatCode>0.00</c:formatCode>
                <c:ptCount val="5"/>
                <c:pt idx="0">
                  <c:v>289.09836000000001</c:v>
                </c:pt>
                <c:pt idx="1">
                  <c:v>292.68178999999998</c:v>
                </c:pt>
                <c:pt idx="2">
                  <c:v>296.62583000000001</c:v>
                </c:pt>
                <c:pt idx="3">
                  <c:v>300.02238</c:v>
                </c:pt>
                <c:pt idx="4">
                  <c:v>302.93113</c:v>
                </c:pt>
              </c:numCache>
            </c:numRef>
          </c:xVal>
          <c:yVal>
            <c:numRef>
              <c:f>borax!$G$12:$G$16</c:f>
              <c:numCache>
                <c:formatCode>0.000</c:formatCode>
                <c:ptCount val="5"/>
                <c:pt idx="0">
                  <c:v>3.7183677945402789E-2</c:v>
                </c:pt>
                <c:pt idx="1">
                  <c:v>4.378425632294624E-2</c:v>
                </c:pt>
                <c:pt idx="2">
                  <c:v>5.2411316517528617E-2</c:v>
                </c:pt>
                <c:pt idx="3">
                  <c:v>6.1191311597881624E-2</c:v>
                </c:pt>
                <c:pt idx="4">
                  <c:v>6.987054774946018E-2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EA-4641-81C8-233E95E3D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15168"/>
        <c:axId val="178015648"/>
      </c:scatterChart>
      <c:valAx>
        <c:axId val="17801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T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15648"/>
        <c:crosses val="autoZero"/>
        <c:crossBetween val="midCat"/>
      </c:valAx>
      <c:valAx>
        <c:axId val="178015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c* (g/mL)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1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Glycine-cooling</a:t>
            </a:r>
            <a:r>
              <a:rPr lang="en-IN" baseline="0"/>
              <a:t> rate_R_0.001667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32698086652212E-2"/>
                  <c:y val="-0.39861250617535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Glycine!$R$12:$R$15</c:f>
              <c:numCache>
                <c:formatCode>0.00E+00</c:formatCode>
                <c:ptCount val="4"/>
                <c:pt idx="0">
                  <c:v>3.4030389137499786E-3</c:v>
                </c:pt>
                <c:pt idx="1">
                  <c:v>3.2969025600448378E-3</c:v>
                </c:pt>
                <c:pt idx="2">
                  <c:v>3.2100770739505453E-3</c:v>
                </c:pt>
                <c:pt idx="3">
                  <c:v>3.1385940354158952E-3</c:v>
                </c:pt>
              </c:numCache>
            </c:numRef>
          </c:xVal>
          <c:yVal>
            <c:numRef>
              <c:f>Glycine!$Q$12:$Q$15</c:f>
              <c:numCache>
                <c:formatCode>0.00</c:formatCode>
                <c:ptCount val="4"/>
                <c:pt idx="0">
                  <c:v>52.619521171543532</c:v>
                </c:pt>
                <c:pt idx="1">
                  <c:v>52.759404646844949</c:v>
                </c:pt>
                <c:pt idx="2">
                  <c:v>52.932918509205493</c:v>
                </c:pt>
                <c:pt idx="3">
                  <c:v>53.06983726381155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5-41DE-B8A4-450C7741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Glycine-cooling rate_R_0.005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32698086652212E-2"/>
                  <c:y val="-0.398612506175354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Glycine!$R$18:$R$21</c:f>
              <c:numCache>
                <c:formatCode>0.00E+00</c:formatCode>
                <c:ptCount val="4"/>
                <c:pt idx="0">
                  <c:v>3.4393690821355734E-3</c:v>
                </c:pt>
                <c:pt idx="1">
                  <c:v>3.3228110981890682E-3</c:v>
                </c:pt>
                <c:pt idx="2">
                  <c:v>3.228462122068153E-3</c:v>
                </c:pt>
                <c:pt idx="3">
                  <c:v>3.1583801299989262E-3</c:v>
                </c:pt>
              </c:numCache>
            </c:numRef>
          </c:xVal>
          <c:yVal>
            <c:numRef>
              <c:f>Glycine!$Q$18:$Q$21</c:f>
              <c:numCache>
                <c:formatCode>0.00</c:formatCode>
                <c:ptCount val="4"/>
                <c:pt idx="0">
                  <c:v>53.679519668298362</c:v>
                </c:pt>
                <c:pt idx="1">
                  <c:v>53.832618613090439</c:v>
                </c:pt>
                <c:pt idx="2">
                  <c:v>54.005574099594163</c:v>
                </c:pt>
                <c:pt idx="3">
                  <c:v>54.135298228307725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0-42E6-9866-99622AD48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Glycine-cooling</a:t>
            </a:r>
            <a:r>
              <a:rPr lang="en-IN" baseline="0"/>
              <a:t> rate_R_0.01667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Glycine!$R$24:$R$27</c:f>
              <c:numCache>
                <c:formatCode>0.00E+00</c:formatCode>
                <c:ptCount val="4"/>
                <c:pt idx="0">
                  <c:v>3.5355303118691284E-3</c:v>
                </c:pt>
                <c:pt idx="1">
                  <c:v>3.3624408630713205E-3</c:v>
                </c:pt>
                <c:pt idx="2">
                  <c:v>3.2848921241426434E-3</c:v>
                </c:pt>
                <c:pt idx="3">
                  <c:v>3.1956743352198466E-3</c:v>
                </c:pt>
              </c:numCache>
            </c:numRef>
          </c:xVal>
          <c:yVal>
            <c:numRef>
              <c:f>Glycine!$Q$24:$Q$27</c:f>
              <c:numCache>
                <c:formatCode>0.00</c:formatCode>
                <c:ptCount val="4"/>
                <c:pt idx="0">
                  <c:v>54.801483476333971</c:v>
                </c:pt>
                <c:pt idx="1">
                  <c:v>55.001421305456489</c:v>
                </c:pt>
                <c:pt idx="2">
                  <c:v>55.147215777067679</c:v>
                </c:pt>
                <c:pt idx="3">
                  <c:v>55.291533052467138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EA-44FE-B9C2-72D29CD6D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Solubility curve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3.6568897637795278E-2"/>
                  <c:y val="0.198657407407407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Glycine!$F$18:$F$21</c:f>
              <c:numCache>
                <c:formatCode>0.00</c:formatCode>
                <c:ptCount val="4"/>
                <c:pt idx="0">
                  <c:v>302.798</c:v>
                </c:pt>
                <c:pt idx="1">
                  <c:v>311.37099999999998</c:v>
                </c:pt>
                <c:pt idx="2">
                  <c:v>318.392</c:v>
                </c:pt>
                <c:pt idx="3">
                  <c:v>324.67399999999998</c:v>
                </c:pt>
              </c:numCache>
            </c:numRef>
          </c:xVal>
          <c:yVal>
            <c:numRef>
              <c:f>Glycine!$G$18:$G$21</c:f>
              <c:numCache>
                <c:formatCode>0.000</c:formatCode>
                <c:ptCount val="4"/>
                <c:pt idx="0">
                  <c:v>0.30015999999999998</c:v>
                </c:pt>
                <c:pt idx="1">
                  <c:v>0.35017999999999999</c:v>
                </c:pt>
                <c:pt idx="2">
                  <c:v>0.40021999999999996</c:v>
                </c:pt>
                <c:pt idx="3">
                  <c:v>0.44988999999999996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4A-4448-8771-A958B7C0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55968"/>
        <c:axId val="178059328"/>
      </c:scatterChart>
      <c:valAx>
        <c:axId val="17805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T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59328"/>
        <c:crosses val="autoZero"/>
        <c:crossBetween val="midCat"/>
      </c:valAx>
      <c:valAx>
        <c:axId val="178059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c* (g/mL)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5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Lysozyme-cooling</a:t>
            </a:r>
            <a:r>
              <a:rPr lang="en-IN" baseline="0"/>
              <a:t> rate_R_0.0002778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22074670014074324"/>
          <c:y val="0.11028843294677372"/>
          <c:w val="0.72070257522157555"/>
          <c:h val="0.684185941966888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4879417246757199E-2"/>
                  <c:y val="-0.366425317524964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Lysozyme!$R$12:$R$16</c:f>
              <c:numCache>
                <c:formatCode>0.00E+00</c:formatCode>
                <c:ptCount val="5"/>
                <c:pt idx="0">
                  <c:v>3.3238603313888748E-3</c:v>
                </c:pt>
                <c:pt idx="1">
                  <c:v>3.2903936956056789E-3</c:v>
                </c:pt>
                <c:pt idx="2">
                  <c:v>3.2633880494729629E-3</c:v>
                </c:pt>
                <c:pt idx="3">
                  <c:v>3.2494646506987974E-3</c:v>
                </c:pt>
                <c:pt idx="4">
                  <c:v>3.2366335127507174E-3</c:v>
                </c:pt>
              </c:numCache>
            </c:numRef>
          </c:xVal>
          <c:yVal>
            <c:numRef>
              <c:f>Lysozyme!$Q$12:$Q$16</c:f>
              <c:numCache>
                <c:formatCode>0.00</c:formatCode>
                <c:ptCount val="5"/>
                <c:pt idx="0">
                  <c:v>43.547192129820793</c:v>
                </c:pt>
                <c:pt idx="1">
                  <c:v>43.842473297810429</c:v>
                </c:pt>
                <c:pt idx="2">
                  <c:v>44.133352558508768</c:v>
                </c:pt>
                <c:pt idx="3">
                  <c:v>44.31587642982867</c:v>
                </c:pt>
                <c:pt idx="4">
                  <c:v>44.454058397742308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A4-482D-93DC-919C28667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08128"/>
        <c:axId val="177917248"/>
      </c:scatterChart>
      <c:valAx>
        <c:axId val="177908128"/>
        <c:scaling>
          <c:orientation val="minMax"/>
        </c:scaling>
        <c:delete val="0"/>
        <c:axPos val="b"/>
        <c:numFmt formatCode="0.00E+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17248"/>
        <c:crosses val="autoZero"/>
        <c:crossBetween val="midCat"/>
      </c:valAx>
      <c:valAx>
        <c:axId val="177917248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0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Solubility Curve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Lysozyme!$F$12:$F$16</c:f>
              <c:numCache>
                <c:formatCode>General</c:formatCode>
                <c:ptCount val="5"/>
                <c:pt idx="0">
                  <c:v>310.37799999999999</c:v>
                </c:pt>
                <c:pt idx="1">
                  <c:v>314.36200000000002</c:v>
                </c:pt>
                <c:pt idx="2">
                  <c:v>320.57499999999999</c:v>
                </c:pt>
                <c:pt idx="3">
                  <c:v>325.40100000000001</c:v>
                </c:pt>
                <c:pt idx="4">
                  <c:v>329.39400000000001</c:v>
                </c:pt>
              </c:numCache>
            </c:numRef>
          </c:xVal>
          <c:yVal>
            <c:numRef>
              <c:f>Lysozyme!$G$12:$G$16</c:f>
              <c:numCache>
                <c:formatCode>0.000</c:formatCode>
                <c:ptCount val="5"/>
                <c:pt idx="0">
                  <c:v>1.506E-2</c:v>
                </c:pt>
                <c:pt idx="1">
                  <c:v>2.0033000000000002E-2</c:v>
                </c:pt>
                <c:pt idx="2">
                  <c:v>2.9869E-2</c:v>
                </c:pt>
                <c:pt idx="3">
                  <c:v>3.9912999999999997E-2</c:v>
                </c:pt>
                <c:pt idx="4" formatCode="0.00">
                  <c:v>4.9851999999999994E-2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3-4634-A716-8365B1D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75168"/>
        <c:axId val="178072288"/>
      </c:scatterChart>
      <c:valAx>
        <c:axId val="17807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T(K)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72288"/>
        <c:crosses val="autoZero"/>
        <c:crossBetween val="midCat"/>
      </c:valAx>
      <c:valAx>
        <c:axId val="178072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c* (g/mL)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7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106680</xdr:colOff>
      <xdr:row>10</xdr:row>
      <xdr:rowOff>114300</xdr:rowOff>
    </xdr:from>
    <xdr:ext cx="120372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xdr:cNvPr>
            <xdr:cNvSpPr txBox="1"/>
          </xdr:nvSpPr>
          <xdr:spPr>
            <a:xfrm>
              <a:off x="11780520" y="194310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xdr:cNvPr>
            <xdr:cNvSpPr txBox="1"/>
          </xdr:nvSpPr>
          <xdr:spPr>
            <a:xfrm>
              <a:off x="11780520" y="194310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xdr:txBody>
        </xdr:sp>
      </mc:Fallback>
    </mc:AlternateContent>
    <xdr:clientData/>
  </xdr:oneCellAnchor>
  <xdr:twoCellAnchor>
    <xdr:from>
      <xdr:col>12</xdr:col>
      <xdr:colOff>76200</xdr:colOff>
      <xdr:row>23</xdr:row>
      <xdr:rowOff>72390</xdr:rowOff>
    </xdr:from>
    <xdr:to>
      <xdr:col>16</xdr:col>
      <xdr:colOff>1120140</xdr:colOff>
      <xdr:row>46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F6FB56-837A-C585-49A7-9E92F6D79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1219200</xdr:colOff>
      <xdr:row>23</xdr:row>
      <xdr:rowOff>60960</xdr:rowOff>
    </xdr:from>
    <xdr:to>
      <xdr:col>21</xdr:col>
      <xdr:colOff>373380</xdr:colOff>
      <xdr:row>46</xdr:row>
      <xdr:rowOff>125730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9EBD9D-990E-4910-ABE8-AE57B9094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22</xdr:row>
      <xdr:rowOff>156210</xdr:rowOff>
    </xdr:from>
    <xdr:to>
      <xdr:col>10</xdr:col>
      <xdr:colOff>693420</xdr:colOff>
      <xdr:row>37</xdr:row>
      <xdr:rowOff>156210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B30910-5A87-2C41-D205-3FB9E123B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106680</xdr:colOff>
      <xdr:row>10</xdr:row>
      <xdr:rowOff>114300</xdr:rowOff>
    </xdr:from>
    <xdr:ext cx="120372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97E6F19-C8AF-4330-9EEC-AE3F6C3540E3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97E6F19-C8AF-4330-9EEC-AE3F6C3540E3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xdr:txBody>
        </xdr:sp>
      </mc:Fallback>
    </mc:AlternateContent>
    <xdr:clientData/>
  </xdr:oneCellAnchor>
  <xdr:twoCellAnchor>
    <xdr:from>
      <xdr:col>14</xdr:col>
      <xdr:colOff>15240</xdr:colOff>
      <xdr:row>22</xdr:row>
      <xdr:rowOff>171450</xdr:rowOff>
    </xdr:from>
    <xdr:to>
      <xdr:col>18</xdr:col>
      <xdr:colOff>502920</xdr:colOff>
      <xdr:row>46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360B1A-E0A7-4FF1-868E-AB4FD23FB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434340</xdr:colOff>
      <xdr:row>22</xdr:row>
      <xdr:rowOff>175260</xdr:rowOff>
    </xdr:from>
    <xdr:to>
      <xdr:col>13</xdr:col>
      <xdr:colOff>845820</xdr:colOff>
      <xdr:row>46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B07102-CB46-474A-A007-78D367B3C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1005840</xdr:colOff>
      <xdr:row>23</xdr:row>
      <xdr:rowOff>3810</xdr:rowOff>
    </xdr:from>
    <xdr:to>
      <xdr:col>8</xdr:col>
      <xdr:colOff>0</xdr:colOff>
      <xdr:row>38</xdr:row>
      <xdr:rowOff>3810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75B977-CB9A-EA6D-E93E-79DEFAA32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106680</xdr:colOff>
      <xdr:row>10</xdr:row>
      <xdr:rowOff>114300</xdr:rowOff>
    </xdr:from>
    <xdr:ext cx="120372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2F4C11D-3D16-4967-9629-BD0B9506B010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2F4C11D-3D16-4967-9629-BD0B9506B010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xdr:txBody>
        </xdr:sp>
      </mc:Fallback>
    </mc:AlternateContent>
    <xdr:clientData/>
  </xdr:oneCellAnchor>
  <xdr:twoCellAnchor>
    <xdr:from>
      <xdr:col>11</xdr:col>
      <xdr:colOff>579120</xdr:colOff>
      <xdr:row>27</xdr:row>
      <xdr:rowOff>163830</xdr:rowOff>
    </xdr:from>
    <xdr:to>
      <xdr:col>16</xdr:col>
      <xdr:colOff>731520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0D4DE3-0FEB-480E-A6B8-5CE6D16E1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1097280</xdr:colOff>
      <xdr:row>27</xdr:row>
      <xdr:rowOff>175260</xdr:rowOff>
    </xdr:from>
    <xdr:to>
      <xdr:col>21</xdr:col>
      <xdr:colOff>251460</xdr:colOff>
      <xdr:row>51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39402B-2E9A-4D62-A40E-75F672A8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373380</xdr:colOff>
      <xdr:row>27</xdr:row>
      <xdr:rowOff>167640</xdr:rowOff>
    </xdr:from>
    <xdr:to>
      <xdr:col>27</xdr:col>
      <xdr:colOff>533400</xdr:colOff>
      <xdr:row>51</xdr:row>
      <xdr:rowOff>64770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A66DF4-2C1A-4085-92DB-FB609243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594360</xdr:colOff>
      <xdr:row>27</xdr:row>
      <xdr:rowOff>171450</xdr:rowOff>
    </xdr:from>
    <xdr:to>
      <xdr:col>10</xdr:col>
      <xdr:colOff>640080</xdr:colOff>
      <xdr:row>42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ACE6D3-AB0E-1B23-025B-59ED6ACAB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106680</xdr:colOff>
      <xdr:row>10</xdr:row>
      <xdr:rowOff>114300</xdr:rowOff>
    </xdr:from>
    <xdr:ext cx="1203726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1AD200A-4FAB-4E96-8643-79295AE66015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1AD200A-4FAB-4E96-8643-79295AE66015}"/>
                </a:ext>
              </a:extLst>
            </xdr:cNvPr>
            <xdr:cNvSpPr txBox="1"/>
          </xdr:nvSpPr>
          <xdr:spPr>
            <a:xfrm>
              <a:off x="14531340" y="1958340"/>
              <a:ext cx="1203726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xdr:txBody>
        </xdr:sp>
      </mc:Fallback>
    </mc:AlternateContent>
    <xdr:clientData/>
  </xdr:oneCellAnchor>
  <xdr:twoCellAnchor>
    <xdr:from>
      <xdr:col>10</xdr:col>
      <xdr:colOff>929640</xdr:colOff>
      <xdr:row>18</xdr:row>
      <xdr:rowOff>19050</xdr:rowOff>
    </xdr:from>
    <xdr:to>
      <xdr:col>16</xdr:col>
      <xdr:colOff>38100</xdr:colOff>
      <xdr:row>41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8EB15F-A6D3-43A4-BC95-6F832F608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601980</xdr:colOff>
      <xdr:row>18</xdr:row>
      <xdr:rowOff>11430</xdr:rowOff>
    </xdr:from>
    <xdr:to>
      <xdr:col>10</xdr:col>
      <xdr:colOff>647700</xdr:colOff>
      <xdr:row>33</xdr:row>
      <xdr:rowOff>11430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200B168-248E-FACB-4B0F-FD9E3CED8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0.05318</cdr:x>
      <cdr:y>0.40856</cdr:y>
    </cdr:from>
    <cdr:to>
      <cdr:x>0.12552</cdr:x>
      <cdr:y>0.6059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IN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IN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sSub>
                                  <m:sSubPr>
                                    <m:ctrlPr>
                                      <a:rPr lang="en-IN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𝑇</m:t>
                                    </m:r>
                                  </m:e>
                                  <m:sub>
                                    <m:r>
                                      <a:rPr lang="en-IN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𝑚𝑎𝑥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n-IN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unc>
                      <m:funcPr>
                        <m:ctrlPr>
                          <a:rPr lang="en-I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IN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IN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e>
                        </m:d>
                      </m:e>
                    </m:func>
                  </m:oMath>
                </m:oMathPara>
              </a14:m>
              <a:endParaRPr lang="en-IN" sz="1100"/>
            </a:p>
          </cdr:txBody>
        </cdr:sp>
      </mc:Choice>
      <mc:Fallback xmlns="">
        <cdr:sp macro="" textlink="">
          <cdr:nvSpPr>
            <cdr:cNvPr id="2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8329D5B6-E680-40BE-8D24-99FB081873C3}"/>
                </a:ext>
              </a:extLst>
            </cdr:cNvPr>
            <cdr:cNvSpPr txBox="1"/>
          </cdr:nvSpPr>
          <cdr:spPr>
            <a:xfrm xmlns:a="http://schemas.openxmlformats.org/drawingml/2006/main" rot="16200000">
              <a:off x="48364" y="1976221"/>
              <a:ext cx="842844" cy="380361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ln⁡((∆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𝑐_𝑚𝑎𝑥)/(</a:t>
              </a:r>
              <a:r>
                <a:rPr lang="en-I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∆</a:t>
              </a:r>
              <a:r>
                <a:rPr lang="en-I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𝑇_𝑚𝑎𝑥 ))+ln⁡(𝑅)</a:t>
              </a:r>
              <a:endParaRPr lang="en-IN" sz="1100"/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601E-0200-46FB-9D67-E4705BD40400}">
  <dimension ref="A2:Y22"/>
  <sheetViews>
    <sheetView workbookViewId="0">
      <selection activeCell="C12" sqref="C12:C13"/>
    </sheetView>
  </sheetViews>
  <sheetFormatPr defaultRowHeight="15" x14ac:dyDescent="0.25"/>
  <cols>
    <col min="2" max="2" width="16.7109375" customWidth="1"/>
    <col min="3" max="3" width="20.28515625" customWidth="1"/>
    <col min="9" max="9" width="12.7109375" customWidth="1"/>
    <col min="10" max="10" width="17.7109375" customWidth="1"/>
    <col min="11" max="11" width="15.28515625" customWidth="1"/>
    <col min="12" max="12" width="13" customWidth="1"/>
    <col min="13" max="13" width="12" customWidth="1"/>
    <col min="14" max="14" width="15.140625" customWidth="1"/>
    <col min="15" max="15" width="16.5703125" customWidth="1"/>
    <col min="16" max="16" width="17.7109375" customWidth="1"/>
    <col min="17" max="17" width="21.140625" customWidth="1"/>
    <col min="18" max="18" width="14.140625" customWidth="1"/>
    <col min="19" max="19" width="22.7109375" customWidth="1"/>
    <col min="20" max="20" width="16.28515625" customWidth="1"/>
    <col min="21" max="21" width="14.7109375" customWidth="1"/>
    <col min="22" max="22" width="15.5703125" customWidth="1"/>
    <col min="23" max="23" width="15.7109375" customWidth="1"/>
    <col min="24" max="24" width="12.85546875" customWidth="1"/>
    <col min="25" max="25" width="12.28515625" customWidth="1"/>
  </cols>
  <sheetData>
    <row r="2" spans="1:2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4" spans="1:25" x14ac:dyDescent="0.25">
      <c r="B4" s="1" t="s">
        <v>1</v>
      </c>
      <c r="C4" s="1" t="s">
        <v>2</v>
      </c>
    </row>
    <row r="6" spans="1:25" x14ac:dyDescent="0.25">
      <c r="D6" s="1" t="s">
        <v>6</v>
      </c>
      <c r="J6" s="74" t="s">
        <v>30</v>
      </c>
      <c r="K6" s="7">
        <v>6.0229999999999998E+23</v>
      </c>
      <c r="L6" s="74" t="s">
        <v>31</v>
      </c>
    </row>
    <row r="7" spans="1:25" x14ac:dyDescent="0.25">
      <c r="B7" s="1" t="s">
        <v>4</v>
      </c>
      <c r="C7">
        <v>381.37</v>
      </c>
      <c r="D7" s="1" t="s">
        <v>3</v>
      </c>
    </row>
    <row r="8" spans="1:25" ht="18" x14ac:dyDescent="0.35">
      <c r="B8" s="1" t="s">
        <v>5</v>
      </c>
      <c r="C8" s="25" t="s">
        <v>32</v>
      </c>
    </row>
    <row r="9" spans="1:25" x14ac:dyDescent="0.25">
      <c r="B9" s="1" t="s">
        <v>7</v>
      </c>
      <c r="C9" t="s">
        <v>34</v>
      </c>
    </row>
    <row r="10" spans="1:25" x14ac:dyDescent="0.25">
      <c r="F10" s="2"/>
      <c r="G10" s="2"/>
      <c r="H10" s="2"/>
      <c r="I10" s="2"/>
      <c r="J10" s="2" t="s">
        <v>9</v>
      </c>
      <c r="K10" s="2" t="s">
        <v>9</v>
      </c>
      <c r="L10" s="3" t="s">
        <v>10</v>
      </c>
      <c r="M10" s="2" t="s">
        <v>8</v>
      </c>
    </row>
    <row r="11" spans="1:25" ht="45.6" customHeight="1" thickBot="1" x14ac:dyDescent="0.35">
      <c r="F11" s="4" t="s">
        <v>12</v>
      </c>
      <c r="G11" s="4" t="s">
        <v>13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 t="s">
        <v>33</v>
      </c>
      <c r="N11" s="4" t="s">
        <v>19</v>
      </c>
      <c r="O11" s="4" t="s">
        <v>20</v>
      </c>
      <c r="P11" s="4" t="s">
        <v>21</v>
      </c>
      <c r="Q11" s="6"/>
      <c r="R11" s="4" t="s">
        <v>22</v>
      </c>
      <c r="S11" s="4" t="s">
        <v>23</v>
      </c>
      <c r="T11" s="4" t="s">
        <v>24</v>
      </c>
      <c r="U11" s="4" t="s">
        <v>25</v>
      </c>
      <c r="V11" s="4" t="s">
        <v>26</v>
      </c>
      <c r="W11" s="4" t="s">
        <v>27</v>
      </c>
      <c r="X11" s="4" t="s">
        <v>28</v>
      </c>
      <c r="Y11" s="4" t="s">
        <v>29</v>
      </c>
    </row>
    <row r="12" spans="1:25" x14ac:dyDescent="0.25">
      <c r="B12" s="1" t="s">
        <v>44</v>
      </c>
      <c r="C12" s="91" t="s">
        <v>45</v>
      </c>
      <c r="F12" s="8">
        <v>289.09836000000001</v>
      </c>
      <c r="G12" s="9">
        <v>3.7183677945402789E-2</v>
      </c>
      <c r="H12" s="9">
        <v>278.3</v>
      </c>
      <c r="I12" s="8">
        <f t="shared" ref="I12:I16" si="0">0.00000007*EXP(0.0456*H12)</f>
        <v>2.2724978275399953E-2</v>
      </c>
      <c r="J12" s="9">
        <f>G12-I12</f>
        <v>1.4458699670002836E-2</v>
      </c>
      <c r="K12" s="10">
        <f>J12*$K$6*1000000/$C$7</f>
        <v>2.2834713824482021E+25</v>
      </c>
      <c r="L12" s="11">
        <f>F12-H12</f>
        <v>10.798360000000002</v>
      </c>
      <c r="M12" s="8">
        <f>G12/I12</f>
        <v>1.636247018359289</v>
      </c>
      <c r="N12" s="79">
        <f>0.2/60</f>
        <v>3.3333333333333335E-3</v>
      </c>
      <c r="O12" s="8">
        <f>3308.9*8.314/1000</f>
        <v>27.510194600000002</v>
      </c>
      <c r="P12" s="81">
        <f>EXP(62.196)</f>
        <v>1.026548792433121E+27</v>
      </c>
      <c r="Q12" s="8">
        <f>LN(K12/L12)+LN($N$12)</f>
        <v>50.307147400692067</v>
      </c>
      <c r="R12" s="10">
        <f>1/H12</f>
        <v>3.5932446999640674E-3</v>
      </c>
      <c r="S12" s="10">
        <f>$P$12*EXP(-($O$12*1000)/(8.314*H12))</f>
        <v>7.0429397378894156E+21</v>
      </c>
      <c r="T12" s="8">
        <f>(($O$13*3*(1.38E-23*H12*LN(M12))^2/(16*3.14*1E-56))^(0.33333))*1000</f>
        <v>9.9177723518511502</v>
      </c>
      <c r="U12" s="10">
        <f>2*T12*1E-31/(1.38E-23*H12*LN(M12))</f>
        <v>1.0488881856298564E-9</v>
      </c>
      <c r="V12" s="83">
        <f>0.00000000116</f>
        <v>1.1599999999999999E-9</v>
      </c>
      <c r="W12" s="8">
        <f>2*U12/$V$12</f>
        <v>1.8084279062583732</v>
      </c>
      <c r="X12" s="10">
        <f>S12*L12/$N$12</f>
        <v>2.2815659624410671E+25</v>
      </c>
      <c r="Y12" s="12">
        <f>L12/$N$12</f>
        <v>3239.5080000000007</v>
      </c>
    </row>
    <row r="13" spans="1:25" ht="15.75" thickBot="1" x14ac:dyDescent="0.3">
      <c r="C13" s="92"/>
      <c r="F13" s="8">
        <v>292.68178999999998</v>
      </c>
      <c r="G13" s="9">
        <v>4.378425632294624E-2</v>
      </c>
      <c r="H13" s="9">
        <v>282.02</v>
      </c>
      <c r="I13" s="8">
        <f t="shared" si="0"/>
        <v>2.6926116361715463E-2</v>
      </c>
      <c r="J13" s="9">
        <f t="shared" ref="J13:J16" si="1">G13-I13</f>
        <v>1.6858139961230777E-2</v>
      </c>
      <c r="K13" s="10">
        <f t="shared" ref="K13:K22" si="2">J13*$K$6*1000000/$C$7</f>
        <v>2.6624164718381881E+25</v>
      </c>
      <c r="L13" s="11">
        <f t="shared" ref="L13:L16" si="3">F13-H13</f>
        <v>10.661789999999996</v>
      </c>
      <c r="M13" s="8">
        <f t="shared" ref="M13:M16" si="4">G13/I13</f>
        <v>1.6260888029586138</v>
      </c>
      <c r="N13" s="79"/>
      <c r="O13" s="10">
        <f>O12*1000/$K$6</f>
        <v>4.5675235928939073E-20</v>
      </c>
      <c r="P13" s="81"/>
      <c r="Q13" s="8">
        <f>LN(K13/L13)+LN($N$12)</f>
        <v>50.473412686569269</v>
      </c>
      <c r="R13" s="10">
        <f t="shared" ref="R13:R16" si="5">1/H13</f>
        <v>3.5458478122119001E-3</v>
      </c>
      <c r="S13" s="10">
        <f>$P$12*EXP(-($O$12*1000)/(8.314*H13))</f>
        <v>8.238820753966178E+21</v>
      </c>
      <c r="T13" s="8">
        <f>(($O$13*3*(1.38E-23*H13*LN(M13))^2/(16*3.14*1E-56))^(0.33333))*1000</f>
        <v>9.9214119673266428</v>
      </c>
      <c r="U13" s="10">
        <f>2*T13*1E-31/(1.38E-23*H13*LN(M13))</f>
        <v>1.0486957727762881E-9</v>
      </c>
      <c r="V13" s="83"/>
      <c r="W13" s="8">
        <f t="shared" ref="W13:W16" si="6">2*U13/$V$12</f>
        <v>1.8080961599591174</v>
      </c>
      <c r="X13" s="10">
        <f>S13*L13/$N$12</f>
        <v>2.6352173017928707E+25</v>
      </c>
      <c r="Y13" s="12">
        <f>L13/$N$12</f>
        <v>3198.5369999999989</v>
      </c>
    </row>
    <row r="14" spans="1:25" x14ac:dyDescent="0.25">
      <c r="F14" s="8">
        <v>296.62583000000001</v>
      </c>
      <c r="G14" s="9">
        <v>5.2411316517528617E-2</v>
      </c>
      <c r="H14" s="9">
        <v>288.27</v>
      </c>
      <c r="I14" s="8">
        <f t="shared" si="0"/>
        <v>3.5805327102589553E-2</v>
      </c>
      <c r="J14" s="9">
        <f t="shared" si="1"/>
        <v>1.6605989414939064E-2</v>
      </c>
      <c r="K14" s="10">
        <f t="shared" si="2"/>
        <v>2.6225941800922459E+25</v>
      </c>
      <c r="L14" s="11">
        <f t="shared" si="3"/>
        <v>8.3558300000000258</v>
      </c>
      <c r="M14" s="8">
        <f t="shared" si="4"/>
        <v>1.4637854408468194</v>
      </c>
      <c r="N14" s="79"/>
      <c r="O14" s="75" t="s">
        <v>11</v>
      </c>
      <c r="P14" s="81"/>
      <c r="Q14" s="8">
        <f>LN(K14/L14)+LN($N$12)</f>
        <v>50.702049324346177</v>
      </c>
      <c r="R14" s="10">
        <f t="shared" si="5"/>
        <v>3.4689700627883583E-3</v>
      </c>
      <c r="S14" s="10">
        <f>$P$12*EXP(-($O$12*1000)/(8.314*H14))</f>
        <v>1.0625300602015149E+22</v>
      </c>
      <c r="T14" s="8">
        <f>(($O$13*3*(1.38E-23*H14*LN(M14))^2/(16*3.14*1E-56))^(0.33333))*1000</f>
        <v>8.557760596381625</v>
      </c>
      <c r="U14" s="10">
        <f>2*T14*1E-31/(1.38E-23*H14*LN(M14))</f>
        <v>1.1291643438396412E-9</v>
      </c>
      <c r="V14" s="83"/>
      <c r="W14" s="8">
        <f t="shared" si="6"/>
        <v>1.9468350755855885</v>
      </c>
      <c r="X14" s="10">
        <f>S14*L14/$N$12</f>
        <v>2.6634961658800953E+25</v>
      </c>
      <c r="Y14" s="12">
        <f>L14/$N$12</f>
        <v>2506.7490000000075</v>
      </c>
    </row>
    <row r="15" spans="1:25" x14ac:dyDescent="0.25">
      <c r="F15" s="8">
        <v>300.02238</v>
      </c>
      <c r="G15" s="9">
        <v>6.1191311597881624E-2</v>
      </c>
      <c r="H15" s="9">
        <v>292.45</v>
      </c>
      <c r="I15" s="8">
        <f t="shared" si="0"/>
        <v>4.3323910324247532E-2</v>
      </c>
      <c r="J15" s="9">
        <f t="shared" si="1"/>
        <v>1.7867401273634093E-2</v>
      </c>
      <c r="K15" s="10">
        <f t="shared" si="2"/>
        <v>2.8218097351941193E+25</v>
      </c>
      <c r="L15" s="11">
        <f t="shared" si="3"/>
        <v>7.5723800000000097</v>
      </c>
      <c r="M15" s="8">
        <f t="shared" si="4"/>
        <v>1.4124143259440287</v>
      </c>
      <c r="N15" s="79"/>
      <c r="O15" s="5"/>
      <c r="P15" s="81"/>
      <c r="Q15" s="8">
        <f>LN(K15/L15)+LN($N$12)</f>
        <v>50.873715862400715</v>
      </c>
      <c r="R15" s="10">
        <f t="shared" si="5"/>
        <v>3.4193879295606089E-3</v>
      </c>
      <c r="S15" s="10">
        <f>$P$12*EXP(-($O$12*1000)/(8.314*H15))</f>
        <v>1.251966148042801E+22</v>
      </c>
      <c r="T15" s="8">
        <f>(($O$13*3*(1.38E-23*H15*LN(M15))^2/(16*3.14*1E-56))^(0.33333))*1000</f>
        <v>8.0914004898111553</v>
      </c>
      <c r="U15" s="10">
        <f>2*T15*1E-31/(1.38E-23*H15*LN(M15))</f>
        <v>1.1612500309094744E-9</v>
      </c>
      <c r="V15" s="83"/>
      <c r="W15" s="8">
        <f t="shared" si="6"/>
        <v>2.0021552257059905</v>
      </c>
      <c r="X15" s="10">
        <f>S15*L15/$N$12</f>
        <v>2.8441090260349068E+25</v>
      </c>
      <c r="Y15" s="12">
        <f>L15/$N$12</f>
        <v>2271.7140000000027</v>
      </c>
    </row>
    <row r="16" spans="1:25" ht="15.75" thickBot="1" x14ac:dyDescent="0.3">
      <c r="F16" s="13">
        <v>302.93113</v>
      </c>
      <c r="G16" s="14">
        <v>6.987054774946018E-2</v>
      </c>
      <c r="H16" s="14">
        <v>295.72147999999999</v>
      </c>
      <c r="I16" s="13">
        <f t="shared" si="0"/>
        <v>5.0293918845091871E-2</v>
      </c>
      <c r="J16" s="14">
        <f t="shared" si="1"/>
        <v>1.9576628904368308E-2</v>
      </c>
      <c r="K16" s="15">
        <f t="shared" si="2"/>
        <v>3.0917491121747989E+25</v>
      </c>
      <c r="L16" s="16">
        <f t="shared" si="3"/>
        <v>7.2096500000000106</v>
      </c>
      <c r="M16" s="13">
        <f t="shared" si="4"/>
        <v>1.3892444524886882</v>
      </c>
      <c r="N16" s="80"/>
      <c r="O16" s="17"/>
      <c r="P16" s="82"/>
      <c r="Q16" s="13">
        <f>LN(K16/L16)+LN($N$12)</f>
        <v>51.014161430246233</v>
      </c>
      <c r="R16" s="15">
        <f t="shared" si="5"/>
        <v>3.3815602437807361E-3</v>
      </c>
      <c r="S16" s="15">
        <f>$P$12*EXP(-($O$12*1000)/(8.314*H16))</f>
        <v>1.4189019012616962E+22</v>
      </c>
      <c r="T16" s="13">
        <f>(($O$13*3*(1.38E-23*H16*LN(M16))^2/(16*3.14*1E-56))^(0.33333))*1000</f>
        <v>7.8891913952798784</v>
      </c>
      <c r="U16" s="15">
        <f>2*T16*1E-31/(1.38E-23*H16*LN(M16))</f>
        <v>1.1760384092351172E-9</v>
      </c>
      <c r="V16" s="84"/>
      <c r="W16" s="13">
        <f t="shared" si="6"/>
        <v>2.0276524297157192</v>
      </c>
      <c r="X16" s="15">
        <f>S16*L16/$N$12</f>
        <v>3.0689358277294208E+25</v>
      </c>
      <c r="Y16" s="18">
        <f>L16/$N$12</f>
        <v>2162.8950000000032</v>
      </c>
    </row>
    <row r="17" spans="6:25" ht="15.75" thickBot="1" x14ac:dyDescent="0.3">
      <c r="F17" s="8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90"/>
    </row>
    <row r="18" spans="6:25" x14ac:dyDescent="0.25">
      <c r="F18" s="19">
        <v>289.09836000000001</v>
      </c>
      <c r="G18" s="20">
        <v>3.7183677945402789E-2</v>
      </c>
      <c r="H18" s="19">
        <v>273.93083999999999</v>
      </c>
      <c r="I18" s="19">
        <f t="shared" ref="I18:I22" si="7">0.00000007*EXP(0.0456*H18)</f>
        <v>1.8619901616577301E-2</v>
      </c>
      <c r="J18" s="20">
        <f t="shared" ref="J18" si="8">G18-I18</f>
        <v>1.8563776328825488E-2</v>
      </c>
      <c r="K18" s="21">
        <f t="shared" si="2"/>
        <v>2.9317886784098355E+25</v>
      </c>
      <c r="L18" s="22">
        <f t="shared" ref="L18" si="9">F18-H18</f>
        <v>15.167520000000025</v>
      </c>
      <c r="M18" s="19">
        <f t="shared" ref="M18" si="10">G18/I18</f>
        <v>1.9969857366108827</v>
      </c>
      <c r="N18" s="86">
        <f>0.64/60</f>
        <v>1.0666666666666666E-2</v>
      </c>
      <c r="O18" s="23">
        <f>3113.9*8.314/1000</f>
        <v>25.888964599999998</v>
      </c>
      <c r="P18" s="87">
        <f>EXP(62.738)</f>
        <v>1.7650914272066564E+27</v>
      </c>
      <c r="Q18" s="19">
        <f>LN(K18/L18)+LN($N$18)</f>
        <v>51.380452067773042</v>
      </c>
      <c r="R18" s="21">
        <f>1/H18</f>
        <v>3.6505564689247841E-3</v>
      </c>
      <c r="S18" s="21">
        <f>$P$18*EXP(-($O$12*1000)/(8.314*H18))</f>
        <v>1.0018032780596553E+22</v>
      </c>
      <c r="T18" s="19">
        <f>(($O$19*3*(1.38E-23*H18*LN(M18))^2/(16*3.14*1E-56))^(0.33333))*1000</f>
        <v>12.061739832387236</v>
      </c>
      <c r="U18" s="21">
        <f>2*T18*1E-31/(1.38E-23*H18*LN(M18))</f>
        <v>9.2265750292631533E-10</v>
      </c>
      <c r="V18" s="85">
        <f>0.00000000116</f>
        <v>1.1599999999999999E-9</v>
      </c>
      <c r="W18" s="19">
        <f>2*U18/$V$18</f>
        <v>1.5907887981488196</v>
      </c>
      <c r="X18" s="21">
        <f>S18*L18/$N$18</f>
        <v>1.4245191802533195E+25</v>
      </c>
      <c r="Y18" s="24">
        <f>L18/$N$18</f>
        <v>1421.9550000000024</v>
      </c>
    </row>
    <row r="19" spans="6:25" x14ac:dyDescent="0.25">
      <c r="F19" s="8">
        <v>292.68178999999998</v>
      </c>
      <c r="G19" s="9">
        <v>4.378425632294624E-2</v>
      </c>
      <c r="H19" s="8">
        <v>278.97608000000002</v>
      </c>
      <c r="I19" s="8">
        <f t="shared" si="7"/>
        <v>2.3436483499101383E-2</v>
      </c>
      <c r="J19" s="9">
        <f t="shared" ref="J19:J22" si="11">G19-I19</f>
        <v>2.0347772823844857E-2</v>
      </c>
      <c r="K19" s="10">
        <f t="shared" si="2"/>
        <v>3.2135363483760541E+25</v>
      </c>
      <c r="L19" s="11">
        <f t="shared" ref="L19:L22" si="12">F19-H19</f>
        <v>13.705709999999954</v>
      </c>
      <c r="M19" s="8">
        <f t="shared" ref="M19:M22" si="13">G19/I19</f>
        <v>1.8682092953332801</v>
      </c>
      <c r="N19" s="79"/>
      <c r="O19" s="10">
        <f>O18*1000/$K$6</f>
        <v>4.2983504233770548E-20</v>
      </c>
      <c r="P19" s="81"/>
      <c r="Q19" s="8">
        <f>LN(K19/L19)+LN($N$18)</f>
        <v>51.573555122591344</v>
      </c>
      <c r="R19" s="10">
        <f t="shared" ref="R19:R22" si="14">1/H19</f>
        <v>3.5845367101007366E-3</v>
      </c>
      <c r="S19" s="10">
        <f>$P$18*EXP(-($O$12*1000)/(8.314*H19))</f>
        <v>1.2463938153091445E+22</v>
      </c>
      <c r="T19" s="8">
        <f>(($O$19*3*(1.38E-23*H19*LN(M19))^2/(16*3.14*1E-56))^(0.33333))*1000</f>
        <v>11.41174864815868</v>
      </c>
      <c r="U19" s="10">
        <f>2*T19*1E-31/(1.38E-23*H19*LN(M19))</f>
        <v>9.4857081446423447E-10</v>
      </c>
      <c r="V19" s="83"/>
      <c r="W19" s="8">
        <f t="shared" ref="W19:W22" si="15">2*U19/$V$12</f>
        <v>1.6354669214900595</v>
      </c>
      <c r="X19" s="10">
        <f>S19*L19/$N$18</f>
        <v>1.6015042667269346E+25</v>
      </c>
      <c r="Y19" s="12">
        <f t="shared" ref="Y19:Y22" si="16">L19/$N$18</f>
        <v>1284.9103124999956</v>
      </c>
    </row>
    <row r="20" spans="6:25" x14ac:dyDescent="0.25">
      <c r="F20" s="8">
        <v>296.62583000000001</v>
      </c>
      <c r="G20" s="9">
        <v>5.2411316517528617E-2</v>
      </c>
      <c r="H20" s="8">
        <v>285.2346</v>
      </c>
      <c r="I20" s="8">
        <f t="shared" si="7"/>
        <v>3.1177056137582326E-2</v>
      </c>
      <c r="J20" s="9">
        <f t="shared" si="11"/>
        <v>2.1234260379946291E-2</v>
      </c>
      <c r="K20" s="10">
        <f t="shared" si="2"/>
        <v>3.3535398764563676E+25</v>
      </c>
      <c r="L20" s="11">
        <f t="shared" si="12"/>
        <v>11.391230000000007</v>
      </c>
      <c r="M20" s="8">
        <f t="shared" si="13"/>
        <v>1.6810861258433407</v>
      </c>
      <c r="N20" s="79"/>
      <c r="O20" s="75" t="s">
        <v>11</v>
      </c>
      <c r="P20" s="81"/>
      <c r="Q20" s="8">
        <f>LN(K20/L20)+LN($N$18)</f>
        <v>51.801168366390868</v>
      </c>
      <c r="R20" s="10">
        <f t="shared" si="14"/>
        <v>3.5058860320592244E-3</v>
      </c>
      <c r="S20" s="10">
        <f>$P$18*EXP(-($O$12*1000)/(8.314*H20))</f>
        <v>1.6168853297494896E+22</v>
      </c>
      <c r="T20" s="8">
        <f>(($O$19*3*(1.38E-23*H20*LN(M20))^2/(16*3.14*1E-56))^(0.33333))*1000</f>
        <v>10.238167157531157</v>
      </c>
      <c r="U20" s="10">
        <f>2*T20*1E-31/(1.38E-23*H20*LN(M20))</f>
        <v>1.0014642622541351E-9</v>
      </c>
      <c r="V20" s="83"/>
      <c r="W20" s="8">
        <f t="shared" si="15"/>
        <v>1.7266625211278193</v>
      </c>
      <c r="X20" s="10">
        <f>S20*L20/$N$18</f>
        <v>1.7267168132627146E+25</v>
      </c>
      <c r="Y20" s="12">
        <f t="shared" si="16"/>
        <v>1067.9278125000008</v>
      </c>
    </row>
    <row r="21" spans="6:25" x14ac:dyDescent="0.25">
      <c r="F21" s="8">
        <v>300.02238</v>
      </c>
      <c r="G21" s="9">
        <v>6.1191311597881624E-2</v>
      </c>
      <c r="H21" s="8">
        <v>288.93583999999998</v>
      </c>
      <c r="I21" s="8">
        <f t="shared" si="7"/>
        <v>3.6909131556420505E-2</v>
      </c>
      <c r="J21" s="9">
        <f t="shared" si="11"/>
        <v>2.428218004146112E-2</v>
      </c>
      <c r="K21" s="10">
        <f t="shared" si="2"/>
        <v>3.8348997139187746E+25</v>
      </c>
      <c r="L21" s="11">
        <f t="shared" si="12"/>
        <v>11.086540000000014</v>
      </c>
      <c r="M21" s="8">
        <f t="shared" si="13"/>
        <v>1.6578908529544398</v>
      </c>
      <c r="N21" s="79"/>
      <c r="O21" s="5"/>
      <c r="P21" s="81"/>
      <c r="Q21" s="8">
        <f>LN(K21/L21)+LN($N$18)</f>
        <v>51.962407184365063</v>
      </c>
      <c r="R21" s="10">
        <f t="shared" si="14"/>
        <v>3.460975973074161E-3</v>
      </c>
      <c r="S21" s="10">
        <f>$P$18*EXP(-($O$12*1000)/(8.314*H21))</f>
        <v>1.8759300382143237E+22</v>
      </c>
      <c r="T21" s="8">
        <f>(($O$19*3*(1.38E-23*H21*LN(M21))^2/(16*3.14*1E-56))^(0.33333))*1000</f>
        <v>10.1415733318593</v>
      </c>
      <c r="U21" s="10">
        <f>2*T21*1E-31/(1.38E-23*H21*LN(M21))</f>
        <v>1.0062223463305023E-9</v>
      </c>
      <c r="V21" s="83"/>
      <c r="W21" s="8">
        <f t="shared" si="15"/>
        <v>1.7348661143629351</v>
      </c>
      <c r="X21" s="10">
        <f>S21*L21/$N$18</f>
        <v>1.9497725067998115E+25</v>
      </c>
      <c r="Y21" s="12">
        <f t="shared" si="16"/>
        <v>1039.3631250000012</v>
      </c>
    </row>
    <row r="22" spans="6:25" x14ac:dyDescent="0.25">
      <c r="F22" s="8">
        <v>302.93113</v>
      </c>
      <c r="G22" s="9">
        <v>6.987054774946018E-2</v>
      </c>
      <c r="H22" s="8">
        <v>292.75853999999998</v>
      </c>
      <c r="I22" s="8">
        <f t="shared" si="7"/>
        <v>4.3937760924242425E-2</v>
      </c>
      <c r="J22" s="9">
        <f t="shared" si="11"/>
        <v>2.5932786825217755E-2</v>
      </c>
      <c r="K22" s="10">
        <f t="shared" si="2"/>
        <v>4.095581064275809E+25</v>
      </c>
      <c r="L22" s="11">
        <f t="shared" si="12"/>
        <v>10.172590000000014</v>
      </c>
      <c r="M22" s="8">
        <f t="shared" si="13"/>
        <v>1.5902163942748726</v>
      </c>
      <c r="N22" s="79"/>
      <c r="O22" s="5"/>
      <c r="P22" s="81"/>
      <c r="Q22" s="8">
        <f>LN(K22/L22)+LN($N$18)</f>
        <v>52.114207415040191</v>
      </c>
      <c r="R22" s="10">
        <f t="shared" si="14"/>
        <v>3.4157842158934119E-3</v>
      </c>
      <c r="S22" s="10">
        <f>$P$18*EXP(-($O$12*1000)/(8.314*H22))</f>
        <v>2.178506525893707E+22</v>
      </c>
      <c r="T22" s="8">
        <f>(($O$19*3*(1.38E-23*H22*LN(M22))^2/(16*3.14*1E-56))^(0.33333))*1000</f>
        <v>9.660538287350823</v>
      </c>
      <c r="U22" s="10">
        <f>2*T22*1E-31/(1.38E-23*H22*LN(M22))</f>
        <v>1.0309705961697104E-9</v>
      </c>
      <c r="V22" s="83"/>
      <c r="W22" s="8">
        <f t="shared" si="15"/>
        <v>1.7775355106374318</v>
      </c>
      <c r="X22" s="10">
        <f>S22*L22/$N$18</f>
        <v>2.0775987843976025E+25</v>
      </c>
      <c r="Y22" s="12">
        <f t="shared" si="16"/>
        <v>953.68031250000138</v>
      </c>
    </row>
  </sheetData>
  <mergeCells count="9">
    <mergeCell ref="A2:Q2"/>
    <mergeCell ref="N12:N16"/>
    <mergeCell ref="P12:P16"/>
    <mergeCell ref="V12:V16"/>
    <mergeCell ref="V18:V22"/>
    <mergeCell ref="N18:N22"/>
    <mergeCell ref="P18:P22"/>
    <mergeCell ref="F17:Y17"/>
    <mergeCell ref="C12:C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ED70-C32D-41B6-AFAD-A4951AD0430C}">
  <dimension ref="A2:Y28"/>
  <sheetViews>
    <sheetView tabSelected="1" topLeftCell="A4" workbookViewId="0">
      <selection activeCell="C13" sqref="C13"/>
    </sheetView>
  </sheetViews>
  <sheetFormatPr defaultRowHeight="15" x14ac:dyDescent="0.25"/>
  <cols>
    <col min="2" max="2" width="16.7109375" customWidth="1"/>
    <col min="3" max="3" width="20.28515625" customWidth="1"/>
    <col min="9" max="9" width="12.7109375" customWidth="1"/>
    <col min="10" max="10" width="17.7109375" customWidth="1"/>
    <col min="11" max="11" width="15.28515625" customWidth="1"/>
    <col min="12" max="12" width="13" customWidth="1"/>
    <col min="13" max="13" width="12" customWidth="1"/>
    <col min="14" max="14" width="15.140625" customWidth="1"/>
    <col min="15" max="15" width="16.5703125" customWidth="1"/>
    <col min="16" max="16" width="17.7109375" customWidth="1"/>
    <col min="17" max="17" width="21.140625" customWidth="1"/>
    <col min="18" max="18" width="14.140625" customWidth="1"/>
    <col min="19" max="19" width="22.7109375" customWidth="1"/>
    <col min="20" max="20" width="16.28515625" customWidth="1"/>
    <col min="21" max="21" width="14.7109375" customWidth="1"/>
    <col min="22" max="22" width="15.5703125" customWidth="1"/>
    <col min="23" max="23" width="15.7109375" customWidth="1"/>
    <col min="24" max="24" width="12.85546875" customWidth="1"/>
    <col min="25" max="25" width="12.28515625" customWidth="1"/>
  </cols>
  <sheetData>
    <row r="2" spans="1:2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4" spans="1:25" x14ac:dyDescent="0.25">
      <c r="B4" s="1" t="s">
        <v>1</v>
      </c>
      <c r="C4" s="1" t="s">
        <v>35</v>
      </c>
    </row>
    <row r="6" spans="1:25" x14ac:dyDescent="0.25">
      <c r="D6" s="1" t="s">
        <v>6</v>
      </c>
      <c r="J6" s="2" t="s">
        <v>30</v>
      </c>
      <c r="K6" s="7">
        <v>6.0229999999999998E+23</v>
      </c>
      <c r="L6" s="2" t="s">
        <v>31</v>
      </c>
    </row>
    <row r="7" spans="1:25" x14ac:dyDescent="0.25">
      <c r="B7" s="1" t="s">
        <v>4</v>
      </c>
      <c r="C7">
        <v>75.069999999999993</v>
      </c>
      <c r="D7" s="1" t="s">
        <v>3</v>
      </c>
    </row>
    <row r="8" spans="1:25" ht="18" x14ac:dyDescent="0.35">
      <c r="B8" s="1" t="s">
        <v>5</v>
      </c>
      <c r="C8" t="s">
        <v>36</v>
      </c>
    </row>
    <row r="9" spans="1:25" x14ac:dyDescent="0.25">
      <c r="B9" s="1" t="s">
        <v>7</v>
      </c>
      <c r="C9" t="s">
        <v>34</v>
      </c>
    </row>
    <row r="10" spans="1:25" x14ac:dyDescent="0.25">
      <c r="F10" s="2"/>
      <c r="G10" s="2"/>
      <c r="H10" s="2"/>
      <c r="I10" s="2"/>
      <c r="J10" s="2" t="s">
        <v>9</v>
      </c>
      <c r="K10" s="2" t="s">
        <v>9</v>
      </c>
      <c r="L10" s="3" t="s">
        <v>10</v>
      </c>
      <c r="M10" s="2" t="s">
        <v>8</v>
      </c>
    </row>
    <row r="11" spans="1:25" ht="45.6" customHeight="1" thickBot="1" x14ac:dyDescent="0.35"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33</v>
      </c>
      <c r="N11" s="52" t="s">
        <v>19</v>
      </c>
      <c r="O11" s="52" t="s">
        <v>20</v>
      </c>
      <c r="P11" s="52" t="s">
        <v>21</v>
      </c>
      <c r="Q11" s="53"/>
      <c r="R11" s="52" t="s">
        <v>22</v>
      </c>
      <c r="S11" s="52" t="s">
        <v>23</v>
      </c>
      <c r="T11" s="52" t="s">
        <v>24</v>
      </c>
      <c r="U11" s="52" t="s">
        <v>25</v>
      </c>
      <c r="V11" s="52" t="s">
        <v>26</v>
      </c>
      <c r="W11" s="52" t="s">
        <v>27</v>
      </c>
      <c r="X11" s="52" t="s">
        <v>28</v>
      </c>
      <c r="Y11" s="52" t="s">
        <v>29</v>
      </c>
    </row>
    <row r="12" spans="1:25" x14ac:dyDescent="0.25">
      <c r="F12" s="47">
        <v>302.798</v>
      </c>
      <c r="G12" s="30">
        <v>0.30015999999999998</v>
      </c>
      <c r="H12" s="30">
        <v>293.85500000000002</v>
      </c>
      <c r="I12" s="29">
        <f>0.0011*EXP(0.0185*H12)</f>
        <v>0.25255465476423167</v>
      </c>
      <c r="J12" s="30">
        <f>G12-I12</f>
        <v>4.7605345235768315E-2</v>
      </c>
      <c r="K12" s="31">
        <f>J12*$K$6*1000000/$C$7</f>
        <v>3.8194617604240385E+26</v>
      </c>
      <c r="L12" s="32">
        <f>F12-H12</f>
        <v>8.9429999999999836</v>
      </c>
      <c r="M12" s="29">
        <f>G12/I12</f>
        <v>1.1884952200948722</v>
      </c>
      <c r="N12" s="111">
        <v>1.6666666666666668E-3</v>
      </c>
      <c r="O12" s="29">
        <f>1719*8.314/1000</f>
        <v>14.291765999999999</v>
      </c>
      <c r="P12" s="108">
        <f>EXP(58.453)</f>
        <v>2.4311701268826144E+25</v>
      </c>
      <c r="Q12" s="29">
        <f>LN(K12/L12)+LN($N$12)</f>
        <v>52.619521171543532</v>
      </c>
      <c r="R12" s="31">
        <f>1/H12</f>
        <v>3.4030389137499786E-3</v>
      </c>
      <c r="S12" s="31">
        <f>$P$12*EXP(-($O$12*1000)/(8.314*H12))</f>
        <v>7.0027579295318776E+22</v>
      </c>
      <c r="T12" s="29">
        <f>(($O$13*3*(1.38E-23*H12*LN(M12))^2/(16*3.14*1E-56))^(0.33333))*1000</f>
        <v>4.1113862271138819</v>
      </c>
      <c r="U12" s="31">
        <f>2*T12*1E-31/(1.38E-23*H12*LN(M12))</f>
        <v>1.1742051387901242E-9</v>
      </c>
      <c r="V12" s="93">
        <f>0.00000000069</f>
        <v>6.9E-10</v>
      </c>
      <c r="W12" s="29">
        <f>2*U12/$V$12</f>
        <v>3.4034931559134032</v>
      </c>
      <c r="X12" s="31">
        <f>S12*L12/$N$12</f>
        <v>3.7575398498282078E+26</v>
      </c>
      <c r="Y12" s="33">
        <f>L12/$N$12</f>
        <v>5365.7999999999902</v>
      </c>
    </row>
    <row r="13" spans="1:25" ht="22.5" x14ac:dyDescent="0.25">
      <c r="B13" s="1" t="s">
        <v>44</v>
      </c>
      <c r="C13" s="76" t="s">
        <v>47</v>
      </c>
      <c r="F13" s="49">
        <v>311.37099999999998</v>
      </c>
      <c r="G13" s="9">
        <v>0.35017999999999999</v>
      </c>
      <c r="H13" s="9">
        <v>303.315</v>
      </c>
      <c r="I13" s="8">
        <f t="shared" ref="I13:I15" si="0">0.0011*EXP(0.0185*H13)</f>
        <v>0.30085778553854364</v>
      </c>
      <c r="J13" s="9">
        <f t="shared" ref="J13:J15" si="1">G13-I13</f>
        <v>4.9322214461456348E-2</v>
      </c>
      <c r="K13" s="10">
        <f t="shared" ref="K13:K15" si="2">J13*$K$6*1000000/$C$7</f>
        <v>3.9572092407266764E+26</v>
      </c>
      <c r="L13" s="11">
        <f t="shared" ref="L13:L15" si="3">F13-H13</f>
        <v>8.0559999999999832</v>
      </c>
      <c r="M13" s="8">
        <f t="shared" ref="M13:M15" si="4">G13/I13</f>
        <v>1.1639386342393243</v>
      </c>
      <c r="N13" s="112"/>
      <c r="O13" s="10">
        <f>O12*1000/$K$6</f>
        <v>2.372865017433173E-20</v>
      </c>
      <c r="P13" s="109"/>
      <c r="Q13" s="8">
        <f>LN(K13/L13)+LN($N$12)</f>
        <v>52.759404646844949</v>
      </c>
      <c r="R13" s="10">
        <f t="shared" ref="R13:R15" si="5">1/H13</f>
        <v>3.2969025600448378E-3</v>
      </c>
      <c r="S13" s="10">
        <f>$P$12*EXP(-($O$12*1000)/(8.314*H13))</f>
        <v>8.4043754186885252E+22</v>
      </c>
      <c r="T13" s="8">
        <f>(($O$13*3*(1.38E-23*H13*LN(M13))^2/(16*3.14*1E-56))^(0.33333))*1000</f>
        <v>3.8534869132905718</v>
      </c>
      <c r="U13" s="10">
        <f>2*T13*1E-31/(1.38E-23*H13*LN(M13))</f>
        <v>1.2128625680136845E-9</v>
      </c>
      <c r="V13" s="94"/>
      <c r="W13" s="8">
        <f t="shared" ref="W13:W15" si="6">2*U13/$V$12</f>
        <v>3.5155436754019842</v>
      </c>
      <c r="X13" s="10">
        <f>S13*L13/$N$12</f>
        <v>4.0623389023772764E+26</v>
      </c>
      <c r="Y13" s="37">
        <f>L13/$N$12</f>
        <v>4833.5999999999894</v>
      </c>
    </row>
    <row r="14" spans="1:25" x14ac:dyDescent="0.25">
      <c r="F14" s="49">
        <v>318.392</v>
      </c>
      <c r="G14" s="9">
        <v>0.40021999999999996</v>
      </c>
      <c r="H14" s="9">
        <v>311.51900000000001</v>
      </c>
      <c r="I14" s="8">
        <f t="shared" si="0"/>
        <v>0.35016752394132988</v>
      </c>
      <c r="J14" s="9">
        <f t="shared" si="1"/>
        <v>5.0052476058670081E-2</v>
      </c>
      <c r="K14" s="10">
        <f t="shared" si="2"/>
        <v>4.0157994312157971E+26</v>
      </c>
      <c r="L14" s="11">
        <f t="shared" si="3"/>
        <v>6.8729999999999905</v>
      </c>
      <c r="M14" s="8">
        <f t="shared" si="4"/>
        <v>1.1429386583178864</v>
      </c>
      <c r="N14" s="112"/>
      <c r="O14" s="5"/>
      <c r="P14" s="109"/>
      <c r="Q14" s="8">
        <f>LN(K14/L14)+LN($N$12)</f>
        <v>52.932918509205493</v>
      </c>
      <c r="R14" s="10">
        <f t="shared" si="5"/>
        <v>3.2100770739505453E-3</v>
      </c>
      <c r="S14" s="10">
        <f>$P$12*EXP(-($O$12*1000)/(8.314*H14))</f>
        <v>9.7571999023338881E+22</v>
      </c>
      <c r="T14" s="8">
        <f>(($O$13*3*(1.38E-23*H14*LN(M14))^2/(16*3.14*1E-56))^(0.33333))*1000</f>
        <v>3.6023999622844327</v>
      </c>
      <c r="U14" s="10">
        <f>2*T14*1E-31/(1.38E-23*H14*LN(M14))</f>
        <v>1.2544201203396236E-9</v>
      </c>
      <c r="V14" s="94"/>
      <c r="W14" s="8">
        <f t="shared" si="6"/>
        <v>3.6360003488105033</v>
      </c>
      <c r="X14" s="10">
        <f>S14*L14/$N$12</f>
        <v>4.0236740957244427E+26</v>
      </c>
      <c r="Y14" s="37">
        <f>L14/$N$12</f>
        <v>4123.7999999999938</v>
      </c>
    </row>
    <row r="15" spans="1:25" ht="15.75" thickBot="1" x14ac:dyDescent="0.3">
      <c r="F15" s="50">
        <v>324.67399999999998</v>
      </c>
      <c r="G15" s="42">
        <v>0.44988999999999996</v>
      </c>
      <c r="H15" s="42">
        <v>318.61399999999998</v>
      </c>
      <c r="I15" s="41">
        <f t="shared" si="0"/>
        <v>0.39928249736165544</v>
      </c>
      <c r="J15" s="42">
        <f t="shared" si="1"/>
        <v>5.0607502638344515E-2</v>
      </c>
      <c r="K15" s="43">
        <f t="shared" si="2"/>
        <v>4.0603302036865467E+26</v>
      </c>
      <c r="L15" s="44">
        <f t="shared" si="3"/>
        <v>6.0600000000000023</v>
      </c>
      <c r="M15" s="41">
        <f t="shared" si="4"/>
        <v>1.1267461082635588</v>
      </c>
      <c r="N15" s="113"/>
      <c r="O15" s="51"/>
      <c r="P15" s="110"/>
      <c r="Q15" s="41">
        <f>LN(K15/L15)+LN($N$12)</f>
        <v>53.06983726381155</v>
      </c>
      <c r="R15" s="43">
        <f t="shared" si="5"/>
        <v>3.1385940354158952E-3</v>
      </c>
      <c r="S15" s="43">
        <f>$P$12*EXP(-($O$12*1000)/(8.314*H15))</f>
        <v>1.1032934083239471E+23</v>
      </c>
      <c r="T15" s="41">
        <f>(($O$13*3*(1.38E-23*H15*LN(M15))^2/(16*3.14*1E-56))^(0.33333))*1000</f>
        <v>3.3916536924099345</v>
      </c>
      <c r="U15" s="43">
        <f>2*T15*1E-31/(1.38E-23*H15*LN(M15))</f>
        <v>1.2928067702423171E-9</v>
      </c>
      <c r="V15" s="95"/>
      <c r="W15" s="41">
        <f t="shared" si="6"/>
        <v>3.7472660007023681</v>
      </c>
      <c r="X15" s="43">
        <f>S15*L15/$N$12</f>
        <v>4.0115748326658728E+26</v>
      </c>
      <c r="Y15" s="46">
        <f>L15/$N$12</f>
        <v>3636.0000000000009</v>
      </c>
    </row>
    <row r="16" spans="1:25" x14ac:dyDescent="0.25"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6:25" ht="15.75" thickBot="1" x14ac:dyDescent="0.3"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6:25" x14ac:dyDescent="0.25">
      <c r="F18" s="47">
        <v>302.798</v>
      </c>
      <c r="G18" s="30">
        <v>0.30015999999999998</v>
      </c>
      <c r="H18" s="29">
        <v>290.75099999999998</v>
      </c>
      <c r="I18" s="29">
        <f t="shared" ref="I18:I21" si="7">0.0011*EXP(0.0185*H18)</f>
        <v>0.23846050039126968</v>
      </c>
      <c r="J18" s="30">
        <f t="shared" ref="J18:J24" si="8">G18-I18</f>
        <v>6.1699499608730307E-2</v>
      </c>
      <c r="K18" s="31">
        <f t="shared" ref="K18:K21" si="9">J18*$K$6*1000000/$C$7</f>
        <v>4.950260905067039E+26</v>
      </c>
      <c r="L18" s="32">
        <f t="shared" ref="L18:L24" si="10">F18-H18</f>
        <v>12.047000000000025</v>
      </c>
      <c r="M18" s="29">
        <f t="shared" ref="M18:M24" si="11">G18/I18</f>
        <v>1.2587409634194879</v>
      </c>
      <c r="N18" s="111">
        <v>5.0000000000000001E-3</v>
      </c>
      <c r="O18" s="48">
        <f>1629.6*8.314/1000</f>
        <v>13.548494399999999</v>
      </c>
      <c r="P18" s="108">
        <f>EXP(59.27)</f>
        <v>5.5034362790162623E+25</v>
      </c>
      <c r="Q18" s="29">
        <f>LN(K18/L18)+LN($N$18)</f>
        <v>53.679519668298362</v>
      </c>
      <c r="R18" s="31">
        <f>1/H18</f>
        <v>3.4393690821355734E-3</v>
      </c>
      <c r="S18" s="31">
        <f>$P$18*EXP(-($O$12*1000)/(8.314*H18))</f>
        <v>1.4892422133564635E+23</v>
      </c>
      <c r="T18" s="29">
        <f>(($O$19*3*(1.38E-23*H18*LN(M18))^2/(16*3.14*1E-56))^(0.33333))*1000</f>
        <v>4.8562320665214678</v>
      </c>
      <c r="U18" s="31">
        <f>2*T18*1E-31/(1.38E-23*H18*LN(M18))</f>
        <v>1.0519373704133443E-9</v>
      </c>
      <c r="V18" s="93">
        <f>0.00000000069</f>
        <v>6.9E-10</v>
      </c>
      <c r="W18" s="29">
        <f>2*U18/$V$18</f>
        <v>3.0490938272850561</v>
      </c>
      <c r="X18" s="31">
        <f>S18*L18/$N$18</f>
        <v>3.5881801888610706E+26</v>
      </c>
      <c r="Y18" s="33">
        <f>L18/$N$18</f>
        <v>2409.4000000000051</v>
      </c>
    </row>
    <row r="19" spans="6:25" x14ac:dyDescent="0.25">
      <c r="F19" s="49">
        <v>311.37099999999998</v>
      </c>
      <c r="G19" s="9">
        <v>0.35017999999999999</v>
      </c>
      <c r="H19" s="8">
        <v>300.95</v>
      </c>
      <c r="I19" s="8">
        <f t="shared" si="7"/>
        <v>0.28797831432097271</v>
      </c>
      <c r="J19" s="9">
        <f t="shared" si="8"/>
        <v>6.2201685679027285E-2</v>
      </c>
      <c r="K19" s="10">
        <f t="shared" si="9"/>
        <v>4.9905521892204784E+26</v>
      </c>
      <c r="L19" s="11">
        <f t="shared" si="10"/>
        <v>10.420999999999992</v>
      </c>
      <c r="M19" s="8">
        <f t="shared" si="11"/>
        <v>1.2159943391074197</v>
      </c>
      <c r="N19" s="112"/>
      <c r="O19" s="10">
        <f>O18*1000/$K$6</f>
        <v>2.2494594720239084E-20</v>
      </c>
      <c r="P19" s="109"/>
      <c r="Q19" s="8">
        <f>LN(K19/L19)+LN($N$18)</f>
        <v>53.832618613090439</v>
      </c>
      <c r="R19" s="10">
        <f t="shared" ref="R19:R21" si="12">1/H19</f>
        <v>3.3228110981890682E-3</v>
      </c>
      <c r="S19" s="10">
        <f>$P$18*EXP(-($O$12*1000)/(8.314*H19))</f>
        <v>1.8196252682987347E+23</v>
      </c>
      <c r="T19" s="8">
        <f>(($O$19*3*(1.38E-23*H19*LN(M19))^2/(16*3.14*1E-56))^(0.33333))*1000</f>
        <v>4.4583986651174952</v>
      </c>
      <c r="U19" s="10">
        <f>2*T19*1E-31/(1.38E-23*H19*LN(M19))</f>
        <v>1.097869466470857E-9</v>
      </c>
      <c r="V19" s="94"/>
      <c r="W19" s="19">
        <f t="shared" ref="W19:W21" si="13">2*U19/$V$18</f>
        <v>3.1822303375966872</v>
      </c>
      <c r="X19" s="10">
        <f>S19*L19/$N$18</f>
        <v>3.7924629841882204E+26</v>
      </c>
      <c r="Y19" s="37">
        <f t="shared" ref="Y19:Y21" si="14">L19/$N$18</f>
        <v>2084.1999999999985</v>
      </c>
    </row>
    <row r="20" spans="6:25" x14ac:dyDescent="0.25">
      <c r="F20" s="49">
        <v>318.392</v>
      </c>
      <c r="G20" s="9">
        <v>0.40021999999999996</v>
      </c>
      <c r="H20" s="8">
        <v>309.745</v>
      </c>
      <c r="I20" s="8">
        <f t="shared" si="7"/>
        <v>0.33886191018440298</v>
      </c>
      <c r="J20" s="9">
        <f t="shared" si="8"/>
        <v>6.1358089815596983E-2</v>
      </c>
      <c r="K20" s="10">
        <f t="shared" si="9"/>
        <v>4.9228689884020335E+26</v>
      </c>
      <c r="L20" s="11">
        <f t="shared" si="10"/>
        <v>8.6469999999999914</v>
      </c>
      <c r="M20" s="8">
        <f t="shared" si="11"/>
        <v>1.1810710734121959</v>
      </c>
      <c r="N20" s="112"/>
      <c r="O20" s="75" t="s">
        <v>11</v>
      </c>
      <c r="P20" s="109"/>
      <c r="Q20" s="8">
        <f>LN(K20/L20)+LN($N$18)</f>
        <v>54.005574099594163</v>
      </c>
      <c r="R20" s="10">
        <f t="shared" si="12"/>
        <v>3.228462122068153E-3</v>
      </c>
      <c r="S20" s="10">
        <f>$P$18*EXP(-($O$12*1000)/(8.314*H20))</f>
        <v>2.1400227788548339E+23</v>
      </c>
      <c r="T20" s="8">
        <f>(($O$19*3*(1.38E-23*H20*LN(M20))^2/(16*3.14*1E-56))^(0.33333))*1000</f>
        <v>4.0813397522150137</v>
      </c>
      <c r="U20" s="10">
        <f>2*T20*1E-31/(1.38E-23*H20*LN(M20))</f>
        <v>1.1474647630024574E-9</v>
      </c>
      <c r="V20" s="94"/>
      <c r="W20" s="19">
        <f t="shared" si="13"/>
        <v>3.325984820296978</v>
      </c>
      <c r="X20" s="10">
        <f>S20*L20/$N$18</f>
        <v>3.700955393751546E+26</v>
      </c>
      <c r="Y20" s="37">
        <f t="shared" si="14"/>
        <v>1729.3999999999983</v>
      </c>
    </row>
    <row r="21" spans="6:25" ht="15.75" thickBot="1" x14ac:dyDescent="0.3">
      <c r="F21" s="50">
        <v>324.67399999999998</v>
      </c>
      <c r="G21" s="42">
        <v>0.44988999999999996</v>
      </c>
      <c r="H21" s="41">
        <v>316.61799999999999</v>
      </c>
      <c r="I21" s="41">
        <f t="shared" si="7"/>
        <v>0.38480748867058334</v>
      </c>
      <c r="J21" s="42">
        <f t="shared" si="8"/>
        <v>6.5082511329416615E-2</v>
      </c>
      <c r="K21" s="43">
        <f t="shared" si="9"/>
        <v>5.2216859695894014E+26</v>
      </c>
      <c r="L21" s="44">
        <f t="shared" si="10"/>
        <v>8.0559999999999832</v>
      </c>
      <c r="M21" s="41">
        <f t="shared" si="11"/>
        <v>1.1691300539764986</v>
      </c>
      <c r="N21" s="113"/>
      <c r="O21" s="51"/>
      <c r="P21" s="110"/>
      <c r="Q21" s="41">
        <f>LN(K21/L21)+LN($N$18)</f>
        <v>54.135298228307725</v>
      </c>
      <c r="R21" s="43">
        <f t="shared" si="12"/>
        <v>3.1583801299989262E-3</v>
      </c>
      <c r="S21" s="43">
        <f>$P$18*EXP(-($O$12*1000)/(8.314*H21))</f>
        <v>2.414005540120566E+23</v>
      </c>
      <c r="T21" s="41">
        <f>(($O$19*3*(1.38E-23*H21*LN(M21))^2/(16*3.14*1E-56))^(0.33333))*1000</f>
        <v>3.971142604300709</v>
      </c>
      <c r="U21" s="43">
        <f>2*T21*1E-31/(1.38E-23*H21*LN(M21))</f>
        <v>1.1632770747261245E-9</v>
      </c>
      <c r="V21" s="95"/>
      <c r="W21" s="45">
        <f t="shared" si="13"/>
        <v>3.3718176079018103</v>
      </c>
      <c r="X21" s="43">
        <f>S21*L21/$N$18</f>
        <v>3.8894457262422481E+26</v>
      </c>
      <c r="Y21" s="46">
        <f t="shared" si="14"/>
        <v>1611.1999999999966</v>
      </c>
    </row>
    <row r="22" spans="6:25" x14ac:dyDescent="0.25"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6:25" ht="15.75" thickBot="1" x14ac:dyDescent="0.3">
      <c r="F23" s="100"/>
      <c r="G23" s="100"/>
      <c r="H23" s="100"/>
      <c r="I23" s="100"/>
      <c r="J23" s="100"/>
      <c r="K23" s="100"/>
      <c r="L23" s="100"/>
      <c r="M23" s="100"/>
      <c r="N23" s="100"/>
      <c r="O23" s="101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6:25" x14ac:dyDescent="0.25">
      <c r="F24" s="26">
        <v>302.798</v>
      </c>
      <c r="G24" s="27">
        <v>0.30015999999999998</v>
      </c>
      <c r="H24" s="28">
        <v>282.84300000000002</v>
      </c>
      <c r="I24" s="29">
        <f t="shared" ref="I24:I27" si="15">0.0011*EXP(0.0185*H24)</f>
        <v>0.20600607935874088</v>
      </c>
      <c r="J24" s="30">
        <f t="shared" si="8"/>
        <v>9.4153920641259103E-2</v>
      </c>
      <c r="K24" s="31">
        <f t="shared" ref="K24:K27" si="16">J24*$K$6*1000000/$C$7</f>
        <v>7.5541369924377731E+26</v>
      </c>
      <c r="L24" s="32">
        <f t="shared" si="10"/>
        <v>19.954999999999984</v>
      </c>
      <c r="M24" s="29">
        <f t="shared" si="11"/>
        <v>1.4570443791481444</v>
      </c>
      <c r="N24" s="102">
        <v>1.6666666666666666E-2</v>
      </c>
      <c r="O24" s="5">
        <f>1441.1*8.314/1000</f>
        <v>11.9813054</v>
      </c>
      <c r="P24" s="105">
        <f>EXP(59.88)</f>
        <v>1.0128696929095504E+26</v>
      </c>
      <c r="Q24" s="29">
        <f>LN(K24/L24)+LN($N$24)</f>
        <v>54.801483476333971</v>
      </c>
      <c r="R24" s="31">
        <f t="shared" ref="R24" si="17">1/H24</f>
        <v>3.5355303118691284E-3</v>
      </c>
      <c r="S24" s="31">
        <f>$P$24*EXP(-($O$12*1000)/(8.314*H24))</f>
        <v>2.3232481125427692E+23</v>
      </c>
      <c r="T24" s="29">
        <f>(($O$25*3*(1.38E-23*H24*LN(M24))^2/(16*3.14*1E-56))^(0.33333))*1000</f>
        <v>6.3533099316658577</v>
      </c>
      <c r="U24" s="56">
        <f>2*T24*1E-31/(1.38E-23*H24*LN(M24))</f>
        <v>8.648571488593481E-10</v>
      </c>
      <c r="V24" s="96">
        <f>0.00000000069</f>
        <v>6.9E-10</v>
      </c>
      <c r="W24" s="62">
        <f>2*U24/$V$24</f>
        <v>2.5068323155343424</v>
      </c>
      <c r="X24" s="59">
        <f>S24*L24/$N$24</f>
        <v>2.7816249651474554E+26</v>
      </c>
      <c r="Y24" s="33">
        <f>L24/$N$24</f>
        <v>1197.299999999999</v>
      </c>
    </row>
    <row r="25" spans="6:25" x14ac:dyDescent="0.25">
      <c r="F25" s="34">
        <v>311.37099999999998</v>
      </c>
      <c r="G25" s="35">
        <v>0.35017999999999999</v>
      </c>
      <c r="H25" s="36">
        <v>297.40300000000002</v>
      </c>
      <c r="I25" s="8">
        <f t="shared" si="15"/>
        <v>0.26968798504057273</v>
      </c>
      <c r="J25" s="9">
        <f t="shared" ref="J25:J27" si="18">G25-I25</f>
        <v>8.049201495942726E-2</v>
      </c>
      <c r="K25" s="10">
        <f t="shared" si="16"/>
        <v>6.4580179312725505E+26</v>
      </c>
      <c r="L25" s="11">
        <f t="shared" ref="L25:L27" si="19">F25-H25</f>
        <v>13.967999999999961</v>
      </c>
      <c r="M25" s="8">
        <f t="shared" ref="M25:M27" si="20">G25/I25</f>
        <v>1.2984634815945464</v>
      </c>
      <c r="N25" s="103"/>
      <c r="O25" s="10">
        <f>O24*1000/$K$6</f>
        <v>1.9892587414909512E-20</v>
      </c>
      <c r="P25" s="106"/>
      <c r="Q25" s="8">
        <f t="shared" ref="Q25:Q27" si="21">LN(K25/L25)+LN($N$24)</f>
        <v>55.001421305456489</v>
      </c>
      <c r="R25" s="10">
        <f t="shared" ref="R25:R27" si="22">1/H25</f>
        <v>3.3624408630713205E-3</v>
      </c>
      <c r="S25" s="10">
        <f t="shared" ref="S25:S27" si="23">$P$24*EXP(-($O$12*1000)/(8.314*H25))</f>
        <v>3.1283540934820516E+23</v>
      </c>
      <c r="T25" s="8">
        <f t="shared" ref="T25:T27" si="24">(($O$25*3*(1.38E-23*H25*LN(M25))^2/(16*3.14*1E-56))^(0.33333))*1000</f>
        <v>5.1489880867505757</v>
      </c>
      <c r="U25" s="57">
        <f t="shared" ref="U25:U27" si="25">2*T25*1E-31/(1.38E-23*H25*LN(M25))</f>
        <v>9.6069344240865496E-10</v>
      </c>
      <c r="V25" s="97"/>
      <c r="W25" s="63">
        <f t="shared" ref="W25:W27" si="26">2*U25/$V$24</f>
        <v>2.7846186736482754</v>
      </c>
      <c r="X25" s="60">
        <f t="shared" ref="X25:X27" si="27">S25*L25/$N$24</f>
        <v>2.6218109986654304E+26</v>
      </c>
      <c r="Y25" s="37">
        <f t="shared" ref="Y25:Y27" si="28">L25/$N$24</f>
        <v>838.07999999999765</v>
      </c>
    </row>
    <row r="26" spans="6:25" x14ac:dyDescent="0.25">
      <c r="F26" s="34">
        <v>318.392</v>
      </c>
      <c r="G26" s="35">
        <v>0.40021999999999996</v>
      </c>
      <c r="H26" s="36">
        <v>304.42399999999998</v>
      </c>
      <c r="I26" s="8">
        <f t="shared" si="15"/>
        <v>0.30709408910588837</v>
      </c>
      <c r="J26" s="9">
        <f t="shared" si="18"/>
        <v>9.3125910894111597E-2</v>
      </c>
      <c r="K26" s="10">
        <f t="shared" si="16"/>
        <v>7.4716579367954458E+26</v>
      </c>
      <c r="L26" s="11">
        <f t="shared" si="19"/>
        <v>13.968000000000018</v>
      </c>
      <c r="M26" s="8">
        <f t="shared" si="20"/>
        <v>1.3032487898586713</v>
      </c>
      <c r="N26" s="103"/>
      <c r="O26" s="75" t="s">
        <v>11</v>
      </c>
      <c r="P26" s="106"/>
      <c r="Q26" s="8">
        <f t="shared" si="21"/>
        <v>55.147215777067679</v>
      </c>
      <c r="R26" s="10">
        <f t="shared" si="22"/>
        <v>3.2848921241426434E-3</v>
      </c>
      <c r="S26" s="10">
        <f t="shared" si="23"/>
        <v>3.5744570830626353E+23</v>
      </c>
      <c r="T26" s="8">
        <f t="shared" si="24"/>
        <v>5.2786987390959075</v>
      </c>
      <c r="U26" s="57">
        <f t="shared" si="25"/>
        <v>9.4881637033710464E-10</v>
      </c>
      <c r="V26" s="97"/>
      <c r="W26" s="63">
        <f t="shared" si="26"/>
        <v>2.750192377788709</v>
      </c>
      <c r="X26" s="60">
        <f t="shared" si="27"/>
        <v>2.9956809921731372E+26</v>
      </c>
      <c r="Y26" s="37">
        <f t="shared" si="28"/>
        <v>838.08000000000106</v>
      </c>
    </row>
    <row r="27" spans="6:25" ht="15.75" thickBot="1" x14ac:dyDescent="0.3">
      <c r="F27" s="38">
        <v>324.67399999999998</v>
      </c>
      <c r="G27" s="39">
        <v>0.44988999999999996</v>
      </c>
      <c r="H27" s="40">
        <v>312.923</v>
      </c>
      <c r="I27" s="41">
        <f t="shared" si="15"/>
        <v>0.35938192459502993</v>
      </c>
      <c r="J27" s="42">
        <f t="shared" si="18"/>
        <v>9.0508075404970023E-2</v>
      </c>
      <c r="K27" s="43">
        <f t="shared" si="16"/>
        <v>7.2616243261507199E+26</v>
      </c>
      <c r="L27" s="44">
        <f t="shared" si="19"/>
        <v>11.750999999999976</v>
      </c>
      <c r="M27" s="41">
        <f t="shared" si="20"/>
        <v>1.2518437050137099</v>
      </c>
      <c r="N27" s="104"/>
      <c r="O27" s="5"/>
      <c r="P27" s="107"/>
      <c r="Q27" s="41">
        <f t="shared" si="21"/>
        <v>55.291533052467138</v>
      </c>
      <c r="R27" s="43">
        <f t="shared" si="22"/>
        <v>3.1956743352198466E-3</v>
      </c>
      <c r="S27" s="43">
        <f t="shared" si="23"/>
        <v>4.1669263549834367E+23</v>
      </c>
      <c r="T27" s="41">
        <f t="shared" si="24"/>
        <v>4.8170832725734005</v>
      </c>
      <c r="U27" s="58">
        <f t="shared" si="25"/>
        <v>9.9323982981905366E-10</v>
      </c>
      <c r="V27" s="98"/>
      <c r="W27" s="64">
        <f t="shared" si="26"/>
        <v>2.8789560284610252</v>
      </c>
      <c r="X27" s="61">
        <f t="shared" si="27"/>
        <v>2.9379330958446162E+26</v>
      </c>
      <c r="Y27" s="46">
        <f t="shared" si="28"/>
        <v>705.05999999999858</v>
      </c>
    </row>
    <row r="28" spans="6:25" x14ac:dyDescent="0.25">
      <c r="V28" s="55"/>
      <c r="W28" s="36"/>
    </row>
  </sheetData>
  <mergeCells count="12">
    <mergeCell ref="A2:Q2"/>
    <mergeCell ref="N12:N15"/>
    <mergeCell ref="P12:P15"/>
    <mergeCell ref="V12:V15"/>
    <mergeCell ref="V24:V27"/>
    <mergeCell ref="F16:Y17"/>
    <mergeCell ref="F22:Y23"/>
    <mergeCell ref="N24:N27"/>
    <mergeCell ref="P24:P27"/>
    <mergeCell ref="V18:V21"/>
    <mergeCell ref="P18:P21"/>
    <mergeCell ref="N18:N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F503-72BD-4BBA-B12B-67F01D94BF8A}">
  <dimension ref="A2:Y28"/>
  <sheetViews>
    <sheetView topLeftCell="A5" workbookViewId="0">
      <selection activeCell="C12" sqref="C12"/>
    </sheetView>
  </sheetViews>
  <sheetFormatPr defaultRowHeight="15" x14ac:dyDescent="0.25"/>
  <cols>
    <col min="2" max="2" width="16.7109375" customWidth="1"/>
    <col min="3" max="3" width="20.28515625" customWidth="1"/>
    <col min="9" max="9" width="12.7109375" customWidth="1"/>
    <col min="10" max="10" width="17.7109375" customWidth="1"/>
    <col min="11" max="11" width="15.28515625" customWidth="1"/>
    <col min="12" max="12" width="13" customWidth="1"/>
    <col min="13" max="13" width="12" customWidth="1"/>
    <col min="14" max="14" width="15.140625" customWidth="1"/>
    <col min="15" max="15" width="16.5703125" customWidth="1"/>
    <col min="16" max="16" width="17.7109375" customWidth="1"/>
    <col min="17" max="17" width="21.140625" customWidth="1"/>
    <col min="18" max="18" width="14.140625" customWidth="1"/>
    <col min="19" max="19" width="22.7109375" customWidth="1"/>
    <col min="20" max="20" width="16.28515625" customWidth="1"/>
    <col min="21" max="21" width="14.7109375" customWidth="1"/>
    <col min="22" max="22" width="15.5703125" customWidth="1"/>
    <col min="23" max="23" width="15.7109375" customWidth="1"/>
    <col min="24" max="24" width="12.85546875" customWidth="1"/>
    <col min="25" max="25" width="12.28515625" customWidth="1"/>
  </cols>
  <sheetData>
    <row r="2" spans="1:2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4" spans="1:25" x14ac:dyDescent="0.25">
      <c r="B4" s="1" t="s">
        <v>1</v>
      </c>
      <c r="C4" s="1" t="s">
        <v>37</v>
      </c>
    </row>
    <row r="6" spans="1:25" x14ac:dyDescent="0.25">
      <c r="D6" s="1" t="s">
        <v>6</v>
      </c>
      <c r="J6" s="2" t="s">
        <v>30</v>
      </c>
      <c r="K6" s="7">
        <v>6.0229999999999998E+23</v>
      </c>
      <c r="L6" s="2" t="s">
        <v>31</v>
      </c>
    </row>
    <row r="7" spans="1:25" x14ac:dyDescent="0.25">
      <c r="B7" s="1" t="s">
        <v>4</v>
      </c>
      <c r="C7">
        <v>14600</v>
      </c>
      <c r="D7" s="1" t="s">
        <v>3</v>
      </c>
    </row>
    <row r="8" spans="1:25" ht="18" x14ac:dyDescent="0.35">
      <c r="B8" s="1" t="s">
        <v>5</v>
      </c>
      <c r="C8" t="s">
        <v>36</v>
      </c>
    </row>
    <row r="9" spans="1:25" x14ac:dyDescent="0.25">
      <c r="B9" s="1" t="s">
        <v>7</v>
      </c>
      <c r="C9" t="s">
        <v>38</v>
      </c>
    </row>
    <row r="10" spans="1:25" x14ac:dyDescent="0.25">
      <c r="F10" s="2"/>
      <c r="G10" s="2"/>
      <c r="H10" s="2"/>
      <c r="I10" s="2"/>
      <c r="J10" s="2" t="s">
        <v>9</v>
      </c>
      <c r="K10" s="2" t="s">
        <v>9</v>
      </c>
      <c r="L10" s="3" t="s">
        <v>10</v>
      </c>
      <c r="M10" s="2" t="s">
        <v>8</v>
      </c>
    </row>
    <row r="11" spans="1:25" ht="45.6" customHeight="1" x14ac:dyDescent="0.3"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33</v>
      </c>
      <c r="N11" s="52" t="s">
        <v>19</v>
      </c>
      <c r="O11" s="52" t="s">
        <v>20</v>
      </c>
      <c r="P11" s="52" t="s">
        <v>21</v>
      </c>
      <c r="Q11" s="53"/>
      <c r="R11" s="52" t="s">
        <v>22</v>
      </c>
      <c r="S11" s="52" t="s">
        <v>23</v>
      </c>
      <c r="T11" s="52" t="s">
        <v>24</v>
      </c>
      <c r="U11" s="52" t="s">
        <v>25</v>
      </c>
      <c r="V11" s="52" t="s">
        <v>26</v>
      </c>
      <c r="W11" s="52" t="s">
        <v>27</v>
      </c>
      <c r="X11" s="52" t="s">
        <v>28</v>
      </c>
      <c r="Y11" s="52" t="s">
        <v>29</v>
      </c>
    </row>
    <row r="12" spans="1:25" ht="22.5" x14ac:dyDescent="0.25">
      <c r="B12" s="1" t="s">
        <v>44</v>
      </c>
      <c r="C12" s="76" t="s">
        <v>46</v>
      </c>
      <c r="F12" s="5">
        <v>310.37799999999999</v>
      </c>
      <c r="G12" s="9">
        <v>1.506E-2</v>
      </c>
      <c r="H12" s="9">
        <v>300.85500000000002</v>
      </c>
      <c r="I12" s="5">
        <f>0.00000000005*EXP(0.0629*H12)</f>
        <v>8.2691908982016823E-3</v>
      </c>
      <c r="J12" s="9">
        <f>G12-I12</f>
        <v>6.7908091017983181E-3</v>
      </c>
      <c r="K12" s="10">
        <f>J12*$K$6*1000000/$C$7</f>
        <v>2.8014413164473474E+23</v>
      </c>
      <c r="L12" s="11">
        <f>F12-H12</f>
        <v>9.5229999999999677</v>
      </c>
      <c r="M12" s="8">
        <f>G12/I12</f>
        <v>1.8212180835340406</v>
      </c>
      <c r="N12" s="83">
        <f>1/3600</f>
        <v>2.7777777777777778E-4</v>
      </c>
      <c r="O12" s="8">
        <f>10483*8.314/1000</f>
        <v>87.155661999999992</v>
      </c>
      <c r="P12" s="81">
        <f>EXP(78.367)</f>
        <v>1.0823199490113469E+34</v>
      </c>
      <c r="Q12" s="8">
        <f>LN(K12/L12)+LN($N$12)</f>
        <v>43.547192129820793</v>
      </c>
      <c r="R12" s="10">
        <f>1/H12</f>
        <v>3.3238603313888748E-3</v>
      </c>
      <c r="S12" s="10">
        <f>$P$12*EXP(-($O$12*1000)/(8.314*H12))</f>
        <v>7.9760274334837729E+18</v>
      </c>
      <c r="T12" s="12">
        <f>(($O$13*3*(1.38E-23*H12*LN(M12))^2/(16*3.14*1E-56))^(0.33333))*1000</f>
        <v>17.493983560105008</v>
      </c>
      <c r="U12" s="10">
        <f>2*T12*1E-31/(1.38E-23*H12*LN(M12))</f>
        <v>1.4056887818975034E-9</v>
      </c>
      <c r="V12" s="83">
        <f>0.0000000071</f>
        <v>7.0999999999999999E-9</v>
      </c>
      <c r="W12" s="8">
        <f>2*U12/$V$12</f>
        <v>0.39596867095704319</v>
      </c>
      <c r="X12" s="10">
        <f>S12*L12/$N$12</f>
        <v>2.7344055329663656E+23</v>
      </c>
      <c r="Y12" s="12">
        <f>L12/$N$12</f>
        <v>34282.799999999886</v>
      </c>
    </row>
    <row r="13" spans="1:25" x14ac:dyDescent="0.25">
      <c r="F13" s="5">
        <v>314.36200000000002</v>
      </c>
      <c r="G13" s="9">
        <v>2.0033000000000002E-2</v>
      </c>
      <c r="H13" s="9">
        <v>303.91500000000002</v>
      </c>
      <c r="I13" s="5">
        <f t="shared" ref="I13:I15" si="0">0.00000000005*EXP(0.0629*H13)</f>
        <v>1.0024285195757997E-2</v>
      </c>
      <c r="J13" s="9">
        <f t="shared" ref="J13:J16" si="1">G13-I13</f>
        <v>1.0008714804242005E-2</v>
      </c>
      <c r="K13" s="10">
        <f t="shared" ref="K13:K16" si="2">J13*$K$6*1000000/$C$7</f>
        <v>4.1289376209554517E+23</v>
      </c>
      <c r="L13" s="11">
        <f t="shared" ref="L13:L16" si="3">F13-H13</f>
        <v>10.447000000000003</v>
      </c>
      <c r="M13" s="8">
        <f t="shared" ref="M13:M16" si="4">G13/I13</f>
        <v>1.9984467329877464</v>
      </c>
      <c r="N13" s="83"/>
      <c r="O13" s="10">
        <f>O12*1000/$K$6</f>
        <v>1.447047351818031E-19</v>
      </c>
      <c r="P13" s="81"/>
      <c r="Q13" s="8">
        <f t="shared" ref="Q13:Q15" si="5">LN(K13/L13)+LN($N$12)</f>
        <v>43.842473297810429</v>
      </c>
      <c r="R13" s="10">
        <f t="shared" ref="R13:R16" si="6">1/H13</f>
        <v>3.2903936956056789E-3</v>
      </c>
      <c r="S13" s="10">
        <f>$P$12*EXP(-($O$12*1000)/(8.314*H13))</f>
        <v>1.132792838598654E+19</v>
      </c>
      <c r="T13" s="12">
        <f>(($O$13*3*(1.38E-23*H13*LN(M13))^2/(16*3.14*1E-56))^(0.33333))*1000</f>
        <v>19.387195621317083</v>
      </c>
      <c r="U13" s="10">
        <f>2*T13*1E-31/(1.38E-23*H13*LN(M13))</f>
        <v>1.335289304464445E-9</v>
      </c>
      <c r="V13" s="83"/>
      <c r="W13" s="8">
        <f t="shared" ref="W13:W16" si="7">2*U13/$V$12</f>
        <v>0.37613783224350561</v>
      </c>
      <c r="X13" s="10">
        <f>S13*L13/$N$12</f>
        <v>4.2603432425424507E+23</v>
      </c>
      <c r="Y13" s="12">
        <f>L13/$N$12</f>
        <v>37609.200000000012</v>
      </c>
    </row>
    <row r="14" spans="1:25" x14ac:dyDescent="0.25">
      <c r="F14" s="5">
        <v>320.57499999999999</v>
      </c>
      <c r="G14" s="9">
        <v>2.9869E-2</v>
      </c>
      <c r="H14" s="9">
        <v>306.43</v>
      </c>
      <c r="I14" s="5">
        <f t="shared" si="0"/>
        <v>1.1742375877296261E-2</v>
      </c>
      <c r="J14" s="9">
        <f t="shared" si="1"/>
        <v>1.8126624122703737E-2</v>
      </c>
      <c r="K14" s="10">
        <f t="shared" si="2"/>
        <v>7.4778532254140143E+23</v>
      </c>
      <c r="L14" s="11">
        <f t="shared" si="3"/>
        <v>14.144999999999982</v>
      </c>
      <c r="M14" s="8">
        <f t="shared" si="4"/>
        <v>2.5436930577014949</v>
      </c>
      <c r="N14" s="83"/>
      <c r="O14" s="75" t="s">
        <v>11</v>
      </c>
      <c r="P14" s="81"/>
      <c r="Q14" s="8">
        <f t="shared" si="5"/>
        <v>44.133352558508768</v>
      </c>
      <c r="R14" s="10">
        <f t="shared" si="6"/>
        <v>3.2633880494729629E-3</v>
      </c>
      <c r="S14" s="10">
        <f>$P$12*EXP(-($O$12*1000)/(8.314*H14))</f>
        <v>1.5034858476836835E+19</v>
      </c>
      <c r="T14" s="12">
        <f>(($O$13*3*(1.38E-23*H14*LN(M14))^2/(16*3.14*1E-56))^(0.33333))*1000</f>
        <v>23.793249877909986</v>
      </c>
      <c r="U14" s="10">
        <f>2*T14*1E-31/(1.38E-23*H14*LN(M14))</f>
        <v>1.2053263466299513E-9</v>
      </c>
      <c r="V14" s="83"/>
      <c r="W14" s="8">
        <f t="shared" si="7"/>
        <v>0.33952854834646518</v>
      </c>
      <c r="X14" s="10">
        <f>S14*L14/$N$12</f>
        <v>7.6560506335748435E+23</v>
      </c>
      <c r="Y14" s="12">
        <f>L14/$N$12</f>
        <v>50921.999999999935</v>
      </c>
    </row>
    <row r="15" spans="1:25" x14ac:dyDescent="0.25">
      <c r="F15" s="5">
        <v>325.40100000000001</v>
      </c>
      <c r="G15" s="9">
        <v>3.9912999999999997E-2</v>
      </c>
      <c r="H15" s="9">
        <v>307.74299999999999</v>
      </c>
      <c r="I15" s="5">
        <f t="shared" si="0"/>
        <v>1.2753323043154099E-2</v>
      </c>
      <c r="J15" s="9">
        <f t="shared" si="1"/>
        <v>2.7159676956845898E-2</v>
      </c>
      <c r="K15" s="10">
        <f>J15*$K$6*1000000/$C$7</f>
        <v>1.1204296870622113E+24</v>
      </c>
      <c r="L15" s="11">
        <f t="shared" si="3"/>
        <v>17.658000000000015</v>
      </c>
      <c r="M15" s="8">
        <f t="shared" si="4"/>
        <v>3.1296156981944434</v>
      </c>
      <c r="N15" s="83"/>
      <c r="O15" s="5"/>
      <c r="P15" s="81"/>
      <c r="Q15" s="8">
        <f t="shared" si="5"/>
        <v>44.31587642982867</v>
      </c>
      <c r="R15" s="10">
        <f t="shared" si="6"/>
        <v>3.2494646506987974E-3</v>
      </c>
      <c r="S15" s="10">
        <f>$P$12*EXP(-($O$12*1000)/(8.314*H15))</f>
        <v>1.7397567417092835E+19</v>
      </c>
      <c r="T15" s="12">
        <f>(($O$13*3*(1.38E-23*H15*LN(M15))^2/(16*3.14*1E-56))^(0.33333))*1000</f>
        <v>27.273838058435384</v>
      </c>
      <c r="U15" s="10">
        <f>2*T15*1E-31/(1.38E-23*H15*LN(M15))</f>
        <v>1.1257903310120347E-9</v>
      </c>
      <c r="V15" s="83"/>
      <c r="W15" s="8">
        <f t="shared" si="7"/>
        <v>0.31712403690479851</v>
      </c>
      <c r="X15" s="10">
        <f>S15*L15/$N$12</f>
        <v>1.105942483623692E+24</v>
      </c>
      <c r="Y15" s="12">
        <f>L15/$N$12</f>
        <v>63568.800000000054</v>
      </c>
    </row>
    <row r="16" spans="1:25" s="36" customFormat="1" x14ac:dyDescent="0.25">
      <c r="A16"/>
      <c r="B16"/>
      <c r="C16"/>
      <c r="D16"/>
      <c r="E16"/>
      <c r="F16" s="5">
        <v>329.39400000000001</v>
      </c>
      <c r="G16" s="8">
        <v>4.9851999999999994E-2</v>
      </c>
      <c r="H16" s="8">
        <v>308.96300000000002</v>
      </c>
      <c r="I16" s="5">
        <f>0.00000000005*EXP(0.0629*H16)</f>
        <v>1.3770517152266921E-2</v>
      </c>
      <c r="J16" s="9">
        <f t="shared" si="1"/>
        <v>3.6081482847733076E-2</v>
      </c>
      <c r="K16" s="10">
        <f t="shared" si="2"/>
        <v>1.4884847341910705E+24</v>
      </c>
      <c r="L16" s="11">
        <f t="shared" si="3"/>
        <v>20.430999999999983</v>
      </c>
      <c r="M16" s="8">
        <f t="shared" si="4"/>
        <v>3.620198097773931</v>
      </c>
      <c r="N16" s="83"/>
      <c r="O16" s="8"/>
      <c r="P16" s="81"/>
      <c r="Q16" s="8">
        <f>LN(K16/L16)+LN($N$12)</f>
        <v>44.454058397742308</v>
      </c>
      <c r="R16" s="10">
        <f t="shared" si="6"/>
        <v>3.2366335127507174E-3</v>
      </c>
      <c r="S16" s="10">
        <f>$P$12*EXP(-($O$12*1000)/(8.314*H16))</f>
        <v>1.9902377798245294E+19</v>
      </c>
      <c r="T16" s="12">
        <f>(($O$13*3*(1.38E-23*H16*LN(M16))^2/(16*3.14*1E-56))^(0.33333))*1000</f>
        <v>29.625801518187874</v>
      </c>
      <c r="U16" s="10">
        <f>2*T16*1E-31/(1.38E-23*H16*LN(M16))</f>
        <v>1.0801773086373524E-9</v>
      </c>
      <c r="V16" s="83"/>
      <c r="W16" s="8">
        <f t="shared" si="7"/>
        <v>0.30427529820770488</v>
      </c>
      <c r="X16" s="10">
        <f>S16*L16/$N$12</f>
        <v>1.4638517308654173E+24</v>
      </c>
      <c r="Y16" s="12">
        <f>L16/$N$12</f>
        <v>73551.599999999933</v>
      </c>
    </row>
    <row r="17" spans="1:25" s="36" customFormat="1" x14ac:dyDescent="0.25">
      <c r="A17"/>
      <c r="B17"/>
      <c r="C17"/>
      <c r="D17"/>
      <c r="E17"/>
    </row>
    <row r="18" spans="1:25" x14ac:dyDescent="0.25">
      <c r="F18" s="36"/>
      <c r="G18" s="35"/>
      <c r="H18" s="36"/>
      <c r="I18" s="36"/>
      <c r="J18" s="35"/>
      <c r="K18" s="54"/>
      <c r="L18" s="65"/>
      <c r="M18" s="36"/>
      <c r="N18" s="67"/>
      <c r="P18" s="68"/>
      <c r="Q18" s="36"/>
      <c r="R18" s="54"/>
      <c r="S18" s="54"/>
      <c r="T18" s="36"/>
      <c r="U18" s="54"/>
      <c r="V18" s="114"/>
      <c r="W18" s="36"/>
      <c r="X18" s="54"/>
      <c r="Y18" s="66"/>
    </row>
    <row r="19" spans="1:25" x14ac:dyDescent="0.25">
      <c r="F19" s="36"/>
      <c r="G19" s="35"/>
      <c r="H19" s="36"/>
      <c r="I19" s="36"/>
      <c r="J19" s="35"/>
      <c r="K19" s="54"/>
      <c r="L19" s="65"/>
      <c r="M19" s="36"/>
      <c r="N19" s="67"/>
      <c r="O19" s="54"/>
      <c r="P19" s="68"/>
      <c r="Q19" s="36"/>
      <c r="R19" s="54"/>
      <c r="S19" s="54"/>
      <c r="T19" s="36"/>
      <c r="U19" s="54"/>
      <c r="V19" s="114"/>
      <c r="W19" s="36"/>
      <c r="X19" s="54"/>
      <c r="Y19" s="66"/>
    </row>
    <row r="20" spans="1:25" x14ac:dyDescent="0.25">
      <c r="F20" s="36"/>
      <c r="G20" s="35"/>
      <c r="H20" s="36"/>
      <c r="I20" s="36"/>
      <c r="J20" s="35"/>
      <c r="K20" s="54"/>
      <c r="L20" s="65"/>
      <c r="M20" s="36"/>
      <c r="N20" s="67"/>
      <c r="P20" s="68"/>
      <c r="Q20" s="36"/>
      <c r="R20" s="54"/>
      <c r="S20" s="54"/>
      <c r="T20" s="36"/>
      <c r="U20" s="54"/>
      <c r="V20" s="114"/>
      <c r="W20" s="36"/>
      <c r="X20" s="54"/>
      <c r="Y20" s="66"/>
    </row>
    <row r="21" spans="1:25" x14ac:dyDescent="0.25">
      <c r="F21" s="36"/>
      <c r="G21" s="35"/>
      <c r="H21" s="36"/>
      <c r="I21" s="36"/>
      <c r="J21" s="35"/>
      <c r="K21" s="54"/>
      <c r="L21" s="65"/>
      <c r="M21" s="36"/>
      <c r="N21" s="67"/>
      <c r="P21" s="68"/>
      <c r="Q21" s="36"/>
      <c r="R21" s="54"/>
      <c r="S21" s="54"/>
      <c r="T21" s="36"/>
      <c r="U21" s="54"/>
      <c r="V21" s="114"/>
      <c r="W21" s="36"/>
      <c r="X21" s="54"/>
      <c r="Y21" s="66"/>
    </row>
    <row r="22" spans="1:25" x14ac:dyDescent="0.25"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x14ac:dyDescent="0.25"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spans="1:25" x14ac:dyDescent="0.25">
      <c r="F24" s="36"/>
      <c r="G24" s="35"/>
      <c r="H24" s="36"/>
      <c r="I24" s="36"/>
      <c r="J24" s="35"/>
      <c r="K24" s="54"/>
      <c r="L24" s="65"/>
      <c r="M24" s="36"/>
      <c r="N24" s="69"/>
      <c r="P24" s="55"/>
      <c r="Q24" s="36"/>
      <c r="R24" s="54"/>
      <c r="S24" s="54"/>
      <c r="T24" s="36"/>
      <c r="U24" s="54"/>
      <c r="V24" s="114"/>
      <c r="W24" s="36"/>
      <c r="X24" s="54"/>
      <c r="Y24" s="66"/>
    </row>
    <row r="25" spans="1:25" x14ac:dyDescent="0.25">
      <c r="F25" s="36"/>
      <c r="G25" s="35"/>
      <c r="H25" s="36"/>
      <c r="I25" s="36"/>
      <c r="J25" s="35"/>
      <c r="K25" s="54"/>
      <c r="L25" s="65"/>
      <c r="M25" s="36"/>
      <c r="N25" s="69"/>
      <c r="O25" s="54"/>
      <c r="P25" s="55"/>
      <c r="Q25" s="36"/>
      <c r="R25" s="54"/>
      <c r="S25" s="54"/>
      <c r="T25" s="36"/>
      <c r="U25" s="54"/>
      <c r="V25" s="114"/>
      <c r="W25" s="36"/>
      <c r="X25" s="54"/>
      <c r="Y25" s="66"/>
    </row>
    <row r="26" spans="1:25" x14ac:dyDescent="0.25">
      <c r="F26" s="36"/>
      <c r="G26" s="35"/>
      <c r="H26" s="36"/>
      <c r="I26" s="36"/>
      <c r="J26" s="35"/>
      <c r="K26" s="54"/>
      <c r="L26" s="65"/>
      <c r="M26" s="36"/>
      <c r="N26" s="69"/>
      <c r="P26" s="55"/>
      <c r="Q26" s="36"/>
      <c r="R26" s="54"/>
      <c r="S26" s="54"/>
      <c r="T26" s="36"/>
      <c r="U26" s="54"/>
      <c r="V26" s="114"/>
      <c r="W26" s="36"/>
      <c r="X26" s="54"/>
      <c r="Y26" s="66"/>
    </row>
    <row r="27" spans="1:25" x14ac:dyDescent="0.25">
      <c r="F27" s="36"/>
      <c r="G27" s="35"/>
      <c r="H27" s="36"/>
      <c r="I27" s="36"/>
      <c r="J27" s="35"/>
      <c r="K27" s="54"/>
      <c r="L27" s="65"/>
      <c r="M27" s="36"/>
      <c r="N27" s="69"/>
      <c r="P27" s="55"/>
      <c r="Q27" s="36"/>
      <c r="R27" s="54"/>
      <c r="S27" s="54"/>
      <c r="T27" s="36"/>
      <c r="U27" s="54"/>
      <c r="V27" s="114"/>
      <c r="W27" s="36"/>
      <c r="X27" s="54"/>
      <c r="Y27" s="66"/>
    </row>
    <row r="28" spans="1:25" x14ac:dyDescent="0.25">
      <c r="V28" s="55"/>
      <c r="W28" s="36"/>
    </row>
  </sheetData>
  <mergeCells count="6">
    <mergeCell ref="V24:V27"/>
    <mergeCell ref="N12:N16"/>
    <mergeCell ref="P12:P16"/>
    <mergeCell ref="V12:V16"/>
    <mergeCell ref="A2:Q2"/>
    <mergeCell ref="V18:V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308E-E774-4360-B68F-F7829B8FD397}">
  <dimension ref="A2:Y28"/>
  <sheetViews>
    <sheetView topLeftCell="A8" workbookViewId="0">
      <selection activeCell="C39" sqref="C39"/>
    </sheetView>
  </sheetViews>
  <sheetFormatPr defaultRowHeight="15" x14ac:dyDescent="0.25"/>
  <cols>
    <col min="2" max="2" width="16.7109375" customWidth="1"/>
    <col min="3" max="3" width="20.28515625" customWidth="1"/>
    <col min="9" max="9" width="12.7109375" customWidth="1"/>
    <col min="10" max="10" width="17.7109375" customWidth="1"/>
    <col min="11" max="11" width="15.28515625" customWidth="1"/>
    <col min="12" max="12" width="13" customWidth="1"/>
    <col min="13" max="13" width="12" customWidth="1"/>
    <col min="14" max="14" width="15.140625" customWidth="1"/>
    <col min="15" max="15" width="16.5703125" customWidth="1"/>
    <col min="16" max="16" width="17.7109375" customWidth="1"/>
    <col min="17" max="17" width="21.140625" customWidth="1"/>
    <col min="18" max="18" width="14.140625" customWidth="1"/>
    <col min="19" max="19" width="22.7109375" customWidth="1"/>
    <col min="20" max="20" width="16.28515625" customWidth="1"/>
    <col min="21" max="21" width="14.7109375" customWidth="1"/>
    <col min="22" max="22" width="15.5703125" customWidth="1"/>
    <col min="23" max="23" width="15.7109375" customWidth="1"/>
    <col min="24" max="24" width="12.85546875" customWidth="1"/>
    <col min="25" max="25" width="12.28515625" customWidth="1"/>
  </cols>
  <sheetData>
    <row r="2" spans="1:25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4" spans="1:25" x14ac:dyDescent="0.25">
      <c r="B4" s="1" t="s">
        <v>1</v>
      </c>
      <c r="C4" s="1" t="s">
        <v>39</v>
      </c>
    </row>
    <row r="6" spans="1:25" x14ac:dyDescent="0.25">
      <c r="D6" s="1" t="s">
        <v>6</v>
      </c>
      <c r="J6" s="2" t="s">
        <v>30</v>
      </c>
      <c r="K6" s="7">
        <v>6.0229999999999998E+23</v>
      </c>
      <c r="L6" s="2" t="s">
        <v>31</v>
      </c>
    </row>
    <row r="7" spans="1:25" x14ac:dyDescent="0.25">
      <c r="B7" s="1" t="s">
        <v>4</v>
      </c>
      <c r="C7">
        <v>123.1127</v>
      </c>
      <c r="D7" s="1" t="s">
        <v>3</v>
      </c>
    </row>
    <row r="8" spans="1:25" ht="18" x14ac:dyDescent="0.35">
      <c r="B8" s="1" t="s">
        <v>5</v>
      </c>
      <c r="C8" t="s">
        <v>43</v>
      </c>
    </row>
    <row r="9" spans="1:25" x14ac:dyDescent="0.25">
      <c r="B9" s="1" t="s">
        <v>7</v>
      </c>
      <c r="C9" t="s">
        <v>40</v>
      </c>
    </row>
    <row r="10" spans="1:25" x14ac:dyDescent="0.25">
      <c r="B10" s="1" t="s">
        <v>41</v>
      </c>
      <c r="C10">
        <v>0.78439999999999999</v>
      </c>
      <c r="D10" t="s">
        <v>42</v>
      </c>
      <c r="F10" s="2"/>
      <c r="G10" s="2"/>
      <c r="H10" s="2"/>
      <c r="I10" s="2"/>
      <c r="J10" s="2" t="s">
        <v>9</v>
      </c>
      <c r="K10" s="2" t="s">
        <v>9</v>
      </c>
      <c r="L10" s="3" t="s">
        <v>10</v>
      </c>
      <c r="M10" s="2" t="s">
        <v>8</v>
      </c>
    </row>
    <row r="11" spans="1:25" ht="45.6" customHeight="1" thickBot="1" x14ac:dyDescent="0.35">
      <c r="F11" s="52" t="s">
        <v>12</v>
      </c>
      <c r="G11" s="52" t="s">
        <v>13</v>
      </c>
      <c r="H11" s="52" t="s">
        <v>14</v>
      </c>
      <c r="I11" s="52" t="s">
        <v>15</v>
      </c>
      <c r="J11" s="52" t="s">
        <v>16</v>
      </c>
      <c r="K11" s="52" t="s">
        <v>17</v>
      </c>
      <c r="L11" s="52" t="s">
        <v>18</v>
      </c>
      <c r="M11" s="52" t="s">
        <v>33</v>
      </c>
      <c r="N11" s="52" t="s">
        <v>19</v>
      </c>
      <c r="O11" s="52" t="s">
        <v>20</v>
      </c>
      <c r="P11" s="52" t="s">
        <v>21</v>
      </c>
      <c r="Q11" s="53"/>
      <c r="R11" s="52" t="s">
        <v>22</v>
      </c>
      <c r="S11" s="52" t="s">
        <v>23</v>
      </c>
      <c r="T11" s="52" t="s">
        <v>24</v>
      </c>
      <c r="U11" s="52" t="s">
        <v>25</v>
      </c>
      <c r="V11" s="52" t="s">
        <v>26</v>
      </c>
      <c r="W11" s="52" t="s">
        <v>27</v>
      </c>
      <c r="X11" s="52" t="s">
        <v>28</v>
      </c>
      <c r="Y11" s="52" t="s">
        <v>29</v>
      </c>
    </row>
    <row r="12" spans="1:25" ht="25.5" thickBot="1" x14ac:dyDescent="0.3">
      <c r="B12" s="1" t="s">
        <v>44</v>
      </c>
      <c r="C12" s="77" t="s">
        <v>48</v>
      </c>
      <c r="F12" s="47">
        <v>298.1284</v>
      </c>
      <c r="G12" s="70">
        <v>7.6204459999999995E-3</v>
      </c>
      <c r="H12" s="30">
        <v>294.44569999999999</v>
      </c>
      <c r="I12" s="32">
        <f>0.00000009*EXP(0.0382*H12)</f>
        <v>6.9041649978014994E-3</v>
      </c>
      <c r="J12" s="71">
        <f>G12-I12</f>
        <v>7.162810021985001E-4</v>
      </c>
      <c r="K12" s="31">
        <f>J12*$K$6*1000000/$C$7</f>
        <v>3.5042367491262609E+24</v>
      </c>
      <c r="L12" s="32">
        <f>F12-H12</f>
        <v>3.6827000000000112</v>
      </c>
      <c r="M12" s="29">
        <f>G12/I12</f>
        <v>1.1037462173089123</v>
      </c>
      <c r="N12" s="111">
        <v>1.6666666666666668E-3</v>
      </c>
      <c r="O12" s="29">
        <f>2722.1*8.314/1000</f>
        <v>22.631539399999998</v>
      </c>
      <c r="P12" s="108">
        <f>EXP(58.093)</f>
        <v>1.6961698421771058E+25</v>
      </c>
      <c r="Q12" s="29">
        <f>LN(K12/L12)+LN($N$12)</f>
        <v>48.815439134012628</v>
      </c>
      <c r="R12" s="31">
        <f>1/H12</f>
        <v>3.3962119331340211E-3</v>
      </c>
      <c r="S12" s="31">
        <f>$P$12*EXP(-($O$12*1000)/(8.314*H12))</f>
        <v>1.6386693555656041E+21</v>
      </c>
      <c r="T12" s="29">
        <f>(($O$13*3*(1.38E-23*H12*LN(M12))^2/(16*3.14*1E-56))^(0.33333))*1000</f>
        <v>3.3050613955569963</v>
      </c>
      <c r="U12" s="31">
        <f>2*T12*1E-31/(1.38E-23*H12*LN(M12))</f>
        <v>1.6480252860226657E-9</v>
      </c>
      <c r="V12" s="93">
        <f>0.00000000083</f>
        <v>8.3000000000000003E-10</v>
      </c>
      <c r="W12" s="29">
        <f>2*U12/$V$12</f>
        <v>3.9711452675244954</v>
      </c>
      <c r="X12" s="31">
        <f>S12*L12/$N$12</f>
        <v>3.6208365814448806E+24</v>
      </c>
      <c r="Y12" s="33">
        <f>L12/$N$12</f>
        <v>2209.6200000000067</v>
      </c>
    </row>
    <row r="13" spans="1:25" ht="15.75" thickBot="1" x14ac:dyDescent="0.3">
      <c r="F13" s="49">
        <v>303.32310000000001</v>
      </c>
      <c r="G13" s="70">
        <v>9.3539699999999996E-3</v>
      </c>
      <c r="H13" s="9">
        <v>299.71969999999999</v>
      </c>
      <c r="I13" s="32">
        <f>0.00000009*EXP(0.0382*H13)</f>
        <v>8.4451444285220893E-3</v>
      </c>
      <c r="J13" s="72">
        <f t="shared" ref="J13:J15" si="0">G13-I13</f>
        <v>9.0882557147791039E-4</v>
      </c>
      <c r="K13" s="10">
        <f t="shared" ref="K13:K15" si="1">J13*$K$6*1000000/$C$7</f>
        <v>4.4462158794433508E+24</v>
      </c>
      <c r="L13" s="11">
        <f t="shared" ref="L13:L15" si="2">F13-H13</f>
        <v>3.6034000000000219</v>
      </c>
      <c r="M13" s="8">
        <f t="shared" ref="M13:M15" si="3">G13/I13</f>
        <v>1.1076151603054296</v>
      </c>
      <c r="N13" s="112"/>
      <c r="O13" s="10">
        <f>O12*1000/$K$6</f>
        <v>3.7575194089324255E-20</v>
      </c>
      <c r="P13" s="109"/>
      <c r="Q13" s="8">
        <f>LN(K13/L13)+LN($N$12)</f>
        <v>49.07528810268488</v>
      </c>
      <c r="R13" s="10">
        <f t="shared" ref="R13:R15" si="4">1/H13</f>
        <v>3.3364506904284236E-3</v>
      </c>
      <c r="S13" s="10">
        <f>$P$12*EXP(-($O$12*1000)/(8.314*H13))</f>
        <v>1.9281492841126117E+21</v>
      </c>
      <c r="T13" s="8">
        <f>(($O$13*3*(1.38E-23*H13*LN(M13))^2/(16*3.14*1E-56))^(0.33333))*1000</f>
        <v>3.4229864825944647</v>
      </c>
      <c r="U13" s="10">
        <f>2*T13*1E-31/(1.38E-23*H13*LN(M13))</f>
        <v>1.6193876250064553E-9</v>
      </c>
      <c r="V13" s="94"/>
      <c r="W13" s="8">
        <f t="shared" ref="W13:W15" si="5">2*U13/$V$12</f>
        <v>3.9021388554372414</v>
      </c>
      <c r="X13" s="10">
        <f>S13*L13/$N$12</f>
        <v>4.1687358782228558E+24</v>
      </c>
      <c r="Y13" s="37">
        <f>L13/$N$12</f>
        <v>2162.0400000000132</v>
      </c>
    </row>
    <row r="14" spans="1:25" ht="15.75" thickBot="1" x14ac:dyDescent="0.3">
      <c r="F14" s="49">
        <v>308.40010000000001</v>
      </c>
      <c r="G14" s="70">
        <v>1.1322813999999999E-2</v>
      </c>
      <c r="H14" s="9">
        <v>305.50940000000003</v>
      </c>
      <c r="I14" s="32">
        <f t="shared" ref="I14:I15" si="6">0.00000009*EXP(0.0382*H14)</f>
        <v>1.0535580969750828E-2</v>
      </c>
      <c r="J14" s="72">
        <f t="shared" si="0"/>
        <v>7.8723303024917125E-4</v>
      </c>
      <c r="K14" s="10">
        <f t="shared" si="1"/>
        <v>3.8513528995714969E+24</v>
      </c>
      <c r="L14" s="11">
        <f t="shared" si="2"/>
        <v>2.8906999999999812</v>
      </c>
      <c r="M14" s="8">
        <f t="shared" si="3"/>
        <v>1.0747213687132613</v>
      </c>
      <c r="N14" s="112"/>
      <c r="O14" s="75" t="s">
        <v>11</v>
      </c>
      <c r="P14" s="109"/>
      <c r="Q14" s="8">
        <f>LN(K14/L14)+LN($N$12)</f>
        <v>49.152038378371351</v>
      </c>
      <c r="R14" s="10">
        <f t="shared" si="4"/>
        <v>3.2732217077445077E-3</v>
      </c>
      <c r="S14" s="10">
        <f>$P$12*EXP(-($O$12*1000)/(8.314*H14))</f>
        <v>2.2902849370237494E+21</v>
      </c>
      <c r="T14" s="8">
        <f>(($O$13*3*(1.38E-23*H14*LN(M14))^2/(16*3.14*1E-56))^(0.33333))*1000</f>
        <v>2.7463398745482532</v>
      </c>
      <c r="U14" s="10">
        <f>2*T14*1E-31/(1.38E-23*H14*LN(M14))</f>
        <v>1.8079137248336986E-9</v>
      </c>
      <c r="V14" s="94"/>
      <c r="W14" s="8">
        <f t="shared" si="5"/>
        <v>4.3564186140571053</v>
      </c>
      <c r="X14" s="10">
        <f>S14*L14/$N$12</f>
        <v>3.972316000472705E+24</v>
      </c>
      <c r="Y14" s="37">
        <f>L14/$N$12</f>
        <v>1734.4199999999887</v>
      </c>
    </row>
    <row r="15" spans="1:25" ht="15.75" thickBot="1" x14ac:dyDescent="0.3">
      <c r="F15" s="50">
        <v>313.39940000000001</v>
      </c>
      <c r="G15" s="70">
        <v>1.3672876400000001E-2</v>
      </c>
      <c r="H15" s="42">
        <v>311.14229999999998</v>
      </c>
      <c r="I15" s="32">
        <f t="shared" si="6"/>
        <v>1.3064974828909202E-2</v>
      </c>
      <c r="J15" s="73">
        <f t="shared" si="0"/>
        <v>6.0790157109079888E-4</v>
      </c>
      <c r="K15" s="43">
        <f t="shared" si="1"/>
        <v>2.9740158104565016E+24</v>
      </c>
      <c r="L15" s="44">
        <f t="shared" si="2"/>
        <v>2.2571000000000367</v>
      </c>
      <c r="M15" s="41">
        <f t="shared" si="3"/>
        <v>1.0465291038866511</v>
      </c>
      <c r="N15" s="113"/>
      <c r="O15" s="51"/>
      <c r="P15" s="110"/>
      <c r="Q15" s="41">
        <f>LN(K15/L15)+LN($N$12)</f>
        <v>49.140944937435314</v>
      </c>
      <c r="R15" s="43">
        <f t="shared" si="4"/>
        <v>3.2139635144433918E-3</v>
      </c>
      <c r="S15" s="43">
        <f>$P$12*EXP(-($O$12*1000)/(8.314*H15))</f>
        <v>2.691188626103738E+21</v>
      </c>
      <c r="T15" s="41">
        <f>(($O$13*3*(1.38E-23*H15*LN(M15))^2/(16*3.14*1E-56))^(0.33333))*1000</f>
        <v>2.0454286964170345</v>
      </c>
      <c r="U15" s="43">
        <f>2*T15*1E-31/(1.38E-23*H15*LN(M15))</f>
        <v>2.0949062394924585E-9</v>
      </c>
      <c r="V15" s="95"/>
      <c r="W15" s="41">
        <f t="shared" si="5"/>
        <v>5.047966842150502</v>
      </c>
      <c r="X15" s="43">
        <f>S15*L15/$N$12</f>
        <v>3.6445691087873073E+24</v>
      </c>
      <c r="Y15" s="46">
        <f>L15/$N$12</f>
        <v>1354.260000000022</v>
      </c>
    </row>
    <row r="16" spans="1:25" x14ac:dyDescent="0.25"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6:25" ht="15.75" thickBot="1" x14ac:dyDescent="0.3"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6:25" ht="15.75" thickBot="1" x14ac:dyDescent="0.3">
      <c r="F18" s="47">
        <v>298.1284</v>
      </c>
      <c r="G18" s="70">
        <v>7.6204459999999995E-3</v>
      </c>
      <c r="H18" s="29">
        <v>292.70339999999999</v>
      </c>
      <c r="I18" s="32">
        <f t="shared" ref="I18:I21" si="7">0.00000009*EXP(0.0382*H18)</f>
        <v>6.459610309485996E-3</v>
      </c>
      <c r="J18" s="32">
        <f t="shared" ref="J18:J21" si="8">G18-I18</f>
        <v>1.1608356905140034E-3</v>
      </c>
      <c r="K18" s="31">
        <f t="shared" ref="K18:K21" si="9">J18*$K$6*1000000/$C$7</f>
        <v>5.6791162601143854E+24</v>
      </c>
      <c r="L18" s="32">
        <f t="shared" ref="L18:L21" si="10">F18-H18</f>
        <v>5.4250000000000114</v>
      </c>
      <c r="M18" s="29">
        <f t="shared" ref="M18:M21" si="11">G18/I18</f>
        <v>1.179706767884946</v>
      </c>
      <c r="N18" s="111">
        <v>3.3300000000000001E-3</v>
      </c>
      <c r="O18" s="48">
        <f>2577.2*8.314/1000</f>
        <v>21.426840799999997</v>
      </c>
      <c r="P18" s="108">
        <f>EXP(58.446)</f>
        <v>2.4142113609235186E+25</v>
      </c>
      <c r="Q18" s="29">
        <f>LN(K18/L18)+LN($N$18)</f>
        <v>49.603036990060751</v>
      </c>
      <c r="R18" s="31">
        <f>1/H18</f>
        <v>3.4164276875499229E-3</v>
      </c>
      <c r="S18" s="31">
        <f>$P$18*EXP(-($O$18*1000)/(8.314*H18))</f>
        <v>3.621526459203486E+21</v>
      </c>
      <c r="T18" s="29">
        <f>(($O$19*3*(1.38E-23*H18*LN(M18))^2/(16*3.14*1E-56))^(0.33333))*1000</f>
        <v>4.5578055733688965</v>
      </c>
      <c r="U18" s="31">
        <f>2*T18*1E-31/(1.38E-23*H18*LN(M18))</f>
        <v>1.3655124650658044E-9</v>
      </c>
      <c r="V18" s="93">
        <f>0.00000000083</f>
        <v>8.3000000000000003E-10</v>
      </c>
      <c r="W18" s="29">
        <f>2*U18/$V$18</f>
        <v>3.2903914820862754</v>
      </c>
      <c r="X18" s="31">
        <f>S18*L18/$N$18</f>
        <v>5.8999342466002861E+24</v>
      </c>
      <c r="Y18" s="33">
        <f>L18/$N$18</f>
        <v>1629.1291291291325</v>
      </c>
    </row>
    <row r="19" spans="6:25" ht="15.75" thickBot="1" x14ac:dyDescent="0.3">
      <c r="F19" s="49">
        <v>303.32310000000001</v>
      </c>
      <c r="G19" s="70">
        <v>9.3539699999999996E-3</v>
      </c>
      <c r="H19" s="8">
        <v>298.09609999999998</v>
      </c>
      <c r="I19" s="32">
        <f t="shared" si="7"/>
        <v>7.9372759128314464E-3</v>
      </c>
      <c r="J19" s="11">
        <f t="shared" si="8"/>
        <v>1.4166940871685532E-3</v>
      </c>
      <c r="K19" s="10">
        <f t="shared" si="9"/>
        <v>6.930843436149314E+24</v>
      </c>
      <c r="L19" s="11">
        <f t="shared" si="10"/>
        <v>5.2270000000000323</v>
      </c>
      <c r="M19" s="8">
        <f t="shared" si="11"/>
        <v>1.1784861837646738</v>
      </c>
      <c r="N19" s="112"/>
      <c r="O19" s="10">
        <f>O18*1000/$K$6</f>
        <v>3.5575030383529804E-20</v>
      </c>
      <c r="P19" s="109"/>
      <c r="Q19" s="8">
        <f>LN(K19/L19)+LN($N$18)</f>
        <v>49.839403270890578</v>
      </c>
      <c r="R19" s="10">
        <f t="shared" ref="R19:R21" si="12">1/H19</f>
        <v>3.3546228883906903E-3</v>
      </c>
      <c r="S19" s="31">
        <f t="shared" ref="S19:S21" si="13">$P$18*EXP(-($O$18*1000)/(8.314*H19))</f>
        <v>4.2468559774705988E+21</v>
      </c>
      <c r="T19" s="8">
        <f>(($O$19*3*(1.38E-23*H19*LN(M19))^2/(16*3.14*1E-56))^(0.33333))*1000</f>
        <v>4.5943301137472883</v>
      </c>
      <c r="U19" s="10">
        <f>2*T19*1E-31/(1.38E-23*H19*LN(M19))</f>
        <v>1.3600736164063701E-9</v>
      </c>
      <c r="V19" s="94"/>
      <c r="W19" s="19">
        <f t="shared" ref="W19:W21" si="14">2*U19/$V$18</f>
        <v>3.2772858226659518</v>
      </c>
      <c r="X19" s="10">
        <f>S19*L19/$N$18</f>
        <v>6.6661610192909789E+24</v>
      </c>
      <c r="Y19" s="37">
        <f t="shared" ref="Y19:Y21" si="15">L19/$N$18</f>
        <v>1569.6696696696793</v>
      </c>
    </row>
    <row r="20" spans="6:25" ht="15.75" thickBot="1" x14ac:dyDescent="0.3">
      <c r="F20" s="49">
        <v>308.40010000000001</v>
      </c>
      <c r="G20" s="70">
        <v>1.1322813999999999E-2</v>
      </c>
      <c r="H20" s="8">
        <v>303.72739999999999</v>
      </c>
      <c r="I20" s="32">
        <f t="shared" si="7"/>
        <v>9.8422642604819935E-3</v>
      </c>
      <c r="J20" s="11">
        <f t="shared" si="8"/>
        <v>1.4805497395180053E-3</v>
      </c>
      <c r="K20" s="10">
        <f t="shared" si="9"/>
        <v>7.2432422334307887E+24</v>
      </c>
      <c r="L20" s="11">
        <f t="shared" si="10"/>
        <v>4.6727000000000203</v>
      </c>
      <c r="M20" s="8">
        <f t="shared" si="11"/>
        <v>1.1504277573060713</v>
      </c>
      <c r="N20" s="112"/>
      <c r="O20" s="75" t="s">
        <v>11</v>
      </c>
      <c r="P20" s="109"/>
      <c r="Q20" s="8">
        <f>LN(K20/L20)+LN($N$18)</f>
        <v>49.995591122249685</v>
      </c>
      <c r="R20" s="10">
        <f t="shared" si="12"/>
        <v>3.2924260372952851E-3</v>
      </c>
      <c r="S20" s="31">
        <f t="shared" si="13"/>
        <v>4.9851957169051685E+21</v>
      </c>
      <c r="T20" s="8">
        <f>(($O$19*3*(1.38E-23*H20*LN(M20))^2/(16*3.14*1E-56))^(0.33333))*1000</f>
        <v>4.1850449877749707</v>
      </c>
      <c r="U20" s="10">
        <f>2*T20*1E-31/(1.38E-23*H20*LN(M20))</f>
        <v>1.4250301628375478E-9</v>
      </c>
      <c r="V20" s="94"/>
      <c r="W20" s="19">
        <f t="shared" si="14"/>
        <v>3.4338076212952959</v>
      </c>
      <c r="X20" s="10">
        <f>S20*L20/$N$18</f>
        <v>6.9952925004152801E+24</v>
      </c>
      <c r="Y20" s="37">
        <f t="shared" si="15"/>
        <v>1403.2132132132192</v>
      </c>
    </row>
    <row r="21" spans="6:25" ht="15.75" thickBot="1" x14ac:dyDescent="0.3">
      <c r="F21" s="50">
        <v>313.39940000000001</v>
      </c>
      <c r="G21" s="70">
        <v>1.3672876400000001E-2</v>
      </c>
      <c r="H21" s="41">
        <v>309.83550000000002</v>
      </c>
      <c r="I21" s="32">
        <f t="shared" si="7"/>
        <v>1.242878573337685E-2</v>
      </c>
      <c r="J21" s="44">
        <f t="shared" si="8"/>
        <v>1.2440906666231506E-3</v>
      </c>
      <c r="K21" s="43">
        <f t="shared" si="9"/>
        <v>6.0864216974132125E+24</v>
      </c>
      <c r="L21" s="44">
        <f t="shared" si="10"/>
        <v>3.5638999999999896</v>
      </c>
      <c r="M21" s="41">
        <f t="shared" si="11"/>
        <v>1.1000975230655246</v>
      </c>
      <c r="N21" s="113"/>
      <c r="O21" s="51"/>
      <c r="P21" s="110"/>
      <c r="Q21" s="41">
        <f>LN(K21/L21)+LN($N$18)</f>
        <v>50.092464144837272</v>
      </c>
      <c r="R21" s="43">
        <f t="shared" si="12"/>
        <v>3.2275191190163808E-3</v>
      </c>
      <c r="S21" s="31">
        <f t="shared" si="13"/>
        <v>5.8929149513069956E+21</v>
      </c>
      <c r="T21" s="41">
        <f>(($O$19*3*(1.38E-23*H21*LN(M21))^2/(16*3.14*1E-56))^(0.33333))*1000</f>
        <v>3.281955519096996</v>
      </c>
      <c r="U21" s="43">
        <f>2*T21*1E-31/(1.38E-23*H21*LN(M21))</f>
        <v>1.6091975420198117E-9</v>
      </c>
      <c r="V21" s="95"/>
      <c r="W21" s="45">
        <f t="shared" si="14"/>
        <v>3.8775844386019558</v>
      </c>
      <c r="X21" s="43">
        <f>S21*L21/$N$18</f>
        <v>6.3068347132020841E+24</v>
      </c>
      <c r="Y21" s="46">
        <f t="shared" si="15"/>
        <v>1070.2402402402372</v>
      </c>
    </row>
    <row r="22" spans="6:25" x14ac:dyDescent="0.25"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6:25" x14ac:dyDescent="0.25"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spans="6:25" x14ac:dyDescent="0.25">
      <c r="F24" s="36"/>
      <c r="G24" s="35"/>
      <c r="H24" s="36"/>
      <c r="I24" s="36"/>
      <c r="J24" s="35"/>
      <c r="K24" s="54"/>
      <c r="L24" s="65"/>
      <c r="M24" s="36"/>
      <c r="N24" s="115"/>
      <c r="P24" s="114"/>
      <c r="Q24" s="36"/>
      <c r="R24" s="54"/>
      <c r="S24" s="54"/>
      <c r="T24" s="36"/>
      <c r="U24" s="54"/>
      <c r="V24" s="114"/>
      <c r="W24" s="36"/>
      <c r="X24" s="54"/>
      <c r="Y24" s="66"/>
    </row>
    <row r="25" spans="6:25" x14ac:dyDescent="0.25">
      <c r="F25" s="36"/>
      <c r="G25" s="35"/>
      <c r="H25" s="36"/>
      <c r="I25" s="36"/>
      <c r="J25" s="35"/>
      <c r="K25" s="54"/>
      <c r="L25" s="65"/>
      <c r="M25" s="36"/>
      <c r="N25" s="115"/>
      <c r="O25" s="54"/>
      <c r="P25" s="114"/>
      <c r="Q25" s="36"/>
      <c r="R25" s="54"/>
      <c r="S25" s="54"/>
      <c r="T25" s="36"/>
      <c r="U25" s="54"/>
      <c r="V25" s="114"/>
      <c r="W25" s="36"/>
      <c r="X25" s="54"/>
      <c r="Y25" s="66"/>
    </row>
    <row r="26" spans="6:25" x14ac:dyDescent="0.25">
      <c r="F26" s="36"/>
      <c r="G26" s="35"/>
      <c r="H26" s="36"/>
      <c r="I26" s="36"/>
      <c r="J26" s="35"/>
      <c r="K26" s="54"/>
      <c r="L26" s="65"/>
      <c r="M26" s="36"/>
      <c r="N26" s="115"/>
      <c r="P26" s="114"/>
      <c r="Q26" s="36"/>
      <c r="R26" s="54"/>
      <c r="S26" s="54"/>
      <c r="T26" s="36"/>
      <c r="U26" s="54"/>
      <c r="V26" s="114"/>
      <c r="W26" s="36"/>
      <c r="X26" s="54"/>
      <c r="Y26" s="66"/>
    </row>
    <row r="27" spans="6:25" x14ac:dyDescent="0.25">
      <c r="F27" s="36"/>
      <c r="G27" s="35"/>
      <c r="H27" s="36"/>
      <c r="I27" s="36"/>
      <c r="J27" s="35"/>
      <c r="K27" s="54"/>
      <c r="L27" s="65"/>
      <c r="M27" s="36"/>
      <c r="N27" s="115"/>
      <c r="P27" s="114"/>
      <c r="Q27" s="36"/>
      <c r="R27" s="54"/>
      <c r="S27" s="54"/>
      <c r="T27" s="36"/>
      <c r="U27" s="54"/>
      <c r="V27" s="114"/>
      <c r="W27" s="36"/>
      <c r="X27" s="54"/>
      <c r="Y27" s="66"/>
    </row>
    <row r="28" spans="6:25" x14ac:dyDescent="0.25">
      <c r="V28" s="55"/>
      <c r="W28" s="36"/>
    </row>
  </sheetData>
  <mergeCells count="12">
    <mergeCell ref="F22:Y23"/>
    <mergeCell ref="N24:N27"/>
    <mergeCell ref="P24:P27"/>
    <mergeCell ref="V24:V27"/>
    <mergeCell ref="A2:Q2"/>
    <mergeCell ref="N12:N15"/>
    <mergeCell ref="P12:P15"/>
    <mergeCell ref="V12:V15"/>
    <mergeCell ref="F16:Y17"/>
    <mergeCell ref="N18:N21"/>
    <mergeCell ref="P18:P21"/>
    <mergeCell ref="V18:V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521148E2FDB46A17AC7F6FBE05996" ma:contentTypeVersion="17" ma:contentTypeDescription="Create a new document." ma:contentTypeScope="" ma:versionID="75c069a4320af39f4ae71171ed1ced7f">
  <xsd:schema xmlns:xsd="http://www.w3.org/2001/XMLSchema" xmlns:xs="http://www.w3.org/2001/XMLSchema" xmlns:p="http://schemas.microsoft.com/office/2006/metadata/properties" xmlns:ns3="6f0c1966-6798-4fe8-a93f-095561190620" xmlns:ns4="4b3a58c6-5fbd-489f-bb90-9001b8d77587" targetNamespace="http://schemas.microsoft.com/office/2006/metadata/properties" ma:root="true" ma:fieldsID="87b5f68878c83784542a943bbbd59529" ns3:_="" ns4:_="">
    <xsd:import namespace="6f0c1966-6798-4fe8-a93f-095561190620"/>
    <xsd:import namespace="4b3a58c6-5fbd-489f-bb90-9001b8d775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c1966-6798-4fe8-a93f-095561190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a58c6-5fbd-489f-bb90-9001b8d77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0c1966-6798-4fe8-a93f-0955611906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50DBB-A1C4-4615-9702-348F1C03B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0c1966-6798-4fe8-a93f-095561190620"/>
    <ds:schemaRef ds:uri="4b3a58c6-5fbd-489f-bb90-9001b8d77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AA78D0-F062-4FD5-899C-55AC7E40CB42}">
  <ds:schemaRefs>
    <ds:schemaRef ds:uri="4b3a58c6-5fbd-489f-bb90-9001b8d77587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6f0c1966-6798-4fe8-a93f-09556119062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79FA31-B305-4FD0-8451-E7FB962638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borax</vt:lpstr>
      <vt:lpstr>Glycine</vt:lpstr>
      <vt:lpstr>Lysozyme</vt:lpstr>
      <vt:lpstr>Pyrazinamide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Mayank.Vashishtha</dc:creator>
  <cp:lastModifiedBy>Kannuchamy, Vasanth Kumar Dr (Chemistry &amp; Chem Eng)</cp:lastModifiedBy>
  <dcterms:created xsi:type="dcterms:W3CDTF">2025-05-04T19:03:35Z</dcterms:created>
  <dcterms:modified xsi:type="dcterms:W3CDTF">2025-05-05T07:35:26Z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0x010100C4A521148E2FDB46A17AC7F6FBE05996</vt:lpwstr>
  </property>
</Properties>
</file>