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Paper\博士论文\蒸发制冷\ManuscriptFinal\"/>
    </mc:Choice>
  </mc:AlternateContent>
  <xr:revisionPtr revIDLastSave="0" documentId="13_ncr:1_{5C951C26-87CE-40A0-AB93-D8EE6F0319AF}" xr6:coauthVersionLast="47" xr6:coauthVersionMax="47" xr10:uidLastSave="{00000000-0000-0000-0000-000000000000}"/>
  <bookViews>
    <workbookView xWindow="-108" yWindow="-108" windowWidth="23256" windowHeight="12456" tabRatio="429" xr2:uid="{00000000-000D-0000-FFFF-FFFF00000000}"/>
  </bookViews>
  <sheets>
    <sheet name="Data" sheetId="6" r:id="rId1"/>
    <sheet name="Cost Saving" sheetId="7" r:id="rId2"/>
    <sheet name="Emission Saving" sheetId="9" r:id="rId3"/>
    <sheet name="Land Saving" sheetId="8" r:id="rId4"/>
    <sheet name="Water Saving" sheetId="10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0" l="1"/>
  <c r="E33" i="6"/>
  <c r="E32" i="6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3" i="10"/>
  <c r="E32" i="10"/>
  <c r="B3" i="6" l="1"/>
  <c r="B4" i="6"/>
  <c r="E4" i="6" s="1"/>
  <c r="B5" i="6"/>
  <c r="B6" i="6"/>
  <c r="B7" i="6"/>
  <c r="E6" i="6" s="1"/>
  <c r="B8" i="6"/>
  <c r="B9" i="6"/>
  <c r="B10" i="6"/>
  <c r="E9" i="6" s="1"/>
  <c r="B11" i="6"/>
  <c r="E10" i="6" s="1"/>
  <c r="B12" i="6"/>
  <c r="E11" i="6" s="1"/>
  <c r="B13" i="6"/>
  <c r="E12" i="6" s="1"/>
  <c r="B14" i="6"/>
  <c r="E13" i="6" s="1"/>
  <c r="B15" i="6"/>
  <c r="B16" i="6"/>
  <c r="E16" i="6" s="1"/>
  <c r="B17" i="6"/>
  <c r="B18" i="6"/>
  <c r="B19" i="6"/>
  <c r="B20" i="6"/>
  <c r="B21" i="6"/>
  <c r="B22" i="6"/>
  <c r="B23" i="6"/>
  <c r="E22" i="6" s="1"/>
  <c r="B24" i="6"/>
  <c r="E23" i="6" s="1"/>
  <c r="B25" i="6"/>
  <c r="E24" i="6" s="1"/>
  <c r="B26" i="6"/>
  <c r="E25" i="6" s="1"/>
  <c r="B27" i="6"/>
  <c r="B28" i="6"/>
  <c r="B2" i="6"/>
  <c r="E34" i="6"/>
  <c r="E36" i="6"/>
  <c r="E37" i="6"/>
  <c r="E38" i="6"/>
  <c r="H41" i="6"/>
  <c r="E42" i="6" s="1"/>
  <c r="L10" i="6" s="1"/>
  <c r="G28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3" i="7"/>
  <c r="E31" i="6"/>
  <c r="I25" i="6" s="1"/>
  <c r="E5" i="6"/>
  <c r="E17" i="6"/>
  <c r="E18" i="6"/>
  <c r="E21" i="6" l="1"/>
  <c r="E8" i="6"/>
  <c r="E20" i="6"/>
  <c r="H6" i="6"/>
  <c r="C7" i="7" s="1"/>
  <c r="E3" i="6"/>
  <c r="E26" i="6"/>
  <c r="E14" i="6"/>
  <c r="E15" i="6"/>
  <c r="E27" i="6"/>
  <c r="E2" i="6"/>
  <c r="E7" i="6"/>
  <c r="E41" i="6"/>
  <c r="K17" i="6" s="1"/>
  <c r="E19" i="6"/>
  <c r="E40" i="6"/>
  <c r="J4" i="6" s="1"/>
  <c r="C7" i="10"/>
  <c r="J6" i="6"/>
  <c r="L9" i="6"/>
  <c r="J2" i="6"/>
  <c r="K6" i="6"/>
  <c r="J15" i="6"/>
  <c r="L7" i="6"/>
  <c r="J14" i="6"/>
  <c r="L18" i="6"/>
  <c r="J25" i="6"/>
  <c r="K27" i="6"/>
  <c r="K3" i="6"/>
  <c r="L5" i="6"/>
  <c r="J12" i="6"/>
  <c r="L2" i="6"/>
  <c r="J11" i="6"/>
  <c r="L3" i="6"/>
  <c r="J22" i="6"/>
  <c r="J10" i="6"/>
  <c r="K12" i="6"/>
  <c r="L26" i="6"/>
  <c r="L14" i="6"/>
  <c r="K19" i="6"/>
  <c r="J16" i="6"/>
  <c r="L20" i="6"/>
  <c r="J27" i="6"/>
  <c r="L6" i="6"/>
  <c r="J13" i="6"/>
  <c r="L17" i="6"/>
  <c r="J24" i="6"/>
  <c r="K14" i="6"/>
  <c r="L16" i="6"/>
  <c r="L4" i="6"/>
  <c r="J23" i="6"/>
  <c r="L27" i="6"/>
  <c r="J21" i="6"/>
  <c r="J9" i="6"/>
  <c r="L25" i="6"/>
  <c r="L13" i="6"/>
  <c r="J17" i="6"/>
  <c r="L21" i="6"/>
  <c r="K18" i="6"/>
  <c r="L8" i="6"/>
  <c r="J3" i="6"/>
  <c r="L19" i="6"/>
  <c r="J26" i="6"/>
  <c r="L15" i="6"/>
  <c r="J20" i="6"/>
  <c r="J8" i="6"/>
  <c r="K22" i="6"/>
  <c r="K10" i="6"/>
  <c r="L24" i="6"/>
  <c r="L12" i="6"/>
  <c r="J19" i="6"/>
  <c r="J7" i="6"/>
  <c r="L23" i="6"/>
  <c r="L11" i="6"/>
  <c r="J18" i="6"/>
  <c r="K20" i="6"/>
  <c r="K8" i="6"/>
  <c r="L22" i="6"/>
  <c r="H8" i="6"/>
  <c r="I3" i="6"/>
  <c r="I24" i="6"/>
  <c r="I23" i="6"/>
  <c r="I22" i="6"/>
  <c r="I14" i="6"/>
  <c r="I13" i="6"/>
  <c r="I12" i="6"/>
  <c r="I11" i="6"/>
  <c r="I10" i="6"/>
  <c r="I27" i="6"/>
  <c r="I26" i="6"/>
  <c r="I21" i="6"/>
  <c r="I9" i="6"/>
  <c r="I20" i="6"/>
  <c r="I8" i="6"/>
  <c r="I19" i="6"/>
  <c r="I7" i="6"/>
  <c r="I18" i="6"/>
  <c r="I6" i="6"/>
  <c r="I17" i="6"/>
  <c r="I5" i="6"/>
  <c r="I2" i="6"/>
  <c r="I16" i="6"/>
  <c r="I4" i="6"/>
  <c r="I15" i="6"/>
  <c r="H19" i="6"/>
  <c r="H18" i="6"/>
  <c r="H7" i="6"/>
  <c r="H2" i="6"/>
  <c r="H27" i="6"/>
  <c r="H14" i="6"/>
  <c r="H25" i="6"/>
  <c r="H24" i="6"/>
  <c r="H12" i="6"/>
  <c r="H5" i="6"/>
  <c r="H15" i="6"/>
  <c r="H26" i="6"/>
  <c r="H23" i="6"/>
  <c r="H11" i="6"/>
  <c r="H17" i="6"/>
  <c r="H4" i="6"/>
  <c r="H3" i="6"/>
  <c r="H13" i="6"/>
  <c r="H22" i="6"/>
  <c r="H10" i="6"/>
  <c r="H16" i="6"/>
  <c r="H21" i="6"/>
  <c r="H9" i="6"/>
  <c r="H20" i="6"/>
  <c r="C7" i="9" l="1"/>
  <c r="D7" i="9" s="1"/>
  <c r="E7" i="9" s="1"/>
  <c r="C7" i="8"/>
  <c r="D7" i="8" s="1"/>
  <c r="E7" i="8" s="1"/>
  <c r="K7" i="6"/>
  <c r="K24" i="6"/>
  <c r="K16" i="6"/>
  <c r="K25" i="6"/>
  <c r="K21" i="6"/>
  <c r="K15" i="6"/>
  <c r="K23" i="6"/>
  <c r="K2" i="6"/>
  <c r="K13" i="6"/>
  <c r="K5" i="6"/>
  <c r="K9" i="6"/>
  <c r="K26" i="6"/>
  <c r="K11" i="6"/>
  <c r="K4" i="6"/>
  <c r="J5" i="6"/>
  <c r="D7" i="7"/>
  <c r="H7" i="7" s="1"/>
  <c r="C27" i="7"/>
  <c r="D27" i="7" s="1"/>
  <c r="H27" i="7" s="1"/>
  <c r="C27" i="10"/>
  <c r="D27" i="10" s="1"/>
  <c r="E27" i="10" s="1"/>
  <c r="M27" i="10" s="1"/>
  <c r="C27" i="8"/>
  <c r="C27" i="9"/>
  <c r="D27" i="9" s="1"/>
  <c r="E27" i="9" s="1"/>
  <c r="C22" i="7"/>
  <c r="D22" i="7" s="1"/>
  <c r="H22" i="7" s="1"/>
  <c r="C22" i="10"/>
  <c r="D22" i="10" s="1"/>
  <c r="E22" i="10" s="1"/>
  <c r="M22" i="10" s="1"/>
  <c r="C22" i="9"/>
  <c r="D22" i="9" s="1"/>
  <c r="E22" i="9" s="1"/>
  <c r="C22" i="8"/>
  <c r="D22" i="8" s="1"/>
  <c r="E22" i="8" s="1"/>
  <c r="C21" i="7"/>
  <c r="D21" i="7" s="1"/>
  <c r="H21" i="7" s="1"/>
  <c r="C21" i="10"/>
  <c r="D21" i="10" s="1"/>
  <c r="E21" i="10" s="1"/>
  <c r="M21" i="10" s="1"/>
  <c r="C21" i="8"/>
  <c r="D21" i="8" s="1"/>
  <c r="E21" i="8" s="1"/>
  <c r="C21" i="9"/>
  <c r="D21" i="9" s="1"/>
  <c r="E21" i="9" s="1"/>
  <c r="C9" i="7"/>
  <c r="D9" i="7" s="1"/>
  <c r="H9" i="7" s="1"/>
  <c r="C9" i="10"/>
  <c r="D9" i="10" s="1"/>
  <c r="E9" i="10" s="1"/>
  <c r="M9" i="10" s="1"/>
  <c r="C9" i="9"/>
  <c r="D9" i="9" s="1"/>
  <c r="E9" i="9" s="1"/>
  <c r="C9" i="8"/>
  <c r="D9" i="8" s="1"/>
  <c r="E9" i="8" s="1"/>
  <c r="C11" i="7"/>
  <c r="D11" i="7" s="1"/>
  <c r="H11" i="7" s="1"/>
  <c r="C11" i="9"/>
  <c r="D11" i="9" s="1"/>
  <c r="E11" i="9" s="1"/>
  <c r="C11" i="10"/>
  <c r="D11" i="10" s="1"/>
  <c r="E11" i="10" s="1"/>
  <c r="M11" i="10" s="1"/>
  <c r="C11" i="8"/>
  <c r="D11" i="8" s="1"/>
  <c r="E11" i="8" s="1"/>
  <c r="C23" i="7"/>
  <c r="D23" i="7" s="1"/>
  <c r="H23" i="7" s="1"/>
  <c r="C23" i="10"/>
  <c r="D23" i="10" s="1"/>
  <c r="E23" i="10" s="1"/>
  <c r="M23" i="10" s="1"/>
  <c r="C23" i="9"/>
  <c r="D23" i="9" s="1"/>
  <c r="E23" i="9" s="1"/>
  <c r="C23" i="8"/>
  <c r="D23" i="8" s="1"/>
  <c r="E23" i="8" s="1"/>
  <c r="C26" i="7"/>
  <c r="D26" i="7" s="1"/>
  <c r="H26" i="7" s="1"/>
  <c r="C26" i="9"/>
  <c r="D26" i="9" s="1"/>
  <c r="E26" i="9" s="1"/>
  <c r="C26" i="8"/>
  <c r="D26" i="8" s="1"/>
  <c r="E26" i="8" s="1"/>
  <c r="C26" i="10"/>
  <c r="D26" i="10" s="1"/>
  <c r="E26" i="10" s="1"/>
  <c r="M26" i="10" s="1"/>
  <c r="C17" i="7"/>
  <c r="D17" i="7" s="1"/>
  <c r="H17" i="7" s="1"/>
  <c r="C17" i="8"/>
  <c r="D17" i="8" s="1"/>
  <c r="E17" i="8" s="1"/>
  <c r="C17" i="9"/>
  <c r="D17" i="9" s="1"/>
  <c r="E17" i="9" s="1"/>
  <c r="C17" i="10"/>
  <c r="D17" i="10" s="1"/>
  <c r="E17" i="10" s="1"/>
  <c r="M17" i="10" s="1"/>
  <c r="C14" i="7"/>
  <c r="D14" i="7" s="1"/>
  <c r="H14" i="7" s="1"/>
  <c r="C14" i="9"/>
  <c r="D14" i="9" s="1"/>
  <c r="E14" i="9" s="1"/>
  <c r="C14" i="8"/>
  <c r="C14" i="10"/>
  <c r="D14" i="10" s="1"/>
  <c r="E14" i="10" s="1"/>
  <c r="M14" i="10" s="1"/>
  <c r="C4" i="7"/>
  <c r="D4" i="7" s="1"/>
  <c r="H4" i="7" s="1"/>
  <c r="C4" i="8"/>
  <c r="D4" i="8" s="1"/>
  <c r="E4" i="8" s="1"/>
  <c r="C4" i="10"/>
  <c r="D4" i="10" s="1"/>
  <c r="E4" i="10" s="1"/>
  <c r="M4" i="10" s="1"/>
  <c r="C4" i="9"/>
  <c r="D4" i="9" s="1"/>
  <c r="E4" i="9" s="1"/>
  <c r="C28" i="7"/>
  <c r="D28" i="7" s="1"/>
  <c r="H28" i="7" s="1"/>
  <c r="C28" i="8"/>
  <c r="D28" i="8" s="1"/>
  <c r="E28" i="8" s="1"/>
  <c r="C28" i="10"/>
  <c r="D28" i="10" s="1"/>
  <c r="E28" i="10" s="1"/>
  <c r="M28" i="10" s="1"/>
  <c r="C28" i="9"/>
  <c r="D28" i="9" s="1"/>
  <c r="E28" i="9" s="1"/>
  <c r="D7" i="10"/>
  <c r="E7" i="10" s="1"/>
  <c r="M7" i="10" s="1"/>
  <c r="C16" i="7"/>
  <c r="C16" i="9"/>
  <c r="D16" i="9" s="1"/>
  <c r="E16" i="9" s="1"/>
  <c r="C16" i="10"/>
  <c r="D16" i="10" s="1"/>
  <c r="E16" i="10" s="1"/>
  <c r="M16" i="10" s="1"/>
  <c r="C16" i="8"/>
  <c r="D16" i="8" s="1"/>
  <c r="E16" i="8" s="1"/>
  <c r="C15" i="7"/>
  <c r="D15" i="7" s="1"/>
  <c r="H15" i="7" s="1"/>
  <c r="C15" i="8"/>
  <c r="D15" i="8" s="1"/>
  <c r="E15" i="8" s="1"/>
  <c r="C15" i="9"/>
  <c r="D15" i="9" s="1"/>
  <c r="E15" i="9" s="1"/>
  <c r="C15" i="10"/>
  <c r="D15" i="10" s="1"/>
  <c r="E15" i="10" s="1"/>
  <c r="M15" i="10" s="1"/>
  <c r="C3" i="7"/>
  <c r="D3" i="7" s="1"/>
  <c r="H3" i="7" s="1"/>
  <c r="C3" i="8"/>
  <c r="C3" i="9"/>
  <c r="D3" i="9" s="1"/>
  <c r="F5" i="9" s="1"/>
  <c r="C3" i="10"/>
  <c r="D3" i="10" s="1"/>
  <c r="J5" i="10" s="1"/>
  <c r="C18" i="7"/>
  <c r="D18" i="7" s="1"/>
  <c r="H18" i="7" s="1"/>
  <c r="C18" i="10"/>
  <c r="D18" i="10" s="1"/>
  <c r="E18" i="10" s="1"/>
  <c r="M18" i="10" s="1"/>
  <c r="C18" i="8"/>
  <c r="D18" i="8" s="1"/>
  <c r="E18" i="8" s="1"/>
  <c r="C18" i="9"/>
  <c r="D18" i="9" s="1"/>
  <c r="E18" i="9" s="1"/>
  <c r="C8" i="7"/>
  <c r="D8" i="7" s="1"/>
  <c r="H8" i="7" s="1"/>
  <c r="C8" i="10"/>
  <c r="D8" i="10" s="1"/>
  <c r="E8" i="10" s="1"/>
  <c r="M8" i="10" s="1"/>
  <c r="C8" i="9"/>
  <c r="D8" i="9" s="1"/>
  <c r="E8" i="9" s="1"/>
  <c r="C8" i="8"/>
  <c r="D8" i="8" s="1"/>
  <c r="E8" i="8" s="1"/>
  <c r="C12" i="7"/>
  <c r="D12" i="7" s="1"/>
  <c r="H12" i="7" s="1"/>
  <c r="C12" i="10"/>
  <c r="D12" i="10" s="1"/>
  <c r="E12" i="10" s="1"/>
  <c r="M12" i="10" s="1"/>
  <c r="C12" i="9"/>
  <c r="D12" i="9" s="1"/>
  <c r="E12" i="9" s="1"/>
  <c r="C12" i="8"/>
  <c r="D12" i="8" s="1"/>
  <c r="E12" i="8" s="1"/>
  <c r="C19" i="7"/>
  <c r="D19" i="7" s="1"/>
  <c r="H19" i="7" s="1"/>
  <c r="C19" i="9"/>
  <c r="D19" i="9" s="1"/>
  <c r="E19" i="9" s="1"/>
  <c r="C19" i="8"/>
  <c r="D19" i="8" s="1"/>
  <c r="E19" i="8" s="1"/>
  <c r="C19" i="10"/>
  <c r="D19" i="10" s="1"/>
  <c r="E19" i="10" s="1"/>
  <c r="M19" i="10" s="1"/>
  <c r="C10" i="7"/>
  <c r="D10" i="7" s="1"/>
  <c r="H10" i="7" s="1"/>
  <c r="C10" i="9"/>
  <c r="D10" i="9" s="1"/>
  <c r="E10" i="9" s="1"/>
  <c r="C10" i="10"/>
  <c r="D10" i="10" s="1"/>
  <c r="E10" i="10" s="1"/>
  <c r="M10" i="10" s="1"/>
  <c r="C10" i="8"/>
  <c r="C6" i="7"/>
  <c r="D6" i="7" s="1"/>
  <c r="H6" i="7" s="1"/>
  <c r="C6" i="8"/>
  <c r="C6" i="9"/>
  <c r="D6" i="9" s="1"/>
  <c r="E6" i="9" s="1"/>
  <c r="C6" i="10"/>
  <c r="D6" i="10" s="1"/>
  <c r="E6" i="10" s="1"/>
  <c r="M6" i="10" s="1"/>
  <c r="C13" i="7"/>
  <c r="D13" i="7" s="1"/>
  <c r="H13" i="7" s="1"/>
  <c r="C13" i="8"/>
  <c r="D13" i="8" s="1"/>
  <c r="E13" i="8" s="1"/>
  <c r="C13" i="9"/>
  <c r="D13" i="9" s="1"/>
  <c r="E13" i="9" s="1"/>
  <c r="C13" i="10"/>
  <c r="D13" i="10" s="1"/>
  <c r="E13" i="10" s="1"/>
  <c r="M13" i="10" s="1"/>
  <c r="C25" i="7"/>
  <c r="D25" i="7" s="1"/>
  <c r="H25" i="7" s="1"/>
  <c r="C25" i="10"/>
  <c r="D25" i="10" s="1"/>
  <c r="E25" i="10" s="1"/>
  <c r="M25" i="10" s="1"/>
  <c r="C25" i="9"/>
  <c r="D25" i="9" s="1"/>
  <c r="E25" i="9" s="1"/>
  <c r="C25" i="8"/>
  <c r="D25" i="8" s="1"/>
  <c r="E25" i="8" s="1"/>
  <c r="C5" i="7"/>
  <c r="D5" i="7" s="1"/>
  <c r="H5" i="7" s="1"/>
  <c r="C5" i="8"/>
  <c r="D5" i="8" s="1"/>
  <c r="E5" i="8" s="1"/>
  <c r="C5" i="10"/>
  <c r="D5" i="10" s="1"/>
  <c r="E5" i="10" s="1"/>
  <c r="M5" i="10" s="1"/>
  <c r="C5" i="9"/>
  <c r="D5" i="9" s="1"/>
  <c r="E5" i="9" s="1"/>
  <c r="C24" i="7"/>
  <c r="D24" i="7" s="1"/>
  <c r="H24" i="7" s="1"/>
  <c r="C24" i="10"/>
  <c r="D24" i="10" s="1"/>
  <c r="E24" i="10" s="1"/>
  <c r="M24" i="10" s="1"/>
  <c r="C24" i="9"/>
  <c r="D24" i="9" s="1"/>
  <c r="E24" i="9" s="1"/>
  <c r="C24" i="8"/>
  <c r="D24" i="8" s="1"/>
  <c r="E24" i="8" s="1"/>
  <c r="C20" i="7"/>
  <c r="D20" i="7" s="1"/>
  <c r="H20" i="7" s="1"/>
  <c r="C20" i="8"/>
  <c r="D20" i="8" s="1"/>
  <c r="E20" i="8" s="1"/>
  <c r="C20" i="10"/>
  <c r="D20" i="10" s="1"/>
  <c r="E20" i="10" s="1"/>
  <c r="M20" i="10" s="1"/>
  <c r="C20" i="9"/>
  <c r="D20" i="9" s="1"/>
  <c r="E20" i="9" s="1"/>
  <c r="D16" i="7"/>
  <c r="H16" i="7" s="1"/>
  <c r="D27" i="8" l="1"/>
  <c r="E27" i="8" s="1"/>
  <c r="D14" i="8"/>
  <c r="E14" i="8" s="1"/>
  <c r="D10" i="8"/>
  <c r="E10" i="8" s="1"/>
  <c r="D6" i="8"/>
  <c r="E6" i="8" s="1"/>
  <c r="D3" i="8"/>
  <c r="E3" i="9"/>
  <c r="F5" i="8"/>
  <c r="E3" i="8"/>
  <c r="E3" i="10"/>
  <c r="M3" i="10" s="1"/>
  <c r="J3" i="10"/>
  <c r="F3" i="9"/>
  <c r="J3" i="7"/>
  <c r="I15" i="7"/>
  <c r="I27" i="7"/>
  <c r="I4" i="7"/>
  <c r="I16" i="7"/>
  <c r="I28" i="7"/>
  <c r="I7" i="7"/>
  <c r="I8" i="7"/>
  <c r="I21" i="7"/>
  <c r="I12" i="7"/>
  <c r="I13" i="7"/>
  <c r="I14" i="7"/>
  <c r="I5" i="7"/>
  <c r="I17" i="7"/>
  <c r="I3" i="7"/>
  <c r="I19" i="7"/>
  <c r="I20" i="7"/>
  <c r="I9" i="7"/>
  <c r="I22" i="7"/>
  <c r="I23" i="7"/>
  <c r="I25" i="7"/>
  <c r="I26" i="7"/>
  <c r="I6" i="7"/>
  <c r="I18" i="7"/>
  <c r="I10" i="7"/>
  <c r="I24" i="7"/>
  <c r="I11" i="7"/>
  <c r="N5" i="10" l="1"/>
  <c r="N3" i="10"/>
  <c r="J7" i="10"/>
  <c r="F3" i="8"/>
  <c r="F7" i="8" s="1"/>
</calcChain>
</file>

<file path=xl/sharedStrings.xml><?xml version="1.0" encoding="utf-8"?>
<sst xmlns="http://schemas.openxmlformats.org/spreadsheetml/2006/main" count="72" uniqueCount="49">
  <si>
    <t>Discount Ratio</t>
    <phoneticPr fontId="2" type="noConversion"/>
  </si>
  <si>
    <t>Year</t>
    <phoneticPr fontId="2" type="noConversion"/>
  </si>
  <si>
    <t>Yearly Required Capacity</t>
  </si>
  <si>
    <t>Annual Cost Saving</t>
    <phoneticPr fontId="2" type="noConversion"/>
  </si>
  <si>
    <t>Annual Capacity Saving</t>
    <phoneticPr fontId="2" type="noConversion"/>
  </si>
  <si>
    <t>Initial Capital Expenditure per GW</t>
    <phoneticPr fontId="2" type="noConversion"/>
  </si>
  <si>
    <t>Annual Solar Cell Temperature Coefficient Reduction Rate</t>
    <phoneticPr fontId="2" type="noConversion"/>
  </si>
  <si>
    <t>Yearly Capacity Reduction Rate</t>
    <phoneticPr fontId="2" type="noConversion"/>
  </si>
  <si>
    <t>Yearly Capital Expenditure per GW</t>
    <phoneticPr fontId="2" type="noConversion"/>
  </si>
  <si>
    <t>Total Cost Saving</t>
    <phoneticPr fontId="2" type="noConversion"/>
  </si>
  <si>
    <t>Billon Dollar</t>
    <phoneticPr fontId="2" type="noConversion"/>
  </si>
  <si>
    <t>PVC</t>
    <phoneticPr fontId="2" type="noConversion"/>
  </si>
  <si>
    <t>Present Value</t>
    <phoneticPr fontId="2" type="noConversion"/>
  </si>
  <si>
    <t>Annual Capital Expenditure Reduction Rate</t>
    <phoneticPr fontId="2" type="noConversion"/>
  </si>
  <si>
    <t>Annual Cost Saving from Reduced Installed Capacity</t>
    <phoneticPr fontId="2" type="noConversion"/>
  </si>
  <si>
    <t>Annual Land Use Saving from Reduced Installed Capacity</t>
    <phoneticPr fontId="2" type="noConversion"/>
  </si>
  <si>
    <t>Annual Land Use Saving</t>
    <phoneticPr fontId="2" type="noConversion"/>
  </si>
  <si>
    <r>
      <t>km</t>
    </r>
    <r>
      <rPr>
        <vertAlign val="superscript"/>
        <sz val="11"/>
        <color theme="1"/>
        <rFont val="Times New Roman"/>
        <family val="1"/>
      </rPr>
      <t>2</t>
    </r>
    <phoneticPr fontId="2" type="noConversion"/>
  </si>
  <si>
    <t>Total Land Use Saving</t>
    <phoneticPr fontId="2" type="noConversion"/>
  </si>
  <si>
    <r>
      <t>Land use (m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/(MWh/a))</t>
    </r>
  </si>
  <si>
    <t>Annual Land Use Reduction Rate</t>
  </si>
  <si>
    <t>Annual Manufacturing-related Greenhouse Gas Emission Reduction Rate</t>
  </si>
  <si>
    <t>Annual Dissipated Water Use Reduction Rate</t>
    <phoneticPr fontId="2" type="noConversion"/>
  </si>
  <si>
    <t>Initial Greenhouse Gas Emissions per GW</t>
    <phoneticPr fontId="2" type="noConversion"/>
  </si>
  <si>
    <t>Initial Land Use per GW</t>
    <phoneticPr fontId="2" type="noConversion"/>
  </si>
  <si>
    <t>Initial Dissipated Water Use per GW</t>
    <phoneticPr fontId="2" type="noConversion"/>
  </si>
  <si>
    <t>MWh/a to MW transfer coefficient</t>
    <phoneticPr fontId="2" type="noConversion"/>
  </si>
  <si>
    <t>Yearly Greenhouse gas per GW</t>
    <phoneticPr fontId="2" type="noConversion"/>
  </si>
  <si>
    <r>
      <t>tCO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</si>
  <si>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Yearly Land Use per GW</t>
    <phoneticPr fontId="2" type="noConversion"/>
  </si>
  <si>
    <t>Yearly Water Use per GW</t>
    <phoneticPr fontId="2" type="noConversion"/>
  </si>
  <si>
    <r>
      <t>Greenhouse gas emissions (kgCO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/(MWh/a))</t>
    </r>
    <phoneticPr fontId="2" type="noConversion"/>
  </si>
  <si>
    <t>Total Emission Saving</t>
    <phoneticPr fontId="2" type="noConversion"/>
  </si>
  <si>
    <t>Total Water Saving</t>
    <phoneticPr fontId="2" type="noConversion"/>
  </si>
  <si>
    <t>%</t>
    <phoneticPr fontId="2" type="noConversion"/>
  </si>
  <si>
    <t>Annual Emission Saving</t>
    <phoneticPr fontId="2" type="noConversion"/>
  </si>
  <si>
    <t>Annual Water Saving</t>
    <phoneticPr fontId="2" type="noConversion"/>
  </si>
  <si>
    <t>Annual Water Production</t>
    <phoneticPr fontId="2" type="noConversion"/>
  </si>
  <si>
    <t>Annual Emission Saving from Reduced Installed Capacity</t>
    <phoneticPr fontId="2" type="noConversion"/>
  </si>
  <si>
    <t>Annual Water Saving from Reduced Installed Capacity</t>
    <phoneticPr fontId="2" type="noConversion"/>
  </si>
  <si>
    <t>Capacity Reduction Rate due to PV cooling</t>
    <phoneticPr fontId="2" type="noConversion"/>
  </si>
  <si>
    <t>Required Capacity (GW)</t>
    <phoneticPr fontId="2" type="noConversion"/>
  </si>
  <si>
    <t>Yearly Required Capacity (GW)</t>
    <phoneticPr fontId="2" type="noConversion"/>
  </si>
  <si>
    <t>Required Energy Demand (TWh)</t>
    <phoneticPr fontId="2" type="noConversion"/>
  </si>
  <si>
    <t>Annual Water Production from IEWC</t>
    <phoneticPr fontId="2" type="noConversion"/>
  </si>
  <si>
    <t>Energy required for the evaporation of water from 18°C to steam at standard atmospheric pressure (kJ/kg)</t>
    <phoneticPr fontId="2" type="noConversion"/>
  </si>
  <si>
    <t>Total Water Saving (Consider water production)</t>
    <phoneticPr fontId="2" type="noConversion"/>
  </si>
  <si>
    <r>
      <t>×10</t>
    </r>
    <r>
      <rPr>
        <vertAlign val="superscript"/>
        <sz val="11"/>
        <color theme="1"/>
        <rFont val="Times New Roman"/>
        <family val="1"/>
      </rPr>
      <t>9</t>
    </r>
    <r>
      <rPr>
        <sz val="11"/>
        <color theme="1"/>
        <rFont val="Times New Roman"/>
        <family val="1"/>
      </rPr>
      <t xml:space="preserve"> t</t>
    </r>
    <phoneticPr fontId="2" type="noConversion"/>
  </si>
  <si>
    <r>
      <t>Water use (m</t>
    </r>
    <r>
      <rPr>
        <vertAlign val="super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/(MWh/a))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</si>
</sst>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00"/>
    <numFmt numFmtId="178" formatCode="0.000000000_);[Red]\(0.000000000\)"/>
    <numFmt numFmtId="179" formatCode="0.000000"/>
  </numFmts>
  <fonts count="11" x14ac:knownFonts="1">
    <font>
      <sz val="11"/>
      <color theme="1"/>
      <name val="等线"/>
      <family val="2"/>
      <scheme val="minor"/>
    </font>
    <font>
      <sz val="11"/>
      <color theme="1"/>
      <name val="Times New Roman"/>
      <family val="1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00B050"/>
      <name val="Times New Roman"/>
      <family val="1"/>
    </font>
    <font>
      <sz val="12"/>
      <color theme="4"/>
      <name val="Times New Roman"/>
      <family val="1"/>
    </font>
    <font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vertAlign val="subscript"/>
      <sz val="11"/>
      <color theme="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77" fontId="0" fillId="0" borderId="0" xfId="0" applyNumberFormat="1"/>
    <xf numFmtId="0" fontId="8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baseline="0"/>
              <a:t>Annual freshwater production enabled by IEWC (t)</a:t>
            </a:r>
            <a:endParaRPr lang="zh-CN" altLang="en-US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'Water Saving'!$G$3:$G$28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'Water Saving'!$I$3:$I$28</c:f>
              <c:numCache>
                <c:formatCode>0.0000</c:formatCode>
                <c:ptCount val="26"/>
                <c:pt idx="0">
                  <c:v>4211330.0628265673</c:v>
                </c:pt>
                <c:pt idx="1">
                  <c:v>5204934.9712013854</c:v>
                </c:pt>
                <c:pt idx="2">
                  <c:v>6393930.1620466448</c:v>
                </c:pt>
                <c:pt idx="3">
                  <c:v>7806580.3341770098</c:v>
                </c:pt>
                <c:pt idx="4">
                  <c:v>9472786.6129231099</c:v>
                </c:pt>
                <c:pt idx="5">
                  <c:v>11423575.608507393</c:v>
                </c:pt>
                <c:pt idx="6">
                  <c:v>13690425.719148189</c:v>
                </c:pt>
                <c:pt idx="7">
                  <c:v>16304422.595403578</c:v>
                </c:pt>
                <c:pt idx="8">
                  <c:v>19295242.744114812</c:v>
                </c:pt>
                <c:pt idx="9">
                  <c:v>22689973.039600372</c:v>
                </c:pt>
                <c:pt idx="10">
                  <c:v>26511784.240775865</c:v>
                </c:pt>
                <c:pt idx="11">
                  <c:v>30778488.140475087</c:v>
                </c:pt>
                <c:pt idx="12">
                  <c:v>35501020.18367739</c:v>
                </c:pt>
                <c:pt idx="13">
                  <c:v>40681901.606142588</c:v>
                </c:pt>
                <c:pt idx="14">
                  <c:v>46313746.540517785</c:v>
                </c:pt>
                <c:pt idx="15">
                  <c:v>52377889.181544282</c:v>
                </c:pt>
                <c:pt idx="16">
                  <c:v>58843213.010219894</c:v>
                </c:pt>
                <c:pt idx="17">
                  <c:v>65665267.280415677</c:v>
                </c:pt>
                <c:pt idx="18">
                  <c:v>72785754.602487594</c:v>
                </c:pt>
                <c:pt idx="19">
                  <c:v>80132466.839079469</c:v>
                </c:pt>
                <c:pt idx="20">
                  <c:v>87619734.260409832</c:v>
                </c:pt>
                <c:pt idx="21">
                  <c:v>95149434.95126386</c:v>
                </c:pt>
                <c:pt idx="22">
                  <c:v>102612588.20167762</c:v>
                </c:pt>
                <c:pt idx="23">
                  <c:v>107360835.84211053</c:v>
                </c:pt>
                <c:pt idx="24">
                  <c:v>111201733.67981604</c:v>
                </c:pt>
                <c:pt idx="25">
                  <c:v>114972527.00903565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8-4ECD-8603-EE31885DB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1523327"/>
        <c:axId val="1261534143"/>
      </c:areaChart>
      <c:catAx>
        <c:axId val="126152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261534143"/>
        <c:crosses val="autoZero"/>
        <c:auto val="1"/>
        <c:lblAlgn val="ctr"/>
        <c:lblOffset val="100"/>
        <c:noMultiLvlLbl val="0"/>
      </c:catAx>
      <c:valAx>
        <c:axId val="1261534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1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Water production (t)</a:t>
                </a:r>
                <a:endParaRPr lang="zh-CN" altLang="en-US" sz="1100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7316017316017316E-2"/>
              <c:y val="0.353418055307324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2615233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254001</xdr:colOff>
      <xdr:row>4</xdr:row>
      <xdr:rowOff>160866</xdr:rowOff>
    </xdr:from>
    <xdr:to>
      <xdr:col>9</xdr:col>
      <xdr:colOff>245534</xdr:colOff>
      <xdr:row>24</xdr:row>
      <xdr:rowOff>110066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FC266797-E417-4BDB-B062-CFB736752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4745-0D68-464D-B788-E49020857D86}">
  <dimension ref="A1:O42"/>
  <sheetViews>
    <sheetView tabSelected="1" topLeftCell="A19" zoomScale="90" zoomScaleNormal="90" workbookViewId="0">
      <selection activeCell="I37" sqref="I37"/>
    </sheetView>
  </sheetViews>
  <sheetFormatPr defaultColWidth="16.77734375" defaultRowHeight="15" customHeight="1" x14ac:dyDescent="0.25"/>
  <cols>
    <col min="1" max="1" width="16.77734375" style="3"/>
    <col min="2" max="2" width="26.21875" style="3" customWidth="1"/>
    <col min="3" max="4" width="16.77734375" style="3"/>
    <col min="5" max="5" width="33.21875" style="3" customWidth="1"/>
    <col min="6" max="6" width="16.77734375" style="3"/>
    <col min="7" max="7" width="16.5546875" style="3" customWidth="1"/>
    <col min="8" max="8" width="31.21875" style="3" customWidth="1"/>
    <col min="9" max="12" width="32.77734375" style="3" customWidth="1"/>
    <col min="13" max="14" width="16.77734375" style="3"/>
    <col min="15" max="15" width="31.88671875" style="12" customWidth="1"/>
    <col min="16" max="16384" width="16.77734375" style="3"/>
  </cols>
  <sheetData>
    <row r="1" spans="1:15" ht="15" customHeight="1" x14ac:dyDescent="0.25">
      <c r="A1" s="4" t="s">
        <v>1</v>
      </c>
      <c r="B1" s="4" t="s">
        <v>41</v>
      </c>
      <c r="D1" s="1" t="s">
        <v>1</v>
      </c>
      <c r="E1" s="1" t="s">
        <v>42</v>
      </c>
      <c r="G1" s="11" t="s">
        <v>1</v>
      </c>
      <c r="H1" s="11" t="s">
        <v>7</v>
      </c>
      <c r="I1" s="11" t="s">
        <v>8</v>
      </c>
      <c r="J1" s="11" t="s">
        <v>27</v>
      </c>
      <c r="K1" s="11" t="s">
        <v>29</v>
      </c>
      <c r="L1" s="11" t="s">
        <v>30</v>
      </c>
      <c r="N1" s="4" t="s">
        <v>1</v>
      </c>
      <c r="O1" s="13" t="s">
        <v>43</v>
      </c>
    </row>
    <row r="2" spans="1:15" ht="15" customHeight="1" x14ac:dyDescent="0.25">
      <c r="A2" s="3">
        <v>2024</v>
      </c>
      <c r="B2" s="3">
        <f>1852.3589+1670.1024975524*(A2-2024)-8.830808042*(A2-2024)*(A2-2024)</f>
        <v>1852.3588999999999</v>
      </c>
      <c r="D2" s="3">
        <v>2025</v>
      </c>
      <c r="E2" s="3">
        <f t="shared" ref="E2:E27" si="0">B3-B2</f>
        <v>1661.2716895103997</v>
      </c>
      <c r="G2" s="3">
        <v>2025</v>
      </c>
      <c r="H2" s="3">
        <f t="shared" ref="H2:H27" si="1">$E$34*POWER((1-$E$33),(G2-2024))</f>
        <v>3.7999999999999999E-2</v>
      </c>
      <c r="I2" s="6">
        <f t="shared" ref="I2:I27" si="2">$E$31*POWER((1-$E$32),(G2-2024))</f>
        <v>290700000</v>
      </c>
      <c r="J2" s="6">
        <f t="shared" ref="J2:J27" si="3">$E$40*POWER((1-$E$36),(G2-2024))</f>
        <v>28849600</v>
      </c>
      <c r="K2" s="6">
        <f t="shared" ref="K2:K27" si="4">$E$41*POWER((1-$E$37),(G2-2024))</f>
        <v>10668804</v>
      </c>
      <c r="L2" s="6">
        <f t="shared" ref="L2:L27" si="5">$E$42*POWER((1-$E$38),(G2-2024))</f>
        <v>19418000</v>
      </c>
      <c r="N2" s="3">
        <v>2025</v>
      </c>
      <c r="O2" s="14">
        <v>3044.7448428673547</v>
      </c>
    </row>
    <row r="3" spans="1:15" ht="15" customHeight="1" x14ac:dyDescent="0.25">
      <c r="A3" s="3">
        <v>2025</v>
      </c>
      <c r="B3" s="3">
        <f t="shared" ref="B3:B28" si="6">1852.3589+1670.1024975524*(A3-2024)-8.830808042*(A3-2024)*(A3-2024)</f>
        <v>3513.6305895103997</v>
      </c>
      <c r="C3" s="8"/>
      <c r="D3" s="3">
        <v>2026</v>
      </c>
      <c r="E3" s="3">
        <f t="shared" si="0"/>
        <v>1643.610073426401</v>
      </c>
      <c r="G3" s="3">
        <v>2026</v>
      </c>
      <c r="H3" s="3">
        <f t="shared" si="1"/>
        <v>3.61E-2</v>
      </c>
      <c r="I3" s="6">
        <f t="shared" si="2"/>
        <v>276165000</v>
      </c>
      <c r="J3" s="6">
        <f t="shared" si="3"/>
        <v>27407120</v>
      </c>
      <c r="K3" s="6">
        <f t="shared" si="4"/>
        <v>10135363.799999999</v>
      </c>
      <c r="L3" s="6">
        <f t="shared" si="5"/>
        <v>18447100</v>
      </c>
      <c r="N3" s="3">
        <v>2026</v>
      </c>
      <c r="O3" s="14">
        <v>3763.1101515678106</v>
      </c>
    </row>
    <row r="4" spans="1:15" ht="15" customHeight="1" x14ac:dyDescent="0.25">
      <c r="A4" s="3">
        <v>2026</v>
      </c>
      <c r="B4" s="3">
        <f t="shared" si="6"/>
        <v>5157.2406629368006</v>
      </c>
      <c r="C4" s="8"/>
      <c r="D4" s="3">
        <v>2027</v>
      </c>
      <c r="E4" s="3">
        <f t="shared" si="0"/>
        <v>1625.9484573424006</v>
      </c>
      <c r="G4" s="3">
        <v>2027</v>
      </c>
      <c r="H4" s="3">
        <f t="shared" si="1"/>
        <v>3.4294999999999999E-2</v>
      </c>
      <c r="I4" s="6">
        <f t="shared" si="2"/>
        <v>262356749.99999997</v>
      </c>
      <c r="J4" s="6">
        <f t="shared" si="3"/>
        <v>26036763.999999996</v>
      </c>
      <c r="K4" s="6">
        <f t="shared" si="4"/>
        <v>9628595.6099999994</v>
      </c>
      <c r="L4" s="6">
        <f t="shared" si="5"/>
        <v>17524744.999999996</v>
      </c>
      <c r="N4" s="3">
        <v>2027</v>
      </c>
      <c r="O4" s="14">
        <v>4622.7404634912573</v>
      </c>
    </row>
    <row r="5" spans="1:15" ht="15" customHeight="1" x14ac:dyDescent="0.25">
      <c r="A5" s="3">
        <v>2027</v>
      </c>
      <c r="B5" s="3">
        <f t="shared" si="6"/>
        <v>6783.1891202792012</v>
      </c>
      <c r="C5" s="8"/>
      <c r="D5" s="3">
        <v>2028</v>
      </c>
      <c r="E5" s="3">
        <f t="shared" si="0"/>
        <v>1608.2868412583994</v>
      </c>
      <c r="G5" s="3">
        <v>2028</v>
      </c>
      <c r="H5" s="3">
        <f t="shared" si="1"/>
        <v>3.2580249999999998E-2</v>
      </c>
      <c r="I5" s="6">
        <f t="shared" si="2"/>
        <v>249238912.5</v>
      </c>
      <c r="J5" s="6">
        <f t="shared" si="3"/>
        <v>24734925.800000001</v>
      </c>
      <c r="K5" s="6">
        <f t="shared" si="4"/>
        <v>9147165.8294999991</v>
      </c>
      <c r="L5" s="6">
        <f t="shared" si="5"/>
        <v>16648507.75</v>
      </c>
      <c r="N5" s="3">
        <v>2028</v>
      </c>
      <c r="O5" s="14">
        <v>5644.0708418284876</v>
      </c>
    </row>
    <row r="6" spans="1:15" ht="15" customHeight="1" x14ac:dyDescent="0.25">
      <c r="A6" s="3">
        <v>2028</v>
      </c>
      <c r="B6" s="3">
        <f t="shared" si="6"/>
        <v>8391.4759615376006</v>
      </c>
      <c r="C6" s="8"/>
      <c r="D6" s="3">
        <v>2029</v>
      </c>
      <c r="E6" s="3">
        <f t="shared" si="0"/>
        <v>1590.625225174399</v>
      </c>
      <c r="G6" s="3">
        <v>2029</v>
      </c>
      <c r="H6" s="3">
        <f t="shared" si="1"/>
        <v>3.0951237499999999E-2</v>
      </c>
      <c r="I6" s="6">
        <f t="shared" si="2"/>
        <v>236776966.875</v>
      </c>
      <c r="J6" s="6">
        <f t="shared" si="3"/>
        <v>23498179.509999998</v>
      </c>
      <c r="K6" s="6">
        <f t="shared" si="4"/>
        <v>8689807.5380249992</v>
      </c>
      <c r="L6" s="6">
        <f t="shared" si="5"/>
        <v>15816082.362499999</v>
      </c>
      <c r="N6" s="3">
        <v>2029</v>
      </c>
      <c r="O6" s="14">
        <v>6848.7194679588192</v>
      </c>
    </row>
    <row r="7" spans="1:15" ht="15" customHeight="1" x14ac:dyDescent="0.25">
      <c r="A7" s="3">
        <v>2029</v>
      </c>
      <c r="B7" s="3">
        <f t="shared" si="6"/>
        <v>9982.1011867119996</v>
      </c>
      <c r="C7" s="8"/>
      <c r="D7" s="3">
        <v>2030</v>
      </c>
      <c r="E7" s="3">
        <f t="shared" si="0"/>
        <v>1572.9636090904005</v>
      </c>
      <c r="G7" s="3">
        <v>2030</v>
      </c>
      <c r="H7" s="3">
        <f t="shared" si="1"/>
        <v>2.9403675624999997E-2</v>
      </c>
      <c r="I7" s="6">
        <f t="shared" si="2"/>
        <v>224938118.53124997</v>
      </c>
      <c r="J7" s="6">
        <f t="shared" si="3"/>
        <v>22323270.534499999</v>
      </c>
      <c r="K7" s="6">
        <f t="shared" si="4"/>
        <v>8255317.1611237489</v>
      </c>
      <c r="L7" s="6">
        <f t="shared" si="5"/>
        <v>15025278.244374998</v>
      </c>
      <c r="N7" s="3">
        <v>2030</v>
      </c>
      <c r="O7" s="14">
        <v>8259.1182363329735</v>
      </c>
    </row>
    <row r="8" spans="1:15" ht="15" customHeight="1" x14ac:dyDescent="0.25">
      <c r="A8" s="3">
        <v>2030</v>
      </c>
      <c r="B8" s="3">
        <f t="shared" si="6"/>
        <v>11555.0647958024</v>
      </c>
      <c r="C8" s="8"/>
      <c r="D8" s="3">
        <v>2031</v>
      </c>
      <c r="E8" s="3">
        <f t="shared" si="0"/>
        <v>1555.3019930064002</v>
      </c>
      <c r="G8" s="3">
        <v>2031</v>
      </c>
      <c r="H8" s="3">
        <f t="shared" si="1"/>
        <v>2.7933491843749998E-2</v>
      </c>
      <c r="I8" s="6">
        <f t="shared" si="2"/>
        <v>213691212.60468748</v>
      </c>
      <c r="J8" s="6">
        <f t="shared" si="3"/>
        <v>21207107.007774998</v>
      </c>
      <c r="K8" s="6">
        <f t="shared" si="4"/>
        <v>7842551.3030675622</v>
      </c>
      <c r="L8" s="6">
        <f t="shared" si="5"/>
        <v>14274014.332156248</v>
      </c>
      <c r="N8" s="3">
        <v>2031</v>
      </c>
      <c r="O8" s="14">
        <v>9898.0256791028169</v>
      </c>
    </row>
    <row r="9" spans="1:15" ht="15" customHeight="1" x14ac:dyDescent="0.25">
      <c r="A9" s="3">
        <v>2031</v>
      </c>
      <c r="B9" s="3">
        <f t="shared" si="6"/>
        <v>13110.3667888088</v>
      </c>
      <c r="C9" s="8"/>
      <c r="D9" s="3">
        <v>2032</v>
      </c>
      <c r="E9" s="3">
        <f t="shared" si="0"/>
        <v>1537.6403769223998</v>
      </c>
      <c r="G9" s="3">
        <v>2032</v>
      </c>
      <c r="H9" s="3">
        <f t="shared" si="1"/>
        <v>2.6536817251562501E-2</v>
      </c>
      <c r="I9" s="6">
        <f t="shared" si="2"/>
        <v>203006651.97445312</v>
      </c>
      <c r="J9" s="6">
        <f t="shared" si="3"/>
        <v>20146751.657386251</v>
      </c>
      <c r="K9" s="6">
        <f t="shared" si="4"/>
        <v>7450423.7379141841</v>
      </c>
      <c r="L9" s="6">
        <f t="shared" si="5"/>
        <v>13560313.615548437</v>
      </c>
      <c r="N9" s="3">
        <v>2032</v>
      </c>
      <c r="O9" s="14">
        <v>11787.916376225727</v>
      </c>
    </row>
    <row r="10" spans="1:15" ht="15" customHeight="1" x14ac:dyDescent="0.25">
      <c r="A10" s="3">
        <v>2032</v>
      </c>
      <c r="B10" s="3">
        <f t="shared" si="6"/>
        <v>14648.0071657312</v>
      </c>
      <c r="C10" s="8"/>
      <c r="D10" s="3">
        <v>2033</v>
      </c>
      <c r="E10" s="3">
        <f t="shared" si="0"/>
        <v>1519.9787608384013</v>
      </c>
      <c r="G10" s="3">
        <v>2033</v>
      </c>
      <c r="H10" s="3">
        <f t="shared" si="1"/>
        <v>2.5209976388984371E-2</v>
      </c>
      <c r="I10" s="6">
        <f t="shared" si="2"/>
        <v>192856319.37573045</v>
      </c>
      <c r="J10" s="6">
        <f t="shared" si="3"/>
        <v>19139414.074516933</v>
      </c>
      <c r="K10" s="6">
        <f t="shared" si="4"/>
        <v>7077902.5510184746</v>
      </c>
      <c r="L10" s="6">
        <f t="shared" si="5"/>
        <v>12882297.934771014</v>
      </c>
      <c r="N10" s="3">
        <v>2033</v>
      </c>
      <c r="O10" s="14">
        <v>13950.246112408964</v>
      </c>
    </row>
    <row r="11" spans="1:15" ht="15" customHeight="1" x14ac:dyDescent="0.25">
      <c r="A11" s="3">
        <v>2033</v>
      </c>
      <c r="B11" s="3">
        <f t="shared" si="6"/>
        <v>16167.985926569601</v>
      </c>
      <c r="C11" s="8"/>
      <c r="D11" s="3">
        <v>2034</v>
      </c>
      <c r="E11" s="3">
        <f t="shared" si="0"/>
        <v>1502.3171447543991</v>
      </c>
      <c r="G11" s="3">
        <v>2034</v>
      </c>
      <c r="H11" s="3">
        <f t="shared" si="1"/>
        <v>2.3949477569535155E-2</v>
      </c>
      <c r="I11" s="6">
        <f t="shared" si="2"/>
        <v>183213503.40694395</v>
      </c>
      <c r="J11" s="6">
        <f t="shared" si="3"/>
        <v>18182443.370791089</v>
      </c>
      <c r="K11" s="6">
        <f t="shared" si="4"/>
        <v>6724007.4234675514</v>
      </c>
      <c r="L11" s="6">
        <f t="shared" si="5"/>
        <v>12238183.038032465</v>
      </c>
      <c r="N11" s="3">
        <v>2034</v>
      </c>
      <c r="O11" s="14">
        <v>16404.598396819518</v>
      </c>
    </row>
    <row r="12" spans="1:15" ht="15" customHeight="1" x14ac:dyDescent="0.25">
      <c r="A12" s="3">
        <v>2034</v>
      </c>
      <c r="B12" s="3">
        <f t="shared" si="6"/>
        <v>17670.303071324</v>
      </c>
      <c r="C12" s="8"/>
      <c r="D12" s="3">
        <v>2035</v>
      </c>
      <c r="E12" s="3">
        <f t="shared" si="0"/>
        <v>1484.6555286703988</v>
      </c>
      <c r="G12" s="3">
        <v>2035</v>
      </c>
      <c r="H12" s="3">
        <f t="shared" si="1"/>
        <v>2.2752003691058394E-2</v>
      </c>
      <c r="I12" s="6">
        <f t="shared" si="2"/>
        <v>174052828.23659673</v>
      </c>
      <c r="J12" s="6">
        <f t="shared" si="3"/>
        <v>17273321.202251535</v>
      </c>
      <c r="K12" s="6">
        <f t="shared" si="4"/>
        <v>6387807.0522941733</v>
      </c>
      <c r="L12" s="6">
        <f t="shared" si="5"/>
        <v>11626273.88613084</v>
      </c>
      <c r="N12" s="3">
        <v>2035</v>
      </c>
      <c r="O12" s="14">
        <v>19167.725430700495</v>
      </c>
    </row>
    <row r="13" spans="1:15" ht="15" customHeight="1" x14ac:dyDescent="0.25">
      <c r="A13" s="3">
        <v>2035</v>
      </c>
      <c r="B13" s="3">
        <f t="shared" si="6"/>
        <v>19154.958599994399</v>
      </c>
      <c r="C13" s="8"/>
      <c r="D13" s="3">
        <v>2036</v>
      </c>
      <c r="E13" s="3">
        <f t="shared" si="0"/>
        <v>1466.9939125864039</v>
      </c>
      <c r="G13" s="3">
        <v>2036</v>
      </c>
      <c r="H13" s="3">
        <f t="shared" si="1"/>
        <v>2.1614403506505477E-2</v>
      </c>
      <c r="I13" s="6">
        <f t="shared" si="2"/>
        <v>165350186.82476687</v>
      </c>
      <c r="J13" s="6">
        <f t="shared" si="3"/>
        <v>16409655.142138956</v>
      </c>
      <c r="K13" s="6">
        <f t="shared" si="4"/>
        <v>6068416.6996794641</v>
      </c>
      <c r="L13" s="6">
        <f t="shared" si="5"/>
        <v>11044960.191824298</v>
      </c>
      <c r="N13" s="3">
        <v>2036</v>
      </c>
      <c r="O13" s="14">
        <v>22252.504942361928</v>
      </c>
    </row>
    <row r="14" spans="1:15" ht="15" customHeight="1" x14ac:dyDescent="0.25">
      <c r="A14" s="3">
        <v>2036</v>
      </c>
      <c r="B14" s="3">
        <f t="shared" si="6"/>
        <v>20621.952512580803</v>
      </c>
      <c r="C14" s="8"/>
      <c r="D14" s="3">
        <v>2037</v>
      </c>
      <c r="E14" s="3">
        <f t="shared" si="0"/>
        <v>1449.3322965023981</v>
      </c>
      <c r="G14" s="3">
        <v>2037</v>
      </c>
      <c r="H14" s="3">
        <f t="shared" si="1"/>
        <v>2.0533683331180202E-2</v>
      </c>
      <c r="I14" s="6">
        <f t="shared" si="2"/>
        <v>157082677.48352855</v>
      </c>
      <c r="J14" s="6">
        <f t="shared" si="3"/>
        <v>15589172.385032009</v>
      </c>
      <c r="K14" s="6">
        <f t="shared" si="4"/>
        <v>5764995.8646954913</v>
      </c>
      <c r="L14" s="6">
        <f t="shared" si="5"/>
        <v>10492712.182233082</v>
      </c>
      <c r="N14" s="3">
        <v>2037</v>
      </c>
      <c r="O14" s="14">
        <v>25666.843137018936</v>
      </c>
    </row>
    <row r="15" spans="1:15" ht="15" customHeight="1" x14ac:dyDescent="0.25">
      <c r="A15" s="3">
        <v>2037</v>
      </c>
      <c r="B15" s="3">
        <f t="shared" si="6"/>
        <v>22071.284809083201</v>
      </c>
      <c r="C15" s="8"/>
      <c r="D15" s="3">
        <v>2038</v>
      </c>
      <c r="E15" s="3">
        <f t="shared" si="0"/>
        <v>1431.6706804183996</v>
      </c>
      <c r="G15" s="3">
        <v>2038</v>
      </c>
      <c r="H15" s="3">
        <f t="shared" si="1"/>
        <v>1.9506999164621192E-2</v>
      </c>
      <c r="I15" s="6">
        <f t="shared" si="2"/>
        <v>149228543.60935211</v>
      </c>
      <c r="J15" s="6">
        <f t="shared" si="3"/>
        <v>14809713.765780408</v>
      </c>
      <c r="K15" s="6">
        <f t="shared" si="4"/>
        <v>5476746.0714607164</v>
      </c>
      <c r="L15" s="6">
        <f t="shared" si="5"/>
        <v>9968076.5731214285</v>
      </c>
      <c r="N15" s="3">
        <v>2038</v>
      </c>
      <c r="O15" s="14">
        <v>29412.562840112132</v>
      </c>
    </row>
    <row r="16" spans="1:15" ht="15" customHeight="1" x14ac:dyDescent="0.25">
      <c r="A16" s="3">
        <v>2038</v>
      </c>
      <c r="B16" s="3">
        <f t="shared" si="6"/>
        <v>23502.955489501601</v>
      </c>
      <c r="C16" s="8"/>
      <c r="D16" s="3">
        <v>2039</v>
      </c>
      <c r="E16" s="3">
        <f t="shared" si="0"/>
        <v>1414.0090643343974</v>
      </c>
      <c r="G16" s="3">
        <v>2039</v>
      </c>
      <c r="H16" s="3">
        <f t="shared" si="1"/>
        <v>1.8531649206390135E-2</v>
      </c>
      <c r="I16" s="6">
        <f t="shared" si="2"/>
        <v>141767116.42888451</v>
      </c>
      <c r="J16" s="6">
        <f t="shared" si="3"/>
        <v>14069228.07749139</v>
      </c>
      <c r="K16" s="6">
        <f t="shared" si="4"/>
        <v>5202908.7678876808</v>
      </c>
      <c r="L16" s="6">
        <f t="shared" si="5"/>
        <v>9469672.7444653586</v>
      </c>
      <c r="N16" s="3">
        <v>2039</v>
      </c>
      <c r="O16" s="14">
        <v>33484.324151610577</v>
      </c>
    </row>
    <row r="17" spans="1:15" ht="15" customHeight="1" x14ac:dyDescent="0.25">
      <c r="A17" s="3">
        <v>2039</v>
      </c>
      <c r="B17" s="3">
        <f t="shared" si="6"/>
        <v>24916.964553835998</v>
      </c>
      <c r="C17" s="8"/>
      <c r="D17" s="3">
        <v>2040</v>
      </c>
      <c r="E17" s="3">
        <f t="shared" si="0"/>
        <v>1396.3474482504025</v>
      </c>
      <c r="G17" s="3">
        <v>2040</v>
      </c>
      <c r="H17" s="3">
        <f t="shared" si="1"/>
        <v>1.7605066746070624E-2</v>
      </c>
      <c r="I17" s="6">
        <f t="shared" si="2"/>
        <v>134678760.60744029</v>
      </c>
      <c r="J17" s="6">
        <f t="shared" si="3"/>
        <v>13365766.673616819</v>
      </c>
      <c r="K17" s="6">
        <f t="shared" si="4"/>
        <v>4942763.3294932963</v>
      </c>
      <c r="L17" s="6">
        <f t="shared" si="5"/>
        <v>8996189.1072420888</v>
      </c>
      <c r="N17" s="3">
        <v>2040</v>
      </c>
      <c r="O17" s="14">
        <v>37868.631901710054</v>
      </c>
    </row>
    <row r="18" spans="1:15" ht="15" customHeight="1" x14ac:dyDescent="0.25">
      <c r="A18" s="3">
        <v>2040</v>
      </c>
      <c r="B18" s="3">
        <f t="shared" si="6"/>
        <v>26313.312002086401</v>
      </c>
      <c r="C18" s="8"/>
      <c r="D18" s="3">
        <v>2041</v>
      </c>
      <c r="E18" s="3">
        <f t="shared" si="0"/>
        <v>1378.6858321664004</v>
      </c>
      <c r="G18" s="3">
        <v>2041</v>
      </c>
      <c r="H18" s="3">
        <f t="shared" si="1"/>
        <v>1.6724813408767095E-2</v>
      </c>
      <c r="I18" s="6">
        <f t="shared" si="2"/>
        <v>127944822.57706827</v>
      </c>
      <c r="J18" s="6">
        <f t="shared" si="3"/>
        <v>12697478.339935977</v>
      </c>
      <c r="K18" s="6">
        <f t="shared" si="4"/>
        <v>4695625.1630186317</v>
      </c>
      <c r="L18" s="6">
        <f t="shared" si="5"/>
        <v>8546379.6518799849</v>
      </c>
      <c r="N18" s="3">
        <v>2041</v>
      </c>
      <c r="O18" s="14">
        <v>42542.989192911096</v>
      </c>
    </row>
    <row r="19" spans="1:15" ht="15" customHeight="1" x14ac:dyDescent="0.25">
      <c r="A19" s="3">
        <v>2041</v>
      </c>
      <c r="B19" s="3">
        <f t="shared" si="6"/>
        <v>27691.997834252801</v>
      </c>
      <c r="C19" s="8"/>
      <c r="D19" s="3">
        <v>2042</v>
      </c>
      <c r="E19" s="3">
        <f t="shared" si="0"/>
        <v>1361.0242160823982</v>
      </c>
      <c r="G19" s="3">
        <v>2042</v>
      </c>
      <c r="H19" s="3">
        <f t="shared" si="1"/>
        <v>1.5888572738328739E-2</v>
      </c>
      <c r="I19" s="6">
        <f t="shared" si="2"/>
        <v>121547581.44821486</v>
      </c>
      <c r="J19" s="6">
        <f t="shared" si="3"/>
        <v>12062604.422939179</v>
      </c>
      <c r="K19" s="6">
        <f t="shared" si="4"/>
        <v>4460843.9048677003</v>
      </c>
      <c r="L19" s="6">
        <f t="shared" si="5"/>
        <v>8119060.6692859856</v>
      </c>
      <c r="N19" s="3">
        <v>2042</v>
      </c>
      <c r="O19" s="14">
        <v>47475.258629659642</v>
      </c>
    </row>
    <row r="20" spans="1:15" ht="15" customHeight="1" x14ac:dyDescent="0.25">
      <c r="A20" s="3">
        <v>2042</v>
      </c>
      <c r="B20" s="3">
        <f t="shared" si="6"/>
        <v>29053.022050335199</v>
      </c>
      <c r="C20" s="8"/>
      <c r="D20" s="3">
        <v>2043</v>
      </c>
      <c r="E20" s="3">
        <f t="shared" si="0"/>
        <v>1343.3625999984033</v>
      </c>
      <c r="G20" s="3">
        <v>2043</v>
      </c>
      <c r="H20" s="3">
        <f t="shared" si="1"/>
        <v>1.5094144101412301E-2</v>
      </c>
      <c r="I20" s="6">
        <f t="shared" si="2"/>
        <v>115470202.37580411</v>
      </c>
      <c r="J20" s="6">
        <f t="shared" si="3"/>
        <v>11459474.20179222</v>
      </c>
      <c r="K20" s="6">
        <f t="shared" si="4"/>
        <v>4237801.7096243147</v>
      </c>
      <c r="L20" s="6">
        <f t="shared" si="5"/>
        <v>7713107.6358216861</v>
      </c>
      <c r="N20" s="3">
        <v>2043</v>
      </c>
      <c r="O20" s="14">
        <v>52623.291846991837</v>
      </c>
    </row>
    <row r="21" spans="1:15" ht="15" customHeight="1" x14ac:dyDescent="0.25">
      <c r="A21" s="3">
        <v>2043</v>
      </c>
      <c r="B21" s="3">
        <f t="shared" si="6"/>
        <v>30396.384650333603</v>
      </c>
      <c r="C21" s="8"/>
      <c r="D21" s="3">
        <v>2044</v>
      </c>
      <c r="E21" s="3">
        <f t="shared" si="0"/>
        <v>1325.7009839143975</v>
      </c>
      <c r="G21" s="3">
        <v>2044</v>
      </c>
      <c r="H21" s="3">
        <f t="shared" si="1"/>
        <v>1.4339436896341687E-2</v>
      </c>
      <c r="I21" s="6">
        <f t="shared" si="2"/>
        <v>109696692.2570139</v>
      </c>
      <c r="J21" s="6">
        <f t="shared" si="3"/>
        <v>10886500.491702609</v>
      </c>
      <c r="K21" s="6">
        <f t="shared" si="4"/>
        <v>4025911.6241430989</v>
      </c>
      <c r="L21" s="6">
        <f t="shared" si="5"/>
        <v>7327452.2540306021</v>
      </c>
      <c r="N21" s="3">
        <v>2044</v>
      </c>
      <c r="O21" s="14">
        <v>57934.883163911807</v>
      </c>
    </row>
    <row r="22" spans="1:15" ht="15" customHeight="1" x14ac:dyDescent="0.25">
      <c r="A22" s="3">
        <v>2044</v>
      </c>
      <c r="B22" s="3">
        <f t="shared" si="6"/>
        <v>31722.085634248</v>
      </c>
      <c r="C22" s="8"/>
      <c r="D22" s="3">
        <v>2045</v>
      </c>
      <c r="E22" s="3">
        <f t="shared" si="0"/>
        <v>1308.0393678304063</v>
      </c>
      <c r="G22" s="3">
        <v>2045</v>
      </c>
      <c r="H22" s="3">
        <f t="shared" si="1"/>
        <v>1.3622465051524604E-2</v>
      </c>
      <c r="I22" s="6">
        <f t="shared" si="2"/>
        <v>104211857.64416322</v>
      </c>
      <c r="J22" s="6">
        <f t="shared" si="3"/>
        <v>10342175.467117479</v>
      </c>
      <c r="K22" s="6">
        <f t="shared" si="4"/>
        <v>3824616.0429359446</v>
      </c>
      <c r="L22" s="6">
        <f t="shared" si="5"/>
        <v>6961079.6413290724</v>
      </c>
      <c r="N22" s="3">
        <v>2045</v>
      </c>
      <c r="O22" s="14">
        <v>63348.094317673414</v>
      </c>
    </row>
    <row r="23" spans="1:15" ht="15" customHeight="1" x14ac:dyDescent="0.25">
      <c r="A23" s="3">
        <v>2045</v>
      </c>
      <c r="B23" s="3">
        <f t="shared" si="6"/>
        <v>33030.125002078406</v>
      </c>
      <c r="C23" s="8"/>
      <c r="D23" s="3">
        <v>2046</v>
      </c>
      <c r="E23" s="3">
        <f t="shared" si="0"/>
        <v>1290.3777517463968</v>
      </c>
      <c r="G23" s="3">
        <v>2046</v>
      </c>
      <c r="H23" s="3">
        <f t="shared" si="1"/>
        <v>1.2941341798948371E-2</v>
      </c>
      <c r="I23" s="6">
        <f t="shared" si="2"/>
        <v>99001264.761955038</v>
      </c>
      <c r="J23" s="6">
        <f t="shared" si="3"/>
        <v>9825066.6937616039</v>
      </c>
      <c r="K23" s="6">
        <f t="shared" si="4"/>
        <v>3633385.2407891471</v>
      </c>
      <c r="L23" s="6">
        <f t="shared" si="5"/>
        <v>6613025.659262618</v>
      </c>
      <c r="N23" s="3">
        <v>2046</v>
      </c>
      <c r="O23" s="14">
        <v>68791.984253819872</v>
      </c>
    </row>
    <row r="24" spans="1:15" ht="15" customHeight="1" x14ac:dyDescent="0.25">
      <c r="A24" s="3">
        <v>2046</v>
      </c>
      <c r="B24" s="3">
        <f t="shared" si="6"/>
        <v>34320.502753824803</v>
      </c>
      <c r="C24" s="8"/>
      <c r="D24" s="3">
        <v>2047</v>
      </c>
      <c r="E24" s="3">
        <f t="shared" si="0"/>
        <v>1272.7161356623983</v>
      </c>
      <c r="G24" s="3">
        <v>2047</v>
      </c>
      <c r="H24" s="3">
        <f t="shared" si="1"/>
        <v>1.2294274709000954E-2</v>
      </c>
      <c r="I24" s="6">
        <f t="shared" si="2"/>
        <v>94051201.523857296</v>
      </c>
      <c r="J24" s="6">
        <f t="shared" si="3"/>
        <v>9333813.3590735234</v>
      </c>
      <c r="K24" s="6">
        <f t="shared" si="4"/>
        <v>3451715.9787496896</v>
      </c>
      <c r="L24" s="6">
        <f t="shared" si="5"/>
        <v>6282374.3762994874</v>
      </c>
      <c r="N24" s="3">
        <v>2047</v>
      </c>
      <c r="O24" s="14">
        <v>74187.761129944018</v>
      </c>
    </row>
    <row r="25" spans="1:15" ht="15" customHeight="1" x14ac:dyDescent="0.25">
      <c r="A25" s="3">
        <v>2047</v>
      </c>
      <c r="B25" s="3">
        <f t="shared" si="6"/>
        <v>35593.218889487202</v>
      </c>
      <c r="C25" s="8"/>
      <c r="D25" s="3">
        <v>2048</v>
      </c>
      <c r="E25" s="3">
        <f t="shared" si="0"/>
        <v>1255.0545195784071</v>
      </c>
      <c r="G25" s="3">
        <v>2048</v>
      </c>
      <c r="H25" s="3">
        <f t="shared" si="1"/>
        <v>1.1679560973550907E-2</v>
      </c>
      <c r="I25" s="6">
        <f t="shared" si="2"/>
        <v>89348641.44766444</v>
      </c>
      <c r="J25" s="6">
        <f t="shared" si="3"/>
        <v>8867122.6911198478</v>
      </c>
      <c r="K25" s="6">
        <f t="shared" si="4"/>
        <v>3279130.1798122055</v>
      </c>
      <c r="L25" s="6">
        <f t="shared" si="5"/>
        <v>5968255.6574845128</v>
      </c>
      <c r="N25" s="3">
        <v>2048</v>
      </c>
      <c r="O25" s="14">
        <v>77620.691415669891</v>
      </c>
    </row>
    <row r="26" spans="1:15" ht="15" customHeight="1" x14ac:dyDescent="0.25">
      <c r="A26" s="3">
        <v>2048</v>
      </c>
      <c r="B26" s="3">
        <f t="shared" si="6"/>
        <v>36848.273409065609</v>
      </c>
      <c r="C26" s="8"/>
      <c r="D26" s="3">
        <v>2049</v>
      </c>
      <c r="E26" s="3">
        <f t="shared" si="0"/>
        <v>1237.392903494394</v>
      </c>
      <c r="G26" s="3">
        <v>2049</v>
      </c>
      <c r="H26" s="3">
        <f t="shared" si="1"/>
        <v>1.109558292487336E-2</v>
      </c>
      <c r="I26" s="6">
        <f t="shared" si="2"/>
        <v>84881209.3752812</v>
      </c>
      <c r="J26" s="6">
        <f t="shared" si="3"/>
        <v>8423766.5565638542</v>
      </c>
      <c r="K26" s="6">
        <f t="shared" si="4"/>
        <v>3115173.6708215945</v>
      </c>
      <c r="L26" s="6">
        <f t="shared" si="5"/>
        <v>5669842.8746102871</v>
      </c>
      <c r="N26" s="3">
        <v>2049</v>
      </c>
      <c r="O26" s="14">
        <v>80397.617875688346</v>
      </c>
    </row>
    <row r="27" spans="1:15" ht="15" customHeight="1" x14ac:dyDescent="0.25">
      <c r="A27" s="3">
        <v>2049</v>
      </c>
      <c r="B27" s="3">
        <f t="shared" si="6"/>
        <v>38085.666312560003</v>
      </c>
      <c r="C27" s="8"/>
      <c r="D27" s="3">
        <v>2050</v>
      </c>
      <c r="E27" s="3">
        <f t="shared" si="0"/>
        <v>1219.7312874103955</v>
      </c>
      <c r="G27" s="3">
        <v>2050</v>
      </c>
      <c r="H27" s="3">
        <f t="shared" si="1"/>
        <v>1.0540803778629693E-2</v>
      </c>
      <c r="I27" s="6">
        <f t="shared" si="2"/>
        <v>80637148.906517148</v>
      </c>
      <c r="J27" s="6">
        <f t="shared" si="3"/>
        <v>8002578.228735663</v>
      </c>
      <c r="K27" s="6">
        <f t="shared" si="4"/>
        <v>2959414.987280515</v>
      </c>
      <c r="L27" s="6">
        <f t="shared" si="5"/>
        <v>5386350.7308797734</v>
      </c>
      <c r="N27" s="3">
        <v>2050</v>
      </c>
      <c r="O27" s="14">
        <v>83123.859555010451</v>
      </c>
    </row>
    <row r="28" spans="1:15" ht="15" customHeight="1" x14ac:dyDescent="0.25">
      <c r="A28" s="3">
        <v>2050</v>
      </c>
      <c r="B28" s="3">
        <f t="shared" si="6"/>
        <v>39305.397599970398</v>
      </c>
      <c r="C28" s="8"/>
    </row>
    <row r="29" spans="1:15" ht="15" customHeight="1" x14ac:dyDescent="0.25">
      <c r="C29" s="8"/>
    </row>
    <row r="31" spans="1:15" ht="15" customHeight="1" x14ac:dyDescent="0.25">
      <c r="A31" s="17" t="s">
        <v>5</v>
      </c>
      <c r="B31" s="17"/>
      <c r="C31" s="17"/>
      <c r="D31" s="17"/>
      <c r="E31" s="3">
        <f>0.306*1000000000</f>
        <v>306000000</v>
      </c>
      <c r="H31" s="3" t="s">
        <v>31</v>
      </c>
    </row>
    <row r="32" spans="1:15" ht="15" customHeight="1" x14ac:dyDescent="0.25">
      <c r="A32" s="18" t="s">
        <v>13</v>
      </c>
      <c r="B32" s="18"/>
      <c r="C32" s="18"/>
      <c r="D32" s="18"/>
      <c r="E32" s="3">
        <f>5/100</f>
        <v>0.05</v>
      </c>
      <c r="H32" s="3">
        <v>52</v>
      </c>
    </row>
    <row r="33" spans="1:8" ht="15" customHeight="1" x14ac:dyDescent="0.25">
      <c r="A33" s="19" t="s">
        <v>6</v>
      </c>
      <c r="B33" s="19"/>
      <c r="C33" s="19"/>
      <c r="D33" s="19"/>
      <c r="E33" s="3">
        <f>5/100</f>
        <v>0.05</v>
      </c>
    </row>
    <row r="34" spans="1:8" ht="15" customHeight="1" x14ac:dyDescent="0.25">
      <c r="A34" s="20" t="s">
        <v>40</v>
      </c>
      <c r="B34" s="20"/>
      <c r="C34" s="20"/>
      <c r="D34" s="20"/>
      <c r="E34" s="3">
        <f>4/100</f>
        <v>0.04</v>
      </c>
      <c r="H34" s="3" t="s">
        <v>19</v>
      </c>
    </row>
    <row r="35" spans="1:8" ht="15" customHeight="1" x14ac:dyDescent="0.25">
      <c r="H35" s="3">
        <v>19.23</v>
      </c>
    </row>
    <row r="36" spans="1:8" ht="15" customHeight="1" x14ac:dyDescent="0.25">
      <c r="A36" s="17" t="s">
        <v>21</v>
      </c>
      <c r="B36" s="17"/>
      <c r="C36" s="17"/>
      <c r="D36" s="17"/>
      <c r="E36" s="3">
        <f>5/100</f>
        <v>0.05</v>
      </c>
    </row>
    <row r="37" spans="1:8" ht="15" customHeight="1" x14ac:dyDescent="0.25">
      <c r="A37" s="18" t="s">
        <v>20</v>
      </c>
      <c r="B37" s="18"/>
      <c r="C37" s="18"/>
      <c r="D37" s="18"/>
      <c r="E37" s="3">
        <f>5/100</f>
        <v>0.05</v>
      </c>
      <c r="H37" s="3" t="s">
        <v>48</v>
      </c>
    </row>
    <row r="38" spans="1:8" ht="15" customHeight="1" x14ac:dyDescent="0.25">
      <c r="A38" s="19" t="s">
        <v>22</v>
      </c>
      <c r="B38" s="19"/>
      <c r="C38" s="19"/>
      <c r="D38" s="19"/>
      <c r="E38" s="3">
        <f>5/100</f>
        <v>0.05</v>
      </c>
      <c r="H38" s="3">
        <v>35</v>
      </c>
    </row>
    <row r="40" spans="1:8" ht="15" customHeight="1" x14ac:dyDescent="0.25">
      <c r="A40" s="17" t="s">
        <v>23</v>
      </c>
      <c r="B40" s="17"/>
      <c r="C40" s="17"/>
      <c r="D40" s="17"/>
      <c r="E40" s="3">
        <f>H32*1000*H41</f>
        <v>30368000</v>
      </c>
      <c r="H40" s="3" t="s">
        <v>26</v>
      </c>
    </row>
    <row r="41" spans="1:8" ht="15" customHeight="1" x14ac:dyDescent="0.25">
      <c r="A41" s="18" t="s">
        <v>24</v>
      </c>
      <c r="B41" s="18"/>
      <c r="C41" s="18"/>
      <c r="D41" s="18"/>
      <c r="E41" s="3">
        <f>H35*1000*H41</f>
        <v>11230320</v>
      </c>
      <c r="H41" s="3">
        <f>584</f>
        <v>584</v>
      </c>
    </row>
    <row r="42" spans="1:8" ht="15" customHeight="1" x14ac:dyDescent="0.25">
      <c r="A42" s="19" t="s">
        <v>25</v>
      </c>
      <c r="B42" s="19"/>
      <c r="C42" s="19"/>
      <c r="D42" s="19"/>
      <c r="E42" s="3">
        <f>H38*1000*H41</f>
        <v>20440000</v>
      </c>
    </row>
  </sheetData>
  <mergeCells count="10">
    <mergeCell ref="A42:D42"/>
    <mergeCell ref="A37:D37"/>
    <mergeCell ref="A38:D38"/>
    <mergeCell ref="A40:D40"/>
    <mergeCell ref="A41:D41"/>
    <mergeCell ref="A31:D31"/>
    <mergeCell ref="A32:D32"/>
    <mergeCell ref="A33:D33"/>
    <mergeCell ref="A34:D34"/>
    <mergeCell ref="A36:D3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507C3-F775-4274-B81A-8B8774981C20}">
  <dimension ref="A1:K28"/>
  <sheetViews>
    <sheetView zoomScale="90" zoomScaleNormal="90" workbookViewId="0">
      <selection sqref="A1:D1"/>
    </sheetView>
  </sheetViews>
  <sheetFormatPr defaultColWidth="23.77734375" defaultRowHeight="15" customHeight="1" x14ac:dyDescent="0.25"/>
  <cols>
    <col min="1" max="4" width="23.77734375" style="3"/>
    <col min="5" max="5" width="8" style="3" customWidth="1"/>
    <col min="6" max="16384" width="23.77734375" style="3"/>
  </cols>
  <sheetData>
    <row r="1" spans="1:11" ht="15" customHeight="1" x14ac:dyDescent="0.25">
      <c r="A1" s="21" t="s">
        <v>14</v>
      </c>
      <c r="B1" s="21"/>
      <c r="C1" s="21"/>
      <c r="D1" s="21"/>
    </row>
    <row r="2" spans="1:11" ht="15" customHeight="1" x14ac:dyDescent="0.25">
      <c r="A2" s="1" t="s">
        <v>1</v>
      </c>
      <c r="B2" s="1" t="s">
        <v>2</v>
      </c>
      <c r="C2" s="1" t="s">
        <v>4</v>
      </c>
      <c r="D2" s="1" t="s">
        <v>3</v>
      </c>
      <c r="F2" s="2" t="s">
        <v>0</v>
      </c>
      <c r="G2" s="2" t="s">
        <v>11</v>
      </c>
      <c r="H2" s="2" t="s">
        <v>12</v>
      </c>
      <c r="J2" s="5" t="s">
        <v>9</v>
      </c>
    </row>
    <row r="3" spans="1:11" ht="15" customHeight="1" x14ac:dyDescent="0.25">
      <c r="A3" s="3">
        <v>2025</v>
      </c>
      <c r="B3" s="3">
        <v>1661.2716895103997</v>
      </c>
      <c r="C3" s="3">
        <f>B3*Data!H2</f>
        <v>63.128324201395188</v>
      </c>
      <c r="D3" s="3">
        <f>C3*Data!I2</f>
        <v>18351403845.345581</v>
      </c>
      <c r="F3" s="3">
        <v>5</v>
      </c>
      <c r="G3" s="3">
        <f>1/(POWER((1+$F$3/100),(A3-2024)))</f>
        <v>0.95238095238095233</v>
      </c>
      <c r="H3" s="3">
        <f>D3*G3</f>
        <v>17477527471.757694</v>
      </c>
      <c r="I3" s="3">
        <f>SUM($H$3:H3)/1000000000</f>
        <v>17.477527471757693</v>
      </c>
      <c r="J3" s="3">
        <f>SUM(H3:H28)/100000000/10</f>
        <v>114.72290793226674</v>
      </c>
      <c r="K3" s="3" t="s">
        <v>10</v>
      </c>
    </row>
    <row r="4" spans="1:11" ht="15" customHeight="1" x14ac:dyDescent="0.25">
      <c r="A4" s="3">
        <v>2026</v>
      </c>
      <c r="B4" s="3">
        <v>1643.610073426401</v>
      </c>
      <c r="C4" s="3">
        <f>B4*Data!H3</f>
        <v>59.334323650693072</v>
      </c>
      <c r="D4" s="3">
        <f>C4*Data!I3</f>
        <v>16386063490.993652</v>
      </c>
      <c r="G4" s="3">
        <f t="shared" ref="G4:G27" si="0">1/(POWER((1+$F$3/100),(A4-2024)))</f>
        <v>0.90702947845804982</v>
      </c>
      <c r="H4" s="3">
        <f t="shared" ref="H4:H27" si="1">D4*G4</f>
        <v>14862642622.216463</v>
      </c>
      <c r="I4" s="3">
        <f>SUM($H$3:H4)/1000000000</f>
        <v>32.340170093974159</v>
      </c>
    </row>
    <row r="5" spans="1:11" ht="15" customHeight="1" x14ac:dyDescent="0.25">
      <c r="A5" s="3">
        <v>2027</v>
      </c>
      <c r="B5" s="3">
        <v>1625.9484573424006</v>
      </c>
      <c r="C5" s="3">
        <f>B5*Data!H4</f>
        <v>55.761902344557626</v>
      </c>
      <c r="D5" s="3">
        <f>C5*Data!I4</f>
        <v>14629511472.935516</v>
      </c>
      <c r="G5" s="3">
        <f t="shared" si="0"/>
        <v>0.86383759853147601</v>
      </c>
      <c r="H5" s="3">
        <f t="shared" si="1"/>
        <v>12637522058.469294</v>
      </c>
      <c r="I5" s="3">
        <f>SUM($H$3:H5)/1000000000</f>
        <v>44.977692152443453</v>
      </c>
    </row>
    <row r="6" spans="1:11" ht="15" customHeight="1" x14ac:dyDescent="0.25">
      <c r="A6" s="3">
        <v>2028</v>
      </c>
      <c r="B6" s="3">
        <v>1608.2868412583994</v>
      </c>
      <c r="C6" s="3">
        <f>B6*Data!H5</f>
        <v>52.398387359908966</v>
      </c>
      <c r="D6" s="3">
        <f>C6*Data!I5</f>
        <v>13059717082.337458</v>
      </c>
      <c r="G6" s="3">
        <f t="shared" si="0"/>
        <v>0.82270247479188197</v>
      </c>
      <c r="H6" s="3">
        <f t="shared" si="1"/>
        <v>10744261563.720842</v>
      </c>
      <c r="I6" s="3">
        <f>SUM($H$3:H6)/1000000000</f>
        <v>55.721953716164293</v>
      </c>
    </row>
    <row r="7" spans="1:11" ht="15" customHeight="1" x14ac:dyDescent="0.25">
      <c r="A7" s="3">
        <v>2029</v>
      </c>
      <c r="B7" s="3">
        <v>1590.625225174399</v>
      </c>
      <c r="C7" s="3">
        <f>B7*Data!H6</f>
        <v>49.2318191178638</v>
      </c>
      <c r="D7" s="3">
        <f>C7*Data!I6</f>
        <v>11656960804.466429</v>
      </c>
      <c r="G7" s="3">
        <f t="shared" si="0"/>
        <v>0.78352616646845896</v>
      </c>
      <c r="H7" s="3">
        <f t="shared" si="1"/>
        <v>9133533811.7966652</v>
      </c>
      <c r="I7" s="3">
        <f>SUM($H$3:H7)/1000000000</f>
        <v>64.855487527960946</v>
      </c>
    </row>
    <row r="8" spans="1:11" ht="15" customHeight="1" x14ac:dyDescent="0.25">
      <c r="A8" s="3">
        <v>2030</v>
      </c>
      <c r="B8" s="3">
        <v>1572.9636090904005</v>
      </c>
      <c r="C8" s="3">
        <f>B8*Data!H7</f>
        <v>46.250911731623432</v>
      </c>
      <c r="D8" s="3">
        <f>C8*Data!I7</f>
        <v>10403593065.266291</v>
      </c>
      <c r="G8" s="3">
        <f t="shared" si="0"/>
        <v>0.74621539663662761</v>
      </c>
      <c r="H8" s="3">
        <f t="shared" si="1"/>
        <v>7763321325.643754</v>
      </c>
      <c r="I8" s="3">
        <f>SUM($H$3:H8)/1000000000</f>
        <v>72.618808853604705</v>
      </c>
    </row>
    <row r="9" spans="1:11" ht="15" customHeight="1" x14ac:dyDescent="0.25">
      <c r="A9" s="3">
        <v>2031</v>
      </c>
      <c r="B9" s="3">
        <v>1555.3019930064002</v>
      </c>
      <c r="C9" s="3">
        <f>B9*Data!H8</f>
        <v>43.445015536212395</v>
      </c>
      <c r="D9" s="3">
        <f>C9*Data!I8</f>
        <v>9283818051.5627136</v>
      </c>
      <c r="G9" s="3">
        <f t="shared" si="0"/>
        <v>0.71068133013012147</v>
      </c>
      <c r="H9" s="3">
        <f t="shared" si="1"/>
        <v>6597836161.5706215</v>
      </c>
      <c r="I9" s="3">
        <f>SUM($H$3:H9)/1000000000</f>
        <v>79.216645015175317</v>
      </c>
    </row>
    <row r="10" spans="1:11" ht="15" customHeight="1" x14ac:dyDescent="0.25">
      <c r="A10" s="3">
        <v>2032</v>
      </c>
      <c r="B10" s="3">
        <v>1537.6403769223998</v>
      </c>
      <c r="C10" s="3">
        <f>B10*Data!H9</f>
        <v>40.804081681013407</v>
      </c>
      <c r="D10" s="3">
        <f>C10*Data!I9</f>
        <v>8283500008.9546471</v>
      </c>
      <c r="G10" s="3">
        <f t="shared" si="0"/>
        <v>0.67683936202868722</v>
      </c>
      <c r="H10" s="3">
        <f t="shared" si="1"/>
        <v>5606598861.4254885</v>
      </c>
      <c r="I10" s="3">
        <f>SUM($H$3:H10)/1000000000</f>
        <v>84.823243876600813</v>
      </c>
    </row>
    <row r="11" spans="1:11" ht="15" customHeight="1" x14ac:dyDescent="0.25">
      <c r="A11" s="3">
        <v>2033</v>
      </c>
      <c r="B11" s="3">
        <v>1519.9787608384013</v>
      </c>
      <c r="C11" s="3">
        <f>B11*Data!H10</f>
        <v>38.318628672493816</v>
      </c>
      <c r="D11" s="3">
        <f>C11*Data!I10</f>
        <v>7389989689.3024893</v>
      </c>
      <c r="G11" s="3">
        <f t="shared" si="0"/>
        <v>0.64460891621779726</v>
      </c>
      <c r="H11" s="3">
        <f t="shared" si="1"/>
        <v>4763653244.4819736</v>
      </c>
      <c r="I11" s="3">
        <f>SUM($H$3:H11)/1000000000</f>
        <v>89.586897121082799</v>
      </c>
    </row>
    <row r="12" spans="1:11" ht="15" customHeight="1" x14ac:dyDescent="0.25">
      <c r="A12" s="3">
        <v>2034</v>
      </c>
      <c r="B12" s="3">
        <v>1502.3171447543991</v>
      </c>
      <c r="C12" s="3">
        <f>B12*Data!H11</f>
        <v>35.979710760623583</v>
      </c>
      <c r="D12" s="3">
        <f>C12*Data!I11</f>
        <v>6591968860.0223665</v>
      </c>
      <c r="G12" s="3">
        <f t="shared" si="0"/>
        <v>0.61391325354075932</v>
      </c>
      <c r="H12" s="3">
        <f t="shared" si="1"/>
        <v>4046897050.0957012</v>
      </c>
      <c r="I12" s="3">
        <f>SUM($H$3:H12)/1000000000</f>
        <v>93.633794171178494</v>
      </c>
    </row>
    <row r="13" spans="1:11" ht="15" customHeight="1" x14ac:dyDescent="0.25">
      <c r="A13" s="3">
        <v>2035</v>
      </c>
      <c r="B13" s="3">
        <v>1484.6555286703988</v>
      </c>
      <c r="C13" s="3">
        <f>B13*Data!H12</f>
        <v>33.778888068259164</v>
      </c>
      <c r="D13" s="3">
        <f>C13*Data!I12</f>
        <v>5879311002.9679394</v>
      </c>
      <c r="G13" s="3">
        <f t="shared" si="0"/>
        <v>0.5846792890864374</v>
      </c>
      <c r="H13" s="3">
        <f t="shared" si="1"/>
        <v>3437511377.5333643</v>
      </c>
      <c r="I13" s="3">
        <f>SUM($H$3:H13)/1000000000</f>
        <v>97.071305548711862</v>
      </c>
    </row>
    <row r="14" spans="1:11" ht="15" customHeight="1" x14ac:dyDescent="0.25">
      <c r="A14" s="3">
        <v>2036</v>
      </c>
      <c r="B14" s="3">
        <v>1466.9939125864039</v>
      </c>
      <c r="C14" s="3">
        <f>B14*Data!H13</f>
        <v>31.708198368229759</v>
      </c>
      <c r="D14" s="3">
        <f>C14*Data!I13</f>
        <v>5242956524.0635586</v>
      </c>
      <c r="G14" s="3">
        <f t="shared" si="0"/>
        <v>0.5568374181775595</v>
      </c>
      <c r="H14" s="3">
        <f t="shared" si="1"/>
        <v>2919474374.4767437</v>
      </c>
      <c r="I14" s="3">
        <f>SUM($H$3:H14)/1000000000</f>
        <v>99.990779923188612</v>
      </c>
    </row>
    <row r="15" spans="1:11" ht="15" customHeight="1" x14ac:dyDescent="0.25">
      <c r="A15" s="3">
        <v>2037</v>
      </c>
      <c r="B15" s="3">
        <v>1449.3322965023981</v>
      </c>
      <c r="C15" s="3">
        <f>B15*Data!H14</f>
        <v>29.760130418032414</v>
      </c>
      <c r="D15" s="3">
        <f>C15*Data!I14</f>
        <v>4674800968.323534</v>
      </c>
      <c r="G15" s="3">
        <f t="shared" si="0"/>
        <v>0.53032135064529462</v>
      </c>
      <c r="H15" s="3">
        <f t="shared" si="1"/>
        <v>2479146763.5192676</v>
      </c>
      <c r="I15" s="3">
        <f>SUM($H$3:H15)/1000000000</f>
        <v>102.46992668670788</v>
      </c>
    </row>
    <row r="16" spans="1:11" ht="15" customHeight="1" x14ac:dyDescent="0.25">
      <c r="A16" s="3">
        <v>2038</v>
      </c>
      <c r="B16" s="3">
        <v>1431.6706804183996</v>
      </c>
      <c r="C16" s="3">
        <f>B16*Data!H15</f>
        <v>27.927598766934373</v>
      </c>
      <c r="D16" s="3">
        <f>C16*Data!I15</f>
        <v>4167594890.4959545</v>
      </c>
      <c r="G16" s="3">
        <f t="shared" si="0"/>
        <v>0.50506795299551888</v>
      </c>
      <c r="H16" s="3">
        <f t="shared" si="1"/>
        <v>2104918620.2573755</v>
      </c>
      <c r="I16" s="3">
        <f>SUM($H$3:H16)/1000000000</f>
        <v>104.57484530696526</v>
      </c>
    </row>
    <row r="17" spans="1:9" ht="15" customHeight="1" x14ac:dyDescent="0.25">
      <c r="A17" s="3">
        <v>2039</v>
      </c>
      <c r="B17" s="3">
        <v>1414.0090643343974</v>
      </c>
      <c r="C17" s="3">
        <f>B17*Data!H16</f>
        <v>26.203919954900993</v>
      </c>
      <c r="D17" s="3">
        <f>C17*Data!I16</f>
        <v>3714854171.1396189</v>
      </c>
      <c r="G17" s="3">
        <f t="shared" si="0"/>
        <v>0.48101709809097021</v>
      </c>
      <c r="H17" s="3">
        <f t="shared" si="1"/>
        <v>1786908373.2327158</v>
      </c>
      <c r="I17" s="3">
        <f>SUM($H$3:H17)/1000000000</f>
        <v>106.36175368019796</v>
      </c>
    </row>
    <row r="18" spans="1:9" ht="15" customHeight="1" x14ac:dyDescent="0.25">
      <c r="A18" s="3">
        <v>2040</v>
      </c>
      <c r="B18" s="3">
        <v>1396.3474482504025</v>
      </c>
      <c r="C18" s="3">
        <f>B18*Data!H17</f>
        <v>24.582790027153735</v>
      </c>
      <c r="D18" s="3">
        <f>C18*Data!I17</f>
        <v>3310779693.1300087</v>
      </c>
      <c r="G18" s="3">
        <f t="shared" si="0"/>
        <v>0.45811152199140021</v>
      </c>
      <c r="H18" s="3">
        <f t="shared" si="1"/>
        <v>1516706324.1980093</v>
      </c>
      <c r="I18" s="3">
        <f>SUM($H$3:H18)/1000000000</f>
        <v>107.87846000439598</v>
      </c>
    </row>
    <row r="19" spans="1:9" ht="15" customHeight="1" x14ac:dyDescent="0.25">
      <c r="A19" s="3">
        <v>2041</v>
      </c>
      <c r="B19" s="3">
        <v>1378.6858321664004</v>
      </c>
      <c r="C19" s="3">
        <f>B19*Data!H18</f>
        <v>23.058263292293834</v>
      </c>
      <c r="D19" s="3">
        <f>C19*Data!I18</f>
        <v>2950185405.8678608</v>
      </c>
      <c r="G19" s="3">
        <f t="shared" si="0"/>
        <v>0.43629668761085727</v>
      </c>
      <c r="H19" s="3">
        <f t="shared" si="1"/>
        <v>1287156120.4180403</v>
      </c>
      <c r="I19" s="3">
        <f>SUM($H$3:H19)/1000000000</f>
        <v>109.16561612481402</v>
      </c>
    </row>
    <row r="20" spans="1:9" ht="15" customHeight="1" x14ac:dyDescent="0.25">
      <c r="A20" s="3">
        <v>2042</v>
      </c>
      <c r="B20" s="3">
        <v>1361.0242160823982</v>
      </c>
      <c r="C20" s="3">
        <f>B20*Data!H19</f>
        <v>21.624732255852035</v>
      </c>
      <c r="D20" s="3">
        <f>C20*Data!I19</f>
        <v>2628433905.1640143</v>
      </c>
      <c r="G20" s="3">
        <f t="shared" si="0"/>
        <v>0.41552065486748313</v>
      </c>
      <c r="H20" s="3">
        <f t="shared" si="1"/>
        <v>1092168577.5496473</v>
      </c>
      <c r="I20" s="3">
        <f>SUM($H$3:H20)/1000000000</f>
        <v>110.25778470236368</v>
      </c>
    </row>
    <row r="21" spans="1:9" ht="15" customHeight="1" x14ac:dyDescent="0.25">
      <c r="A21" s="3">
        <v>2043</v>
      </c>
      <c r="B21" s="3">
        <v>1343.3625999984033</v>
      </c>
      <c r="C21" s="3">
        <f>B21*Data!H20</f>
        <v>20.276908664823793</v>
      </c>
      <c r="D21" s="3">
        <f>C21*Data!I20</f>
        <v>2341378747.0828991</v>
      </c>
      <c r="G21" s="3">
        <f t="shared" si="0"/>
        <v>0.39573395701665059</v>
      </c>
      <c r="H21" s="3">
        <f t="shared" si="1"/>
        <v>926563076.45780325</v>
      </c>
      <c r="I21" s="3">
        <f>SUM($H$3:H21)/1000000000</f>
        <v>111.18434777882149</v>
      </c>
    </row>
    <row r="22" spans="1:9" ht="15" customHeight="1" x14ac:dyDescent="0.25">
      <c r="A22" s="3">
        <v>2044</v>
      </c>
      <c r="B22" s="3">
        <v>1325.7009839143975</v>
      </c>
      <c r="C22" s="3">
        <f>B22*Data!H21</f>
        <v>19.009805602258588</v>
      </c>
      <c r="D22" s="3">
        <f>C22*Data!I21</f>
        <v>2085312795.0166192</v>
      </c>
      <c r="G22" s="3">
        <f t="shared" si="0"/>
        <v>0.37688948287300061</v>
      </c>
      <c r="H22" s="3">
        <f t="shared" si="1"/>
        <v>785932460.94226515</v>
      </c>
      <c r="I22" s="3">
        <f>SUM($H$3:H22)/1000000000</f>
        <v>111.97028023976375</v>
      </c>
    </row>
    <row r="23" spans="1:9" ht="15" customHeight="1" x14ac:dyDescent="0.25">
      <c r="A23" s="3">
        <v>2045</v>
      </c>
      <c r="B23" s="3">
        <v>1308.0393678304063</v>
      </c>
      <c r="C23" s="3">
        <f>B23*Data!H22</f>
        <v>17.818720574288047</v>
      </c>
      <c r="D23" s="3">
        <f>C23*Data!I22</f>
        <v>1856921971.8888283</v>
      </c>
      <c r="G23" s="3">
        <f t="shared" si="0"/>
        <v>0.35894236464095297</v>
      </c>
      <c r="H23" s="3">
        <f t="shared" si="1"/>
        <v>666527963.54351723</v>
      </c>
      <c r="I23" s="3">
        <f>SUM($H$3:H23)/1000000000</f>
        <v>112.63680820330727</v>
      </c>
    </row>
    <row r="24" spans="1:9" ht="15" customHeight="1" x14ac:dyDescent="0.25">
      <c r="A24" s="3">
        <v>2046</v>
      </c>
      <c r="B24" s="3">
        <v>1290.3777517463968</v>
      </c>
      <c r="C24" s="3">
        <f>B24*Data!H23</f>
        <v>16.699219535108671</v>
      </c>
      <c r="D24" s="3">
        <f>C24*Data!I23</f>
        <v>1653243854.5133052</v>
      </c>
      <c r="G24" s="3">
        <f t="shared" si="0"/>
        <v>0.3418498710866219</v>
      </c>
      <c r="H24" s="3">
        <f t="shared" si="1"/>
        <v>565161198.54012322</v>
      </c>
      <c r="I24" s="3">
        <f>SUM($H$3:H24)/1000000000</f>
        <v>113.20196940184739</v>
      </c>
    </row>
    <row r="25" spans="1:9" ht="15" customHeight="1" x14ac:dyDescent="0.25">
      <c r="A25" s="3">
        <v>2047</v>
      </c>
      <c r="B25" s="3">
        <v>1272.7161356623983</v>
      </c>
      <c r="C25" s="3">
        <f>B25*Data!H24</f>
        <v>15.647121798411652</v>
      </c>
      <c r="D25" s="3">
        <f>C25*Data!I24</f>
        <v>1471630605.5307546</v>
      </c>
      <c r="G25" s="3">
        <f t="shared" si="0"/>
        <v>0.32557130579678267</v>
      </c>
      <c r="H25" s="3">
        <f t="shared" si="1"/>
        <v>479120697.89315772</v>
      </c>
      <c r="I25" s="3">
        <f>SUM($H$3:H25)/1000000000</f>
        <v>113.68109009974056</v>
      </c>
    </row>
    <row r="26" spans="1:9" ht="15" customHeight="1" x14ac:dyDescent="0.25">
      <c r="A26" s="3">
        <v>2048</v>
      </c>
      <c r="B26" s="3">
        <v>1255.0545195784071</v>
      </c>
      <c r="C26" s="3">
        <f>B26*Data!H25</f>
        <v>14.658485786546645</v>
      </c>
      <c r="D26" s="3">
        <f>C26*Data!I25</f>
        <v>1309715790.7078416</v>
      </c>
      <c r="G26" s="3">
        <f t="shared" si="0"/>
        <v>0.31006791028265024</v>
      </c>
      <c r="H26" s="3">
        <f t="shared" si="1"/>
        <v>406100838.28896934</v>
      </c>
      <c r="I26" s="3">
        <f>SUM($H$3:H26)/1000000000</f>
        <v>114.08719093802952</v>
      </c>
    </row>
    <row r="27" spans="1:9" ht="15" customHeight="1" x14ac:dyDescent="0.25">
      <c r="A27" s="3">
        <v>2049</v>
      </c>
      <c r="B27" s="3">
        <v>1237.392903494394</v>
      </c>
      <c r="C27" s="3">
        <f>B27*Data!H26</f>
        <v>13.729595571371867</v>
      </c>
      <c r="D27" s="3">
        <f>C27*Data!I26</f>
        <v>1165384676.3315489</v>
      </c>
      <c r="G27" s="3">
        <f t="shared" si="0"/>
        <v>0.29530277169776209</v>
      </c>
      <c r="H27" s="3">
        <f t="shared" si="1"/>
        <v>344141325.01480573</v>
      </c>
      <c r="I27" s="3">
        <f>SUM($H$3:H27)/1000000000</f>
        <v>114.43133226304433</v>
      </c>
    </row>
    <row r="28" spans="1:9" ht="15" customHeight="1" x14ac:dyDescent="0.25">
      <c r="A28" s="3">
        <v>2050</v>
      </c>
      <c r="B28" s="3">
        <v>1219.7312874103955</v>
      </c>
      <c r="C28" s="3">
        <f>B28*Data!H27</f>
        <v>12.856948163248356</v>
      </c>
      <c r="D28" s="3">
        <f>C28*Data!I27</f>
        <v>1036747643.5232298</v>
      </c>
      <c r="G28" s="3">
        <f>1/(POWER((1+$F$3/100),(A28-2024)))</f>
        <v>0.28124073495024959</v>
      </c>
      <c r="H28" s="3">
        <f>D28*G28</f>
        <v>291575669.22241253</v>
      </c>
      <c r="I28" s="3">
        <f>SUM($H$3:H28)/1000000000</f>
        <v>114.72290793226674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E18DC-31F2-48C6-930D-0A367ADEB221}">
  <dimension ref="A1:K28"/>
  <sheetViews>
    <sheetView zoomScale="90" zoomScaleNormal="90" workbookViewId="0">
      <selection activeCell="E3" sqref="E3"/>
    </sheetView>
  </sheetViews>
  <sheetFormatPr defaultColWidth="23.77734375" defaultRowHeight="15" customHeight="1" x14ac:dyDescent="0.25"/>
  <sheetData>
    <row r="1" spans="1:11" ht="15" customHeight="1" x14ac:dyDescent="0.25">
      <c r="A1" s="21" t="s">
        <v>38</v>
      </c>
      <c r="B1" s="21"/>
      <c r="C1" s="21"/>
      <c r="D1" s="21"/>
      <c r="E1" s="3"/>
      <c r="F1" s="3"/>
      <c r="G1" s="3"/>
      <c r="H1" s="3"/>
      <c r="I1" s="3"/>
      <c r="J1" s="3"/>
      <c r="K1" s="3"/>
    </row>
    <row r="2" spans="1:11" ht="15" customHeight="1" x14ac:dyDescent="0.25">
      <c r="A2" s="1" t="s">
        <v>1</v>
      </c>
      <c r="B2" s="1" t="s">
        <v>2</v>
      </c>
      <c r="C2" s="1" t="s">
        <v>4</v>
      </c>
      <c r="D2" s="1" t="s">
        <v>35</v>
      </c>
      <c r="E2" s="3"/>
      <c r="F2" s="7" t="s">
        <v>32</v>
      </c>
      <c r="G2" s="3"/>
      <c r="H2" s="3"/>
      <c r="I2" s="3"/>
    </row>
    <row r="3" spans="1:11" ht="15" customHeight="1" x14ac:dyDescent="0.25">
      <c r="A3" s="3">
        <v>2025</v>
      </c>
      <c r="B3" s="3">
        <v>1661.2716895103997</v>
      </c>
      <c r="C3" s="3">
        <f>B3*Data!H2</f>
        <v>63.128324201395188</v>
      </c>
      <c r="D3" s="3">
        <f>C3*Data!J2</f>
        <v>1821226901.8805707</v>
      </c>
      <c r="E3" s="9">
        <f>D3/1000</f>
        <v>1821226.9018805707</v>
      </c>
      <c r="F3" s="3">
        <f>SUM(D3:D28)/1000</f>
        <v>16030113.91237344</v>
      </c>
      <c r="G3" s="3" t="s">
        <v>28</v>
      </c>
      <c r="H3" s="3"/>
      <c r="I3" s="3"/>
    </row>
    <row r="4" spans="1:11" ht="15" customHeight="1" x14ac:dyDescent="0.25">
      <c r="A4" s="3">
        <v>2026</v>
      </c>
      <c r="B4" s="3">
        <v>1643.610073426401</v>
      </c>
      <c r="C4" s="3">
        <f>B4*Data!H3</f>
        <v>59.334323650693072</v>
      </c>
      <c r="D4" s="3">
        <f>C4*Data!J3</f>
        <v>1626182928.413383</v>
      </c>
      <c r="E4" s="9">
        <f t="shared" ref="E4:E28" si="0">D4/1000</f>
        <v>1626182.928413383</v>
      </c>
      <c r="F4" s="3"/>
      <c r="G4" s="3"/>
      <c r="H4" s="3"/>
      <c r="I4" s="3"/>
      <c r="J4" s="3"/>
      <c r="K4" s="3"/>
    </row>
    <row r="5" spans="1:11" ht="15" customHeight="1" x14ac:dyDescent="0.25">
      <c r="A5" s="3">
        <v>2027</v>
      </c>
      <c r="B5" s="3">
        <v>1625.9484573424006</v>
      </c>
      <c r="C5" s="3">
        <f>B5*Data!H4</f>
        <v>55.761902344557626</v>
      </c>
      <c r="D5" s="3">
        <f>C5*Data!J4</f>
        <v>1451859491.5362933</v>
      </c>
      <c r="E5" s="9">
        <f t="shared" si="0"/>
        <v>1451859.4915362932</v>
      </c>
      <c r="F5" s="3">
        <f>D3/1000/37.79/1000000000*100</f>
        <v>4.8193355434786207E-3</v>
      </c>
      <c r="G5" s="3" t="s">
        <v>34</v>
      </c>
      <c r="H5" s="3"/>
      <c r="I5" s="3"/>
      <c r="J5" s="3"/>
      <c r="K5" s="3"/>
    </row>
    <row r="6" spans="1:11" ht="15" customHeight="1" x14ac:dyDescent="0.25">
      <c r="A6" s="3">
        <v>2028</v>
      </c>
      <c r="B6" s="3">
        <v>1608.2868412583994</v>
      </c>
      <c r="C6" s="3">
        <f>B6*Data!H5</f>
        <v>52.398387359908966</v>
      </c>
      <c r="D6" s="3">
        <f>C6*Data!J5</f>
        <v>1296070223.3870063</v>
      </c>
      <c r="E6" s="9">
        <f t="shared" si="0"/>
        <v>1296070.2233870062</v>
      </c>
      <c r="F6" s="3"/>
      <c r="G6" s="3"/>
      <c r="H6" s="3"/>
      <c r="I6" s="3"/>
      <c r="J6" s="3"/>
      <c r="K6" s="3"/>
    </row>
    <row r="7" spans="1:11" ht="15" customHeight="1" x14ac:dyDescent="0.25">
      <c r="A7" s="3">
        <v>2029</v>
      </c>
      <c r="B7" s="3">
        <v>1590.625225174399</v>
      </c>
      <c r="C7" s="3">
        <f>B7*Data!H6</f>
        <v>49.2318191178638</v>
      </c>
      <c r="D7" s="3">
        <f>C7*Data!J6</f>
        <v>1156858123.2354133</v>
      </c>
      <c r="E7" s="9">
        <f t="shared" si="0"/>
        <v>1156858.1232354133</v>
      </c>
      <c r="F7" s="3"/>
      <c r="G7" s="3"/>
      <c r="H7" s="3"/>
      <c r="I7" s="3"/>
      <c r="J7" s="3"/>
      <c r="K7" s="3"/>
    </row>
    <row r="8" spans="1:11" ht="15" customHeight="1" x14ac:dyDescent="0.25">
      <c r="A8" s="3">
        <v>2030</v>
      </c>
      <c r="B8" s="3">
        <v>1572.9636090904005</v>
      </c>
      <c r="C8" s="3">
        <f>B8*Data!H7</f>
        <v>46.250911731623432</v>
      </c>
      <c r="D8" s="3">
        <f>C8*Data!J7</f>
        <v>1032471615.0523098</v>
      </c>
      <c r="E8" s="9">
        <f t="shared" si="0"/>
        <v>1032471.6150523097</v>
      </c>
      <c r="F8" s="3"/>
      <c r="G8" s="3"/>
      <c r="H8" s="3"/>
      <c r="I8" s="3"/>
      <c r="J8" s="3"/>
      <c r="K8" s="3"/>
    </row>
    <row r="9" spans="1:11" ht="15" customHeight="1" x14ac:dyDescent="0.25">
      <c r="A9" s="3">
        <v>2031</v>
      </c>
      <c r="B9" s="3">
        <v>1555.3019930064002</v>
      </c>
      <c r="C9" s="3">
        <f>B9*Data!H8</f>
        <v>43.445015536212395</v>
      </c>
      <c r="D9" s="3">
        <f>C9*Data!J8</f>
        <v>921343093.43090355</v>
      </c>
      <c r="E9" s="9">
        <f t="shared" si="0"/>
        <v>921343.09343090351</v>
      </c>
      <c r="F9" s="3"/>
      <c r="G9" s="3"/>
      <c r="H9" s="3"/>
      <c r="I9" s="3"/>
      <c r="J9" s="3"/>
      <c r="K9" s="3"/>
    </row>
    <row r="10" spans="1:11" ht="15" customHeight="1" x14ac:dyDescent="0.25">
      <c r="A10" s="3">
        <v>2032</v>
      </c>
      <c r="B10" s="3">
        <v>1537.6403769223998</v>
      </c>
      <c r="C10" s="3">
        <f>B10*Data!H9</f>
        <v>40.804081681013407</v>
      </c>
      <c r="D10" s="3">
        <f>C10*Data!J9</f>
        <v>822069700.23508084</v>
      </c>
      <c r="E10" s="9">
        <f t="shared" si="0"/>
        <v>822069.70023508079</v>
      </c>
      <c r="F10" s="3"/>
      <c r="G10" s="3"/>
      <c r="H10" s="3"/>
      <c r="I10" s="3"/>
      <c r="J10" s="3"/>
      <c r="K10" s="3"/>
    </row>
    <row r="11" spans="1:11" ht="15" customHeight="1" x14ac:dyDescent="0.25">
      <c r="A11" s="3">
        <v>2033</v>
      </c>
      <c r="B11" s="3">
        <v>1519.9787608384013</v>
      </c>
      <c r="C11" s="3">
        <f>B11*Data!H10</f>
        <v>38.318628672493816</v>
      </c>
      <c r="D11" s="3">
        <f>C11*Data!J10</f>
        <v>733396100.93051624</v>
      </c>
      <c r="E11" s="9">
        <f t="shared" si="0"/>
        <v>733396.10093051626</v>
      </c>
      <c r="F11" s="3"/>
      <c r="G11" s="3"/>
      <c r="H11" s="3"/>
      <c r="I11" s="3"/>
      <c r="J11" s="3"/>
      <c r="K11" s="3"/>
    </row>
    <row r="12" spans="1:11" ht="15" customHeight="1" x14ac:dyDescent="0.25">
      <c r="A12" s="3">
        <v>2034</v>
      </c>
      <c r="B12" s="3">
        <v>1502.3171447543991</v>
      </c>
      <c r="C12" s="3">
        <f>B12*Data!H11</f>
        <v>35.979710760623583</v>
      </c>
      <c r="D12" s="3">
        <f>C12*Data!J11</f>
        <v>654199053.40248108</v>
      </c>
      <c r="E12" s="9">
        <f t="shared" si="0"/>
        <v>654199.05340248113</v>
      </c>
      <c r="F12" s="3"/>
      <c r="G12" s="3"/>
      <c r="H12" s="3"/>
      <c r="I12" s="3"/>
      <c r="J12" s="3"/>
      <c r="K12" s="3"/>
    </row>
    <row r="13" spans="1:11" ht="15" customHeight="1" x14ac:dyDescent="0.25">
      <c r="A13" s="3">
        <v>2035</v>
      </c>
      <c r="B13" s="3">
        <v>1484.6555286703988</v>
      </c>
      <c r="C13" s="3">
        <f>B13*Data!H12</f>
        <v>33.778888068259164</v>
      </c>
      <c r="D13" s="3">
        <f>C13*Data!J12</f>
        <v>583473583.45794237</v>
      </c>
      <c r="E13" s="9">
        <f t="shared" si="0"/>
        <v>583473.58345794235</v>
      </c>
      <c r="F13" s="3"/>
      <c r="G13" s="3"/>
      <c r="H13" s="3"/>
      <c r="I13" s="3"/>
      <c r="J13" s="3"/>
      <c r="K13" s="3"/>
    </row>
    <row r="14" spans="1:11" ht="15" customHeight="1" x14ac:dyDescent="0.25">
      <c r="A14" s="3">
        <v>2036</v>
      </c>
      <c r="B14" s="3">
        <v>1466.9939125864039</v>
      </c>
      <c r="C14" s="3">
        <f>B14*Data!H13</f>
        <v>31.708198368229759</v>
      </c>
      <c r="D14" s="3">
        <f>C14*Data!J13</f>
        <v>520320600.40118355</v>
      </c>
      <c r="E14" s="9">
        <f t="shared" si="0"/>
        <v>520320.60040118353</v>
      </c>
      <c r="F14" s="3"/>
      <c r="G14" s="3"/>
      <c r="H14" s="3"/>
      <c r="I14" s="3"/>
      <c r="J14" s="3"/>
      <c r="K14" s="3"/>
    </row>
    <row r="15" spans="1:11" ht="15" customHeight="1" x14ac:dyDescent="0.25">
      <c r="A15" s="3">
        <v>2037</v>
      </c>
      <c r="B15" s="3">
        <v>1449.3322965023981</v>
      </c>
      <c r="C15" s="3">
        <f>B15*Data!H14</f>
        <v>29.760130418032414</v>
      </c>
      <c r="D15" s="3">
        <f>C15*Data!J14</f>
        <v>463935803.28774202</v>
      </c>
      <c r="E15" s="9">
        <f t="shared" si="0"/>
        <v>463935.80328774202</v>
      </c>
      <c r="F15" s="3"/>
      <c r="G15" s="3"/>
      <c r="H15" s="3"/>
      <c r="I15" s="3"/>
      <c r="J15" s="3"/>
      <c r="K15" s="3"/>
    </row>
    <row r="16" spans="1:11" ht="15" customHeight="1" x14ac:dyDescent="0.25">
      <c r="A16" s="3">
        <v>2038</v>
      </c>
      <c r="B16" s="3">
        <v>1431.6706804183996</v>
      </c>
      <c r="C16" s="3">
        <f>B16*Data!H15</f>
        <v>27.927598766934373</v>
      </c>
      <c r="D16" s="3">
        <f>C16*Data!J15</f>
        <v>413599743.90385991</v>
      </c>
      <c r="E16" s="9">
        <f t="shared" si="0"/>
        <v>413599.74390385993</v>
      </c>
      <c r="F16" s="3"/>
      <c r="G16" s="3"/>
      <c r="H16" s="3"/>
      <c r="I16" s="3"/>
      <c r="J16" s="3"/>
      <c r="K16" s="3"/>
    </row>
    <row r="17" spans="1:11" ht="15" customHeight="1" x14ac:dyDescent="0.25">
      <c r="A17" s="3">
        <v>2039</v>
      </c>
      <c r="B17" s="3">
        <v>1414.0090643343974</v>
      </c>
      <c r="C17" s="3">
        <f>B17*Data!H16</f>
        <v>26.203919954900993</v>
      </c>
      <c r="D17" s="3">
        <f>C17*Data!J16</f>
        <v>368668926.36982995</v>
      </c>
      <c r="E17" s="9">
        <f t="shared" si="0"/>
        <v>368668.92636982998</v>
      </c>
      <c r="F17" s="3"/>
      <c r="G17" s="3"/>
      <c r="H17" s="3"/>
      <c r="I17" s="3"/>
      <c r="J17" s="3"/>
      <c r="K17" s="3"/>
    </row>
    <row r="18" spans="1:11" ht="15" customHeight="1" x14ac:dyDescent="0.25">
      <c r="A18" s="3">
        <v>2040</v>
      </c>
      <c r="B18" s="3">
        <v>1396.3474482504025</v>
      </c>
      <c r="C18" s="3">
        <f>B18*Data!H17</f>
        <v>24.582790027153735</v>
      </c>
      <c r="D18" s="3">
        <f>C18*Data!J17</f>
        <v>328567835.68945128</v>
      </c>
      <c r="E18" s="9">
        <f t="shared" si="0"/>
        <v>328567.83568945125</v>
      </c>
      <c r="F18" s="3"/>
      <c r="G18" s="3"/>
      <c r="H18" s="3"/>
      <c r="I18" s="3"/>
      <c r="J18" s="3"/>
      <c r="K18" s="3"/>
    </row>
    <row r="19" spans="1:11" ht="15" customHeight="1" x14ac:dyDescent="0.25">
      <c r="A19" s="3">
        <v>2041</v>
      </c>
      <c r="B19" s="3">
        <v>1378.6858321664004</v>
      </c>
      <c r="C19" s="3">
        <f>B19*Data!H18</f>
        <v>23.058263292293834</v>
      </c>
      <c r="D19" s="3">
        <f>C19*Data!J18</f>
        <v>292781798.71044177</v>
      </c>
      <c r="E19" s="9">
        <f t="shared" si="0"/>
        <v>292781.79871044174</v>
      </c>
      <c r="F19" s="3"/>
      <c r="G19" s="3"/>
      <c r="H19" s="3"/>
      <c r="I19" s="3"/>
      <c r="J19" s="3"/>
      <c r="K19" s="3"/>
    </row>
    <row r="20" spans="1:11" ht="15" customHeight="1" x14ac:dyDescent="0.25">
      <c r="A20" s="3">
        <v>2042</v>
      </c>
      <c r="B20" s="3">
        <v>1361.0242160823982</v>
      </c>
      <c r="C20" s="3">
        <f>B20*Data!H19</f>
        <v>21.624732255852035</v>
      </c>
      <c r="D20" s="3">
        <f>C20*Data!J19</f>
        <v>260850590.95431629</v>
      </c>
      <c r="E20" s="9">
        <f t="shared" si="0"/>
        <v>260850.59095431629</v>
      </c>
      <c r="F20" s="3"/>
      <c r="G20" s="3"/>
      <c r="H20" s="3"/>
      <c r="I20" s="3"/>
      <c r="J20" s="3"/>
      <c r="K20" s="3"/>
    </row>
    <row r="21" spans="1:11" ht="15" customHeight="1" x14ac:dyDescent="0.25">
      <c r="A21" s="3">
        <v>2043</v>
      </c>
      <c r="B21" s="3">
        <v>1343.3625999984033</v>
      </c>
      <c r="C21" s="3">
        <f>B21*Data!H20</f>
        <v>20.276908664823793</v>
      </c>
      <c r="D21" s="3">
        <f>C21*Data!J20</f>
        <v>232362711.73664537</v>
      </c>
      <c r="E21" s="9">
        <f t="shared" si="0"/>
        <v>232362.71173664537</v>
      </c>
      <c r="F21" s="3"/>
      <c r="G21" s="3"/>
      <c r="H21" s="3"/>
      <c r="I21" s="3"/>
      <c r="J21" s="3"/>
      <c r="K21" s="3"/>
    </row>
    <row r="22" spans="1:11" ht="15" customHeight="1" x14ac:dyDescent="0.25">
      <c r="A22" s="3">
        <v>2044</v>
      </c>
      <c r="B22" s="3">
        <v>1325.7009839143975</v>
      </c>
      <c r="C22" s="3">
        <f>B22*Data!H21</f>
        <v>19.009805602258588</v>
      </c>
      <c r="D22" s="3">
        <f>C22*Data!J21</f>
        <v>206950258.03615913</v>
      </c>
      <c r="E22" s="9">
        <f t="shared" si="0"/>
        <v>206950.25803615912</v>
      </c>
      <c r="F22" s="3"/>
      <c r="G22" s="3"/>
      <c r="H22" s="3"/>
      <c r="I22" s="3"/>
      <c r="J22" s="3"/>
      <c r="K22" s="3"/>
    </row>
    <row r="23" spans="1:11" ht="15" customHeight="1" x14ac:dyDescent="0.25">
      <c r="A23" s="3">
        <v>2045</v>
      </c>
      <c r="B23" s="3">
        <v>1308.0393678304063</v>
      </c>
      <c r="C23" s="3">
        <f>B23*Data!H22</f>
        <v>17.818720574288047</v>
      </c>
      <c r="D23" s="3">
        <f>C23*Data!J22</f>
        <v>184284334.77882332</v>
      </c>
      <c r="E23" s="9">
        <f t="shared" si="0"/>
        <v>184284.33477882331</v>
      </c>
      <c r="F23" s="3"/>
      <c r="G23" s="3"/>
      <c r="H23" s="3"/>
      <c r="I23" s="3"/>
      <c r="J23" s="3"/>
      <c r="K23" s="3"/>
    </row>
    <row r="24" spans="1:11" ht="15" customHeight="1" x14ac:dyDescent="0.25">
      <c r="A24" s="3">
        <v>2046</v>
      </c>
      <c r="B24" s="3">
        <v>1290.3777517463968</v>
      </c>
      <c r="C24" s="3">
        <f>B24*Data!H23</f>
        <v>16.699219535108671</v>
      </c>
      <c r="D24" s="3">
        <f>C24*Data!J23</f>
        <v>164070945.66620934</v>
      </c>
      <c r="E24" s="9">
        <f t="shared" si="0"/>
        <v>164070.94566620933</v>
      </c>
      <c r="F24" s="3"/>
      <c r="G24" s="3"/>
      <c r="H24" s="3"/>
      <c r="I24" s="3"/>
      <c r="J24" s="3"/>
      <c r="K24" s="3"/>
    </row>
    <row r="25" spans="1:11" ht="15" customHeight="1" x14ac:dyDescent="0.25">
      <c r="A25" s="3">
        <v>2047</v>
      </c>
      <c r="B25" s="3">
        <v>1272.7161356623983</v>
      </c>
      <c r="C25" s="3">
        <f>B25*Data!H24</f>
        <v>15.647121798411652</v>
      </c>
      <c r="D25" s="3">
        <f>C25*Data!J24</f>
        <v>146047314.4730652</v>
      </c>
      <c r="E25" s="9">
        <f t="shared" si="0"/>
        <v>146047.3144730652</v>
      </c>
      <c r="F25" s="3"/>
      <c r="G25" s="3"/>
      <c r="H25" s="3"/>
      <c r="I25" s="3"/>
      <c r="J25" s="3"/>
      <c r="K25" s="3"/>
    </row>
    <row r="26" spans="1:11" ht="15" customHeight="1" x14ac:dyDescent="0.25">
      <c r="A26" s="3">
        <v>2048</v>
      </c>
      <c r="B26" s="3">
        <v>1255.0545195784071</v>
      </c>
      <c r="C26" s="3">
        <f>B26*Data!H25</f>
        <v>14.658485786546645</v>
      </c>
      <c r="D26" s="3">
        <f>C26*Data!J25</f>
        <v>129978591.93534553</v>
      </c>
      <c r="E26" s="9">
        <f t="shared" si="0"/>
        <v>129978.59193534552</v>
      </c>
      <c r="F26" s="3"/>
      <c r="G26" s="3"/>
      <c r="H26" s="3"/>
      <c r="I26" s="3"/>
      <c r="J26" s="3"/>
      <c r="K26" s="3"/>
    </row>
    <row r="27" spans="1:11" ht="15" customHeight="1" x14ac:dyDescent="0.25">
      <c r="A27" s="3">
        <v>2049</v>
      </c>
      <c r="B27" s="3">
        <v>1237.392903494394</v>
      </c>
      <c r="C27" s="3">
        <f>B27*Data!H26</f>
        <v>13.729595571371867</v>
      </c>
      <c r="D27" s="3">
        <f>C27*Data!J26</f>
        <v>115654908.00926954</v>
      </c>
      <c r="E27" s="9">
        <f t="shared" si="0"/>
        <v>115654.90800926954</v>
      </c>
      <c r="F27" s="3"/>
      <c r="G27" s="3"/>
      <c r="H27" s="3"/>
      <c r="I27" s="3"/>
      <c r="J27" s="3"/>
      <c r="K27" s="3"/>
    </row>
    <row r="28" spans="1:11" ht="15" customHeight="1" x14ac:dyDescent="0.25">
      <c r="A28" s="3">
        <v>2050</v>
      </c>
      <c r="B28" s="3">
        <v>1219.7312874103955</v>
      </c>
      <c r="C28" s="3">
        <f>B28*Data!H27</f>
        <v>12.856948163248356</v>
      </c>
      <c r="D28" s="3">
        <f>C28*Data!J27</f>
        <v>102888733.45919427</v>
      </c>
      <c r="E28" s="9">
        <f t="shared" si="0"/>
        <v>102888.73345919428</v>
      </c>
      <c r="F28" s="3"/>
      <c r="G28" s="3"/>
      <c r="H28" s="3"/>
      <c r="I28" s="3"/>
      <c r="J28" s="3"/>
      <c r="K28" s="3"/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07A6-DC17-4086-BFC1-2938FE026596}">
  <dimension ref="A1:K28"/>
  <sheetViews>
    <sheetView zoomScale="90" zoomScaleNormal="90" workbookViewId="0">
      <selection activeCell="B3" sqref="B3"/>
    </sheetView>
  </sheetViews>
  <sheetFormatPr defaultColWidth="23.77734375" defaultRowHeight="15" customHeight="1" x14ac:dyDescent="0.25"/>
  <cols>
    <col min="7" max="7" width="23.77734375" customWidth="1"/>
  </cols>
  <sheetData>
    <row r="1" spans="1:11" ht="15" customHeight="1" x14ac:dyDescent="0.25">
      <c r="A1" s="21" t="s">
        <v>15</v>
      </c>
      <c r="B1" s="21"/>
      <c r="C1" s="21"/>
      <c r="D1" s="21"/>
      <c r="E1" s="3"/>
      <c r="F1" s="3"/>
      <c r="G1" s="3"/>
      <c r="H1" s="3"/>
      <c r="I1" s="3"/>
      <c r="J1" s="3"/>
      <c r="K1" s="3"/>
    </row>
    <row r="2" spans="1:11" ht="15" customHeight="1" x14ac:dyDescent="0.25">
      <c r="A2" s="1" t="s">
        <v>1</v>
      </c>
      <c r="B2" s="1" t="s">
        <v>2</v>
      </c>
      <c r="C2" s="1" t="s">
        <v>4</v>
      </c>
      <c r="D2" s="1" t="s">
        <v>16</v>
      </c>
      <c r="E2" s="3"/>
      <c r="F2" s="7" t="s">
        <v>18</v>
      </c>
      <c r="G2" s="3"/>
      <c r="H2" s="3"/>
      <c r="I2" s="3"/>
    </row>
    <row r="3" spans="1:11" ht="15" customHeight="1" x14ac:dyDescent="0.25">
      <c r="A3" s="3">
        <v>2025</v>
      </c>
      <c r="B3" s="3">
        <v>1661.2716895103997</v>
      </c>
      <c r="C3" s="3">
        <f>B3*Data!H2</f>
        <v>63.128324201395188</v>
      </c>
      <c r="D3" s="3">
        <f>C3*Data!K2</f>
        <v>673503717.75314176</v>
      </c>
      <c r="E3" s="9">
        <f>D3/1000000</f>
        <v>673.50371775314181</v>
      </c>
      <c r="F3" s="3">
        <f>SUM(D3:D28)/1000000</f>
        <v>5928.0594333642539</v>
      </c>
      <c r="G3" s="3" t="s">
        <v>17</v>
      </c>
      <c r="H3" s="3"/>
      <c r="I3" s="3"/>
    </row>
    <row r="4" spans="1:11" ht="15" customHeight="1" x14ac:dyDescent="0.25">
      <c r="A4" s="3">
        <v>2026</v>
      </c>
      <c r="B4" s="3">
        <v>1643.610073426401</v>
      </c>
      <c r="C4" s="3">
        <f>B4*Data!H3</f>
        <v>59.334323650693072</v>
      </c>
      <c r="D4" s="3">
        <f>C4*Data!K3</f>
        <v>601374956.02671838</v>
      </c>
      <c r="E4" s="9">
        <f t="shared" ref="E4:E28" si="0">D4/1000000</f>
        <v>601.37495602671834</v>
      </c>
      <c r="F4" s="3"/>
      <c r="G4" s="3"/>
      <c r="H4" s="3"/>
      <c r="I4" s="3"/>
      <c r="J4" s="3"/>
      <c r="K4" s="3"/>
    </row>
    <row r="5" spans="1:11" ht="15" customHeight="1" x14ac:dyDescent="0.25">
      <c r="A5" s="3">
        <v>2027</v>
      </c>
      <c r="B5" s="3">
        <v>1625.9484573424006</v>
      </c>
      <c r="C5" s="3">
        <f>B5*Data!H4</f>
        <v>55.761902344557626</v>
      </c>
      <c r="D5" s="3">
        <f>C5*Data!K4</f>
        <v>536908808.12005627</v>
      </c>
      <c r="E5" s="9">
        <f t="shared" si="0"/>
        <v>536.90880812005628</v>
      </c>
      <c r="F5" s="3">
        <f>D3/1000000/82000000*100</f>
        <v>8.2134599725992895E-4</v>
      </c>
      <c r="G5" s="3" t="s">
        <v>34</v>
      </c>
      <c r="H5" s="3"/>
      <c r="I5" s="3"/>
      <c r="J5" s="3"/>
      <c r="K5" s="3"/>
    </row>
    <row r="6" spans="1:11" ht="15" customHeight="1" x14ac:dyDescent="0.25">
      <c r="A6" s="3">
        <v>2028</v>
      </c>
      <c r="B6" s="3">
        <v>1608.2868412583994</v>
      </c>
      <c r="C6" s="3">
        <f>B6*Data!H5</f>
        <v>52.398387359908966</v>
      </c>
      <c r="D6" s="3">
        <f>C6*Data!K5</f>
        <v>479296738.37946397</v>
      </c>
      <c r="E6" s="9">
        <f t="shared" si="0"/>
        <v>479.29673837946399</v>
      </c>
      <c r="F6" s="3"/>
      <c r="G6" s="3"/>
      <c r="H6" s="3"/>
      <c r="I6" s="3"/>
      <c r="J6" s="3"/>
      <c r="K6" s="3"/>
    </row>
    <row r="7" spans="1:11" ht="15" customHeight="1" x14ac:dyDescent="0.25">
      <c r="A7" s="3">
        <v>2029</v>
      </c>
      <c r="B7" s="3">
        <v>1590.625225174399</v>
      </c>
      <c r="C7" s="3">
        <f>B7*Data!H6</f>
        <v>49.2318191178638</v>
      </c>
      <c r="D7" s="3">
        <f>C7*Data!K6</f>
        <v>427815032.88109612</v>
      </c>
      <c r="E7" s="9">
        <f t="shared" si="0"/>
        <v>427.8150328810961</v>
      </c>
      <c r="F7" s="3">
        <f>F3/82000000*100</f>
        <v>7.2293407723954314E-3</v>
      </c>
      <c r="G7" s="3" t="s">
        <v>34</v>
      </c>
      <c r="H7" s="3"/>
      <c r="I7" s="3"/>
      <c r="J7" s="3"/>
      <c r="K7" s="3"/>
    </row>
    <row r="8" spans="1:11" ht="15" customHeight="1" x14ac:dyDescent="0.25">
      <c r="A8" s="3">
        <v>2030</v>
      </c>
      <c r="B8" s="3">
        <v>1572.9636090904005</v>
      </c>
      <c r="C8" s="3">
        <f>B8*Data!H7</f>
        <v>46.250911731623432</v>
      </c>
      <c r="D8" s="3">
        <f>C8*Data!K7</f>
        <v>381815945.33569062</v>
      </c>
      <c r="E8" s="9">
        <f t="shared" si="0"/>
        <v>381.81594533569063</v>
      </c>
      <c r="F8" s="3"/>
      <c r="G8" s="3"/>
      <c r="H8" s="3"/>
      <c r="I8" s="3"/>
      <c r="J8" s="3"/>
      <c r="K8" s="3"/>
    </row>
    <row r="9" spans="1:11" ht="15" customHeight="1" x14ac:dyDescent="0.25">
      <c r="A9" s="3">
        <v>2031</v>
      </c>
      <c r="B9" s="3">
        <v>1555.3019930064002</v>
      </c>
      <c r="C9" s="3">
        <f>B9*Data!H8</f>
        <v>43.445015536212395</v>
      </c>
      <c r="D9" s="3">
        <f>C9*Data!K8</f>
        <v>340719763.20531303</v>
      </c>
      <c r="E9" s="9">
        <f t="shared" si="0"/>
        <v>340.71976320531303</v>
      </c>
      <c r="F9" s="3"/>
      <c r="G9" s="3"/>
      <c r="H9" s="3"/>
      <c r="I9" s="3"/>
      <c r="J9" s="3"/>
      <c r="K9" s="3"/>
    </row>
    <row r="10" spans="1:11" ht="15" customHeight="1" x14ac:dyDescent="0.25">
      <c r="A10" s="3">
        <v>2032</v>
      </c>
      <c r="B10" s="3">
        <v>1537.6403769223998</v>
      </c>
      <c r="C10" s="3">
        <f>B10*Data!H9</f>
        <v>40.804081681013407</v>
      </c>
      <c r="D10" s="3">
        <f>C10*Data!K9</f>
        <v>304007698.76001161</v>
      </c>
      <c r="E10" s="9">
        <f t="shared" si="0"/>
        <v>304.00769876001164</v>
      </c>
      <c r="F10" s="3"/>
      <c r="G10" s="3"/>
      <c r="H10" s="3"/>
      <c r="I10" s="3"/>
      <c r="J10" s="3"/>
      <c r="K10" s="3"/>
    </row>
    <row r="11" spans="1:11" ht="15" customHeight="1" x14ac:dyDescent="0.25">
      <c r="A11" s="3">
        <v>2033</v>
      </c>
      <c r="B11" s="3">
        <v>1519.9787608384013</v>
      </c>
      <c r="C11" s="3">
        <f>B11*Data!H10</f>
        <v>38.318628672493816</v>
      </c>
      <c r="D11" s="3">
        <f>C11*Data!K10</f>
        <v>271215519.63257366</v>
      </c>
      <c r="E11" s="9">
        <f t="shared" si="0"/>
        <v>271.21551963257366</v>
      </c>
      <c r="F11" s="3"/>
      <c r="G11" s="3"/>
      <c r="H11" s="3"/>
      <c r="I11" s="3"/>
      <c r="J11" s="3"/>
      <c r="K11" s="3"/>
    </row>
    <row r="12" spans="1:11" ht="15" customHeight="1" x14ac:dyDescent="0.25">
      <c r="A12" s="3">
        <v>2034</v>
      </c>
      <c r="B12" s="3">
        <v>1502.3171447543991</v>
      </c>
      <c r="C12" s="3">
        <f>B12*Data!H11</f>
        <v>35.979710760623583</v>
      </c>
      <c r="D12" s="3">
        <f>C12*Data!K11</f>
        <v>241927842.24864832</v>
      </c>
      <c r="E12" s="9">
        <f t="shared" si="0"/>
        <v>241.92784224864832</v>
      </c>
      <c r="F12" s="3"/>
      <c r="G12" s="3"/>
      <c r="H12" s="3"/>
      <c r="I12" s="3"/>
      <c r="J12" s="3"/>
      <c r="K12" s="3"/>
    </row>
    <row r="13" spans="1:11" ht="15" customHeight="1" x14ac:dyDescent="0.25">
      <c r="A13" s="3">
        <v>2035</v>
      </c>
      <c r="B13" s="3">
        <v>1484.6555286703988</v>
      </c>
      <c r="C13" s="3">
        <f>B13*Data!H12</f>
        <v>33.778888068259164</v>
      </c>
      <c r="D13" s="3">
        <f>C13*Data!K12</f>
        <v>215773019.42108139</v>
      </c>
      <c r="E13" s="9">
        <f t="shared" si="0"/>
        <v>215.77301942108139</v>
      </c>
      <c r="F13" s="3"/>
      <c r="G13" s="3"/>
      <c r="H13" s="3"/>
      <c r="I13" s="3"/>
      <c r="J13" s="3"/>
      <c r="K13" s="3"/>
    </row>
    <row r="14" spans="1:11" ht="15" customHeight="1" x14ac:dyDescent="0.25">
      <c r="A14" s="3">
        <v>2036</v>
      </c>
      <c r="B14" s="3">
        <v>1466.9939125864039</v>
      </c>
      <c r="C14" s="3">
        <f>B14*Data!H13</f>
        <v>31.708198368229759</v>
      </c>
      <c r="D14" s="3">
        <f>C14*Data!K13</f>
        <v>192418560.49451461</v>
      </c>
      <c r="E14" s="9">
        <f t="shared" si="0"/>
        <v>192.41856049451462</v>
      </c>
      <c r="F14" s="3"/>
      <c r="G14" s="3"/>
      <c r="H14" s="3"/>
      <c r="I14" s="3"/>
      <c r="J14" s="3"/>
      <c r="K14" s="3"/>
    </row>
    <row r="15" spans="1:11" ht="15" customHeight="1" x14ac:dyDescent="0.25">
      <c r="A15" s="3">
        <v>2037</v>
      </c>
      <c r="B15" s="3">
        <v>1449.3322965023981</v>
      </c>
      <c r="C15" s="3">
        <f>B15*Data!H14</f>
        <v>29.760130418032414</v>
      </c>
      <c r="D15" s="3">
        <f>C15*Data!K14</f>
        <v>171567028.79275537</v>
      </c>
      <c r="E15" s="9">
        <f t="shared" si="0"/>
        <v>171.56702879275537</v>
      </c>
      <c r="F15" s="3"/>
      <c r="G15" s="3"/>
      <c r="H15" s="3"/>
      <c r="I15" s="3"/>
      <c r="J15" s="3"/>
      <c r="K15" s="3"/>
    </row>
    <row r="16" spans="1:11" ht="15" customHeight="1" x14ac:dyDescent="0.25">
      <c r="A16" s="3">
        <v>2038</v>
      </c>
      <c r="B16" s="3">
        <v>1431.6706804183996</v>
      </c>
      <c r="C16" s="3">
        <f>B16*Data!H15</f>
        <v>27.927598766934373</v>
      </c>
      <c r="D16" s="3">
        <f>C16*Data!K15</f>
        <v>152952366.83213899</v>
      </c>
      <c r="E16" s="9">
        <f t="shared" si="0"/>
        <v>152.95236683213898</v>
      </c>
      <c r="F16" s="3"/>
      <c r="G16" s="3"/>
      <c r="H16" s="3"/>
      <c r="I16" s="3"/>
      <c r="J16" s="3"/>
      <c r="K16" s="3"/>
    </row>
    <row r="17" spans="1:11" ht="15" customHeight="1" x14ac:dyDescent="0.25">
      <c r="A17" s="3">
        <v>2039</v>
      </c>
      <c r="B17" s="3">
        <v>1414.0090643343974</v>
      </c>
      <c r="C17" s="3">
        <f>B17*Data!H16</f>
        <v>26.203919954900993</v>
      </c>
      <c r="D17" s="3">
        <f>C17*Data!K16</f>
        <v>136336604.88638133</v>
      </c>
      <c r="E17" s="9">
        <f t="shared" si="0"/>
        <v>136.33660488638134</v>
      </c>
      <c r="F17" s="3"/>
      <c r="G17" s="3"/>
      <c r="H17" s="3"/>
      <c r="I17" s="3"/>
      <c r="J17" s="3"/>
      <c r="K17" s="3"/>
    </row>
    <row r="18" spans="1:11" ht="15" customHeight="1" x14ac:dyDescent="0.25">
      <c r="A18" s="3">
        <v>2040</v>
      </c>
      <c r="B18" s="3">
        <v>1396.3474482504025</v>
      </c>
      <c r="C18" s="3">
        <f>B18*Data!H17</f>
        <v>24.582790027153735</v>
      </c>
      <c r="D18" s="3">
        <f>C18*Data!K17</f>
        <v>121506913.082849</v>
      </c>
      <c r="E18" s="9">
        <f t="shared" si="0"/>
        <v>121.506913082849</v>
      </c>
      <c r="F18" s="3"/>
      <c r="G18" s="3"/>
      <c r="H18" s="3"/>
      <c r="I18" s="3"/>
      <c r="J18" s="3"/>
      <c r="K18" s="3"/>
    </row>
    <row r="19" spans="1:11" ht="15" customHeight="1" x14ac:dyDescent="0.25">
      <c r="A19" s="3">
        <v>2041</v>
      </c>
      <c r="B19" s="3">
        <v>1378.6858321664004</v>
      </c>
      <c r="C19" s="3">
        <f>B19*Data!H18</f>
        <v>23.058263292293834</v>
      </c>
      <c r="D19" s="3">
        <f>C19*Data!K18</f>
        <v>108272961.33080377</v>
      </c>
      <c r="E19" s="9">
        <f t="shared" si="0"/>
        <v>108.27296133080377</v>
      </c>
      <c r="F19" s="3"/>
      <c r="G19" s="3"/>
      <c r="H19" s="3"/>
      <c r="I19" s="3"/>
      <c r="J19" s="3"/>
      <c r="K19" s="3"/>
    </row>
    <row r="20" spans="1:11" ht="15" customHeight="1" x14ac:dyDescent="0.25">
      <c r="A20" s="3">
        <v>2042</v>
      </c>
      <c r="B20" s="3">
        <v>1361.0242160823982</v>
      </c>
      <c r="C20" s="3">
        <f>B20*Data!H19</f>
        <v>21.624732255852035</v>
      </c>
      <c r="D20" s="3">
        <f>C20*Data!K19</f>
        <v>96464555.077913508</v>
      </c>
      <c r="E20" s="9">
        <f t="shared" si="0"/>
        <v>96.464555077913502</v>
      </c>
      <c r="F20" s="3"/>
      <c r="G20" s="3"/>
      <c r="H20" s="3"/>
      <c r="I20" s="3"/>
      <c r="J20" s="3"/>
      <c r="K20" s="3"/>
    </row>
    <row r="21" spans="1:11" ht="15" customHeight="1" x14ac:dyDescent="0.25">
      <c r="A21" s="3">
        <v>2043</v>
      </c>
      <c r="B21" s="3">
        <v>1343.3625999984033</v>
      </c>
      <c r="C21" s="3">
        <f>B21*Data!H20</f>
        <v>20.276908664823793</v>
      </c>
      <c r="D21" s="3">
        <f>C21*Data!K20</f>
        <v>85929518.205686346</v>
      </c>
      <c r="E21" s="9">
        <f t="shared" si="0"/>
        <v>85.92951820568635</v>
      </c>
      <c r="F21" s="3"/>
      <c r="G21" s="3"/>
      <c r="H21" s="3"/>
      <c r="I21" s="3"/>
      <c r="J21" s="3"/>
      <c r="K21" s="3"/>
    </row>
    <row r="22" spans="1:11" ht="15" customHeight="1" x14ac:dyDescent="0.25">
      <c r="A22" s="3">
        <v>2044</v>
      </c>
      <c r="B22" s="3">
        <v>1325.7009839143975</v>
      </c>
      <c r="C22" s="3">
        <f>B22*Data!H21</f>
        <v>19.009805602258588</v>
      </c>
      <c r="D22" s="3">
        <f>C22*Data!K21</f>
        <v>76531797.346833453</v>
      </c>
      <c r="E22" s="9">
        <f t="shared" si="0"/>
        <v>76.531797346833457</v>
      </c>
      <c r="F22" s="3"/>
      <c r="G22" s="3"/>
      <c r="H22" s="3"/>
      <c r="I22" s="3"/>
      <c r="J22" s="3"/>
      <c r="K22" s="3"/>
    </row>
    <row r="23" spans="1:11" ht="15" customHeight="1" x14ac:dyDescent="0.25">
      <c r="A23" s="3">
        <v>2045</v>
      </c>
      <c r="B23" s="3">
        <v>1308.0393678304063</v>
      </c>
      <c r="C23" s="3">
        <f>B23*Data!H22</f>
        <v>17.818720574288047</v>
      </c>
      <c r="D23" s="3">
        <f>C23*Data!K22</f>
        <v>68149764.573014855</v>
      </c>
      <c r="E23" s="9">
        <f t="shared" si="0"/>
        <v>68.149764573014849</v>
      </c>
      <c r="F23" s="3"/>
      <c r="G23" s="3"/>
      <c r="H23" s="3"/>
      <c r="I23" s="3"/>
      <c r="J23" s="3"/>
      <c r="K23" s="3"/>
    </row>
    <row r="24" spans="1:11" ht="15" customHeight="1" x14ac:dyDescent="0.25">
      <c r="A24" s="3">
        <v>2046</v>
      </c>
      <c r="B24" s="3">
        <v>1290.3777517463968</v>
      </c>
      <c r="C24" s="3">
        <f>B24*Data!H23</f>
        <v>16.699219535108671</v>
      </c>
      <c r="D24" s="3">
        <f>C24*Data!K23</f>
        <v>60674697.791561648</v>
      </c>
      <c r="E24" s="9">
        <f t="shared" si="0"/>
        <v>60.674697791561648</v>
      </c>
      <c r="F24" s="3"/>
      <c r="G24" s="3"/>
      <c r="H24" s="3"/>
      <c r="I24" s="3"/>
      <c r="J24" s="3"/>
      <c r="K24" s="3"/>
    </row>
    <row r="25" spans="1:11" ht="15" customHeight="1" x14ac:dyDescent="0.25">
      <c r="A25" s="3">
        <v>2047</v>
      </c>
      <c r="B25" s="3">
        <v>1272.7161356623983</v>
      </c>
      <c r="C25" s="3">
        <f>B25*Data!H24</f>
        <v>15.647121798411652</v>
      </c>
      <c r="D25" s="3">
        <f>C25*Data!K24</f>
        <v>54009420.333020076</v>
      </c>
      <c r="E25" s="9">
        <f t="shared" si="0"/>
        <v>54.009420333020074</v>
      </c>
      <c r="F25" s="3"/>
      <c r="G25" s="3"/>
      <c r="H25" s="3"/>
      <c r="I25" s="3"/>
      <c r="J25" s="3"/>
      <c r="K25" s="3"/>
    </row>
    <row r="26" spans="1:11" ht="15" customHeight="1" x14ac:dyDescent="0.25">
      <c r="A26" s="3">
        <v>2048</v>
      </c>
      <c r="B26" s="3">
        <v>1255.0545195784071</v>
      </c>
      <c r="C26" s="3">
        <f>B26*Data!H25</f>
        <v>14.658485786546645</v>
      </c>
      <c r="D26" s="3">
        <f>C26*Data!K25</f>
        <v>48067083.13301336</v>
      </c>
      <c r="E26" s="9">
        <f t="shared" si="0"/>
        <v>48.067083133013362</v>
      </c>
      <c r="F26" s="3"/>
      <c r="G26" s="3"/>
      <c r="H26" s="3"/>
      <c r="I26" s="3"/>
      <c r="J26" s="3"/>
      <c r="K26" s="3"/>
    </row>
    <row r="27" spans="1:11" ht="15" customHeight="1" x14ac:dyDescent="0.25">
      <c r="A27" s="3">
        <v>2049</v>
      </c>
      <c r="B27" s="3">
        <v>1237.392903494394</v>
      </c>
      <c r="C27" s="3">
        <f>B27*Data!H26</f>
        <v>13.729595571371867</v>
      </c>
      <c r="D27" s="3">
        <f>C27*Data!K26</f>
        <v>42770074.634966403</v>
      </c>
      <c r="E27" s="9">
        <f t="shared" si="0"/>
        <v>42.770074634966406</v>
      </c>
      <c r="F27" s="3"/>
      <c r="G27" s="3"/>
      <c r="H27" s="3"/>
      <c r="I27" s="3"/>
      <c r="J27" s="3"/>
      <c r="K27" s="3"/>
    </row>
    <row r="28" spans="1:11" ht="15" customHeight="1" x14ac:dyDescent="0.25">
      <c r="A28" s="3">
        <v>2050</v>
      </c>
      <c r="B28" s="3">
        <v>1219.7312874103955</v>
      </c>
      <c r="C28" s="3">
        <f>B28*Data!H27</f>
        <v>12.856948163248356</v>
      </c>
      <c r="D28" s="3">
        <f>C28*Data!K27</f>
        <v>38049045.085005872</v>
      </c>
      <c r="E28" s="9">
        <f t="shared" si="0"/>
        <v>38.049045085005872</v>
      </c>
      <c r="F28" s="3"/>
      <c r="G28" s="3"/>
      <c r="H28" s="3"/>
      <c r="I28" s="3"/>
      <c r="J28" s="3"/>
      <c r="K28" s="3"/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505B-270C-4B47-B3D1-12D7BCE6973A}">
  <dimension ref="A1:P32"/>
  <sheetViews>
    <sheetView topLeftCell="H1" zoomScale="90" zoomScaleNormal="90" workbookViewId="0">
      <selection activeCell="N7" sqref="N7"/>
    </sheetView>
  </sheetViews>
  <sheetFormatPr defaultColWidth="23.77734375" defaultRowHeight="15" customHeight="1" x14ac:dyDescent="0.25"/>
  <cols>
    <col min="5" max="5" width="19.77734375" customWidth="1"/>
    <col min="6" max="6" width="5.77734375" customWidth="1"/>
    <col min="8" max="8" width="32.21875" customWidth="1"/>
    <col min="12" max="12" width="8.21875" customWidth="1"/>
  </cols>
  <sheetData>
    <row r="1" spans="1:16" ht="15" customHeight="1" x14ac:dyDescent="0.25">
      <c r="A1" s="21" t="s">
        <v>39</v>
      </c>
      <c r="B1" s="21"/>
      <c r="C1" s="21"/>
      <c r="D1" s="21"/>
      <c r="E1" s="3"/>
      <c r="F1" s="3"/>
      <c r="G1" s="21" t="s">
        <v>44</v>
      </c>
      <c r="H1" s="21"/>
      <c r="I1" s="21"/>
      <c r="J1" s="3"/>
      <c r="K1" s="3"/>
      <c r="L1" s="3"/>
      <c r="M1" s="3"/>
      <c r="N1" s="3"/>
    </row>
    <row r="2" spans="1:16" ht="15" customHeight="1" x14ac:dyDescent="0.25">
      <c r="A2" s="1" t="s">
        <v>1</v>
      </c>
      <c r="B2" s="1" t="s">
        <v>2</v>
      </c>
      <c r="C2" s="1" t="s">
        <v>4</v>
      </c>
      <c r="D2" s="1" t="s">
        <v>36</v>
      </c>
      <c r="E2" s="3"/>
      <c r="F2" s="3"/>
      <c r="G2" s="1" t="s">
        <v>1</v>
      </c>
      <c r="H2" s="1" t="s">
        <v>43</v>
      </c>
      <c r="I2" s="1" t="s">
        <v>37</v>
      </c>
      <c r="J2" s="7" t="s">
        <v>33</v>
      </c>
      <c r="K2" s="3"/>
      <c r="M2" s="1" t="s">
        <v>36</v>
      </c>
      <c r="N2" s="22" t="s">
        <v>46</v>
      </c>
      <c r="O2" s="22"/>
    </row>
    <row r="3" spans="1:16" ht="15" customHeight="1" x14ac:dyDescent="0.25">
      <c r="A3" s="3">
        <v>2025</v>
      </c>
      <c r="B3" s="3">
        <v>1661.2716895103997</v>
      </c>
      <c r="C3" s="3">
        <f>B3*Data!H2</f>
        <v>63.128324201395188</v>
      </c>
      <c r="D3" s="3">
        <f>C3*Data!L2</f>
        <v>1225825799.3426917</v>
      </c>
      <c r="E3" s="8">
        <f>D3/1000000000</f>
        <v>1.2258257993426918</v>
      </c>
      <c r="F3" s="8"/>
      <c r="G3" s="3">
        <v>2025</v>
      </c>
      <c r="H3" s="15">
        <v>3044.7448428673547</v>
      </c>
      <c r="I3" s="8">
        <f>H3*1000000/($E$32/3600)/1000</f>
        <v>4211330.0628265673</v>
      </c>
      <c r="J3" s="3">
        <f>SUM(D3:D28)/1000000000</f>
        <v>10.789499748712887</v>
      </c>
      <c r="K3" s="3" t="s">
        <v>47</v>
      </c>
      <c r="M3" s="3">
        <f>E3+I3/1000000000</f>
        <v>1.2300371294055183</v>
      </c>
      <c r="N3" s="3">
        <f>SUM(M3:M28)</f>
        <v>12.03450133613249</v>
      </c>
      <c r="O3" s="3" t="s">
        <v>47</v>
      </c>
      <c r="P3" s="16"/>
    </row>
    <row r="4" spans="1:16" ht="15" customHeight="1" x14ac:dyDescent="0.25">
      <c r="A4" s="3">
        <v>2026</v>
      </c>
      <c r="B4" s="3">
        <v>1643.610073426401</v>
      </c>
      <c r="C4" s="3">
        <f>B4*Data!H3</f>
        <v>59.334323650693072</v>
      </c>
      <c r="D4" s="3">
        <f>C4*Data!L3</f>
        <v>1094546201.8167002</v>
      </c>
      <c r="E4" s="8">
        <f t="shared" ref="E4:E28" si="0">D4/1000000000</f>
        <v>1.0945462018167003</v>
      </c>
      <c r="F4" s="8"/>
      <c r="G4" s="3">
        <v>2026</v>
      </c>
      <c r="H4" s="15">
        <v>3763.1101515678106</v>
      </c>
      <c r="I4" s="8">
        <f t="shared" ref="I4:I28" si="1">H4*1000000/($E$32/3600)/1000</f>
        <v>5204934.9712013854</v>
      </c>
      <c r="J4" s="3"/>
      <c r="K4" s="3"/>
      <c r="L4" s="3"/>
      <c r="M4" s="3">
        <f t="shared" ref="M4:M28" si="2">E4+I4/1000000000</f>
        <v>1.0997511367879016</v>
      </c>
      <c r="N4" s="3"/>
      <c r="P4" s="16"/>
    </row>
    <row r="5" spans="1:16" ht="15" customHeight="1" x14ac:dyDescent="0.25">
      <c r="A5" s="3">
        <v>2027</v>
      </c>
      <c r="B5" s="3">
        <v>1625.9484573424006</v>
      </c>
      <c r="C5" s="3">
        <f>B5*Data!H4</f>
        <v>55.761902344557626</v>
      </c>
      <c r="D5" s="3">
        <f>C5*Data!L4</f>
        <v>977213119.30327427</v>
      </c>
      <c r="E5" s="8">
        <f t="shared" si="0"/>
        <v>0.97721311930327426</v>
      </c>
      <c r="F5" s="8"/>
      <c r="G5" s="3">
        <v>2027</v>
      </c>
      <c r="H5" s="15">
        <v>4622.7404634912573</v>
      </c>
      <c r="I5" s="8">
        <f t="shared" si="1"/>
        <v>6393930.1620466448</v>
      </c>
      <c r="J5" s="10">
        <f>D3/1000000000/10633450/0.313*100</f>
        <v>3.6830721503627234E-5</v>
      </c>
      <c r="K5" s="3" t="s">
        <v>34</v>
      </c>
      <c r="L5" s="3"/>
      <c r="M5" s="3">
        <f t="shared" si="2"/>
        <v>0.98360704946532085</v>
      </c>
      <c r="N5" s="10">
        <f>M3/10633450/0.313*100</f>
        <v>3.6957253613480842E-5</v>
      </c>
      <c r="O5" s="3" t="s">
        <v>34</v>
      </c>
      <c r="P5" s="16"/>
    </row>
    <row r="6" spans="1:16" ht="15" customHeight="1" x14ac:dyDescent="0.25">
      <c r="A6" s="3">
        <v>2028</v>
      </c>
      <c r="B6" s="3">
        <v>1608.2868412583994</v>
      </c>
      <c r="C6" s="3">
        <f>B6*Data!H5</f>
        <v>52.398387359908966</v>
      </c>
      <c r="D6" s="3">
        <f>C6*Data!L5</f>
        <v>872354958.0489465</v>
      </c>
      <c r="E6" s="8">
        <f t="shared" si="0"/>
        <v>0.87235495804894647</v>
      </c>
      <c r="F6" s="8"/>
      <c r="G6" s="3">
        <v>2028</v>
      </c>
      <c r="H6" s="15">
        <v>5644.0708418284876</v>
      </c>
      <c r="I6" s="8">
        <f t="shared" si="1"/>
        <v>7806580.3341770098</v>
      </c>
      <c r="J6" s="3"/>
      <c r="K6" s="3"/>
      <c r="L6" s="3"/>
      <c r="M6" s="3">
        <f t="shared" si="2"/>
        <v>0.8801615383831235</v>
      </c>
      <c r="N6" s="3"/>
      <c r="O6" s="3"/>
      <c r="P6" s="16"/>
    </row>
    <row r="7" spans="1:16" ht="15" customHeight="1" x14ac:dyDescent="0.25">
      <c r="A7" s="3">
        <v>2029</v>
      </c>
      <c r="B7" s="3">
        <v>1590.625225174399</v>
      </c>
      <c r="C7" s="3">
        <f>B7*Data!H6</f>
        <v>49.2318191178638</v>
      </c>
      <c r="D7" s="3">
        <f>C7*Data!L6</f>
        <v>778654506.0238359</v>
      </c>
      <c r="E7" s="8">
        <f t="shared" si="0"/>
        <v>0.7786545060238359</v>
      </c>
      <c r="F7" s="8"/>
      <c r="G7" s="3">
        <v>2029</v>
      </c>
      <c r="H7" s="15">
        <v>6848.7194679588192</v>
      </c>
      <c r="I7" s="8">
        <f t="shared" si="1"/>
        <v>9472786.6129231099</v>
      </c>
      <c r="J7" s="3">
        <f>J3/80000/100000000*1000000000*100</f>
        <v>0.13486874685891106</v>
      </c>
      <c r="K7" s="3" t="s">
        <v>34</v>
      </c>
      <c r="L7" s="3"/>
      <c r="M7" s="3">
        <f t="shared" si="2"/>
        <v>0.78812729263675896</v>
      </c>
      <c r="N7" s="3">
        <f>M3/80000/100000000*1000000000*100</f>
        <v>1.5375464117568981E-2</v>
      </c>
      <c r="O7" s="3" t="s">
        <v>34</v>
      </c>
      <c r="P7" s="16"/>
    </row>
    <row r="8" spans="1:16" ht="15" customHeight="1" x14ac:dyDescent="0.25">
      <c r="A8" s="3">
        <v>2030</v>
      </c>
      <c r="B8" s="3">
        <v>1572.9636090904005</v>
      </c>
      <c r="C8" s="3">
        <f>B8*Data!H7</f>
        <v>46.250911731623432</v>
      </c>
      <c r="D8" s="3">
        <f>C8*Data!L7</f>
        <v>694932817.82366991</v>
      </c>
      <c r="E8" s="8">
        <f t="shared" si="0"/>
        <v>0.69493281782366989</v>
      </c>
      <c r="F8" s="8"/>
      <c r="G8" s="3">
        <v>2030</v>
      </c>
      <c r="H8" s="15">
        <v>8259.1182363329735</v>
      </c>
      <c r="I8" s="8">
        <f t="shared" si="1"/>
        <v>11423575.608507393</v>
      </c>
      <c r="J8" s="3"/>
      <c r="K8" s="3"/>
      <c r="L8" s="3"/>
      <c r="M8" s="3">
        <f t="shared" si="2"/>
        <v>0.70635639343217727</v>
      </c>
      <c r="N8" s="3"/>
      <c r="P8" s="16"/>
    </row>
    <row r="9" spans="1:16" ht="15" customHeight="1" x14ac:dyDescent="0.25">
      <c r="A9" s="3">
        <v>2031</v>
      </c>
      <c r="B9" s="3">
        <v>1555.3019930064002</v>
      </c>
      <c r="C9" s="3">
        <f>B9*Data!H8</f>
        <v>43.445015536212395</v>
      </c>
      <c r="D9" s="3">
        <f>C9*Data!L8</f>
        <v>620134774.42464662</v>
      </c>
      <c r="E9" s="8">
        <f t="shared" si="0"/>
        <v>0.6201347744246466</v>
      </c>
      <c r="F9" s="8"/>
      <c r="G9" s="3">
        <v>2031</v>
      </c>
      <c r="H9" s="15">
        <v>9898.0256791028169</v>
      </c>
      <c r="I9" s="8">
        <f t="shared" si="1"/>
        <v>13690425.719148189</v>
      </c>
      <c r="J9" s="3"/>
      <c r="K9" s="3"/>
      <c r="L9" s="3"/>
      <c r="M9" s="3">
        <f t="shared" si="2"/>
        <v>0.63382520014379473</v>
      </c>
      <c r="N9" s="3"/>
      <c r="P9" s="16"/>
    </row>
    <row r="10" spans="1:16" ht="15" customHeight="1" x14ac:dyDescent="0.25">
      <c r="A10" s="3">
        <v>2032</v>
      </c>
      <c r="B10" s="3">
        <v>1537.6403769223998</v>
      </c>
      <c r="C10" s="3">
        <f>B10*Data!H9</f>
        <v>40.804081681013407</v>
      </c>
      <c r="D10" s="3">
        <f>C10*Data!L9</f>
        <v>553316144.38899672</v>
      </c>
      <c r="E10" s="8">
        <f t="shared" si="0"/>
        <v>0.55331614438899668</v>
      </c>
      <c r="F10" s="8"/>
      <c r="G10" s="3">
        <v>2032</v>
      </c>
      <c r="H10" s="15">
        <v>11787.916376225727</v>
      </c>
      <c r="I10" s="8">
        <f t="shared" si="1"/>
        <v>16304422.595403578</v>
      </c>
      <c r="J10" s="3"/>
      <c r="K10" s="3"/>
      <c r="L10" s="3"/>
      <c r="M10" s="3">
        <f t="shared" si="2"/>
        <v>0.56962056698440022</v>
      </c>
      <c r="N10" s="3"/>
      <c r="P10" s="16"/>
    </row>
    <row r="11" spans="1:16" ht="15" customHeight="1" x14ac:dyDescent="0.25">
      <c r="A11" s="3">
        <v>2033</v>
      </c>
      <c r="B11" s="3">
        <v>1519.9787608384013</v>
      </c>
      <c r="C11" s="3">
        <f>B11*Data!H10</f>
        <v>38.318628672493816</v>
      </c>
      <c r="D11" s="3">
        <f>C11*Data!L10</f>
        <v>493631991.01092446</v>
      </c>
      <c r="E11" s="8">
        <f t="shared" si="0"/>
        <v>0.49363199101092448</v>
      </c>
      <c r="F11" s="8"/>
      <c r="G11" s="3">
        <v>2033</v>
      </c>
      <c r="H11" s="15">
        <v>13950.246112408964</v>
      </c>
      <c r="I11" s="8">
        <f t="shared" si="1"/>
        <v>19295242.744114812</v>
      </c>
      <c r="J11" s="3"/>
      <c r="K11" s="3"/>
      <c r="L11" s="3"/>
      <c r="M11" s="3">
        <f t="shared" si="2"/>
        <v>0.51292723375503924</v>
      </c>
      <c r="N11" s="3"/>
      <c r="P11" s="16"/>
    </row>
    <row r="12" spans="1:16" ht="15" customHeight="1" x14ac:dyDescent="0.25">
      <c r="A12" s="3">
        <v>2034</v>
      </c>
      <c r="B12" s="3">
        <v>1502.3171447543991</v>
      </c>
      <c r="C12" s="3">
        <f>B12*Data!H11</f>
        <v>35.979710760623583</v>
      </c>
      <c r="D12" s="3">
        <f>C12*Data!L11</f>
        <v>440326285.94397765</v>
      </c>
      <c r="E12" s="8">
        <f t="shared" si="0"/>
        <v>0.44032628594397766</v>
      </c>
      <c r="F12" s="8"/>
      <c r="G12" s="3">
        <v>2034</v>
      </c>
      <c r="H12" s="15">
        <v>16404.598396819518</v>
      </c>
      <c r="I12" s="8">
        <f t="shared" si="1"/>
        <v>22689973.039600372</v>
      </c>
      <c r="J12" s="3"/>
      <c r="K12" s="3"/>
      <c r="L12" s="3"/>
      <c r="M12" s="3">
        <f t="shared" si="2"/>
        <v>0.46301625898357801</v>
      </c>
      <c r="N12" s="3"/>
      <c r="P12" s="16"/>
    </row>
    <row r="13" spans="1:16" ht="15" customHeight="1" x14ac:dyDescent="0.25">
      <c r="A13" s="3">
        <v>2035</v>
      </c>
      <c r="B13" s="3">
        <v>1484.6555286703988</v>
      </c>
      <c r="C13" s="3">
        <f>B13*Data!H12</f>
        <v>33.778888068259164</v>
      </c>
      <c r="D13" s="3">
        <f>C13*Data!L12</f>
        <v>392722604.25053811</v>
      </c>
      <c r="E13" s="8">
        <f t="shared" si="0"/>
        <v>0.39272260425053812</v>
      </c>
      <c r="F13" s="8"/>
      <c r="G13" s="3">
        <v>2035</v>
      </c>
      <c r="H13" s="15">
        <v>19167.725430700495</v>
      </c>
      <c r="I13" s="8">
        <f t="shared" si="1"/>
        <v>26511784.240775865</v>
      </c>
      <c r="J13" s="3"/>
      <c r="K13" s="3"/>
      <c r="L13" s="3"/>
      <c r="M13" s="3">
        <f t="shared" si="2"/>
        <v>0.419234388491314</v>
      </c>
      <c r="N13" s="3"/>
      <c r="P13" s="16"/>
    </row>
    <row r="14" spans="1:16" ht="15" customHeight="1" x14ac:dyDescent="0.25">
      <c r="A14" s="3">
        <v>2036</v>
      </c>
      <c r="B14" s="3">
        <v>1466.9939125864039</v>
      </c>
      <c r="C14" s="3">
        <f>B14*Data!H13</f>
        <v>31.708198368229759</v>
      </c>
      <c r="D14" s="3">
        <f>C14*Data!L13</f>
        <v>350215788.73156589</v>
      </c>
      <c r="E14" s="8">
        <f t="shared" si="0"/>
        <v>0.35021578873156589</v>
      </c>
      <c r="F14" s="8"/>
      <c r="G14" s="3">
        <v>2036</v>
      </c>
      <c r="H14" s="15">
        <v>22252.504942361928</v>
      </c>
      <c r="I14" s="8">
        <f t="shared" si="1"/>
        <v>30778488.140475087</v>
      </c>
      <c r="J14" s="3"/>
      <c r="K14" s="3"/>
      <c r="L14" s="3"/>
      <c r="M14" s="3">
        <f t="shared" si="2"/>
        <v>0.38099427687204096</v>
      </c>
      <c r="N14" s="3"/>
      <c r="P14" s="16"/>
    </row>
    <row r="15" spans="1:16" ht="15" customHeight="1" x14ac:dyDescent="0.25">
      <c r="A15" s="3">
        <v>2037</v>
      </c>
      <c r="B15" s="3">
        <v>1449.3322965023981</v>
      </c>
      <c r="C15" s="3">
        <f>B15*Data!H14</f>
        <v>29.760130418032414</v>
      </c>
      <c r="D15" s="3">
        <f>C15*Data!L14</f>
        <v>312264482.98213404</v>
      </c>
      <c r="E15" s="8">
        <f t="shared" si="0"/>
        <v>0.31226448298213405</v>
      </c>
      <c r="F15" s="8"/>
      <c r="G15" s="3">
        <v>2037</v>
      </c>
      <c r="H15" s="15">
        <v>25666.843137018936</v>
      </c>
      <c r="I15" s="8">
        <f t="shared" si="1"/>
        <v>35501020.18367739</v>
      </c>
      <c r="J15" s="3"/>
      <c r="K15" s="3"/>
      <c r="L15" s="3"/>
      <c r="M15" s="3">
        <f t="shared" si="2"/>
        <v>0.34776550316581145</v>
      </c>
      <c r="N15" s="3"/>
      <c r="P15" s="16"/>
    </row>
    <row r="16" spans="1:16" ht="15" customHeight="1" x14ac:dyDescent="0.25">
      <c r="A16" s="3">
        <v>2038</v>
      </c>
      <c r="B16" s="3">
        <v>1431.6706804183996</v>
      </c>
      <c r="C16" s="3">
        <f>B16*Data!H15</f>
        <v>27.927598766934373</v>
      </c>
      <c r="D16" s="3">
        <f>C16*Data!L15</f>
        <v>278384443.01221341</v>
      </c>
      <c r="E16" s="8">
        <f t="shared" si="0"/>
        <v>0.27838444301221343</v>
      </c>
      <c r="F16" s="8"/>
      <c r="G16" s="3">
        <v>2038</v>
      </c>
      <c r="H16" s="15">
        <v>29412.562840112132</v>
      </c>
      <c r="I16" s="8">
        <f t="shared" si="1"/>
        <v>40681901.606142588</v>
      </c>
      <c r="J16" s="3"/>
      <c r="K16" s="3"/>
      <c r="L16" s="3"/>
      <c r="M16" s="3">
        <f t="shared" si="2"/>
        <v>0.31906634461835603</v>
      </c>
      <c r="N16" s="3"/>
      <c r="P16" s="16"/>
    </row>
    <row r="17" spans="1:16" ht="15" customHeight="1" x14ac:dyDescent="0.25">
      <c r="A17" s="3">
        <v>2039</v>
      </c>
      <c r="B17" s="3">
        <v>1414.0090643343974</v>
      </c>
      <c r="C17" s="3">
        <f>B17*Data!H16</f>
        <v>26.203919954900993</v>
      </c>
      <c r="D17" s="3">
        <f>C17*Data!L16</f>
        <v>248142546.59507787</v>
      </c>
      <c r="E17" s="8">
        <f t="shared" si="0"/>
        <v>0.24814254659507787</v>
      </c>
      <c r="F17" s="8"/>
      <c r="G17" s="3">
        <v>2039</v>
      </c>
      <c r="H17" s="15">
        <v>33484.324151610577</v>
      </c>
      <c r="I17" s="8">
        <f t="shared" si="1"/>
        <v>46313746.540517785</v>
      </c>
      <c r="J17" s="3"/>
      <c r="K17" s="3"/>
      <c r="L17" s="3"/>
      <c r="M17" s="3">
        <f t="shared" si="2"/>
        <v>0.29445629313559563</v>
      </c>
      <c r="N17" s="3"/>
      <c r="P17" s="16"/>
    </row>
    <row r="18" spans="1:16" ht="15" customHeight="1" x14ac:dyDescent="0.25">
      <c r="A18" s="3">
        <v>2040</v>
      </c>
      <c r="B18" s="3">
        <v>1396.3474482504025</v>
      </c>
      <c r="C18" s="3">
        <f>B18*Data!H17</f>
        <v>24.582790027153735</v>
      </c>
      <c r="D18" s="3">
        <f>C18*Data!L17</f>
        <v>221151427.86789986</v>
      </c>
      <c r="E18" s="8">
        <f t="shared" si="0"/>
        <v>0.22115142786789987</v>
      </c>
      <c r="F18" s="8"/>
      <c r="G18" s="3">
        <v>2040</v>
      </c>
      <c r="H18" s="15">
        <v>37868.631901710054</v>
      </c>
      <c r="I18" s="8">
        <f t="shared" si="1"/>
        <v>52377889.181544282</v>
      </c>
      <c r="J18" s="3"/>
      <c r="K18" s="3"/>
      <c r="L18" s="3"/>
      <c r="M18" s="3">
        <f t="shared" si="2"/>
        <v>0.27352931704944417</v>
      </c>
      <c r="N18" s="3"/>
      <c r="P18" s="16"/>
    </row>
    <row r="19" spans="1:16" ht="15" customHeight="1" x14ac:dyDescent="0.25">
      <c r="A19" s="3">
        <v>2041</v>
      </c>
      <c r="B19" s="3">
        <v>1378.6858321664004</v>
      </c>
      <c r="C19" s="3">
        <f>B19*Data!H18</f>
        <v>23.058263292293834</v>
      </c>
      <c r="D19" s="3">
        <f>C19*Data!L18</f>
        <v>197064672.20895121</v>
      </c>
      <c r="E19" s="8">
        <f t="shared" si="0"/>
        <v>0.19706467220895121</v>
      </c>
      <c r="F19" s="8"/>
      <c r="G19" s="3">
        <v>2041</v>
      </c>
      <c r="H19" s="15">
        <v>42542.989192911096</v>
      </c>
      <c r="I19" s="8">
        <f t="shared" si="1"/>
        <v>58843213.010219894</v>
      </c>
      <c r="J19" s="3"/>
      <c r="K19" s="3"/>
      <c r="L19" s="3"/>
      <c r="M19" s="3">
        <f t="shared" si="2"/>
        <v>0.25590788521917113</v>
      </c>
      <c r="N19" s="3"/>
      <c r="P19" s="16"/>
    </row>
    <row r="20" spans="1:16" ht="15" customHeight="1" x14ac:dyDescent="0.25">
      <c r="A20" s="3">
        <v>2042</v>
      </c>
      <c r="B20" s="3">
        <v>1361.0242160823982</v>
      </c>
      <c r="C20" s="3">
        <f>B20*Data!H19</f>
        <v>21.624732255852035</v>
      </c>
      <c r="D20" s="3">
        <f>C20*Data!L19</f>
        <v>175572513.14232826</v>
      </c>
      <c r="E20" s="8">
        <f t="shared" si="0"/>
        <v>0.17557251314232827</v>
      </c>
      <c r="F20" s="8"/>
      <c r="G20" s="3">
        <v>2042</v>
      </c>
      <c r="H20" s="15">
        <v>47475.258629659642</v>
      </c>
      <c r="I20" s="8">
        <f t="shared" si="1"/>
        <v>65665267.280415677</v>
      </c>
      <c r="J20" s="3"/>
      <c r="K20" s="3"/>
      <c r="L20" s="3"/>
      <c r="M20" s="3">
        <f t="shared" si="2"/>
        <v>0.24123778042274396</v>
      </c>
      <c r="N20" s="3"/>
      <c r="P20" s="16"/>
    </row>
    <row r="21" spans="1:16" ht="15" customHeight="1" x14ac:dyDescent="0.25">
      <c r="A21" s="3">
        <v>2043</v>
      </c>
      <c r="B21" s="3">
        <v>1343.3625999984033</v>
      </c>
      <c r="C21" s="3">
        <f>B21*Data!H20</f>
        <v>20.276908664823793</v>
      </c>
      <c r="D21" s="3">
        <f>C21*Data!L20</f>
        <v>156397979.05351132</v>
      </c>
      <c r="E21" s="8">
        <f t="shared" si="0"/>
        <v>0.15639797905351133</v>
      </c>
      <c r="F21" s="8"/>
      <c r="G21" s="3">
        <v>2043</v>
      </c>
      <c r="H21" s="15">
        <v>52623.291846991837</v>
      </c>
      <c r="I21" s="8">
        <f t="shared" si="1"/>
        <v>72785754.602487594</v>
      </c>
      <c r="J21" s="3"/>
      <c r="K21" s="3"/>
      <c r="L21" s="3"/>
      <c r="M21" s="3">
        <f t="shared" si="2"/>
        <v>0.22918373365599892</v>
      </c>
      <c r="N21" s="3"/>
      <c r="P21" s="16"/>
    </row>
    <row r="22" spans="1:16" ht="15" customHeight="1" x14ac:dyDescent="0.25">
      <c r="A22" s="3">
        <v>2044</v>
      </c>
      <c r="B22" s="3">
        <v>1325.7009839143975</v>
      </c>
      <c r="C22" s="3">
        <f>B22*Data!H21</f>
        <v>19.009805602258588</v>
      </c>
      <c r="D22" s="3">
        <f>C22*Data!L21</f>
        <v>139293442.90895325</v>
      </c>
      <c r="E22" s="8">
        <f t="shared" si="0"/>
        <v>0.13929344290895326</v>
      </c>
      <c r="F22" s="8"/>
      <c r="G22" s="3">
        <v>2044</v>
      </c>
      <c r="H22" s="15">
        <v>57934.883163911807</v>
      </c>
      <c r="I22" s="8">
        <f t="shared" si="1"/>
        <v>80132466.839079469</v>
      </c>
      <c r="J22" s="3"/>
      <c r="K22" s="3"/>
      <c r="L22" s="3"/>
      <c r="M22" s="3">
        <f t="shared" si="2"/>
        <v>0.21942590974803272</v>
      </c>
      <c r="N22" s="3"/>
      <c r="P22" s="16"/>
    </row>
    <row r="23" spans="1:16" ht="15" customHeight="1" x14ac:dyDescent="0.25">
      <c r="A23" s="3">
        <v>2045</v>
      </c>
      <c r="B23" s="3">
        <v>1308.0393678304063</v>
      </c>
      <c r="C23" s="3">
        <f>B23*Data!H22</f>
        <v>17.818720574288047</v>
      </c>
      <c r="D23" s="3">
        <f>C23*Data!L22</f>
        <v>124037533.02420801</v>
      </c>
      <c r="E23" s="8">
        <f t="shared" si="0"/>
        <v>0.12403753302420802</v>
      </c>
      <c r="F23" s="8"/>
      <c r="G23" s="3">
        <v>2045</v>
      </c>
      <c r="H23" s="15">
        <v>63348.094317673414</v>
      </c>
      <c r="I23" s="8">
        <f t="shared" si="1"/>
        <v>87619734.260409832</v>
      </c>
      <c r="J23" s="3"/>
      <c r="K23" s="3"/>
      <c r="L23" s="3"/>
      <c r="M23" s="3">
        <f t="shared" si="2"/>
        <v>0.21165726728461787</v>
      </c>
      <c r="N23" s="3"/>
      <c r="P23" s="16"/>
    </row>
    <row r="24" spans="1:16" ht="15" customHeight="1" x14ac:dyDescent="0.25">
      <c r="A24" s="3">
        <v>2046</v>
      </c>
      <c r="B24" s="3">
        <v>1290.3777517463968</v>
      </c>
      <c r="C24" s="3">
        <f>B24*Data!H23</f>
        <v>16.699219535108671</v>
      </c>
      <c r="D24" s="3">
        <f>C24*Data!L23</f>
        <v>110432367.27533321</v>
      </c>
      <c r="E24" s="8">
        <f t="shared" si="0"/>
        <v>0.1104323672753332</v>
      </c>
      <c r="F24" s="8"/>
      <c r="G24" s="3">
        <v>2046</v>
      </c>
      <c r="H24" s="15">
        <v>68791.984253819872</v>
      </c>
      <c r="I24" s="8">
        <f t="shared" si="1"/>
        <v>95149434.95126386</v>
      </c>
      <c r="J24" s="3"/>
      <c r="K24" s="3"/>
      <c r="L24" s="3"/>
      <c r="M24" s="3">
        <f t="shared" si="2"/>
        <v>0.20558180222659705</v>
      </c>
      <c r="N24" s="3"/>
      <c r="P24" s="16"/>
    </row>
    <row r="25" spans="1:16" ht="15" customHeight="1" x14ac:dyDescent="0.25">
      <c r="A25" s="3">
        <v>2047</v>
      </c>
      <c r="B25" s="3">
        <v>1272.7161356623983</v>
      </c>
      <c r="C25" s="3">
        <f>B25*Data!H24</f>
        <v>15.647121798411652</v>
      </c>
      <c r="D25" s="3">
        <f>C25*Data!L24</f>
        <v>98301077.049178511</v>
      </c>
      <c r="E25" s="8">
        <f t="shared" si="0"/>
        <v>9.8301077049178509E-2</v>
      </c>
      <c r="F25" s="8"/>
      <c r="G25" s="3">
        <v>2047</v>
      </c>
      <c r="H25" s="15">
        <v>74187.761129944018</v>
      </c>
      <c r="I25" s="8">
        <f t="shared" si="1"/>
        <v>102612588.20167762</v>
      </c>
      <c r="J25" s="3"/>
      <c r="K25" s="3"/>
      <c r="L25" s="3"/>
      <c r="M25" s="3">
        <f t="shared" si="2"/>
        <v>0.20091366525085613</v>
      </c>
      <c r="N25" s="3"/>
      <c r="P25" s="16"/>
    </row>
    <row r="26" spans="1:16" ht="15" customHeight="1" x14ac:dyDescent="0.25">
      <c r="A26" s="3">
        <v>2048</v>
      </c>
      <c r="B26" s="3">
        <v>1255.0545195784071</v>
      </c>
      <c r="C26" s="3">
        <f>B26*Data!H25</f>
        <v>14.658485786546645</v>
      </c>
      <c r="D26" s="3">
        <f>C26*Data!L25</f>
        <v>87485590.725713328</v>
      </c>
      <c r="E26" s="8">
        <f t="shared" si="0"/>
        <v>8.7485590725713325E-2</v>
      </c>
      <c r="F26" s="8"/>
      <c r="G26" s="3">
        <v>2048</v>
      </c>
      <c r="H26" s="15">
        <v>77620.691415669891</v>
      </c>
      <c r="I26" s="8">
        <f t="shared" si="1"/>
        <v>107360835.84211053</v>
      </c>
      <c r="J26" s="3"/>
      <c r="K26" s="3"/>
      <c r="L26" s="3"/>
      <c r="M26" s="3">
        <f t="shared" si="2"/>
        <v>0.19484642656782386</v>
      </c>
      <c r="N26" s="3"/>
      <c r="P26" s="16"/>
    </row>
    <row r="27" spans="1:16" ht="15" customHeight="1" x14ac:dyDescent="0.25">
      <c r="A27" s="3">
        <v>2049</v>
      </c>
      <c r="B27" s="3">
        <v>1237.392903494394</v>
      </c>
      <c r="C27" s="3">
        <f>B27*Data!H26</f>
        <v>13.729595571371867</v>
      </c>
      <c r="D27" s="3">
        <f>C27*Data!L26</f>
        <v>77844649.62162374</v>
      </c>
      <c r="E27" s="8">
        <f t="shared" si="0"/>
        <v>7.784464962162374E-2</v>
      </c>
      <c r="F27" s="8"/>
      <c r="G27" s="3">
        <v>2049</v>
      </c>
      <c r="H27" s="15">
        <v>80397.617875688346</v>
      </c>
      <c r="I27" s="8">
        <f t="shared" si="1"/>
        <v>111201733.67981604</v>
      </c>
      <c r="J27" s="3"/>
      <c r="K27" s="3"/>
      <c r="L27" s="3"/>
      <c r="M27" s="3">
        <f t="shared" si="2"/>
        <v>0.18904638330143977</v>
      </c>
      <c r="N27" s="3"/>
      <c r="P27" s="16"/>
    </row>
    <row r="28" spans="1:16" ht="15" customHeight="1" x14ac:dyDescent="0.25">
      <c r="A28" s="3">
        <v>2050</v>
      </c>
      <c r="B28" s="3">
        <v>1219.7312874103955</v>
      </c>
      <c r="C28" s="3">
        <f>B28*Data!H27</f>
        <v>12.856948163248356</v>
      </c>
      <c r="D28" s="3">
        <f>C28*Data!L27</f>
        <v>69252032.135996148</v>
      </c>
      <c r="E28" s="8">
        <f t="shared" si="0"/>
        <v>6.925203213599615E-2</v>
      </c>
      <c r="F28" s="8"/>
      <c r="G28" s="3">
        <v>2050</v>
      </c>
      <c r="H28" s="15">
        <v>83123.859555010451</v>
      </c>
      <c r="I28" s="8">
        <f t="shared" si="1"/>
        <v>114972527.00903565</v>
      </c>
      <c r="J28" s="3"/>
      <c r="K28" s="3"/>
      <c r="L28" s="3"/>
      <c r="M28" s="3">
        <f t="shared" si="2"/>
        <v>0.1842245591450318</v>
      </c>
      <c r="N28" s="3"/>
      <c r="P28" s="16"/>
    </row>
    <row r="32" spans="1:16" ht="15" customHeight="1" x14ac:dyDescent="0.25">
      <c r="A32" s="22" t="s">
        <v>45</v>
      </c>
      <c r="B32" s="22"/>
      <c r="C32" s="22"/>
      <c r="D32" s="22"/>
      <c r="E32" s="9">
        <f>1*4.18*(100-18)+1*2260</f>
        <v>2602.7600000000002</v>
      </c>
    </row>
  </sheetData>
  <mergeCells count="4">
    <mergeCell ref="A1:D1"/>
    <mergeCell ref="G1:I1"/>
    <mergeCell ref="A32:D32"/>
    <mergeCell ref="N2:O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Data</vt:lpstr>
      <vt:lpstr>Cost Saving</vt:lpstr>
      <vt:lpstr>Emission Saving</vt:lpstr>
      <vt:lpstr>Land Saving</vt:lpstr>
      <vt:lpstr>Water Saving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2025-08-07T17:21:42Z</dcterms:modified>
</cp:coreProperties>
</file>