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mc:AlternateContent xmlns:mc="http://schemas.openxmlformats.org/markup-compatibility/2006">
    <mc:Choice Requires="x15">
      <x15ac:absPath xmlns:x15ac="http://schemas.microsoft.com/office/spreadsheetml/2010/11/ac" url="https://tud365-my.sharepoint.com/personal/sannejuliesmit_tudelft_nl/Documents/Documenten/Manuscripts/20240820_ToTreatOrNotToTreat/Submission_version1/"/>
    </mc:Choice>
  </mc:AlternateContent>
  <xr:revisionPtr revIDLastSave="334" documentId="8_{4366ABEC-6451-4415-B32F-3EE411DDE26B}" xr6:coauthVersionLast="47" xr6:coauthVersionMax="47" xr10:uidLastSave="{73004173-79EE-40AA-8E15-07700E5E8CC9}"/>
  <bookViews>
    <workbookView xWindow="-108" yWindow="-108" windowWidth="23256" windowHeight="14016" xr2:uid="{0505B6B2-A586-4D47-A411-D8A8A8EE1E48}"/>
  </bookViews>
  <sheets>
    <sheet name="Overview Data for models" sheetId="12" r:id="rId1"/>
    <sheet name="InfluentData" sheetId="10" r:id="rId2"/>
    <sheet name="PFOA" sheetId="4" r:id="rId3"/>
    <sheet name="PFNA" sheetId="7" r:id="rId4"/>
    <sheet name="PFOS" sheetId="6" r:id="rId5"/>
    <sheet name="PFHxS" sheetId="9"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6" i="9" l="1"/>
  <c r="C22" i="10" l="1"/>
  <c r="B16" i="12"/>
  <c r="G12" i="6" l="1"/>
  <c r="G2" i="4"/>
  <c r="B34" i="12"/>
  <c r="D19" i="12" l="1"/>
  <c r="B15" i="12" l="1"/>
  <c r="B18" i="12" s="1"/>
  <c r="B19" i="12" s="1"/>
  <c r="B24" i="12"/>
  <c r="B23" i="12"/>
  <c r="B25" i="12" s="1"/>
  <c r="B33" i="12" l="1"/>
  <c r="B35" i="12" s="1"/>
  <c r="C45" i="12"/>
  <c r="B45" i="12" l="1"/>
  <c r="C47" i="12"/>
  <c r="B47" i="12" l="1"/>
  <c r="D45" i="12"/>
  <c r="G2" i="9" l="1"/>
  <c r="G2" i="6"/>
  <c r="G4" i="6"/>
  <c r="G2" i="7"/>
  <c r="G2" i="10"/>
  <c r="C19" i="10"/>
  <c r="J8" i="10"/>
  <c r="I5" i="7" l="1"/>
  <c r="G4" i="7" l="1"/>
  <c r="D19" i="10"/>
  <c r="E19" i="10"/>
  <c r="F19" i="10"/>
  <c r="D20" i="10"/>
  <c r="E20" i="10"/>
  <c r="F20" i="10"/>
  <c r="D21" i="10"/>
  <c r="E21" i="10"/>
  <c r="F21" i="10"/>
  <c r="C21" i="10"/>
  <c r="C20" i="10"/>
  <c r="G12" i="9"/>
  <c r="G26" i="9"/>
  <c r="G24" i="9"/>
  <c r="G22" i="9"/>
  <c r="G20" i="9"/>
  <c r="G18" i="9"/>
  <c r="G16" i="9"/>
  <c r="G14" i="9"/>
  <c r="G10" i="9"/>
  <c r="G8" i="9"/>
  <c r="G6" i="9"/>
  <c r="G4" i="9"/>
  <c r="G26" i="7"/>
  <c r="G24" i="7"/>
  <c r="G22" i="7"/>
  <c r="G20" i="7"/>
  <c r="G18" i="7"/>
  <c r="G16" i="7"/>
  <c r="G14" i="7"/>
  <c r="G12" i="7"/>
  <c r="G10" i="7"/>
  <c r="G8" i="7"/>
  <c r="G6" i="7"/>
  <c r="G26" i="6"/>
  <c r="G24" i="6"/>
  <c r="G22" i="6"/>
  <c r="G20" i="6"/>
  <c r="G18" i="6"/>
  <c r="G16" i="6"/>
  <c r="G14" i="6"/>
  <c r="G10" i="6"/>
  <c r="G8" i="6"/>
  <c r="G6" i="6"/>
  <c r="G6" i="4"/>
  <c r="G8" i="4"/>
  <c r="G10" i="4"/>
  <c r="G12" i="4"/>
  <c r="G14" i="4"/>
  <c r="G16" i="4"/>
  <c r="G18" i="4"/>
  <c r="G20" i="4"/>
  <c r="G22" i="4"/>
  <c r="G24" i="4"/>
  <c r="G26" i="4"/>
  <c r="G4" i="4"/>
  <c r="I7" i="9" l="1"/>
  <c r="I8" i="9" s="1"/>
  <c r="I5" i="9"/>
  <c r="I2" i="6"/>
  <c r="I7" i="6"/>
  <c r="I8" i="6" s="1"/>
  <c r="I5" i="6"/>
  <c r="I6" i="6" s="1"/>
  <c r="I7" i="7"/>
  <c r="I8" i="7" s="1"/>
  <c r="I6" i="7"/>
  <c r="I5" i="4"/>
  <c r="I6" i="4" s="1"/>
  <c r="I4" i="4"/>
  <c r="I3" i="4"/>
  <c r="I2" i="4"/>
  <c r="I7" i="4"/>
  <c r="I8" i="4" s="1"/>
  <c r="I2" i="9"/>
  <c r="I4" i="9"/>
  <c r="I3" i="9"/>
  <c r="I3" i="7"/>
  <c r="I4" i="7"/>
  <c r="I2" i="7"/>
  <c r="I3" i="6"/>
  <c r="I4" i="6"/>
  <c r="I9" i="9" l="1"/>
  <c r="L5" i="12" s="1"/>
  <c r="I10" i="9"/>
  <c r="L6" i="12" s="1"/>
  <c r="L4" i="12"/>
  <c r="I9" i="6"/>
  <c r="K5" i="12" s="1"/>
  <c r="I10" i="6"/>
  <c r="K6" i="12" s="1"/>
  <c r="K4" i="12"/>
  <c r="I10" i="7"/>
  <c r="I9" i="7"/>
  <c r="I10" i="4"/>
  <c r="I6" i="12" s="1"/>
  <c r="I9" i="4"/>
  <c r="I5" i="12" s="1"/>
  <c r="I4" i="12"/>
  <c r="J5" i="10"/>
  <c r="J7" i="10"/>
  <c r="L5" i="10" s="1"/>
  <c r="G21" i="10"/>
  <c r="I21" i="10" s="1"/>
  <c r="J21" i="10" s="1"/>
  <c r="G19" i="10"/>
  <c r="G20" i="10"/>
  <c r="B32" i="12" l="1"/>
  <c r="B49" i="12" s="1"/>
  <c r="B50" i="12" s="1"/>
  <c r="B51" i="12" s="1"/>
  <c r="B52" i="12" s="1"/>
  <c r="L10" i="10"/>
  <c r="K10" i="10"/>
  <c r="J10" i="10" s="1"/>
  <c r="J11" i="10" s="1"/>
  <c r="I20" i="10"/>
  <c r="J20" i="10" s="1"/>
  <c r="I19" i="10"/>
  <c r="J19" i="10" s="1"/>
  <c r="K19" i="10" s="1"/>
  <c r="L6" i="10"/>
  <c r="N5" i="10"/>
  <c r="K6" i="10"/>
  <c r="B36" i="12" l="1"/>
  <c r="B37" i="12" s="1"/>
  <c r="J6" i="10"/>
  <c r="J12" i="10" s="1"/>
  <c r="G22" i="10"/>
  <c r="G23" i="10" s="1"/>
  <c r="L19" i="10"/>
  <c r="E22" i="10"/>
  <c r="E23" i="10" s="1"/>
  <c r="D22" i="10"/>
  <c r="D23" i="10" s="1"/>
  <c r="F22" i="10"/>
  <c r="F23" i="10" s="1"/>
  <c r="C23" i="10"/>
  <c r="L20" i="10" l="1"/>
  <c r="K20" i="10" s="1"/>
  <c r="M19" i="10"/>
  <c r="Q4" i="12"/>
  <c r="Q5" i="12" s="1"/>
  <c r="B4" i="12"/>
  <c r="N4" i="12"/>
  <c r="N5" i="12" s="1"/>
  <c r="P4" i="12"/>
  <c r="P5" i="12" s="1"/>
  <c r="L21" i="10"/>
  <c r="C4" i="12" l="1"/>
  <c r="M20" i="10"/>
  <c r="C5" i="12" s="1"/>
  <c r="B5" i="12"/>
  <c r="K21" i="10"/>
  <c r="M21" i="10"/>
  <c r="B6" i="12"/>
  <c r="C23" i="12" l="1"/>
  <c r="C24" i="12"/>
  <c r="C6" i="12"/>
  <c r="D23" i="12"/>
  <c r="D24" i="12"/>
  <c r="C25" i="12" l="1"/>
  <c r="D25" i="12"/>
  <c r="E23" i="12"/>
  <c r="E24" i="12"/>
  <c r="E25" i="12" l="1"/>
</calcChain>
</file>

<file path=xl/sharedStrings.xml><?xml version="1.0" encoding="utf-8"?>
<sst xmlns="http://schemas.openxmlformats.org/spreadsheetml/2006/main" count="526" uniqueCount="118">
  <si>
    <t>LCA over GAC treatment</t>
  </si>
  <si>
    <t xml:space="preserve">Health-effects of PFAS model </t>
  </si>
  <si>
    <t>Regeneration frequency required to meet 4.4 ng PEQ/L guideline</t>
  </si>
  <si>
    <t>Current drinking water concentrations</t>
  </si>
  <si>
    <t>prospective drinking water concentrations</t>
  </si>
  <si>
    <t>Based on 2024 data</t>
  </si>
  <si>
    <t>time to regeneration (days)</t>
  </si>
  <si>
    <t>regeneration frequency (/year)</t>
  </si>
  <si>
    <t>PFOA</t>
  </si>
  <si>
    <t>PFNA</t>
  </si>
  <si>
    <t>PFOS</t>
  </si>
  <si>
    <t>PFHxS</t>
  </si>
  <si>
    <t>Average</t>
  </si>
  <si>
    <t>Min</t>
  </si>
  <si>
    <t>95 % CI LL</t>
  </si>
  <si>
    <t>removal (avg, relative to current DW)</t>
  </si>
  <si>
    <t>Max</t>
  </si>
  <si>
    <t>95 % CI UL</t>
  </si>
  <si>
    <t>GAC amounts used in 2024</t>
  </si>
  <si>
    <t>GAC density (based on 2022 data)</t>
  </si>
  <si>
    <t>kg/m3</t>
  </si>
  <si>
    <t>Volume per GAC filter</t>
  </si>
  <si>
    <t>m3/filter</t>
  </si>
  <si>
    <t>Number of GAC filters in stage 2</t>
  </si>
  <si>
    <t>New GAC used in 2024</t>
  </si>
  <si>
    <t>kg (per year)</t>
  </si>
  <si>
    <t>% regenerated carbon in 2024</t>
  </si>
  <si>
    <t>Total volume of GAC filters</t>
  </si>
  <si>
    <t>m3</t>
  </si>
  <si>
    <t>Total volume of new GAC entering treatment plant in 2024</t>
  </si>
  <si>
    <t>renewed filters in 2024</t>
  </si>
  <si>
    <t>Regeneration frequency in 2024</t>
  </si>
  <si>
    <t>per year</t>
  </si>
  <si>
    <t>alternative calculation based on nr. of renewed filters</t>
  </si>
  <si>
    <t>Average time until regeneration in 2024</t>
  </si>
  <si>
    <t>days</t>
  </si>
  <si>
    <t>~ same result</t>
  </si>
  <si>
    <t>increased regeneration frequency ('new' scenario)</t>
  </si>
  <si>
    <t>Units: kg (per year)</t>
  </si>
  <si>
    <t>2024 ('old' scenario)</t>
  </si>
  <si>
    <t>average</t>
  </si>
  <si>
    <t>min</t>
  </si>
  <si>
    <t>max</t>
  </si>
  <si>
    <t xml:space="preserve">Virgin GAC </t>
  </si>
  <si>
    <t xml:space="preserve">Regenerated GAC </t>
  </si>
  <si>
    <t>Total GAC</t>
  </si>
  <si>
    <t>Drinking water conc. 2024 (ng PEQ/L; recorded data)</t>
  </si>
  <si>
    <t>*Leiduin 1 and 2 taken independently, not weighed</t>
  </si>
  <si>
    <t>Calculate concentration from known stand time</t>
  </si>
  <si>
    <t>Raw water concentration (ng PEQ/L)</t>
  </si>
  <si>
    <t>stand time * 0.5</t>
  </si>
  <si>
    <t>m</t>
  </si>
  <si>
    <t>breakthrough</t>
  </si>
  <si>
    <t>concentration in drinking water</t>
  </si>
  <si>
    <t>difference with actual concentration</t>
  </si>
  <si>
    <t>Check if assumption to ignore 1st stage is valid (for 2024 data):</t>
  </si>
  <si>
    <t>stage 1</t>
  </si>
  <si>
    <t>stage 2</t>
  </si>
  <si>
    <t>time in stage 1</t>
  </si>
  <si>
    <t>stand time filter (days)</t>
  </si>
  <si>
    <t>influent</t>
  </si>
  <si>
    <t>Influent ng PEQ/L</t>
  </si>
  <si>
    <t>after 1st stage</t>
  </si>
  <si>
    <t>ng PEQ/L</t>
  </si>
  <si>
    <t>after 2nd stage</t>
  </si>
  <si>
    <t xml:space="preserve">Very similar result </t>
  </si>
  <si>
    <t>relative difference:</t>
  </si>
  <si>
    <t>Raw water concentrations, ng/L</t>
  </si>
  <si>
    <t>PEQ_LB</t>
  </si>
  <si>
    <t>slope (m) of regression model</t>
  </si>
  <si>
    <t>Uncertainty analysis over PEQ concentrations</t>
  </si>
  <si>
    <t>&lt;0.5</t>
  </si>
  <si>
    <t>slope average</t>
  </si>
  <si>
    <t>standard error slope</t>
  </si>
  <si>
    <t>standard error influent conc. (2024)</t>
  </si>
  <si>
    <t>tinv influent</t>
  </si>
  <si>
    <t>95% CI influent</t>
  </si>
  <si>
    <t>standard error time to regeneration</t>
  </si>
  <si>
    <t>in 2024</t>
  </si>
  <si>
    <t>&lt;0.50</t>
  </si>
  <si>
    <t>var slope</t>
  </si>
  <si>
    <t>var influent</t>
  </si>
  <si>
    <t>effective degrees of freedom</t>
  </si>
  <si>
    <t>t-value</t>
  </si>
  <si>
    <t>95% CI time to regeneration</t>
  </si>
  <si>
    <t>Removal required:</t>
  </si>
  <si>
    <t>time to regeneration/2</t>
  </si>
  <si>
    <t>time to regeneration</t>
  </si>
  <si>
    <t>regenerations per year</t>
  </si>
  <si>
    <t>AVERAGE 2024</t>
  </si>
  <si>
    <t>MIN 2024</t>
  </si>
  <si>
    <t>MAX 2024</t>
  </si>
  <si>
    <t>breakthrough at prospective regeneration frequency:</t>
  </si>
  <si>
    <t>prospective concentration:</t>
  </si>
  <si>
    <t>Description</t>
  </si>
  <si>
    <t>Date of sample</t>
  </si>
  <si>
    <t>Component</t>
  </si>
  <si>
    <t>Unit</t>
  </si>
  <si>
    <t>Value</t>
  </si>
  <si>
    <t>Weight</t>
  </si>
  <si>
    <t>Concentration</t>
  </si>
  <si>
    <t>Drinkwater Leiduin 2</t>
  </si>
  <si>
    <t>som L-PFOA en B-PFOA, indicatief</t>
  </si>
  <si>
    <t>ng/l</t>
  </si>
  <si>
    <t>avg</t>
  </si>
  <si>
    <t>Drinkwater Leiduin 1</t>
  </si>
  <si>
    <t>std</t>
  </si>
  <si>
    <t>standard error</t>
  </si>
  <si>
    <t>margin of error</t>
  </si>
  <si>
    <t>lower limit</t>
  </si>
  <si>
    <t>upper limit</t>
  </si>
  <si>
    <t>perfluornonaanzuur (PFNA)</t>
  </si>
  <si>
    <t>som L-PFOS en B-PFOS, indicatief</t>
  </si>
  <si>
    <t>&lt;0.20</t>
  </si>
  <si>
    <t>* value below LOQ replaced with LOQ</t>
  </si>
  <si>
    <t>som L-PFHxS en B-PFHxS, indicatief</t>
  </si>
  <si>
    <t>degrees of freedom influent conc.</t>
  </si>
  <si>
    <t>degrees of freedom slope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</si>
</sst>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d/mmm/yyyy"/>
    <numFmt numFmtId="165" formatCode="0.0"/>
    <numFmt numFmtId="166" formatCode="0.0000"/>
    <numFmt numFmtId="167" formatCode="0.0%"/>
    <numFmt numFmtId="168" formatCode="0.0000000"/>
    <numFmt numFmtId="169" formatCode="0.00000"/>
  </numFmts>
  <fonts count="7" x14ac:knownFonts="1">
    <font>
      <sz val="9"/>
      <color theme="1"/>
      <name val="Calibri"/>
      <family val="2"/>
    </font>
    <font>
      <b/>
      <sz val="9"/>
      <color theme="1"/>
      <name val="Calibri"/>
      <family val="2"/>
    </font>
    <font>
      <sz val="9"/>
      <color theme="1"/>
      <name val="Calibri"/>
      <family val="2"/>
    </font>
    <font>
      <sz val="9"/>
      <color rgb="FFFF0000"/>
      <name val="Calibri"/>
      <family val="2"/>
    </font>
    <font>
      <sz val="9"/>
      <name val="Calibri"/>
      <family val="2"/>
    </font>
    <font>
      <i/>
      <sz val="9"/>
      <color theme="1"/>
      <name val="Calibri"/>
      <family val="2"/>
    </font>
    <font>
      <b/>
      <sz val="11"/>
      <color theme="1"/>
      <name val="Calibri"/>
      <family val="2"/>
    </font>
  </fonts>
  <fills count="7">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7" tint="0.79998168889431442"/>
        <bgColor indexed="64"/>
      </patternFill>
    </fill>
  </fills>
  <borders count="9">
    <border>
      <left/>
      <right/>
      <top/>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9" fontId="2" fillId="0" borderId="0" applyFont="0" applyFill="0" applyBorder="0" applyAlignment="0" applyProtection="0"/>
  </cellStyleXfs>
  <cellXfs count="56">
    <xf numFmtId="0" fontId="0" fillId="0" borderId="0" xfId="0"/>
    <xf numFmtId="164" fontId="0" fillId="0" borderId="0" xfId="0" applyNumberFormat="1"/>
    <xf numFmtId="0" fontId="1" fillId="0" borderId="0" xfId="0" applyFont="1"/>
    <xf numFmtId="164" fontId="1" fillId="0" borderId="0" xfId="0" applyNumberFormat="1" applyFont="1"/>
    <xf numFmtId="0" fontId="1" fillId="2" borderId="0" xfId="0" applyFont="1" applyFill="1"/>
    <xf numFmtId="0" fontId="0" fillId="3" borderId="0" xfId="0" applyFill="1"/>
    <xf numFmtId="164" fontId="0" fillId="3" borderId="0" xfId="0" applyNumberFormat="1" applyFill="1"/>
    <xf numFmtId="2" fontId="0" fillId="0" borderId="0" xfId="0" applyNumberFormat="1"/>
    <xf numFmtId="0" fontId="4" fillId="3" borderId="0" xfId="0" applyFont="1" applyFill="1"/>
    <xf numFmtId="0" fontId="0" fillId="0" borderId="1" xfId="0" applyBorder="1"/>
    <xf numFmtId="164" fontId="0" fillId="0" borderId="1" xfId="0" applyNumberFormat="1" applyBorder="1"/>
    <xf numFmtId="2" fontId="0" fillId="0" borderId="1" xfId="0" applyNumberFormat="1" applyBorder="1"/>
    <xf numFmtId="0" fontId="0" fillId="5" borderId="0" xfId="0" applyFill="1"/>
    <xf numFmtId="165" fontId="0" fillId="0" borderId="0" xfId="0" applyNumberFormat="1"/>
    <xf numFmtId="165" fontId="0" fillId="0" borderId="1" xfId="0" applyNumberFormat="1" applyBorder="1"/>
    <xf numFmtId="2" fontId="0" fillId="5" borderId="0" xfId="0" applyNumberFormat="1" applyFill="1"/>
    <xf numFmtId="9" fontId="0" fillId="5" borderId="0" xfId="1" applyFont="1" applyFill="1"/>
    <xf numFmtId="9" fontId="0" fillId="5" borderId="0" xfId="0" applyNumberFormat="1" applyFill="1"/>
    <xf numFmtId="165" fontId="0" fillId="5" borderId="0" xfId="0" applyNumberFormat="1" applyFill="1"/>
    <xf numFmtId="0" fontId="0" fillId="5" borderId="2" xfId="0" applyFill="1" applyBorder="1"/>
    <xf numFmtId="2" fontId="0" fillId="5" borderId="2" xfId="0" applyNumberFormat="1" applyFill="1" applyBorder="1"/>
    <xf numFmtId="22" fontId="0" fillId="0" borderId="0" xfId="0" applyNumberFormat="1"/>
    <xf numFmtId="11" fontId="0" fillId="0" borderId="0" xfId="0" applyNumberFormat="1"/>
    <xf numFmtId="166" fontId="0" fillId="0" borderId="0" xfId="0" applyNumberFormat="1"/>
    <xf numFmtId="9" fontId="0" fillId="0" borderId="0" xfId="1" applyFont="1" applyFill="1"/>
    <xf numFmtId="0" fontId="0" fillId="0" borderId="2" xfId="0" applyBorder="1"/>
    <xf numFmtId="0" fontId="6" fillId="0" borderId="2" xfId="0" applyFont="1" applyBorder="1"/>
    <xf numFmtId="0" fontId="0" fillId="0" borderId="4" xfId="0" applyBorder="1"/>
    <xf numFmtId="0" fontId="0" fillId="0" borderId="5" xfId="0" applyBorder="1"/>
    <xf numFmtId="0" fontId="0" fillId="0" borderId="6" xfId="0" applyBorder="1"/>
    <xf numFmtId="0" fontId="1" fillId="0" borderId="5" xfId="0" applyFont="1" applyBorder="1"/>
    <xf numFmtId="2" fontId="0" fillId="0" borderId="6" xfId="0" applyNumberFormat="1" applyBorder="1"/>
    <xf numFmtId="9" fontId="0" fillId="0" borderId="0" xfId="1" applyFont="1" applyFill="1" applyBorder="1"/>
    <xf numFmtId="9" fontId="0" fillId="0" borderId="6" xfId="1" applyFont="1" applyBorder="1"/>
    <xf numFmtId="0" fontId="0" fillId="0" borderId="7" xfId="0" applyBorder="1"/>
    <xf numFmtId="0" fontId="0" fillId="0" borderId="8" xfId="0" applyBorder="1"/>
    <xf numFmtId="167" fontId="0" fillId="5" borderId="0" xfId="1" applyNumberFormat="1" applyFont="1" applyFill="1"/>
    <xf numFmtId="0" fontId="6" fillId="0" borderId="3" xfId="0" applyFont="1" applyBorder="1"/>
    <xf numFmtId="0" fontId="1" fillId="0" borderId="0" xfId="0" applyFont="1" applyAlignment="1">
      <alignment wrapText="1"/>
    </xf>
    <xf numFmtId="1" fontId="0" fillId="0" borderId="0" xfId="0" applyNumberFormat="1"/>
    <xf numFmtId="167" fontId="0" fillId="0" borderId="0" xfId="1" applyNumberFormat="1" applyFont="1" applyFill="1" applyBorder="1"/>
    <xf numFmtId="10" fontId="0" fillId="0" borderId="0" xfId="0" applyNumberFormat="1"/>
    <xf numFmtId="168" fontId="0" fillId="0" borderId="0" xfId="0" applyNumberFormat="1"/>
    <xf numFmtId="9" fontId="0" fillId="0" borderId="0" xfId="0" applyNumberFormat="1"/>
    <xf numFmtId="169" fontId="0" fillId="0" borderId="0" xfId="0" applyNumberFormat="1"/>
    <xf numFmtId="9" fontId="0" fillId="4" borderId="0" xfId="1" applyFont="1" applyFill="1" applyBorder="1"/>
    <xf numFmtId="0" fontId="5" fillId="0" borderId="0" xfId="0" applyFont="1"/>
    <xf numFmtId="167" fontId="0" fillId="0" borderId="1" xfId="1" applyNumberFormat="1" applyFont="1" applyFill="1" applyBorder="1"/>
    <xf numFmtId="2" fontId="0" fillId="3" borderId="0" xfId="0" applyNumberFormat="1" applyFill="1"/>
    <xf numFmtId="2" fontId="4" fillId="3" borderId="0" xfId="0" applyNumberFormat="1" applyFont="1" applyFill="1"/>
    <xf numFmtId="2" fontId="3" fillId="3" borderId="0" xfId="0" applyNumberFormat="1" applyFont="1" applyFill="1"/>
    <xf numFmtId="0" fontId="1" fillId="6" borderId="0" xfId="0" applyFont="1" applyFill="1"/>
    <xf numFmtId="3" fontId="0" fillId="6" borderId="0" xfId="0" applyNumberFormat="1" applyFill="1"/>
    <xf numFmtId="0" fontId="1" fillId="5" borderId="0" xfId="0" applyFont="1" applyFill="1"/>
    <xf numFmtId="3" fontId="0" fillId="5" borderId="0" xfId="0" applyNumberFormat="1" applyFill="1"/>
    <xf numFmtId="0" fontId="3" fillId="0" borderId="0" xfId="0" applyFont="1"/>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190500</xdr:colOff>
      <xdr:row>29</xdr:row>
      <xdr:rowOff>76200</xdr:rowOff>
    </xdr:from>
    <xdr:to>
      <xdr:col>5</xdr:col>
      <xdr:colOff>409574</xdr:colOff>
      <xdr:row>39</xdr:row>
      <xdr:rowOff>76200</xdr:rowOff>
    </xdr:to>
    <xdr:sp macro="" textlink="">
      <xdr:nvSpPr>
        <xdr:cNvPr id="3" name="TextBox 2">
          <a:extLst>
            <a:ext uri="{FF2B5EF4-FFF2-40B4-BE49-F238E27FC236}">
              <a16:creationId xmlns:a16="http://schemas.microsoft.com/office/drawing/2014/main" id="{371B37B0-7DB4-46FA-91E5-686665EA918C}"/>
            </a:ext>
          </a:extLst>
        </xdr:cNvPr>
        <xdr:cNvSpPr txBox="1"/>
      </xdr:nvSpPr>
      <xdr:spPr>
        <a:xfrm>
          <a:off x="2562225" y="5295900"/>
          <a:ext cx="2724149" cy="1524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kern="1200"/>
            <a:t>To check the</a:t>
          </a:r>
          <a:r>
            <a:rPr lang="nl-NL" sz="1100" kern="1200" baseline="0"/>
            <a:t> calculation method, the known operational time of the filters in 2024 and the known raw water PEQ concentration in 2024 were used to calculate the drinking water PEQ concentration in 2024. The calculated drinking water concentration was sufficiently close (8.7 %) to the measured drinking water concentration in 2024.</a:t>
          </a:r>
          <a:endParaRPr lang="nl-NL" sz="1100" kern="12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EAA5C1-C87F-4F07-BC83-28FD048F7019}">
  <dimension ref="A1:Q52"/>
  <sheetViews>
    <sheetView tabSelected="1" topLeftCell="A3" workbookViewId="0">
      <selection activeCell="M19" sqref="M19"/>
    </sheetView>
  </sheetViews>
  <sheetFormatPr defaultRowHeight="12" x14ac:dyDescent="0.25"/>
  <cols>
    <col min="1" max="1" width="33.28515625" customWidth="1"/>
    <col min="2" max="3" width="22.42578125" customWidth="1"/>
    <col min="4" max="4" width="11.28515625" customWidth="1"/>
    <col min="5" max="5" width="13.140625" customWidth="1"/>
    <col min="6" max="6" width="9.42578125" customWidth="1"/>
    <col min="7" max="7" width="20.28515625" customWidth="1"/>
    <col min="8" max="8" width="19.85546875" customWidth="1"/>
    <col min="17" max="17" width="10.7109375" customWidth="1"/>
  </cols>
  <sheetData>
    <row r="1" spans="1:17" ht="14.4" x14ac:dyDescent="0.3">
      <c r="A1" s="37" t="s">
        <v>0</v>
      </c>
      <c r="B1" s="25"/>
      <c r="C1" s="25"/>
      <c r="D1" s="25"/>
      <c r="E1" s="25"/>
      <c r="F1" s="25"/>
      <c r="G1" s="27"/>
      <c r="H1" s="25"/>
      <c r="I1" s="26" t="s">
        <v>1</v>
      </c>
      <c r="J1" s="25"/>
      <c r="K1" s="25"/>
      <c r="L1" s="25"/>
      <c r="M1" s="25"/>
      <c r="N1" s="25"/>
      <c r="O1" s="25"/>
      <c r="P1" s="25"/>
      <c r="Q1" s="27"/>
    </row>
    <row r="2" spans="1:17" x14ac:dyDescent="0.25">
      <c r="A2" s="30" t="s">
        <v>2</v>
      </c>
      <c r="G2" s="29"/>
      <c r="I2" s="2" t="s">
        <v>3</v>
      </c>
      <c r="J2" s="2"/>
      <c r="K2" s="2"/>
      <c r="L2" s="2"/>
      <c r="M2" s="2"/>
      <c r="N2" s="2" t="s">
        <v>4</v>
      </c>
      <c r="O2" s="2"/>
      <c r="Q2" s="29"/>
    </row>
    <row r="3" spans="1:17" ht="25.95" customHeight="1" x14ac:dyDescent="0.25">
      <c r="A3" s="30" t="s">
        <v>5</v>
      </c>
      <c r="B3" s="38" t="s">
        <v>6</v>
      </c>
      <c r="C3" s="38" t="s">
        <v>7</v>
      </c>
      <c r="G3" s="29"/>
      <c r="H3" s="2" t="s">
        <v>5</v>
      </c>
      <c r="I3" t="s">
        <v>8</v>
      </c>
      <c r="J3" t="s">
        <v>9</v>
      </c>
      <c r="K3" t="s">
        <v>10</v>
      </c>
      <c r="L3" t="s">
        <v>11</v>
      </c>
      <c r="N3" t="s">
        <v>8</v>
      </c>
      <c r="O3" t="s">
        <v>9</v>
      </c>
      <c r="P3" t="s">
        <v>10</v>
      </c>
      <c r="Q3" s="29" t="s">
        <v>11</v>
      </c>
    </row>
    <row r="4" spans="1:17" x14ac:dyDescent="0.25">
      <c r="A4" s="28" t="s">
        <v>12</v>
      </c>
      <c r="B4" s="39">
        <f>InfluentData!L19</f>
        <v>199.06342038044571</v>
      </c>
      <c r="C4" s="7">
        <f>InfluentData!M19</f>
        <v>1.8335864987269881</v>
      </c>
      <c r="G4" s="29"/>
      <c r="H4" t="s">
        <v>12</v>
      </c>
      <c r="I4" s="7">
        <f>PFOA!I2</f>
        <v>5.5038461538461538</v>
      </c>
      <c r="J4" s="7"/>
      <c r="K4" s="7">
        <f>PFOS!I2</f>
        <v>0.9687692307692306</v>
      </c>
      <c r="L4" s="7">
        <f>PFHxS!I2</f>
        <v>1.3832307692307688</v>
      </c>
      <c r="N4" s="7">
        <f>InfluentData!C23</f>
        <v>1.8972851380333569</v>
      </c>
      <c r="O4" s="7"/>
      <c r="P4" s="7">
        <f>InfluentData!E23</f>
        <v>0.28496366566985637</v>
      </c>
      <c r="Q4" s="31">
        <f>InfluentData!F23</f>
        <v>0.39593714313670647</v>
      </c>
    </row>
    <row r="5" spans="1:17" x14ac:dyDescent="0.25">
      <c r="A5" s="28" t="s">
        <v>13</v>
      </c>
      <c r="B5" s="39">
        <f>InfluentData!L20</f>
        <v>224.70508857157705</v>
      </c>
      <c r="C5" s="7">
        <f>InfluentData!M20</f>
        <v>1.6243512878157795</v>
      </c>
      <c r="G5" s="29"/>
      <c r="H5" t="s">
        <v>14</v>
      </c>
      <c r="I5" s="7">
        <f>PFOA!I9</f>
        <v>4.9432377633426068</v>
      </c>
      <c r="J5" s="7"/>
      <c r="K5" s="7">
        <f>PFOS!I9</f>
        <v>0.77373994550258951</v>
      </c>
      <c r="L5" s="7">
        <f>PFHxS!I9</f>
        <v>1.2173572796520657</v>
      </c>
      <c r="M5" t="s">
        <v>15</v>
      </c>
      <c r="N5" s="32">
        <f>1-N4/I4</f>
        <v>0.65528012865920837</v>
      </c>
      <c r="O5" s="32"/>
      <c r="P5" s="32">
        <f t="shared" ref="P5:Q5" si="0">1-P4/K4</f>
        <v>0.7058497972281933</v>
      </c>
      <c r="Q5" s="33">
        <f t="shared" si="0"/>
        <v>0.71375915577926896</v>
      </c>
    </row>
    <row r="6" spans="1:17" x14ac:dyDescent="0.25">
      <c r="A6" s="28" t="s">
        <v>16</v>
      </c>
      <c r="B6" s="39">
        <f>InfluentData!L21</f>
        <v>173.42175218931436</v>
      </c>
      <c r="C6" s="7">
        <f>InfluentData!M21</f>
        <v>2.1046956070513629</v>
      </c>
      <c r="G6" s="29"/>
      <c r="H6" s="9" t="s">
        <v>17</v>
      </c>
      <c r="I6" s="11">
        <f>PFOA!I10</f>
        <v>6.0644545443497009</v>
      </c>
      <c r="J6" s="11"/>
      <c r="K6" s="11">
        <f>PFOS!I10</f>
        <v>1.1637985160358717</v>
      </c>
      <c r="L6" s="11">
        <f>PFHxS!I10</f>
        <v>1.5491042588094719</v>
      </c>
      <c r="M6" s="9"/>
      <c r="N6" s="9"/>
      <c r="O6" s="9"/>
      <c r="P6" s="9"/>
      <c r="Q6" s="35"/>
    </row>
    <row r="7" spans="1:17" x14ac:dyDescent="0.25">
      <c r="A7" s="28"/>
      <c r="B7" s="7"/>
      <c r="C7" s="7"/>
      <c r="G7" s="29"/>
    </row>
    <row r="8" spans="1:17" x14ac:dyDescent="0.25">
      <c r="A8" s="28"/>
      <c r="G8" s="29"/>
    </row>
    <row r="9" spans="1:17" x14ac:dyDescent="0.25">
      <c r="A9" s="30" t="s">
        <v>18</v>
      </c>
      <c r="G9" s="29"/>
    </row>
    <row r="10" spans="1:17" x14ac:dyDescent="0.25">
      <c r="A10" s="28" t="s">
        <v>19</v>
      </c>
      <c r="B10">
        <v>376.5</v>
      </c>
      <c r="C10" t="s">
        <v>20</v>
      </c>
      <c r="G10" s="29"/>
    </row>
    <row r="11" spans="1:17" x14ac:dyDescent="0.25">
      <c r="A11" s="28" t="s">
        <v>21</v>
      </c>
      <c r="B11">
        <v>145</v>
      </c>
      <c r="C11" t="s">
        <v>22</v>
      </c>
      <c r="G11" s="29"/>
    </row>
    <row r="12" spans="1:17" x14ac:dyDescent="0.25">
      <c r="A12" s="28" t="s">
        <v>23</v>
      </c>
      <c r="B12">
        <v>20</v>
      </c>
      <c r="G12" s="29"/>
    </row>
    <row r="13" spans="1:17" x14ac:dyDescent="0.25">
      <c r="A13" s="28" t="s">
        <v>24</v>
      </c>
      <c r="B13">
        <v>930920</v>
      </c>
      <c r="C13" t="s">
        <v>25</v>
      </c>
      <c r="G13" s="29"/>
    </row>
    <row r="14" spans="1:17" ht="13.95" customHeight="1" x14ac:dyDescent="0.25">
      <c r="A14" s="28" t="s">
        <v>26</v>
      </c>
      <c r="B14" s="40">
        <v>0.875</v>
      </c>
      <c r="G14" s="29"/>
    </row>
    <row r="15" spans="1:17" x14ac:dyDescent="0.25">
      <c r="A15" s="28" t="s">
        <v>27</v>
      </c>
      <c r="B15">
        <f>B11*B12</f>
        <v>2900</v>
      </c>
      <c r="C15" t="s">
        <v>28</v>
      </c>
      <c r="G15" s="29"/>
    </row>
    <row r="16" spans="1:17" x14ac:dyDescent="0.25">
      <c r="A16" s="28" t="s">
        <v>29</v>
      </c>
      <c r="B16" s="39">
        <f>B13/B10</f>
        <v>2472.5630810092962</v>
      </c>
      <c r="C16" t="s">
        <v>28</v>
      </c>
      <c r="G16" s="29"/>
    </row>
    <row r="17" spans="1:7" x14ac:dyDescent="0.25">
      <c r="A17" s="28" t="s">
        <v>30</v>
      </c>
      <c r="B17">
        <v>17</v>
      </c>
      <c r="G17" s="29"/>
    </row>
    <row r="18" spans="1:7" x14ac:dyDescent="0.25">
      <c r="A18" s="28" t="s">
        <v>31</v>
      </c>
      <c r="B18" s="7">
        <f>B16/B15</f>
        <v>0.85260795896872277</v>
      </c>
      <c r="C18" t="s">
        <v>32</v>
      </c>
      <c r="D18" t="s">
        <v>33</v>
      </c>
      <c r="G18" s="29"/>
    </row>
    <row r="19" spans="1:7" x14ac:dyDescent="0.25">
      <c r="A19" s="28" t="s">
        <v>34</v>
      </c>
      <c r="B19" s="39">
        <f>365/B18</f>
        <v>428.09827912172904</v>
      </c>
      <c r="C19" t="s">
        <v>35</v>
      </c>
      <c r="D19" s="39">
        <f>B12/B17*365</f>
        <v>429.41176470588238</v>
      </c>
      <c r="E19" t="s">
        <v>35</v>
      </c>
      <c r="F19" s="46" t="s">
        <v>36</v>
      </c>
      <c r="G19" s="29"/>
    </row>
    <row r="20" spans="1:7" x14ac:dyDescent="0.25">
      <c r="A20" s="28"/>
      <c r="G20" s="29"/>
    </row>
    <row r="21" spans="1:7" x14ac:dyDescent="0.25">
      <c r="A21" s="28"/>
      <c r="B21" s="2"/>
      <c r="C21" s="53" t="s">
        <v>37</v>
      </c>
      <c r="D21" s="53"/>
      <c r="E21" s="53"/>
      <c r="G21" s="29"/>
    </row>
    <row r="22" spans="1:7" x14ac:dyDescent="0.25">
      <c r="A22" s="28" t="s">
        <v>38</v>
      </c>
      <c r="B22" s="51" t="s">
        <v>39</v>
      </c>
      <c r="C22" s="53" t="s">
        <v>40</v>
      </c>
      <c r="D22" s="53" t="s">
        <v>41</v>
      </c>
      <c r="E22" s="53" t="s">
        <v>42</v>
      </c>
      <c r="G22" s="29"/>
    </row>
    <row r="23" spans="1:7" x14ac:dyDescent="0.25">
      <c r="A23" s="30" t="s">
        <v>43</v>
      </c>
      <c r="B23" s="52">
        <f>B13*(1-B14)</f>
        <v>116365</v>
      </c>
      <c r="C23" s="54">
        <f>$B23*C4/$B$18</f>
        <v>250250.17732938274</v>
      </c>
      <c r="D23" s="54">
        <f>$B23*C5/$B$18</f>
        <v>221693.49420020738</v>
      </c>
      <c r="E23" s="54">
        <f>$B23*C6/$B$18</f>
        <v>287251.48731987883</v>
      </c>
      <c r="G23" s="29"/>
    </row>
    <row r="24" spans="1:7" x14ac:dyDescent="0.25">
      <c r="A24" s="30" t="s">
        <v>44</v>
      </c>
      <c r="B24" s="52">
        <f>B14*B13</f>
        <v>814555</v>
      </c>
      <c r="C24" s="54">
        <f>$B24*C4/$B$18</f>
        <v>1751751.2413056793</v>
      </c>
      <c r="D24" s="54">
        <f>$B24*C5/$B$18</f>
        <v>1551854.4594014515</v>
      </c>
      <c r="E24" s="54">
        <f>$B24*C6/$B$18</f>
        <v>2010760.4112391518</v>
      </c>
      <c r="G24" s="29"/>
    </row>
    <row r="25" spans="1:7" x14ac:dyDescent="0.25">
      <c r="A25" s="30" t="s">
        <v>45</v>
      </c>
      <c r="B25" s="52">
        <f>SUM(B23:B24)</f>
        <v>930920</v>
      </c>
      <c r="C25" s="54">
        <f t="shared" ref="C25:E25" si="1">SUM(C23:C24)</f>
        <v>2002001.4186350619</v>
      </c>
      <c r="D25" s="54">
        <f t="shared" si="1"/>
        <v>1773547.9536016588</v>
      </c>
      <c r="E25" s="54">
        <f t="shared" si="1"/>
        <v>2298011.8985590306</v>
      </c>
      <c r="G25" s="29"/>
    </row>
    <row r="26" spans="1:7" x14ac:dyDescent="0.25">
      <c r="A26" s="28"/>
      <c r="G26" s="29"/>
    </row>
    <row r="27" spans="1:7" x14ac:dyDescent="0.25">
      <c r="A27" s="28"/>
      <c r="G27" s="29"/>
    </row>
    <row r="28" spans="1:7" x14ac:dyDescent="0.25">
      <c r="A28" s="28" t="s">
        <v>46</v>
      </c>
      <c r="B28" s="12">
        <v>10.364000000000001</v>
      </c>
      <c r="C28" t="s">
        <v>47</v>
      </c>
      <c r="E28" s="2"/>
      <c r="G28" s="29"/>
    </row>
    <row r="29" spans="1:7" x14ac:dyDescent="0.25">
      <c r="A29" s="28"/>
      <c r="B29" s="7"/>
      <c r="G29" s="29"/>
    </row>
    <row r="30" spans="1:7" x14ac:dyDescent="0.25">
      <c r="A30" s="28"/>
      <c r="B30" s="41"/>
      <c r="G30" s="29"/>
    </row>
    <row r="31" spans="1:7" x14ac:dyDescent="0.25">
      <c r="A31" s="30" t="s">
        <v>48</v>
      </c>
      <c r="B31" s="42"/>
      <c r="F31" s="32"/>
      <c r="G31" s="29"/>
    </row>
    <row r="32" spans="1:7" x14ac:dyDescent="0.25">
      <c r="A32" s="28" t="s">
        <v>49</v>
      </c>
      <c r="B32" s="39">
        <f>InfluentData!G19</f>
        <v>21.593544533333329</v>
      </c>
      <c r="F32" s="43"/>
      <c r="G32" s="29"/>
    </row>
    <row r="33" spans="1:7" x14ac:dyDescent="0.25">
      <c r="A33" s="28" t="s">
        <v>50</v>
      </c>
      <c r="B33" s="39">
        <f>B19/2</f>
        <v>214.04913956086452</v>
      </c>
      <c r="G33" s="29"/>
    </row>
    <row r="34" spans="1:7" x14ac:dyDescent="0.25">
      <c r="A34" s="28" t="s">
        <v>51</v>
      </c>
      <c r="B34" s="44">
        <f>InfluentData!J3</f>
        <v>2.0472329999999999E-3</v>
      </c>
      <c r="F34" s="7"/>
      <c r="G34" s="29"/>
    </row>
    <row r="35" spans="1:7" x14ac:dyDescent="0.25">
      <c r="A35" s="28" t="s">
        <v>52</v>
      </c>
      <c r="B35" s="32">
        <f>B34*B33</f>
        <v>0.43820846213060732</v>
      </c>
      <c r="F35" s="13"/>
      <c r="G35" s="29"/>
    </row>
    <row r="36" spans="1:7" x14ac:dyDescent="0.25">
      <c r="A36" s="28" t="s">
        <v>53</v>
      </c>
      <c r="B36" s="15">
        <f>B35*B32</f>
        <v>9.4624739419007806</v>
      </c>
      <c r="F36" s="13"/>
      <c r="G36" s="29"/>
    </row>
    <row r="37" spans="1:7" x14ac:dyDescent="0.25">
      <c r="A37" s="28" t="s">
        <v>54</v>
      </c>
      <c r="B37" s="40">
        <f>(B28-B36)/B28</f>
        <v>8.6986304332228884E-2</v>
      </c>
      <c r="G37" s="29"/>
    </row>
    <row r="38" spans="1:7" x14ac:dyDescent="0.25">
      <c r="A38" s="28"/>
      <c r="G38" s="29"/>
    </row>
    <row r="39" spans="1:7" x14ac:dyDescent="0.25">
      <c r="A39" s="28"/>
      <c r="G39" s="29"/>
    </row>
    <row r="40" spans="1:7" x14ac:dyDescent="0.25">
      <c r="A40" s="28"/>
      <c r="G40" s="29"/>
    </row>
    <row r="41" spans="1:7" x14ac:dyDescent="0.25">
      <c r="A41" s="28"/>
      <c r="G41" s="29"/>
    </row>
    <row r="42" spans="1:7" x14ac:dyDescent="0.25">
      <c r="A42" s="28"/>
      <c r="G42" s="29"/>
    </row>
    <row r="43" spans="1:7" x14ac:dyDescent="0.25">
      <c r="A43" s="30" t="s">
        <v>55</v>
      </c>
      <c r="G43" s="29"/>
    </row>
    <row r="44" spans="1:7" x14ac:dyDescent="0.25">
      <c r="A44" s="30" t="s">
        <v>48</v>
      </c>
      <c r="B44" t="s">
        <v>56</v>
      </c>
      <c r="C44" t="s">
        <v>57</v>
      </c>
      <c r="D44" t="s">
        <v>58</v>
      </c>
      <c r="G44" s="29"/>
    </row>
    <row r="45" spans="1:7" x14ac:dyDescent="0.25">
      <c r="A45" s="28" t="s">
        <v>59</v>
      </c>
      <c r="B45" s="39">
        <f>C45*26/20</f>
        <v>556.5277628582478</v>
      </c>
      <c r="C45" s="39">
        <f>B19</f>
        <v>428.09827912172904</v>
      </c>
      <c r="D45" s="39">
        <f>B45-C45</f>
        <v>128.42948373651876</v>
      </c>
      <c r="G45" s="29"/>
    </row>
    <row r="46" spans="1:7" x14ac:dyDescent="0.25">
      <c r="A46" s="28" t="s">
        <v>51</v>
      </c>
      <c r="B46" s="44">
        <v>2.0472329999999999E-3</v>
      </c>
      <c r="C46" s="44">
        <v>2.0472329999999999E-3</v>
      </c>
      <c r="G46" s="29"/>
    </row>
    <row r="47" spans="1:7" x14ac:dyDescent="0.25">
      <c r="A47" s="28" t="s">
        <v>52</v>
      </c>
      <c r="B47" s="45">
        <f>B45*B46</f>
        <v>1.1393420015395792</v>
      </c>
      <c r="C47" s="32">
        <f>C45*C46</f>
        <v>0.87641692426121465</v>
      </c>
      <c r="D47" s="46"/>
      <c r="G47" s="29"/>
    </row>
    <row r="48" spans="1:7" x14ac:dyDescent="0.25">
      <c r="A48" s="28"/>
      <c r="B48" s="7"/>
      <c r="G48" s="29"/>
    </row>
    <row r="49" spans="1:7" x14ac:dyDescent="0.25">
      <c r="A49" s="28" t="s">
        <v>60</v>
      </c>
      <c r="B49" s="13">
        <f>B32</f>
        <v>21.593544533333329</v>
      </c>
      <c r="C49" t="s">
        <v>61</v>
      </c>
      <c r="G49" s="29"/>
    </row>
    <row r="50" spans="1:7" x14ac:dyDescent="0.25">
      <c r="A50" s="28" t="s">
        <v>62</v>
      </c>
      <c r="B50" s="13">
        <f>(14*B49+6*B49*AVERAGE(B47,C47))/20</f>
        <v>21.644588193244868</v>
      </c>
      <c r="C50" t="s">
        <v>63</v>
      </c>
      <c r="G50" s="29"/>
    </row>
    <row r="51" spans="1:7" x14ac:dyDescent="0.25">
      <c r="A51" s="28" t="s">
        <v>64</v>
      </c>
      <c r="B51" s="15">
        <f>B50*AVERAGE(0,C47)</f>
        <v>9.4848417056121335</v>
      </c>
      <c r="C51" t="s">
        <v>63</v>
      </c>
      <c r="D51" s="46" t="s">
        <v>65</v>
      </c>
      <c r="G51" s="29"/>
    </row>
    <row r="52" spans="1:7" x14ac:dyDescent="0.25">
      <c r="A52" s="34" t="s">
        <v>66</v>
      </c>
      <c r="B52" s="47">
        <f>(B28-B51)/B28</f>
        <v>8.4828087069458435E-2</v>
      </c>
      <c r="C52" s="9"/>
      <c r="D52" s="9"/>
      <c r="E52" s="9"/>
      <c r="F52" s="9"/>
      <c r="G52" s="35"/>
    </row>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18BC31-253E-4507-B150-94FB4D17C432}">
  <dimension ref="A1:N23"/>
  <sheetViews>
    <sheetView workbookViewId="0">
      <selection activeCell="L13" sqref="L13"/>
    </sheetView>
  </sheetViews>
  <sheetFormatPr defaultRowHeight="12" x14ac:dyDescent="0.25"/>
  <cols>
    <col min="2" max="2" width="24.85546875" customWidth="1"/>
    <col min="6" max="6" width="19.28515625" customWidth="1"/>
    <col min="13" max="13" width="21.42578125" customWidth="1"/>
  </cols>
  <sheetData>
    <row r="1" spans="1:14" x14ac:dyDescent="0.25">
      <c r="A1" s="2" t="s">
        <v>67</v>
      </c>
      <c r="C1" t="s">
        <v>8</v>
      </c>
      <c r="D1" t="s">
        <v>9</v>
      </c>
      <c r="E1" t="s">
        <v>10</v>
      </c>
      <c r="F1" t="s">
        <v>11</v>
      </c>
      <c r="G1" t="s">
        <v>68</v>
      </c>
    </row>
    <row r="2" spans="1:14" x14ac:dyDescent="0.25">
      <c r="B2" t="s">
        <v>69</v>
      </c>
      <c r="C2">
        <v>2.3787999999999999E-3</v>
      </c>
      <c r="E2">
        <v>7.1219999999999996E-4</v>
      </c>
      <c r="F2">
        <v>1.755E-3</v>
      </c>
      <c r="G2">
        <f>J3</f>
        <v>2.0472329999999999E-3</v>
      </c>
      <c r="I2" s="2" t="s">
        <v>70</v>
      </c>
    </row>
    <row r="3" spans="1:14" x14ac:dyDescent="0.25">
      <c r="B3" s="1">
        <v>45628.459027777775</v>
      </c>
      <c r="C3">
        <v>7.2</v>
      </c>
      <c r="D3" t="s">
        <v>71</v>
      </c>
      <c r="E3">
        <v>4.2</v>
      </c>
      <c r="F3">
        <v>2</v>
      </c>
      <c r="G3" s="13">
        <v>18.833600000000001</v>
      </c>
      <c r="I3" t="s">
        <v>72</v>
      </c>
      <c r="J3">
        <v>2.0472329999999999E-3</v>
      </c>
    </row>
    <row r="4" spans="1:14" x14ac:dyDescent="0.25">
      <c r="B4" s="1">
        <v>45600.543055555601</v>
      </c>
      <c r="C4">
        <v>7.6</v>
      </c>
      <c r="D4">
        <v>0.5</v>
      </c>
      <c r="E4">
        <v>4.5</v>
      </c>
      <c r="F4">
        <v>2.2000000000000002</v>
      </c>
      <c r="G4" s="13">
        <v>25.252350999999997</v>
      </c>
      <c r="I4" t="s">
        <v>73</v>
      </c>
      <c r="J4" s="22">
        <v>5.3211100000000003E-5</v>
      </c>
    </row>
    <row r="5" spans="1:14" x14ac:dyDescent="0.25">
      <c r="B5" s="1">
        <v>45572.554166666698</v>
      </c>
      <c r="C5">
        <v>7.8</v>
      </c>
      <c r="D5">
        <v>0.74</v>
      </c>
      <c r="E5">
        <v>4.4000000000000004</v>
      </c>
      <c r="F5">
        <v>2.2000000000000002</v>
      </c>
      <c r="G5" s="13">
        <v>28.168322999999997</v>
      </c>
      <c r="I5" t="s">
        <v>74</v>
      </c>
      <c r="J5">
        <f>_xlfn.STDEV.S(G3:G17)/SQRT(COUNT(G3:G17))</f>
        <v>1.2095641089979543</v>
      </c>
      <c r="K5" t="s">
        <v>75</v>
      </c>
      <c r="L5">
        <f>_xlfn.T.INV.2T(0.05,J7)</f>
        <v>2.1447866879178044</v>
      </c>
      <c r="M5" t="s">
        <v>76</v>
      </c>
      <c r="N5">
        <f>J5*L5</f>
        <v>2.5942569991619724</v>
      </c>
    </row>
    <row r="6" spans="1:14" x14ac:dyDescent="0.25">
      <c r="B6" s="1">
        <v>45544.479861111096</v>
      </c>
      <c r="C6">
        <v>8.3000000000000007</v>
      </c>
      <c r="D6">
        <v>0.5</v>
      </c>
      <c r="E6">
        <v>5.0999999999999996</v>
      </c>
      <c r="F6">
        <v>2.1</v>
      </c>
      <c r="G6" s="13">
        <v>27.640847000000001</v>
      </c>
      <c r="I6" t="s">
        <v>77</v>
      </c>
      <c r="J6">
        <f>8.8*SQRT(K6+L6)</f>
        <v>12.292482030181615</v>
      </c>
      <c r="K6">
        <f>(J5/(G19^2*J3))^2</f>
        <v>1.6055635114911764</v>
      </c>
      <c r="L6" s="22">
        <f>(J4/(J3^2*G19))^2</f>
        <v>0.34569054923116249</v>
      </c>
    </row>
    <row r="7" spans="1:14" x14ac:dyDescent="0.25">
      <c r="B7" s="1">
        <v>45516.559027777803</v>
      </c>
      <c r="C7">
        <v>9.1</v>
      </c>
      <c r="D7">
        <v>0.5</v>
      </c>
      <c r="E7">
        <v>4.3</v>
      </c>
      <c r="F7">
        <v>2.4</v>
      </c>
      <c r="G7" s="13">
        <v>32.316943000000002</v>
      </c>
      <c r="I7" t="s">
        <v>116</v>
      </c>
      <c r="J7" s="13">
        <f>COUNT(G3:G17)-1</f>
        <v>14</v>
      </c>
      <c r="K7" t="s">
        <v>78</v>
      </c>
    </row>
    <row r="8" spans="1:14" x14ac:dyDescent="0.25">
      <c r="B8" s="1">
        <v>45489.563888888901</v>
      </c>
      <c r="C8">
        <v>10</v>
      </c>
      <c r="D8" s="7" t="s">
        <v>79</v>
      </c>
      <c r="E8">
        <v>4.4000000000000004</v>
      </c>
      <c r="F8">
        <v>2.5</v>
      </c>
      <c r="G8" s="13">
        <v>22.786280999999995</v>
      </c>
      <c r="I8" t="s">
        <v>117</v>
      </c>
      <c r="J8">
        <f>242</f>
        <v>242</v>
      </c>
    </row>
    <row r="9" spans="1:14" x14ac:dyDescent="0.25">
      <c r="B9" s="1">
        <v>45488.561111111099</v>
      </c>
      <c r="C9">
        <v>8.9</v>
      </c>
      <c r="D9" s="7" t="s">
        <v>79</v>
      </c>
      <c r="E9">
        <v>3.2</v>
      </c>
      <c r="F9">
        <v>2.2999999999999998</v>
      </c>
      <c r="G9" s="13">
        <v>19.349161000000002</v>
      </c>
      <c r="K9" t="s">
        <v>80</v>
      </c>
      <c r="L9" t="s">
        <v>81</v>
      </c>
    </row>
    <row r="10" spans="1:14" x14ac:dyDescent="0.25">
      <c r="B10" s="1">
        <v>45476.2944444444</v>
      </c>
      <c r="C10">
        <v>8</v>
      </c>
      <c r="D10" s="7" t="s">
        <v>79</v>
      </c>
      <c r="E10">
        <v>4.2</v>
      </c>
      <c r="F10">
        <v>2.4</v>
      </c>
      <c r="G10" s="13">
        <v>20.305062</v>
      </c>
      <c r="I10" t="s">
        <v>82</v>
      </c>
      <c r="J10" s="7">
        <f>(K10+L10)^2/(K10^2/J8+L10^2/J7)</f>
        <v>20.622321214123023</v>
      </c>
      <c r="K10" s="7">
        <f>(8.8/(J3^2*G19)*J4)^2</f>
        <v>26.770276132461227</v>
      </c>
      <c r="L10">
        <f>(8.8/(J3*G19^2)*J5)^2</f>
        <v>124.33483832987672</v>
      </c>
    </row>
    <row r="11" spans="1:14" x14ac:dyDescent="0.25">
      <c r="B11" s="1">
        <v>45460.481249999997</v>
      </c>
      <c r="C11">
        <v>8.1</v>
      </c>
      <c r="D11" s="7" t="s">
        <v>79</v>
      </c>
      <c r="E11">
        <v>3.3</v>
      </c>
      <c r="F11">
        <v>2.2000000000000002</v>
      </c>
      <c r="G11" s="13">
        <v>18.186139000000001</v>
      </c>
      <c r="I11" t="s">
        <v>83</v>
      </c>
      <c r="J11">
        <f>_xlfn.T.INV.2T(0.05,J10)</f>
        <v>2.0859634472658648</v>
      </c>
    </row>
    <row r="12" spans="1:14" x14ac:dyDescent="0.25">
      <c r="B12" s="1">
        <v>45433.449305555601</v>
      </c>
      <c r="C12">
        <v>8.3000000000000007</v>
      </c>
      <c r="D12" s="7" t="s">
        <v>79</v>
      </c>
      <c r="E12">
        <v>3.5</v>
      </c>
      <c r="F12">
        <v>2.2000000000000002</v>
      </c>
      <c r="G12" s="13">
        <v>18.787056000000003</v>
      </c>
      <c r="I12" t="s">
        <v>84</v>
      </c>
      <c r="J12">
        <f>J11*J6</f>
        <v>25.641668191131338</v>
      </c>
    </row>
    <row r="13" spans="1:14" x14ac:dyDescent="0.25">
      <c r="B13" s="1">
        <v>45404.536805555603</v>
      </c>
      <c r="C13">
        <v>7</v>
      </c>
      <c r="D13" s="7" t="s">
        <v>79</v>
      </c>
      <c r="E13">
        <v>3.2</v>
      </c>
      <c r="F13">
        <v>2.2999999999999998</v>
      </c>
      <c r="G13" s="13">
        <v>16.502735000000001</v>
      </c>
    </row>
    <row r="14" spans="1:14" x14ac:dyDescent="0.25">
      <c r="B14" s="1">
        <v>45376.527083333298</v>
      </c>
      <c r="C14">
        <v>6.9</v>
      </c>
      <c r="D14" s="7" t="s">
        <v>79</v>
      </c>
      <c r="E14">
        <v>3.4</v>
      </c>
      <c r="F14">
        <v>2.1</v>
      </c>
      <c r="G14" s="13">
        <v>16.477122000000001</v>
      </c>
    </row>
    <row r="15" spans="1:14" x14ac:dyDescent="0.25">
      <c r="B15" s="1">
        <v>45348.595138888901</v>
      </c>
      <c r="C15">
        <v>7.8</v>
      </c>
      <c r="D15" s="7" t="s">
        <v>79</v>
      </c>
      <c r="E15">
        <v>3.8</v>
      </c>
      <c r="F15">
        <v>2.2999999999999998</v>
      </c>
      <c r="G15" s="13">
        <v>18.754981999999998</v>
      </c>
    </row>
    <row r="16" spans="1:14" x14ac:dyDescent="0.25">
      <c r="B16" s="1">
        <v>45320.449305555601</v>
      </c>
      <c r="C16">
        <v>7.5</v>
      </c>
      <c r="D16" s="7" t="s">
        <v>79</v>
      </c>
      <c r="E16">
        <v>4.3</v>
      </c>
      <c r="F16">
        <v>2.4</v>
      </c>
      <c r="G16" s="13">
        <v>19.961975000000002</v>
      </c>
    </row>
    <row r="17" spans="1:14" s="9" customFormat="1" x14ac:dyDescent="0.25">
      <c r="B17" s="10">
        <v>45293.5847222222</v>
      </c>
      <c r="C17" s="9">
        <v>7.7</v>
      </c>
      <c r="D17" s="11" t="s">
        <v>79</v>
      </c>
      <c r="E17" s="9">
        <v>4.5</v>
      </c>
      <c r="F17" s="9">
        <v>2.4</v>
      </c>
      <c r="G17" s="14">
        <v>20.580590999999998</v>
      </c>
    </row>
    <row r="18" spans="1:14" x14ac:dyDescent="0.25">
      <c r="F18" s="1"/>
      <c r="H18" s="7"/>
      <c r="I18" t="s">
        <v>85</v>
      </c>
      <c r="J18" t="s">
        <v>52</v>
      </c>
      <c r="K18" t="s">
        <v>86</v>
      </c>
      <c r="L18" t="s">
        <v>87</v>
      </c>
      <c r="M18" t="s">
        <v>88</v>
      </c>
    </row>
    <row r="19" spans="1:14" x14ac:dyDescent="0.25">
      <c r="B19" s="12" t="s">
        <v>89</v>
      </c>
      <c r="C19" s="18">
        <f>AVERAGE(C3:C17)</f>
        <v>8.0133333333333336</v>
      </c>
      <c r="D19" s="12">
        <f>AVERAGE(D3:D17)</f>
        <v>0.56000000000000005</v>
      </c>
      <c r="E19" s="12">
        <f>AVERAGE(E3:E17)</f>
        <v>4.0199999999999996</v>
      </c>
      <c r="F19" s="18">
        <f>AVERAGE(F3:F17)</f>
        <v>2.2666666666666666</v>
      </c>
      <c r="G19" s="18">
        <f>AVERAGE(G3:G17)</f>
        <v>21.593544533333329</v>
      </c>
      <c r="I19" s="16">
        <f>1-4.4/G19</f>
        <v>0.79623539835213952</v>
      </c>
      <c r="J19" s="17">
        <f>1-I19</f>
        <v>0.20376460164786048</v>
      </c>
      <c r="K19" s="18">
        <f>J19/J3</f>
        <v>99.531710190222853</v>
      </c>
      <c r="L19" s="18">
        <f>K19*2</f>
        <v>199.06342038044571</v>
      </c>
      <c r="M19" s="18">
        <f>365/L19</f>
        <v>1.8335864987269881</v>
      </c>
      <c r="N19" s="23"/>
    </row>
    <row r="20" spans="1:14" x14ac:dyDescent="0.25">
      <c r="B20" s="12" t="s">
        <v>90</v>
      </c>
      <c r="C20" s="12">
        <f>MIN(C3:C17)</f>
        <v>6.9</v>
      </c>
      <c r="D20" s="12">
        <f>MIN(D3:D17)</f>
        <v>0.5</v>
      </c>
      <c r="E20" s="12">
        <f>MIN(E3:E17)</f>
        <v>3.2</v>
      </c>
      <c r="F20" s="18">
        <f>MIN(F3:F17)</f>
        <v>2</v>
      </c>
      <c r="G20" s="18">
        <f>MIN(G3:G17)</f>
        <v>16.477122000000001</v>
      </c>
      <c r="I20" s="16">
        <f>1-4.4/G20</f>
        <v>0.73296307449808284</v>
      </c>
      <c r="J20" s="17">
        <f t="shared" ref="J20:J21" si="0">1-I20</f>
        <v>0.26703692550191716</v>
      </c>
      <c r="K20" s="18">
        <f>L20/2</f>
        <v>112.35254428578853</v>
      </c>
      <c r="L20" s="18">
        <f>L19+J11*J6</f>
        <v>224.70508857157705</v>
      </c>
      <c r="M20" s="18">
        <f t="shared" ref="M20:M21" si="1">365/L20</f>
        <v>1.6243512878157795</v>
      </c>
      <c r="N20" s="23"/>
    </row>
    <row r="21" spans="1:14" x14ac:dyDescent="0.25">
      <c r="B21" s="12" t="s">
        <v>91</v>
      </c>
      <c r="C21" s="12">
        <f>MAX(C3:C17)</f>
        <v>10</v>
      </c>
      <c r="D21" s="12">
        <f>MAX(D3:D17)</f>
        <v>0.74</v>
      </c>
      <c r="E21" s="12">
        <f>MAX(E3:E17)</f>
        <v>5.0999999999999996</v>
      </c>
      <c r="F21" s="18">
        <f>MAX(F3:F17)</f>
        <v>2.5</v>
      </c>
      <c r="G21" s="18">
        <f>MAX(G3:G17)</f>
        <v>32.316943000000002</v>
      </c>
      <c r="I21" s="16">
        <f t="shared" ref="I21" si="2">1-4.4/G21</f>
        <v>0.86384850819584025</v>
      </c>
      <c r="J21" s="17">
        <f t="shared" si="0"/>
        <v>0.13615149180415975</v>
      </c>
      <c r="K21" s="18">
        <f>L21/2</f>
        <v>86.710876094657181</v>
      </c>
      <c r="L21" s="18">
        <f>L19-J11*J6</f>
        <v>173.42175218931436</v>
      </c>
      <c r="M21" s="18">
        <f t="shared" si="1"/>
        <v>2.1046956070513629</v>
      </c>
    </row>
    <row r="22" spans="1:14" x14ac:dyDescent="0.25">
      <c r="A22" s="12" t="s">
        <v>92</v>
      </c>
      <c r="B22" s="12"/>
      <c r="C22" s="36">
        <f>C2*$K$19</f>
        <v>0.2367660322005021</v>
      </c>
      <c r="D22" s="36">
        <f>D2*$K$19</f>
        <v>0</v>
      </c>
      <c r="E22" s="36">
        <f>E2*$K$19</f>
        <v>7.0886483997476712E-2</v>
      </c>
      <c r="F22" s="36">
        <f>F2*$K$19</f>
        <v>0.1746781513838411</v>
      </c>
      <c r="G22" s="36">
        <f>G2*$K$19</f>
        <v>0.20376460164786048</v>
      </c>
    </row>
    <row r="23" spans="1:14" x14ac:dyDescent="0.25">
      <c r="A23" s="12" t="s">
        <v>93</v>
      </c>
      <c r="B23" s="12"/>
      <c r="C23" s="15">
        <f>C19*C22</f>
        <v>1.8972851380333569</v>
      </c>
      <c r="D23" s="15">
        <f>D19*D22</f>
        <v>0</v>
      </c>
      <c r="E23" s="15">
        <f>E19*E22</f>
        <v>0.28496366566985637</v>
      </c>
      <c r="F23" s="15">
        <f>F19*F22</f>
        <v>0.39593714313670647</v>
      </c>
      <c r="G23" s="18">
        <f>G19*G22</f>
        <v>4.4000000000000012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A53F06-CD3D-4C59-B795-5C327F70FA5D}">
  <dimension ref="A1:CA27"/>
  <sheetViews>
    <sheetView workbookViewId="0">
      <selection activeCell="H1" sqref="H1"/>
    </sheetView>
  </sheetViews>
  <sheetFormatPr defaultRowHeight="12" x14ac:dyDescent="0.25"/>
  <cols>
    <col min="1" max="2" width="24" customWidth="1"/>
    <col min="3" max="3" width="24.28515625" customWidth="1"/>
  </cols>
  <sheetData>
    <row r="1" spans="1:79" x14ac:dyDescent="0.25">
      <c r="A1" s="4" t="s">
        <v>94</v>
      </c>
      <c r="B1" s="3" t="s">
        <v>95</v>
      </c>
      <c r="C1" s="2" t="s">
        <v>96</v>
      </c>
      <c r="D1" s="2" t="s">
        <v>97</v>
      </c>
      <c r="E1" s="2" t="s">
        <v>98</v>
      </c>
      <c r="F1" s="2" t="s">
        <v>99</v>
      </c>
      <c r="G1" s="2" t="s">
        <v>100</v>
      </c>
      <c r="H1" s="2"/>
    </row>
    <row r="2" spans="1:79" x14ac:dyDescent="0.25">
      <c r="A2" t="s">
        <v>101</v>
      </c>
      <c r="B2" s="21">
        <v>45628.438194444447</v>
      </c>
      <c r="C2" t="s">
        <v>102</v>
      </c>
      <c r="D2" t="s">
        <v>103</v>
      </c>
      <c r="E2">
        <v>4.4000000000000004</v>
      </c>
      <c r="F2">
        <v>0.3</v>
      </c>
      <c r="G2">
        <f>F2*E2+F3*E3</f>
        <v>4.26</v>
      </c>
      <c r="H2" s="19" t="s">
        <v>104</v>
      </c>
      <c r="I2" s="20">
        <f>AVERAGE(G2:G27)</f>
        <v>5.5038461538461538</v>
      </c>
      <c r="L2" s="25"/>
    </row>
    <row r="3" spans="1:79" x14ac:dyDescent="0.25">
      <c r="A3" t="s">
        <v>105</v>
      </c>
      <c r="B3" s="21">
        <v>45628.431250000001</v>
      </c>
      <c r="C3" t="s">
        <v>102</v>
      </c>
      <c r="D3" t="s">
        <v>103</v>
      </c>
      <c r="E3">
        <v>4.2</v>
      </c>
      <c r="F3">
        <v>0.7</v>
      </c>
      <c r="H3" s="12" t="s">
        <v>41</v>
      </c>
      <c r="I3" s="12">
        <f>MIN(G2:G27)</f>
        <v>4.1099999999999994</v>
      </c>
      <c r="K3" s="24"/>
    </row>
    <row r="4" spans="1:79" s="5" customFormat="1" x14ac:dyDescent="0.25">
      <c r="A4" s="5" t="s">
        <v>101</v>
      </c>
      <c r="B4" s="6">
        <v>45600.471527777801</v>
      </c>
      <c r="C4" s="5" t="s">
        <v>102</v>
      </c>
      <c r="D4" s="5" t="s">
        <v>103</v>
      </c>
      <c r="E4" s="5">
        <v>4.7</v>
      </c>
      <c r="F4" s="5">
        <v>0.3</v>
      </c>
      <c r="G4" s="5">
        <f>F4*E4+F5*E5</f>
        <v>4.5599999999999996</v>
      </c>
      <c r="H4" s="12" t="s">
        <v>42</v>
      </c>
      <c r="I4" s="12">
        <f>MAX(G2:G27)</f>
        <v>7.1099999999999994</v>
      </c>
      <c r="J4"/>
      <c r="K4" s="24"/>
      <c r="L4"/>
      <c r="M4"/>
      <c r="N4"/>
      <c r="O4"/>
      <c r="P4"/>
      <c r="Q4"/>
      <c r="R4"/>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row>
    <row r="5" spans="1:79" s="5" customFormat="1" x14ac:dyDescent="0.25">
      <c r="A5" s="5" t="s">
        <v>105</v>
      </c>
      <c r="B5" s="6">
        <v>45600.462500000001</v>
      </c>
      <c r="C5" s="5" t="s">
        <v>102</v>
      </c>
      <c r="D5" s="5" t="s">
        <v>103</v>
      </c>
      <c r="E5" s="5">
        <v>4.5</v>
      </c>
      <c r="F5" s="5">
        <v>0.7</v>
      </c>
      <c r="H5" s="12" t="s">
        <v>106</v>
      </c>
      <c r="I5" s="15">
        <f>_xlfn.STDEV.S(G2:G27)</f>
        <v>0.92770809401034748</v>
      </c>
      <c r="J5"/>
      <c r="K5"/>
      <c r="L5"/>
      <c r="M5"/>
      <c r="N5"/>
      <c r="O5"/>
      <c r="P5"/>
      <c r="Q5"/>
      <c r="R5"/>
      <c r="S5"/>
      <c r="T5"/>
      <c r="U5"/>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row>
    <row r="6" spans="1:79" x14ac:dyDescent="0.25">
      <c r="A6" t="s">
        <v>101</v>
      </c>
      <c r="B6" s="1">
        <v>45572.4375</v>
      </c>
      <c r="C6" t="s">
        <v>102</v>
      </c>
      <c r="D6" t="s">
        <v>103</v>
      </c>
      <c r="E6">
        <v>3.9</v>
      </c>
      <c r="F6">
        <v>0.3</v>
      </c>
      <c r="G6">
        <f t="shared" ref="G6:G26" si="0">F6*E6+F7*E7</f>
        <v>4.1099999999999994</v>
      </c>
      <c r="H6" s="12" t="s">
        <v>107</v>
      </c>
      <c r="I6" s="15">
        <f>I5/SQRT(COUNT(G2:G27))</f>
        <v>0.25729993089363656</v>
      </c>
    </row>
    <row r="7" spans="1:79" x14ac:dyDescent="0.25">
      <c r="A7" t="s">
        <v>105</v>
      </c>
      <c r="B7" s="1">
        <v>45572.418749999997</v>
      </c>
      <c r="C7" t="s">
        <v>102</v>
      </c>
      <c r="D7" t="s">
        <v>103</v>
      </c>
      <c r="E7">
        <v>4.2</v>
      </c>
      <c r="F7">
        <v>0.7</v>
      </c>
      <c r="H7" s="12" t="s">
        <v>83</v>
      </c>
      <c r="I7" s="15">
        <f>_xlfn.T.INV.2T(0.05, COUNT(G2:G27)-1)</f>
        <v>2.1788128296672284</v>
      </c>
    </row>
    <row r="8" spans="1:79" s="5" customFormat="1" x14ac:dyDescent="0.25">
      <c r="A8" s="5" t="s">
        <v>101</v>
      </c>
      <c r="B8" s="6">
        <v>45544.418055555601</v>
      </c>
      <c r="C8" s="5" t="s">
        <v>102</v>
      </c>
      <c r="D8" s="5" t="s">
        <v>103</v>
      </c>
      <c r="E8" s="5">
        <v>5</v>
      </c>
      <c r="F8" s="5">
        <v>0.3</v>
      </c>
      <c r="G8" s="5">
        <f t="shared" si="0"/>
        <v>5.6999999999999993</v>
      </c>
      <c r="H8" s="12" t="s">
        <v>108</v>
      </c>
      <c r="I8" s="12">
        <f>I7*I6</f>
        <v>0.56060839050354661</v>
      </c>
      <c r="J8"/>
      <c r="K8"/>
      <c r="L8"/>
      <c r="M8"/>
      <c r="N8"/>
      <c r="O8"/>
      <c r="P8"/>
      <c r="Q8"/>
      <c r="R8"/>
      <c r="S8"/>
      <c r="T8"/>
      <c r="U8"/>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row>
    <row r="9" spans="1:79" s="5" customFormat="1" x14ac:dyDescent="0.25">
      <c r="A9" s="5" t="s">
        <v>105</v>
      </c>
      <c r="B9" s="6">
        <v>45544.417361111096</v>
      </c>
      <c r="C9" s="5" t="s">
        <v>102</v>
      </c>
      <c r="D9" s="5" t="s">
        <v>103</v>
      </c>
      <c r="E9" s="5">
        <v>6</v>
      </c>
      <c r="F9" s="5">
        <v>0.7</v>
      </c>
      <c r="H9" s="12" t="s">
        <v>109</v>
      </c>
      <c r="I9" s="15">
        <f>I2-I8</f>
        <v>4.9432377633426068</v>
      </c>
      <c r="J9"/>
      <c r="K9"/>
      <c r="L9"/>
      <c r="M9"/>
      <c r="N9"/>
      <c r="O9"/>
      <c r="P9"/>
      <c r="Q9"/>
      <c r="R9"/>
      <c r="S9"/>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row>
    <row r="10" spans="1:79" x14ac:dyDescent="0.25">
      <c r="A10" t="s">
        <v>101</v>
      </c>
      <c r="B10" s="1">
        <v>45516.5402777778</v>
      </c>
      <c r="C10" t="s">
        <v>102</v>
      </c>
      <c r="D10" t="s">
        <v>103</v>
      </c>
      <c r="E10">
        <v>5.8</v>
      </c>
      <c r="F10">
        <v>0.3</v>
      </c>
      <c r="G10">
        <f t="shared" si="0"/>
        <v>6.29</v>
      </c>
      <c r="H10" s="12" t="s">
        <v>110</v>
      </c>
      <c r="I10" s="15">
        <f>I2+I8</f>
        <v>6.0644545443497009</v>
      </c>
    </row>
    <row r="11" spans="1:79" x14ac:dyDescent="0.25">
      <c r="A11" t="s">
        <v>105</v>
      </c>
      <c r="B11" s="1">
        <v>45516.465972222199</v>
      </c>
      <c r="C11" t="s">
        <v>102</v>
      </c>
      <c r="D11" t="s">
        <v>103</v>
      </c>
      <c r="E11">
        <v>6.5</v>
      </c>
      <c r="F11">
        <v>0.7</v>
      </c>
    </row>
    <row r="12" spans="1:79" s="5" customFormat="1" x14ac:dyDescent="0.25">
      <c r="A12" s="5" t="s">
        <v>105</v>
      </c>
      <c r="B12" s="6">
        <v>45488.445138888899</v>
      </c>
      <c r="C12" s="5" t="s">
        <v>102</v>
      </c>
      <c r="D12" s="5" t="s">
        <v>103</v>
      </c>
      <c r="E12" s="5">
        <v>5</v>
      </c>
      <c r="F12" s="5">
        <v>0.7</v>
      </c>
      <c r="G12" s="5">
        <f t="shared" si="0"/>
        <v>5.12</v>
      </c>
      <c r="H12"/>
      <c r="I12"/>
      <c r="J12"/>
      <c r="K12"/>
      <c r="L12"/>
      <c r="M12"/>
      <c r="N12"/>
      <c r="O12"/>
      <c r="P12"/>
      <c r="Q12"/>
      <c r="R12"/>
      <c r="S12"/>
      <c r="T12"/>
      <c r="U12"/>
      <c r="V12"/>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row>
    <row r="13" spans="1:79" s="5" customFormat="1" x14ac:dyDescent="0.25">
      <c r="A13" s="5" t="s">
        <v>101</v>
      </c>
      <c r="B13" s="6">
        <v>45488.444444444402</v>
      </c>
      <c r="C13" s="5" t="s">
        <v>102</v>
      </c>
      <c r="D13" s="5" t="s">
        <v>103</v>
      </c>
      <c r="E13" s="5">
        <v>5.4</v>
      </c>
      <c r="F13" s="5">
        <v>0.3</v>
      </c>
      <c r="H13"/>
      <c r="I13"/>
      <c r="J13"/>
      <c r="K13"/>
      <c r="L13"/>
      <c r="M13"/>
      <c r="N13"/>
      <c r="O13"/>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row>
    <row r="14" spans="1:79" x14ac:dyDescent="0.25">
      <c r="A14" t="s">
        <v>101</v>
      </c>
      <c r="B14" s="1">
        <v>45460.436805555597</v>
      </c>
      <c r="C14" t="s">
        <v>102</v>
      </c>
      <c r="D14" t="s">
        <v>103</v>
      </c>
      <c r="E14">
        <v>4.7</v>
      </c>
      <c r="F14">
        <v>0.3</v>
      </c>
      <c r="G14">
        <f t="shared" si="0"/>
        <v>5.05</v>
      </c>
    </row>
    <row r="15" spans="1:79" x14ac:dyDescent="0.25">
      <c r="A15" t="s">
        <v>105</v>
      </c>
      <c r="B15" s="1">
        <v>45460.392361111102</v>
      </c>
      <c r="C15" t="s">
        <v>102</v>
      </c>
      <c r="D15" t="s">
        <v>103</v>
      </c>
      <c r="E15">
        <v>5.2</v>
      </c>
      <c r="F15">
        <v>0.7</v>
      </c>
    </row>
    <row r="16" spans="1:79" s="5" customFormat="1" x14ac:dyDescent="0.25">
      <c r="A16" s="5" t="s">
        <v>101</v>
      </c>
      <c r="B16" s="6">
        <v>45433.475694444402</v>
      </c>
      <c r="C16" s="5" t="s">
        <v>102</v>
      </c>
      <c r="D16" s="5" t="s">
        <v>103</v>
      </c>
      <c r="E16" s="5">
        <v>6.9</v>
      </c>
      <c r="F16" s="5">
        <v>0.3</v>
      </c>
      <c r="G16" s="5">
        <f t="shared" si="0"/>
        <v>7.1099999999999994</v>
      </c>
      <c r="H16"/>
      <c r="I16"/>
      <c r="J16"/>
      <c r="K16"/>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row>
    <row r="17" spans="1:79" s="5" customFormat="1" x14ac:dyDescent="0.25">
      <c r="A17" s="5" t="s">
        <v>105</v>
      </c>
      <c r="B17" s="6">
        <v>45433.290972222203</v>
      </c>
      <c r="C17" s="5" t="s">
        <v>102</v>
      </c>
      <c r="D17" s="5" t="s">
        <v>103</v>
      </c>
      <c r="E17" s="5">
        <v>7.2</v>
      </c>
      <c r="F17" s="5">
        <v>0.7</v>
      </c>
      <c r="H17"/>
      <c r="I17"/>
      <c r="J17"/>
      <c r="K17"/>
      <c r="L17"/>
      <c r="M17"/>
      <c r="N17"/>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row>
    <row r="18" spans="1:79" x14ac:dyDescent="0.25">
      <c r="A18" t="s">
        <v>101</v>
      </c>
      <c r="B18" s="1">
        <v>45404.519444444399</v>
      </c>
      <c r="C18" t="s">
        <v>102</v>
      </c>
      <c r="D18" t="s">
        <v>103</v>
      </c>
      <c r="E18">
        <v>5.7</v>
      </c>
      <c r="F18">
        <v>0.3</v>
      </c>
      <c r="G18">
        <f t="shared" si="0"/>
        <v>5.77</v>
      </c>
    </row>
    <row r="19" spans="1:79" x14ac:dyDescent="0.25">
      <c r="A19" t="s">
        <v>105</v>
      </c>
      <c r="B19" s="1">
        <v>45404.422916666699</v>
      </c>
      <c r="C19" t="s">
        <v>102</v>
      </c>
      <c r="D19" t="s">
        <v>103</v>
      </c>
      <c r="E19">
        <v>5.8</v>
      </c>
      <c r="F19">
        <v>0.7</v>
      </c>
    </row>
    <row r="20" spans="1:79" s="5" customFormat="1" x14ac:dyDescent="0.25">
      <c r="A20" s="5" t="s">
        <v>101</v>
      </c>
      <c r="B20" s="6">
        <v>45376.509722222203</v>
      </c>
      <c r="C20" s="5" t="s">
        <v>102</v>
      </c>
      <c r="D20" s="5" t="s">
        <v>103</v>
      </c>
      <c r="E20" s="5">
        <v>5.2</v>
      </c>
      <c r="F20" s="5">
        <v>0.3</v>
      </c>
      <c r="G20" s="5">
        <f t="shared" si="0"/>
        <v>4.99</v>
      </c>
      <c r="H20"/>
      <c r="I20"/>
      <c r="J20"/>
      <c r="K20"/>
      <c r="L20"/>
      <c r="M20"/>
      <c r="N20"/>
      <c r="O20"/>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row>
    <row r="21" spans="1:79" s="5" customFormat="1" x14ac:dyDescent="0.25">
      <c r="A21" s="5" t="s">
        <v>105</v>
      </c>
      <c r="B21" s="6">
        <v>45376.411805555603</v>
      </c>
      <c r="C21" s="5" t="s">
        <v>102</v>
      </c>
      <c r="D21" s="5" t="s">
        <v>103</v>
      </c>
      <c r="E21" s="5">
        <v>4.9000000000000004</v>
      </c>
      <c r="F21" s="5">
        <v>0.7</v>
      </c>
      <c r="H21"/>
      <c r="I21"/>
      <c r="J21"/>
      <c r="K21"/>
      <c r="L21"/>
      <c r="M21"/>
      <c r="N21"/>
      <c r="O21"/>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row>
    <row r="22" spans="1:79" x14ac:dyDescent="0.25">
      <c r="A22" t="s">
        <v>101</v>
      </c>
      <c r="B22" s="1">
        <v>45348.460416666698</v>
      </c>
      <c r="C22" t="s">
        <v>102</v>
      </c>
      <c r="D22" t="s">
        <v>103</v>
      </c>
      <c r="E22">
        <v>5.9</v>
      </c>
      <c r="F22">
        <v>0.3</v>
      </c>
      <c r="G22">
        <f t="shared" si="0"/>
        <v>5.76</v>
      </c>
    </row>
    <row r="23" spans="1:79" x14ac:dyDescent="0.25">
      <c r="A23" t="s">
        <v>105</v>
      </c>
      <c r="B23" s="1">
        <v>45348.434027777803</v>
      </c>
      <c r="C23" t="s">
        <v>102</v>
      </c>
      <c r="D23" t="s">
        <v>103</v>
      </c>
      <c r="E23">
        <v>5.7</v>
      </c>
      <c r="F23">
        <v>0.7</v>
      </c>
    </row>
    <row r="24" spans="1:79" s="5" customFormat="1" x14ac:dyDescent="0.25">
      <c r="A24" s="5" t="s">
        <v>101</v>
      </c>
      <c r="B24" s="6">
        <v>45320.456250000003</v>
      </c>
      <c r="C24" s="5" t="s">
        <v>102</v>
      </c>
      <c r="D24" s="5" t="s">
        <v>103</v>
      </c>
      <c r="E24" s="5">
        <v>6.8</v>
      </c>
      <c r="F24" s="5">
        <v>0.3</v>
      </c>
      <c r="G24" s="48">
        <f t="shared" si="0"/>
        <v>6.8</v>
      </c>
      <c r="H24"/>
      <c r="I24"/>
      <c r="J24"/>
      <c r="K24"/>
      <c r="L24"/>
      <c r="M24"/>
      <c r="N24"/>
      <c r="O24"/>
      <c r="P24"/>
      <c r="Q24"/>
      <c r="R24"/>
      <c r="S24"/>
      <c r="T24"/>
      <c r="U24"/>
      <c r="V24"/>
      <c r="W24"/>
      <c r="X24"/>
      <c r="Y24"/>
      <c r="Z24"/>
      <c r="AA24"/>
      <c r="AB24"/>
      <c r="AC24"/>
      <c r="AD24"/>
      <c r="AE24"/>
      <c r="AF24"/>
      <c r="AG24"/>
      <c r="AH24"/>
      <c r="AI24"/>
      <c r="AJ24"/>
      <c r="AK24"/>
      <c r="AL24"/>
      <c r="AM24"/>
      <c r="AN24"/>
      <c r="AO24"/>
      <c r="AP24"/>
      <c r="AQ24"/>
      <c r="AR24"/>
      <c r="AS24"/>
      <c r="AT24"/>
      <c r="AU24"/>
      <c r="AV24"/>
      <c r="AW24"/>
      <c r="AX24"/>
      <c r="AY24"/>
      <c r="AZ24"/>
      <c r="BA24"/>
      <c r="BB24"/>
      <c r="BC24"/>
      <c r="BD24"/>
      <c r="BE24"/>
      <c r="BF24"/>
      <c r="BG24"/>
      <c r="BH24"/>
      <c r="BI24"/>
      <c r="BJ24"/>
      <c r="BK24"/>
      <c r="BL24"/>
      <c r="BM24"/>
      <c r="BN24"/>
      <c r="BO24"/>
      <c r="BP24"/>
      <c r="BQ24"/>
      <c r="BR24"/>
      <c r="BS24"/>
      <c r="BT24"/>
      <c r="BU24"/>
      <c r="BV24"/>
      <c r="BW24"/>
      <c r="BX24"/>
      <c r="BY24"/>
      <c r="BZ24"/>
      <c r="CA24"/>
    </row>
    <row r="25" spans="1:79" s="5" customFormat="1" x14ac:dyDescent="0.25">
      <c r="A25" s="5" t="s">
        <v>105</v>
      </c>
      <c r="B25" s="6">
        <v>45320.327777777798</v>
      </c>
      <c r="C25" s="5" t="s">
        <v>102</v>
      </c>
      <c r="D25" s="5" t="s">
        <v>103</v>
      </c>
      <c r="E25" s="5">
        <v>6.8</v>
      </c>
      <c r="F25" s="5">
        <v>0.7</v>
      </c>
      <c r="H25"/>
      <c r="I25"/>
      <c r="J25"/>
      <c r="K25"/>
      <c r="L25"/>
      <c r="M25"/>
      <c r="N25"/>
      <c r="O25"/>
      <c r="P25"/>
      <c r="Q25"/>
      <c r="R25"/>
      <c r="S25"/>
      <c r="T25"/>
      <c r="U25"/>
      <c r="V25"/>
      <c r="W25"/>
      <c r="X25"/>
      <c r="Y25"/>
      <c r="Z25"/>
      <c r="AA25"/>
      <c r="AB25"/>
      <c r="AC25"/>
      <c r="AD25"/>
      <c r="AE25"/>
      <c r="AF25"/>
      <c r="AG25"/>
      <c r="AH25"/>
      <c r="AI25"/>
      <c r="AJ25"/>
      <c r="AK25"/>
      <c r="AL25"/>
      <c r="AM25"/>
      <c r="AN25"/>
      <c r="AO25"/>
      <c r="AP25"/>
      <c r="AQ25"/>
      <c r="AR25"/>
      <c r="AS25"/>
      <c r="AT25"/>
      <c r="AU25"/>
      <c r="AV25"/>
      <c r="AW25"/>
      <c r="AX25"/>
      <c r="AY25"/>
      <c r="AZ25"/>
      <c r="BA25"/>
      <c r="BB25"/>
      <c r="BC25"/>
      <c r="BD25"/>
      <c r="BE25"/>
      <c r="BF25"/>
      <c r="BG25"/>
      <c r="BH25"/>
      <c r="BI25"/>
      <c r="BJ25"/>
      <c r="BK25"/>
      <c r="BL25"/>
      <c r="BM25"/>
      <c r="BN25"/>
      <c r="BO25"/>
      <c r="BP25"/>
      <c r="BQ25"/>
      <c r="BR25"/>
      <c r="BS25"/>
      <c r="BT25"/>
      <c r="BU25"/>
      <c r="BV25"/>
      <c r="BW25"/>
      <c r="BX25"/>
      <c r="BY25"/>
      <c r="BZ25"/>
      <c r="CA25"/>
    </row>
    <row r="26" spans="1:79" x14ac:dyDescent="0.25">
      <c r="A26" t="s">
        <v>101</v>
      </c>
      <c r="B26" s="1">
        <v>45293.529166666704</v>
      </c>
      <c r="C26" t="s">
        <v>102</v>
      </c>
      <c r="D26" t="s">
        <v>103</v>
      </c>
      <c r="E26">
        <v>6.1</v>
      </c>
      <c r="F26">
        <v>0.3</v>
      </c>
      <c r="G26">
        <f t="shared" si="0"/>
        <v>6.0299999999999994</v>
      </c>
    </row>
    <row r="27" spans="1:79" x14ac:dyDescent="0.25">
      <c r="A27" t="s">
        <v>105</v>
      </c>
      <c r="B27" s="1">
        <v>45293.511805555601</v>
      </c>
      <c r="C27" t="s">
        <v>102</v>
      </c>
      <c r="D27" t="s">
        <v>103</v>
      </c>
      <c r="E27">
        <v>6</v>
      </c>
      <c r="F27">
        <v>0.7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3FBFE-F38E-4391-BF7D-F48FB9AE3CF6}">
  <dimension ref="A1:CY27"/>
  <sheetViews>
    <sheetView workbookViewId="0">
      <selection activeCell="G36" sqref="G36"/>
    </sheetView>
  </sheetViews>
  <sheetFormatPr defaultRowHeight="12" x14ac:dyDescent="0.25"/>
  <cols>
    <col min="1" max="2" width="24" customWidth="1"/>
    <col min="3" max="3" width="24.28515625" customWidth="1"/>
  </cols>
  <sheetData>
    <row r="1" spans="1:103" x14ac:dyDescent="0.25">
      <c r="A1" s="4" t="s">
        <v>94</v>
      </c>
      <c r="B1" s="3" t="s">
        <v>95</v>
      </c>
      <c r="C1" s="2" t="s">
        <v>96</v>
      </c>
      <c r="D1" s="2" t="s">
        <v>97</v>
      </c>
      <c r="E1" s="2" t="s">
        <v>98</v>
      </c>
      <c r="F1" s="2" t="s">
        <v>99</v>
      </c>
      <c r="G1" s="2" t="s">
        <v>100</v>
      </c>
    </row>
    <row r="2" spans="1:103" x14ac:dyDescent="0.25">
      <c r="A2" t="s">
        <v>105</v>
      </c>
      <c r="B2" s="21">
        <v>45628.431250000001</v>
      </c>
      <c r="C2" t="s">
        <v>111</v>
      </c>
      <c r="D2" t="s">
        <v>103</v>
      </c>
      <c r="E2" t="s">
        <v>79</v>
      </c>
      <c r="F2">
        <v>0.7</v>
      </c>
      <c r="G2" t="e">
        <f t="shared" ref="G2" si="0">F2*E2+F3*E3</f>
        <v>#VALUE!</v>
      </c>
      <c r="H2" s="19" t="s">
        <v>104</v>
      </c>
      <c r="I2" s="20" t="e">
        <f>AVERAGE(G2:G27)</f>
        <v>#VALUE!</v>
      </c>
    </row>
    <row r="3" spans="1:103" x14ac:dyDescent="0.25">
      <c r="A3" t="s">
        <v>101</v>
      </c>
      <c r="B3" s="21">
        <v>45628.438194444447</v>
      </c>
      <c r="C3" t="s">
        <v>111</v>
      </c>
      <c r="D3" t="s">
        <v>103</v>
      </c>
      <c r="E3" t="s">
        <v>79</v>
      </c>
      <c r="F3">
        <v>0.3</v>
      </c>
      <c r="H3" s="12" t="s">
        <v>41</v>
      </c>
      <c r="I3" s="12" t="e">
        <f>MIN(G2:G27)</f>
        <v>#VALUE!</v>
      </c>
    </row>
    <row r="4" spans="1:103" s="5" customFormat="1" x14ac:dyDescent="0.25">
      <c r="A4" s="5" t="s">
        <v>101</v>
      </c>
      <c r="B4" s="6">
        <v>45600.471527777801</v>
      </c>
      <c r="C4" s="5" t="s">
        <v>111</v>
      </c>
      <c r="D4" s="5" t="s">
        <v>103</v>
      </c>
      <c r="E4" s="5" t="s">
        <v>79</v>
      </c>
      <c r="F4" s="5">
        <v>0.3</v>
      </c>
      <c r="G4" s="5" t="e">
        <f>F4*E4+F5*E5</f>
        <v>#VALUE!</v>
      </c>
      <c r="H4" s="12" t="s">
        <v>42</v>
      </c>
      <c r="I4" s="12" t="e">
        <f>MAX(G2:G27)</f>
        <v>#VALUE!</v>
      </c>
      <c r="J4"/>
      <c r="K4"/>
      <c r="L4"/>
      <c r="M4"/>
      <c r="N4"/>
      <c r="O4"/>
      <c r="P4"/>
      <c r="Q4"/>
      <c r="R4"/>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row>
    <row r="5" spans="1:103" s="5" customFormat="1" x14ac:dyDescent="0.25">
      <c r="A5" s="5" t="s">
        <v>105</v>
      </c>
      <c r="B5" s="6">
        <v>45600.462500000001</v>
      </c>
      <c r="C5" s="5" t="s">
        <v>111</v>
      </c>
      <c r="D5" s="5" t="s">
        <v>103</v>
      </c>
      <c r="E5" s="5" t="s">
        <v>79</v>
      </c>
      <c r="F5" s="5">
        <v>0.7</v>
      </c>
      <c r="H5" s="12" t="s">
        <v>106</v>
      </c>
      <c r="I5" s="15" t="e">
        <f>_xlfn.STDEV.S(G2:G27)</f>
        <v>#VALUE!</v>
      </c>
      <c r="J5"/>
      <c r="K5"/>
      <c r="L5"/>
      <c r="M5"/>
      <c r="N5"/>
      <c r="O5"/>
      <c r="P5"/>
      <c r="Q5"/>
      <c r="R5"/>
      <c r="S5"/>
      <c r="T5"/>
      <c r="U5"/>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row>
    <row r="6" spans="1:103" x14ac:dyDescent="0.25">
      <c r="A6" t="s">
        <v>101</v>
      </c>
      <c r="B6" s="1">
        <v>45572.4375</v>
      </c>
      <c r="C6" t="s">
        <v>111</v>
      </c>
      <c r="D6" t="s">
        <v>103</v>
      </c>
      <c r="E6" t="s">
        <v>79</v>
      </c>
      <c r="F6">
        <v>0.3</v>
      </c>
      <c r="G6" t="e">
        <f t="shared" ref="G6:G26" si="1">F6*E6+F7*E7</f>
        <v>#VALUE!</v>
      </c>
      <c r="H6" s="12" t="s">
        <v>107</v>
      </c>
      <c r="I6" s="15" t="e">
        <f>I5/SQRT(COUNT(G2:G27))</f>
        <v>#VALUE!</v>
      </c>
    </row>
    <row r="7" spans="1:103" x14ac:dyDescent="0.25">
      <c r="A7" t="s">
        <v>105</v>
      </c>
      <c r="B7" s="1">
        <v>45572.418749999997</v>
      </c>
      <c r="C7" t="s">
        <v>111</v>
      </c>
      <c r="D7" t="s">
        <v>103</v>
      </c>
      <c r="E7" t="s">
        <v>79</v>
      </c>
      <c r="F7">
        <v>0.7</v>
      </c>
      <c r="H7" s="12" t="s">
        <v>83</v>
      </c>
      <c r="I7" s="15" t="e">
        <f>_xlfn.T.INV.2T(0.05, COUNT(G2:G27)-1)</f>
        <v>#NUM!</v>
      </c>
    </row>
    <row r="8" spans="1:103" s="5" customFormat="1" x14ac:dyDescent="0.25">
      <c r="A8" s="5" t="s">
        <v>101</v>
      </c>
      <c r="B8" s="6">
        <v>45544.418055555601</v>
      </c>
      <c r="C8" s="5" t="s">
        <v>111</v>
      </c>
      <c r="D8" s="5" t="s">
        <v>103</v>
      </c>
      <c r="E8" s="5" t="s">
        <v>79</v>
      </c>
      <c r="F8" s="5">
        <v>0.3</v>
      </c>
      <c r="G8" s="5" t="e">
        <f t="shared" si="1"/>
        <v>#VALUE!</v>
      </c>
      <c r="H8" s="12" t="s">
        <v>108</v>
      </c>
      <c r="I8" s="12" t="e">
        <f>I7*I6</f>
        <v>#NUM!</v>
      </c>
      <c r="J8"/>
      <c r="K8"/>
      <c r="L8"/>
      <c r="M8"/>
      <c r="N8"/>
      <c r="O8"/>
      <c r="P8"/>
      <c r="Q8"/>
      <c r="R8"/>
      <c r="S8"/>
      <c r="T8"/>
      <c r="U8"/>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row>
    <row r="9" spans="1:103" s="5" customFormat="1" x14ac:dyDescent="0.25">
      <c r="A9" s="5" t="s">
        <v>105</v>
      </c>
      <c r="B9" s="6">
        <v>45544.417361111096</v>
      </c>
      <c r="C9" s="5" t="s">
        <v>111</v>
      </c>
      <c r="D9" s="5" t="s">
        <v>103</v>
      </c>
      <c r="E9" s="5" t="s">
        <v>79</v>
      </c>
      <c r="F9" s="5">
        <v>0.7</v>
      </c>
      <c r="H9" s="12" t="s">
        <v>109</v>
      </c>
      <c r="I9" s="15" t="e">
        <f>I2-I8</f>
        <v>#VALUE!</v>
      </c>
      <c r="J9"/>
      <c r="K9"/>
      <c r="L9"/>
      <c r="M9"/>
      <c r="N9"/>
      <c r="O9"/>
      <c r="P9"/>
      <c r="Q9"/>
      <c r="R9"/>
      <c r="S9"/>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row>
    <row r="10" spans="1:103" x14ac:dyDescent="0.25">
      <c r="A10" t="s">
        <v>101</v>
      </c>
      <c r="B10" s="1">
        <v>45516.5402777778</v>
      </c>
      <c r="C10" t="s">
        <v>111</v>
      </c>
      <c r="D10" t="s">
        <v>103</v>
      </c>
      <c r="E10" t="s">
        <v>79</v>
      </c>
      <c r="F10">
        <v>0.3</v>
      </c>
      <c r="G10" t="e">
        <f t="shared" si="1"/>
        <v>#VALUE!</v>
      </c>
      <c r="H10" s="12" t="s">
        <v>110</v>
      </c>
      <c r="I10" s="15" t="e">
        <f>I2+I8</f>
        <v>#VALUE!</v>
      </c>
    </row>
    <row r="11" spans="1:103" x14ac:dyDescent="0.25">
      <c r="A11" t="s">
        <v>105</v>
      </c>
      <c r="B11" s="1">
        <v>45516.465972222199</v>
      </c>
      <c r="C11" t="s">
        <v>111</v>
      </c>
      <c r="D11" t="s">
        <v>103</v>
      </c>
      <c r="E11" t="s">
        <v>79</v>
      </c>
      <c r="F11">
        <v>0.7</v>
      </c>
    </row>
    <row r="12" spans="1:103" s="5" customFormat="1" x14ac:dyDescent="0.25">
      <c r="A12" s="5" t="s">
        <v>105</v>
      </c>
      <c r="B12" s="6">
        <v>45488.445138888899</v>
      </c>
      <c r="C12" s="5" t="s">
        <v>111</v>
      </c>
      <c r="D12" s="5" t="s">
        <v>103</v>
      </c>
      <c r="E12" s="5" t="s">
        <v>79</v>
      </c>
      <c r="F12" s="5">
        <v>0.7</v>
      </c>
      <c r="G12" s="8" t="e">
        <f>F12*B31+F13*E13</f>
        <v>#VALUE!</v>
      </c>
      <c r="H12"/>
      <c r="I12"/>
      <c r="J12"/>
      <c r="K12"/>
      <c r="L12"/>
      <c r="M12"/>
      <c r="N12"/>
      <c r="O12"/>
      <c r="P12"/>
      <c r="Q12"/>
      <c r="R12"/>
      <c r="S12"/>
      <c r="T12"/>
      <c r="U12"/>
      <c r="V12"/>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row>
    <row r="13" spans="1:103" s="5" customFormat="1" x14ac:dyDescent="0.25">
      <c r="A13" s="5" t="s">
        <v>101</v>
      </c>
      <c r="B13" s="6">
        <v>45488.444444444402</v>
      </c>
      <c r="C13" s="5" t="s">
        <v>111</v>
      </c>
      <c r="D13" s="5" t="s">
        <v>103</v>
      </c>
      <c r="E13" s="5" t="s">
        <v>79</v>
      </c>
      <c r="F13" s="5">
        <v>0.3</v>
      </c>
      <c r="H13"/>
      <c r="I13"/>
      <c r="J13"/>
      <c r="K13"/>
      <c r="L13"/>
      <c r="M13"/>
      <c r="N13"/>
      <c r="O13"/>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row>
    <row r="14" spans="1:103" x14ac:dyDescent="0.25">
      <c r="A14" t="s">
        <v>101</v>
      </c>
      <c r="B14" s="1">
        <v>45460.436805555597</v>
      </c>
      <c r="C14" t="s">
        <v>111</v>
      </c>
      <c r="D14" t="s">
        <v>103</v>
      </c>
      <c r="E14" t="s">
        <v>79</v>
      </c>
      <c r="F14">
        <v>0.3</v>
      </c>
      <c r="G14" t="e">
        <f t="shared" si="1"/>
        <v>#VALUE!</v>
      </c>
    </row>
    <row r="15" spans="1:103" x14ac:dyDescent="0.25">
      <c r="A15" t="s">
        <v>105</v>
      </c>
      <c r="B15" s="1">
        <v>45460.392361111102</v>
      </c>
      <c r="C15" t="s">
        <v>111</v>
      </c>
      <c r="D15" t="s">
        <v>103</v>
      </c>
      <c r="E15" t="s">
        <v>79</v>
      </c>
      <c r="F15">
        <v>0.7</v>
      </c>
    </row>
    <row r="16" spans="1:103" s="5" customFormat="1" x14ac:dyDescent="0.25">
      <c r="A16" s="5" t="s">
        <v>101</v>
      </c>
      <c r="B16" s="6">
        <v>45433.475694444402</v>
      </c>
      <c r="C16" s="5" t="s">
        <v>111</v>
      </c>
      <c r="D16" s="5" t="s">
        <v>103</v>
      </c>
      <c r="E16" s="5" t="s">
        <v>79</v>
      </c>
      <c r="F16" s="5">
        <v>0.3</v>
      </c>
      <c r="G16" s="5" t="e">
        <f t="shared" si="1"/>
        <v>#VALUE!</v>
      </c>
      <c r="H16"/>
      <c r="I16"/>
      <c r="J16"/>
      <c r="K16"/>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c r="CR16"/>
      <c r="CS16"/>
      <c r="CT16"/>
      <c r="CU16"/>
      <c r="CV16"/>
      <c r="CW16"/>
      <c r="CX16"/>
      <c r="CY16"/>
    </row>
    <row r="17" spans="1:103" s="5" customFormat="1" x14ac:dyDescent="0.25">
      <c r="A17" s="5" t="s">
        <v>105</v>
      </c>
      <c r="B17" s="6">
        <v>45433.290972222203</v>
      </c>
      <c r="C17" s="5" t="s">
        <v>111</v>
      </c>
      <c r="D17" s="5" t="s">
        <v>103</v>
      </c>
      <c r="E17" s="5" t="s">
        <v>79</v>
      </c>
      <c r="F17" s="5">
        <v>0.7</v>
      </c>
      <c r="H17"/>
      <c r="I17"/>
      <c r="J17"/>
      <c r="K17"/>
      <c r="L17"/>
      <c r="M17"/>
      <c r="N17"/>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row>
    <row r="18" spans="1:103" x14ac:dyDescent="0.25">
      <c r="A18" t="s">
        <v>101</v>
      </c>
      <c r="B18" s="1">
        <v>45404.519444444399</v>
      </c>
      <c r="C18" t="s">
        <v>111</v>
      </c>
      <c r="D18" t="s">
        <v>103</v>
      </c>
      <c r="E18" t="s">
        <v>79</v>
      </c>
      <c r="F18">
        <v>0.3</v>
      </c>
      <c r="G18" t="e">
        <f t="shared" si="1"/>
        <v>#VALUE!</v>
      </c>
    </row>
    <row r="19" spans="1:103" x14ac:dyDescent="0.25">
      <c r="A19" t="s">
        <v>105</v>
      </c>
      <c r="B19" s="1">
        <v>45404.422916666699</v>
      </c>
      <c r="C19" t="s">
        <v>111</v>
      </c>
      <c r="D19" t="s">
        <v>103</v>
      </c>
      <c r="E19" t="s">
        <v>79</v>
      </c>
      <c r="F19">
        <v>0.7</v>
      </c>
    </row>
    <row r="20" spans="1:103" s="5" customFormat="1" x14ac:dyDescent="0.25">
      <c r="A20" s="5" t="s">
        <v>101</v>
      </c>
      <c r="B20" s="6">
        <v>45376.509722222203</v>
      </c>
      <c r="C20" s="5" t="s">
        <v>111</v>
      </c>
      <c r="D20" s="5" t="s">
        <v>103</v>
      </c>
      <c r="E20" s="5" t="s">
        <v>79</v>
      </c>
      <c r="F20" s="5">
        <v>0.3</v>
      </c>
      <c r="G20" s="5" t="e">
        <f t="shared" si="1"/>
        <v>#VALUE!</v>
      </c>
      <c r="H20"/>
      <c r="I20"/>
      <c r="J20"/>
      <c r="K20"/>
      <c r="L20"/>
      <c r="M20"/>
      <c r="N20"/>
      <c r="O20"/>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c r="CT20"/>
      <c r="CU20"/>
      <c r="CV20"/>
      <c r="CW20"/>
      <c r="CX20"/>
      <c r="CY20"/>
    </row>
    <row r="21" spans="1:103" s="5" customFormat="1" x14ac:dyDescent="0.25">
      <c r="A21" s="5" t="s">
        <v>105</v>
      </c>
      <c r="B21" s="6">
        <v>45376.411805555603</v>
      </c>
      <c r="C21" s="5" t="s">
        <v>111</v>
      </c>
      <c r="D21" s="5" t="s">
        <v>103</v>
      </c>
      <c r="E21" s="5" t="s">
        <v>79</v>
      </c>
      <c r="F21" s="5">
        <v>0.7</v>
      </c>
      <c r="H21"/>
      <c r="I21"/>
      <c r="J21"/>
      <c r="K21"/>
      <c r="L21"/>
      <c r="M21"/>
      <c r="N21"/>
      <c r="O21"/>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c r="CR21"/>
      <c r="CS21"/>
      <c r="CT21"/>
      <c r="CU21"/>
      <c r="CV21"/>
      <c r="CW21"/>
      <c r="CX21"/>
      <c r="CY21"/>
    </row>
    <row r="22" spans="1:103" x14ac:dyDescent="0.25">
      <c r="A22" t="s">
        <v>101</v>
      </c>
      <c r="B22" s="1">
        <v>45348.460416666698</v>
      </c>
      <c r="C22" t="s">
        <v>111</v>
      </c>
      <c r="D22" t="s">
        <v>103</v>
      </c>
      <c r="E22" t="s">
        <v>79</v>
      </c>
      <c r="F22">
        <v>0.3</v>
      </c>
      <c r="G22" t="e">
        <f t="shared" si="1"/>
        <v>#VALUE!</v>
      </c>
    </row>
    <row r="23" spans="1:103" x14ac:dyDescent="0.25">
      <c r="A23" t="s">
        <v>105</v>
      </c>
      <c r="B23" s="1">
        <v>45348.434027777803</v>
      </c>
      <c r="C23" t="s">
        <v>111</v>
      </c>
      <c r="D23" t="s">
        <v>103</v>
      </c>
      <c r="E23" t="s">
        <v>79</v>
      </c>
      <c r="F23">
        <v>0.7</v>
      </c>
    </row>
    <row r="24" spans="1:103" s="5" customFormat="1" x14ac:dyDescent="0.25">
      <c r="A24" s="5" t="s">
        <v>101</v>
      </c>
      <c r="B24" s="6">
        <v>45320.456250000003</v>
      </c>
      <c r="C24" s="5" t="s">
        <v>111</v>
      </c>
      <c r="D24" s="5" t="s">
        <v>103</v>
      </c>
      <c r="E24" s="5" t="s">
        <v>79</v>
      </c>
      <c r="F24" s="5">
        <v>0.3</v>
      </c>
      <c r="G24" s="5" t="e">
        <f t="shared" si="1"/>
        <v>#VALUE!</v>
      </c>
      <c r="H24"/>
      <c r="I24"/>
      <c r="J24"/>
      <c r="K24"/>
      <c r="L24"/>
      <c r="M24"/>
      <c r="N24"/>
      <c r="O24"/>
      <c r="P24"/>
      <c r="Q24"/>
      <c r="R24"/>
      <c r="S24"/>
      <c r="T24"/>
      <c r="U24"/>
      <c r="V24"/>
      <c r="W24"/>
      <c r="X24"/>
      <c r="Y24"/>
      <c r="Z24"/>
      <c r="AA24"/>
      <c r="AB24"/>
      <c r="AC24"/>
      <c r="AD24"/>
      <c r="AE24"/>
      <c r="AF24"/>
      <c r="AG24"/>
      <c r="AH24"/>
      <c r="AI24"/>
      <c r="AJ24"/>
      <c r="AK24"/>
      <c r="AL24"/>
      <c r="AM24"/>
      <c r="AN24"/>
      <c r="AO24"/>
      <c r="AP24"/>
      <c r="AQ24"/>
      <c r="AR24"/>
      <c r="AS24"/>
      <c r="AT24"/>
      <c r="AU24"/>
      <c r="AV24"/>
      <c r="AW24"/>
      <c r="AX24"/>
      <c r="AY24"/>
      <c r="AZ24"/>
      <c r="BA24"/>
      <c r="BB24"/>
      <c r="BC24"/>
      <c r="BD24"/>
      <c r="BE24"/>
      <c r="BF24"/>
      <c r="BG24"/>
      <c r="BH24"/>
      <c r="BI24"/>
      <c r="BJ24"/>
      <c r="BK24"/>
      <c r="BL24"/>
      <c r="BM24"/>
      <c r="BN24"/>
      <c r="BO24"/>
      <c r="BP24"/>
      <c r="BQ24"/>
      <c r="BR24"/>
      <c r="BS24"/>
      <c r="BT24"/>
      <c r="BU24"/>
      <c r="BV24"/>
      <c r="BW24"/>
      <c r="BX24"/>
      <c r="BY24"/>
      <c r="BZ24"/>
      <c r="CA24"/>
      <c r="CB24"/>
      <c r="CC24"/>
      <c r="CD24"/>
      <c r="CE24"/>
      <c r="CF24"/>
      <c r="CG24"/>
      <c r="CH24"/>
      <c r="CI24"/>
      <c r="CJ24"/>
      <c r="CK24"/>
      <c r="CL24"/>
      <c r="CM24"/>
      <c r="CN24"/>
      <c r="CO24"/>
      <c r="CP24"/>
      <c r="CQ24"/>
      <c r="CR24"/>
      <c r="CS24"/>
      <c r="CT24"/>
      <c r="CU24"/>
      <c r="CV24"/>
      <c r="CW24"/>
      <c r="CX24"/>
      <c r="CY24"/>
    </row>
    <row r="25" spans="1:103" s="5" customFormat="1" x14ac:dyDescent="0.25">
      <c r="A25" s="5" t="s">
        <v>105</v>
      </c>
      <c r="B25" s="6">
        <v>45320.327777777798</v>
      </c>
      <c r="C25" s="5" t="s">
        <v>111</v>
      </c>
      <c r="D25" s="5" t="s">
        <v>103</v>
      </c>
      <c r="E25" s="5" t="s">
        <v>79</v>
      </c>
      <c r="F25" s="5">
        <v>0.7</v>
      </c>
      <c r="H25"/>
      <c r="I25"/>
      <c r="J25"/>
      <c r="K25"/>
      <c r="L25"/>
      <c r="M25"/>
      <c r="N25"/>
      <c r="O25"/>
      <c r="P25"/>
      <c r="Q25"/>
      <c r="R25"/>
      <c r="S25"/>
      <c r="T25"/>
      <c r="U25"/>
      <c r="V25"/>
      <c r="W25"/>
      <c r="X25"/>
      <c r="Y25"/>
      <c r="Z25"/>
      <c r="AA25"/>
      <c r="AB25"/>
      <c r="AC25"/>
      <c r="AD25"/>
      <c r="AE25"/>
      <c r="AF25"/>
      <c r="AG25"/>
      <c r="AH25"/>
      <c r="AI25"/>
      <c r="AJ25"/>
      <c r="AK25"/>
      <c r="AL25"/>
      <c r="AM25"/>
      <c r="AN25"/>
      <c r="AO25"/>
      <c r="AP25"/>
      <c r="AQ25"/>
      <c r="AR25"/>
      <c r="AS25"/>
      <c r="AT25"/>
      <c r="AU25"/>
      <c r="AV25"/>
      <c r="AW25"/>
      <c r="AX25"/>
      <c r="AY25"/>
      <c r="AZ25"/>
      <c r="BA25"/>
      <c r="BB25"/>
      <c r="BC25"/>
      <c r="BD25"/>
      <c r="BE25"/>
      <c r="BF25"/>
      <c r="BG25"/>
      <c r="BH25"/>
      <c r="BI25"/>
      <c r="BJ25"/>
      <c r="BK25"/>
      <c r="BL25"/>
      <c r="BM25"/>
      <c r="BN25"/>
      <c r="BO25"/>
      <c r="BP25"/>
      <c r="BQ25"/>
      <c r="BR25"/>
      <c r="BS25"/>
      <c r="BT25"/>
      <c r="BU25"/>
      <c r="BV25"/>
      <c r="BW25"/>
      <c r="BX25"/>
      <c r="BY25"/>
      <c r="BZ25"/>
      <c r="CA25"/>
      <c r="CB25"/>
      <c r="CC25"/>
      <c r="CD25"/>
      <c r="CE25"/>
      <c r="CF25"/>
      <c r="CG25"/>
      <c r="CH25"/>
      <c r="CI25"/>
      <c r="CJ25"/>
      <c r="CK25"/>
      <c r="CL25"/>
      <c r="CM25"/>
      <c r="CN25"/>
      <c r="CO25"/>
      <c r="CP25"/>
      <c r="CQ25"/>
      <c r="CR25"/>
      <c r="CS25"/>
      <c r="CT25"/>
      <c r="CU25"/>
      <c r="CV25"/>
      <c r="CW25"/>
      <c r="CX25"/>
      <c r="CY25"/>
    </row>
    <row r="26" spans="1:103" x14ac:dyDescent="0.25">
      <c r="A26" t="s">
        <v>101</v>
      </c>
      <c r="B26" s="1">
        <v>45293.529166666704</v>
      </c>
      <c r="C26" t="s">
        <v>111</v>
      </c>
      <c r="D26" t="s">
        <v>103</v>
      </c>
      <c r="E26" t="s">
        <v>79</v>
      </c>
      <c r="F26">
        <v>0.3</v>
      </c>
      <c r="G26" t="e">
        <f t="shared" si="1"/>
        <v>#VALUE!</v>
      </c>
    </row>
    <row r="27" spans="1:103" x14ac:dyDescent="0.25">
      <c r="A27" t="s">
        <v>105</v>
      </c>
      <c r="B27" s="1">
        <v>45293.511805555601</v>
      </c>
      <c r="C27" t="s">
        <v>111</v>
      </c>
      <c r="D27" t="s">
        <v>103</v>
      </c>
      <c r="E27" t="s">
        <v>79</v>
      </c>
      <c r="F27">
        <v>0.7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B7ED4D-7E43-4E9A-97C3-227B143F91D2}">
  <dimension ref="A1:DS27"/>
  <sheetViews>
    <sheetView workbookViewId="0">
      <selection activeCell="H17" sqref="H17"/>
    </sheetView>
  </sheetViews>
  <sheetFormatPr defaultRowHeight="12" x14ac:dyDescent="0.25"/>
  <cols>
    <col min="1" max="2" width="24" customWidth="1"/>
    <col min="3" max="3" width="24.28515625" customWidth="1"/>
  </cols>
  <sheetData>
    <row r="1" spans="1:123" x14ac:dyDescent="0.25">
      <c r="A1" s="4" t="s">
        <v>94</v>
      </c>
      <c r="B1" s="3" t="s">
        <v>95</v>
      </c>
      <c r="C1" s="2" t="s">
        <v>96</v>
      </c>
      <c r="D1" s="2" t="s">
        <v>97</v>
      </c>
      <c r="E1" s="2" t="s">
        <v>98</v>
      </c>
      <c r="F1" s="2" t="s">
        <v>99</v>
      </c>
      <c r="G1" s="2" t="s">
        <v>100</v>
      </c>
      <c r="H1" s="2"/>
      <c r="P1" s="2"/>
    </row>
    <row r="2" spans="1:123" x14ac:dyDescent="0.25">
      <c r="A2" t="s">
        <v>101</v>
      </c>
      <c r="B2" s="21">
        <v>45628.438194444447</v>
      </c>
      <c r="C2" t="s">
        <v>112</v>
      </c>
      <c r="D2" t="s">
        <v>103</v>
      </c>
      <c r="E2">
        <v>0.72</v>
      </c>
      <c r="F2">
        <v>0.3</v>
      </c>
      <c r="G2" s="7">
        <f t="shared" ref="G2" si="0">F2*E2+F3*E3</f>
        <v>0.74799999999999989</v>
      </c>
      <c r="H2" s="19" t="s">
        <v>104</v>
      </c>
      <c r="I2" s="20">
        <f>AVERAGE(G2:G27)</f>
        <v>0.9687692307692306</v>
      </c>
      <c r="L2" s="25"/>
      <c r="O2" s="25"/>
      <c r="P2" s="7"/>
      <c r="Q2" s="7"/>
      <c r="R2" s="7"/>
      <c r="S2" s="7"/>
      <c r="U2" s="7"/>
    </row>
    <row r="3" spans="1:123" x14ac:dyDescent="0.25">
      <c r="A3" t="s">
        <v>105</v>
      </c>
      <c r="B3" s="21">
        <v>45628.431250000001</v>
      </c>
      <c r="C3" t="s">
        <v>112</v>
      </c>
      <c r="D3" t="s">
        <v>103</v>
      </c>
      <c r="E3">
        <v>0.76</v>
      </c>
      <c r="F3">
        <v>0.7</v>
      </c>
      <c r="G3" s="7"/>
      <c r="H3" s="12" t="s">
        <v>41</v>
      </c>
      <c r="I3" s="12">
        <f>MIN(G2:G27)</f>
        <v>0.20899999999999999</v>
      </c>
      <c r="K3" s="24"/>
      <c r="P3" s="7"/>
      <c r="Q3" s="7"/>
      <c r="R3" s="7"/>
      <c r="S3" s="7"/>
      <c r="U3" s="7"/>
    </row>
    <row r="4" spans="1:123" s="5" customFormat="1" x14ac:dyDescent="0.25">
      <c r="A4" s="5" t="s">
        <v>101</v>
      </c>
      <c r="B4" s="6">
        <v>45600.471527777801</v>
      </c>
      <c r="C4" s="5" t="s">
        <v>112</v>
      </c>
      <c r="D4" s="5" t="s">
        <v>103</v>
      </c>
      <c r="E4" s="5">
        <v>0.76</v>
      </c>
      <c r="F4" s="5">
        <v>0.3</v>
      </c>
      <c r="G4" s="48">
        <f>F4*E4+F5*E5</f>
        <v>0.879</v>
      </c>
      <c r="H4" s="12" t="s">
        <v>42</v>
      </c>
      <c r="I4" s="12">
        <f>MAX(G2:G27)</f>
        <v>1.64</v>
      </c>
      <c r="J4"/>
      <c r="K4" s="24"/>
      <c r="L4"/>
      <c r="M4"/>
      <c r="N4"/>
      <c r="O4"/>
      <c r="P4" s="7"/>
      <c r="Q4" s="7"/>
      <c r="R4" s="7"/>
      <c r="S4" s="7"/>
      <c r="T4"/>
      <c r="U4" s="7"/>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row>
    <row r="5" spans="1:123" s="5" customFormat="1" x14ac:dyDescent="0.25">
      <c r="A5" s="5" t="s">
        <v>105</v>
      </c>
      <c r="B5" s="6">
        <v>45600.462500000001</v>
      </c>
      <c r="C5" s="5" t="s">
        <v>112</v>
      </c>
      <c r="D5" s="5" t="s">
        <v>103</v>
      </c>
      <c r="E5" s="5">
        <v>0.93</v>
      </c>
      <c r="F5" s="5">
        <v>0.7</v>
      </c>
      <c r="G5" s="48"/>
      <c r="H5" s="12" t="s">
        <v>106</v>
      </c>
      <c r="I5" s="15">
        <f>_xlfn.STDEV.S(G2:G27)</f>
        <v>0.32273909840771703</v>
      </c>
      <c r="J5"/>
      <c r="K5"/>
      <c r="L5"/>
      <c r="M5"/>
      <c r="N5"/>
      <c r="O5"/>
      <c r="P5"/>
      <c r="Q5"/>
      <c r="R5"/>
      <c r="S5"/>
      <c r="T5"/>
      <c r="U5"/>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row>
    <row r="6" spans="1:123" x14ac:dyDescent="0.25">
      <c r="A6" t="s">
        <v>101</v>
      </c>
      <c r="B6" s="1">
        <v>45572.4375</v>
      </c>
      <c r="C6" t="s">
        <v>112</v>
      </c>
      <c r="D6" t="s">
        <v>103</v>
      </c>
      <c r="E6">
        <v>0.71</v>
      </c>
      <c r="F6">
        <v>0.3</v>
      </c>
      <c r="G6" s="7">
        <f t="shared" ref="G6:G26" si="1">F6*E6+F7*E7</f>
        <v>0.7659999999999999</v>
      </c>
      <c r="H6" s="12" t="s">
        <v>107</v>
      </c>
      <c r="I6" s="15">
        <f>I5/SQRT(COUNT(G2:G27))</f>
        <v>8.9511720608157083E-2</v>
      </c>
    </row>
    <row r="7" spans="1:123" x14ac:dyDescent="0.25">
      <c r="A7" t="s">
        <v>105</v>
      </c>
      <c r="B7" s="1">
        <v>45572.418749999997</v>
      </c>
      <c r="C7" t="s">
        <v>112</v>
      </c>
      <c r="D7" t="s">
        <v>103</v>
      </c>
      <c r="E7">
        <v>0.79</v>
      </c>
      <c r="F7">
        <v>0.7</v>
      </c>
      <c r="G7" s="7"/>
      <c r="H7" s="12" t="s">
        <v>83</v>
      </c>
      <c r="I7" s="15">
        <f>_xlfn.T.INV.2T(0.05, COUNT(G2:G27)-1)</f>
        <v>2.1788128296672284</v>
      </c>
    </row>
    <row r="8" spans="1:123" s="5" customFormat="1" x14ac:dyDescent="0.25">
      <c r="A8" s="5" t="s">
        <v>101</v>
      </c>
      <c r="B8" s="6">
        <v>45544.418055555601</v>
      </c>
      <c r="C8" s="5" t="s">
        <v>112</v>
      </c>
      <c r="D8" s="5" t="s">
        <v>103</v>
      </c>
      <c r="E8" s="5">
        <v>1</v>
      </c>
      <c r="F8" s="5">
        <v>0.3</v>
      </c>
      <c r="G8" s="48">
        <f t="shared" si="1"/>
        <v>1.07</v>
      </c>
      <c r="H8" s="12" t="s">
        <v>108</v>
      </c>
      <c r="I8" s="12">
        <f>I7*I6</f>
        <v>0.19502928526664109</v>
      </c>
      <c r="J8"/>
      <c r="K8"/>
      <c r="L8"/>
      <c r="M8"/>
      <c r="N8"/>
      <c r="O8"/>
      <c r="P8"/>
      <c r="Q8"/>
      <c r="R8"/>
      <c r="S8"/>
      <c r="T8"/>
      <c r="U8"/>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row>
    <row r="9" spans="1:123" s="5" customFormat="1" x14ac:dyDescent="0.25">
      <c r="A9" s="5" t="s">
        <v>105</v>
      </c>
      <c r="B9" s="6">
        <v>45544.417361111096</v>
      </c>
      <c r="C9" s="5" t="s">
        <v>112</v>
      </c>
      <c r="D9" s="5" t="s">
        <v>103</v>
      </c>
      <c r="E9" s="5">
        <v>1.1000000000000001</v>
      </c>
      <c r="F9" s="5">
        <v>0.7</v>
      </c>
      <c r="G9" s="48"/>
      <c r="H9" s="12" t="s">
        <v>109</v>
      </c>
      <c r="I9" s="15">
        <f>I2-I8</f>
        <v>0.77373994550258951</v>
      </c>
      <c r="J9"/>
      <c r="K9"/>
      <c r="L9"/>
      <c r="M9"/>
      <c r="N9"/>
      <c r="O9"/>
      <c r="P9"/>
      <c r="Q9"/>
      <c r="R9"/>
      <c r="S9"/>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row>
    <row r="10" spans="1:123" x14ac:dyDescent="0.25">
      <c r="A10" t="s">
        <v>101</v>
      </c>
      <c r="B10" s="1">
        <v>45516.5402777778</v>
      </c>
      <c r="C10" t="s">
        <v>112</v>
      </c>
      <c r="D10" t="s">
        <v>103</v>
      </c>
      <c r="E10">
        <v>1.1000000000000001</v>
      </c>
      <c r="F10">
        <v>0.3</v>
      </c>
      <c r="G10" s="7">
        <f t="shared" si="1"/>
        <v>1.03</v>
      </c>
      <c r="H10" s="12" t="s">
        <v>110</v>
      </c>
      <c r="I10" s="15">
        <f>I2+I8</f>
        <v>1.1637985160358717</v>
      </c>
    </row>
    <row r="11" spans="1:123" x14ac:dyDescent="0.25">
      <c r="A11" t="s">
        <v>105</v>
      </c>
      <c r="B11" s="1">
        <v>45516.465972222199</v>
      </c>
      <c r="C11" t="s">
        <v>112</v>
      </c>
      <c r="D11" t="s">
        <v>103</v>
      </c>
      <c r="E11">
        <v>1</v>
      </c>
      <c r="F11">
        <v>0.7</v>
      </c>
      <c r="G11" s="7"/>
    </row>
    <row r="12" spans="1:123" s="5" customFormat="1" x14ac:dyDescent="0.25">
      <c r="A12" s="5" t="s">
        <v>105</v>
      </c>
      <c r="B12" s="6">
        <v>45488.445138888899</v>
      </c>
      <c r="C12" s="5" t="s">
        <v>112</v>
      </c>
      <c r="D12" s="5" t="s">
        <v>103</v>
      </c>
      <c r="E12" s="5" t="s">
        <v>113</v>
      </c>
      <c r="F12" s="5">
        <v>0.7</v>
      </c>
      <c r="G12" s="50">
        <f>F12*0.2+F13*E13</f>
        <v>0.20899999999999999</v>
      </c>
      <c r="H12" s="55" t="s">
        <v>114</v>
      </c>
      <c r="I12"/>
      <c r="J12"/>
      <c r="K12"/>
      <c r="L12"/>
      <c r="M12"/>
      <c r="N12"/>
      <c r="O12"/>
      <c r="P12"/>
      <c r="Q12"/>
      <c r="R12"/>
      <c r="S12"/>
      <c r="T12"/>
      <c r="U12"/>
      <c r="V12"/>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row>
    <row r="13" spans="1:123" s="5" customFormat="1" x14ac:dyDescent="0.25">
      <c r="A13" s="5" t="s">
        <v>101</v>
      </c>
      <c r="B13" s="6">
        <v>45488.444444444402</v>
      </c>
      <c r="C13" s="5" t="s">
        <v>112</v>
      </c>
      <c r="D13" s="5" t="s">
        <v>103</v>
      </c>
      <c r="E13" s="5">
        <v>0.23</v>
      </c>
      <c r="F13" s="5">
        <v>0.3</v>
      </c>
      <c r="G13" s="48"/>
      <c r="H13"/>
      <c r="I13"/>
      <c r="J13"/>
      <c r="K13"/>
      <c r="L13"/>
      <c r="M13"/>
      <c r="N13"/>
      <c r="O13"/>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row>
    <row r="14" spans="1:123" x14ac:dyDescent="0.25">
      <c r="A14" t="s">
        <v>101</v>
      </c>
      <c r="B14" s="1">
        <v>45460.436805555597</v>
      </c>
      <c r="C14" t="s">
        <v>112</v>
      </c>
      <c r="D14" t="s">
        <v>103</v>
      </c>
      <c r="E14">
        <v>0.94</v>
      </c>
      <c r="F14">
        <v>0.3</v>
      </c>
      <c r="G14" s="7">
        <f t="shared" si="1"/>
        <v>0.98199999999999998</v>
      </c>
    </row>
    <row r="15" spans="1:123" x14ac:dyDescent="0.25">
      <c r="A15" t="s">
        <v>105</v>
      </c>
      <c r="B15" s="1">
        <v>45460.392361111102</v>
      </c>
      <c r="C15" t="s">
        <v>112</v>
      </c>
      <c r="D15" t="s">
        <v>103</v>
      </c>
      <c r="E15">
        <v>1</v>
      </c>
      <c r="F15">
        <v>0.7</v>
      </c>
      <c r="G15" s="7"/>
    </row>
    <row r="16" spans="1:123" s="5" customFormat="1" x14ac:dyDescent="0.25">
      <c r="A16" s="5" t="s">
        <v>101</v>
      </c>
      <c r="B16" s="6">
        <v>45433.475694444402</v>
      </c>
      <c r="C16" s="5" t="s">
        <v>112</v>
      </c>
      <c r="D16" s="5" t="s">
        <v>103</v>
      </c>
      <c r="E16" s="5">
        <v>1.5</v>
      </c>
      <c r="F16" s="5">
        <v>0.3</v>
      </c>
      <c r="G16" s="48">
        <f t="shared" si="1"/>
        <v>1.64</v>
      </c>
      <c r="H16"/>
      <c r="I16"/>
      <c r="J16"/>
      <c r="K16"/>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c r="CR16"/>
      <c r="CS16"/>
      <c r="CT16"/>
      <c r="CU16"/>
      <c r="CV16"/>
      <c r="CW16"/>
      <c r="CX16"/>
      <c r="CY16"/>
      <c r="CZ16"/>
      <c r="DA16"/>
      <c r="DB16"/>
      <c r="DC16"/>
      <c r="DD16"/>
      <c r="DE16"/>
      <c r="DF16"/>
      <c r="DG16"/>
      <c r="DH16"/>
      <c r="DI16"/>
      <c r="DJ16"/>
      <c r="DK16"/>
      <c r="DL16"/>
      <c r="DM16"/>
      <c r="DN16"/>
      <c r="DO16"/>
      <c r="DP16"/>
      <c r="DQ16"/>
      <c r="DR16"/>
      <c r="DS16"/>
    </row>
    <row r="17" spans="1:123" s="5" customFormat="1" x14ac:dyDescent="0.25">
      <c r="A17" s="5" t="s">
        <v>105</v>
      </c>
      <c r="B17" s="6">
        <v>45433.290972222203</v>
      </c>
      <c r="C17" s="5" t="s">
        <v>112</v>
      </c>
      <c r="D17" s="5" t="s">
        <v>103</v>
      </c>
      <c r="E17" s="5">
        <v>1.7</v>
      </c>
      <c r="F17" s="5">
        <v>0.7</v>
      </c>
      <c r="G17" s="48"/>
      <c r="H17"/>
      <c r="I17"/>
      <c r="J17"/>
      <c r="K17"/>
      <c r="L17"/>
      <c r="M17"/>
      <c r="N17"/>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row>
    <row r="18" spans="1:123" x14ac:dyDescent="0.25">
      <c r="A18" t="s">
        <v>101</v>
      </c>
      <c r="B18" s="1">
        <v>45404.519444444399</v>
      </c>
      <c r="C18" t="s">
        <v>112</v>
      </c>
      <c r="D18" t="s">
        <v>103</v>
      </c>
      <c r="E18">
        <v>1.2</v>
      </c>
      <c r="F18">
        <v>0.3</v>
      </c>
      <c r="G18" s="7">
        <f t="shared" si="1"/>
        <v>1.2</v>
      </c>
    </row>
    <row r="19" spans="1:123" x14ac:dyDescent="0.25">
      <c r="A19" t="s">
        <v>105</v>
      </c>
      <c r="B19" s="1">
        <v>45404.422916666699</v>
      </c>
      <c r="C19" t="s">
        <v>112</v>
      </c>
      <c r="D19" t="s">
        <v>103</v>
      </c>
      <c r="E19">
        <v>1.2</v>
      </c>
      <c r="F19">
        <v>0.7</v>
      </c>
      <c r="G19" s="7"/>
    </row>
    <row r="20" spans="1:123" s="5" customFormat="1" x14ac:dyDescent="0.25">
      <c r="A20" s="5" t="s">
        <v>101</v>
      </c>
      <c r="B20" s="6">
        <v>45376.509722222203</v>
      </c>
      <c r="C20" s="5" t="s">
        <v>112</v>
      </c>
      <c r="D20" s="5" t="s">
        <v>103</v>
      </c>
      <c r="E20" s="5">
        <v>1</v>
      </c>
      <c r="F20" s="5">
        <v>0.3</v>
      </c>
      <c r="G20" s="48">
        <f t="shared" si="1"/>
        <v>1.07</v>
      </c>
      <c r="H20"/>
      <c r="I20"/>
      <c r="J20"/>
      <c r="K20"/>
      <c r="L20"/>
      <c r="M20"/>
      <c r="N20"/>
      <c r="O20"/>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c r="DI20"/>
      <c r="DJ20"/>
      <c r="DK20"/>
      <c r="DL20"/>
      <c r="DM20"/>
      <c r="DN20"/>
      <c r="DO20"/>
      <c r="DP20"/>
      <c r="DQ20"/>
      <c r="DR20"/>
      <c r="DS20"/>
    </row>
    <row r="21" spans="1:123" s="5" customFormat="1" x14ac:dyDescent="0.25">
      <c r="A21" s="5" t="s">
        <v>105</v>
      </c>
      <c r="B21" s="6">
        <v>45376.411805555603</v>
      </c>
      <c r="C21" s="5" t="s">
        <v>112</v>
      </c>
      <c r="D21" s="5" t="s">
        <v>103</v>
      </c>
      <c r="E21" s="5">
        <v>1.1000000000000001</v>
      </c>
      <c r="F21" s="5">
        <v>0.7</v>
      </c>
      <c r="G21" s="48"/>
      <c r="H21"/>
      <c r="I21"/>
      <c r="J21"/>
      <c r="K21"/>
      <c r="L21"/>
      <c r="M21"/>
      <c r="N21"/>
      <c r="O21"/>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c r="CR21"/>
      <c r="CS21"/>
      <c r="CT21"/>
      <c r="CU21"/>
      <c r="CV21"/>
      <c r="CW21"/>
      <c r="CX21"/>
      <c r="CY21"/>
      <c r="CZ21"/>
      <c r="DA21"/>
      <c r="DB21"/>
      <c r="DC21"/>
      <c r="DD21"/>
      <c r="DE21"/>
      <c r="DF21"/>
      <c r="DG21"/>
      <c r="DH21"/>
      <c r="DI21"/>
      <c r="DJ21"/>
      <c r="DK21"/>
      <c r="DL21"/>
      <c r="DM21"/>
      <c r="DN21"/>
      <c r="DO21"/>
      <c r="DP21"/>
      <c r="DQ21"/>
      <c r="DR21"/>
      <c r="DS21"/>
    </row>
    <row r="22" spans="1:123" x14ac:dyDescent="0.25">
      <c r="A22" t="s">
        <v>101</v>
      </c>
      <c r="B22" s="1">
        <v>45348.460416666698</v>
      </c>
      <c r="C22" t="s">
        <v>112</v>
      </c>
      <c r="D22" t="s">
        <v>103</v>
      </c>
      <c r="E22">
        <v>1.1000000000000001</v>
      </c>
      <c r="F22">
        <v>0.3</v>
      </c>
      <c r="G22" s="7">
        <f t="shared" si="1"/>
        <v>1.03</v>
      </c>
    </row>
    <row r="23" spans="1:123" x14ac:dyDescent="0.25">
      <c r="A23" t="s">
        <v>105</v>
      </c>
      <c r="B23" s="1">
        <v>45348.434027777803</v>
      </c>
      <c r="C23" t="s">
        <v>112</v>
      </c>
      <c r="D23" t="s">
        <v>103</v>
      </c>
      <c r="E23">
        <v>1</v>
      </c>
      <c r="F23">
        <v>0.7</v>
      </c>
      <c r="G23" s="7"/>
    </row>
    <row r="24" spans="1:123" s="5" customFormat="1" x14ac:dyDescent="0.25">
      <c r="A24" s="5" t="s">
        <v>101</v>
      </c>
      <c r="B24" s="6">
        <v>45320.456250000003</v>
      </c>
      <c r="C24" s="5" t="s">
        <v>112</v>
      </c>
      <c r="D24" s="5" t="s">
        <v>103</v>
      </c>
      <c r="E24" s="5">
        <v>1.2</v>
      </c>
      <c r="F24" s="5">
        <v>0.3</v>
      </c>
      <c r="G24" s="48">
        <f t="shared" si="1"/>
        <v>1.1299999999999999</v>
      </c>
      <c r="H24"/>
      <c r="I24"/>
      <c r="J24"/>
      <c r="K24"/>
      <c r="L24"/>
      <c r="M24"/>
      <c r="N24"/>
      <c r="O24"/>
      <c r="P24"/>
      <c r="Q24"/>
      <c r="R24"/>
      <c r="S24"/>
      <c r="T24"/>
      <c r="U24"/>
      <c r="V24"/>
      <c r="W24"/>
      <c r="X24"/>
      <c r="Y24"/>
      <c r="Z24"/>
      <c r="AA24"/>
      <c r="AB24"/>
      <c r="AC24"/>
      <c r="AD24"/>
      <c r="AE24"/>
      <c r="AF24"/>
      <c r="AG24"/>
      <c r="AH24"/>
      <c r="AI24"/>
      <c r="AJ24"/>
      <c r="AK24"/>
      <c r="AL24"/>
      <c r="AM24"/>
      <c r="AN24"/>
      <c r="AO24"/>
      <c r="AP24"/>
      <c r="AQ24"/>
      <c r="AR24"/>
      <c r="AS24"/>
      <c r="AT24"/>
      <c r="AU24"/>
      <c r="AV24"/>
      <c r="AW24"/>
      <c r="AX24"/>
      <c r="AY24"/>
      <c r="AZ24"/>
      <c r="BA24"/>
      <c r="BB24"/>
      <c r="BC24"/>
      <c r="BD24"/>
      <c r="BE24"/>
      <c r="BF24"/>
      <c r="BG24"/>
      <c r="BH24"/>
      <c r="BI24"/>
      <c r="BJ24"/>
      <c r="BK24"/>
      <c r="BL24"/>
      <c r="BM24"/>
      <c r="BN24"/>
      <c r="BO24"/>
      <c r="BP24"/>
      <c r="BQ24"/>
      <c r="BR24"/>
      <c r="BS24"/>
      <c r="BT24"/>
      <c r="BU24"/>
      <c r="BV24"/>
      <c r="BW24"/>
      <c r="BX24"/>
      <c r="BY24"/>
      <c r="BZ24"/>
      <c r="CA24"/>
      <c r="CB24"/>
      <c r="CC24"/>
      <c r="CD24"/>
      <c r="CE24"/>
      <c r="CF24"/>
      <c r="CG24"/>
      <c r="CH24"/>
      <c r="CI24"/>
      <c r="CJ24"/>
      <c r="CK24"/>
      <c r="CL24"/>
      <c r="CM24"/>
      <c r="CN24"/>
      <c r="CO24"/>
      <c r="CP24"/>
      <c r="CQ24"/>
      <c r="CR24"/>
      <c r="CS24"/>
      <c r="CT24"/>
      <c r="CU24"/>
      <c r="CV24"/>
      <c r="CW24"/>
      <c r="CX24"/>
      <c r="CY24"/>
      <c r="CZ24"/>
      <c r="DA24"/>
      <c r="DB24"/>
      <c r="DC24"/>
      <c r="DD24"/>
      <c r="DE24"/>
      <c r="DF24"/>
      <c r="DG24"/>
      <c r="DH24"/>
      <c r="DI24"/>
      <c r="DJ24"/>
      <c r="DK24"/>
      <c r="DL24"/>
      <c r="DM24"/>
      <c r="DN24"/>
      <c r="DO24"/>
      <c r="DP24"/>
      <c r="DQ24"/>
      <c r="DR24"/>
      <c r="DS24"/>
    </row>
    <row r="25" spans="1:123" s="5" customFormat="1" x14ac:dyDescent="0.25">
      <c r="A25" s="5" t="s">
        <v>105</v>
      </c>
      <c r="B25" s="6">
        <v>45320.327777777798</v>
      </c>
      <c r="C25" s="5" t="s">
        <v>112</v>
      </c>
      <c r="D25" s="5" t="s">
        <v>103</v>
      </c>
      <c r="E25" s="5">
        <v>1.1000000000000001</v>
      </c>
      <c r="F25" s="5">
        <v>0.7</v>
      </c>
      <c r="G25" s="48"/>
      <c r="H25"/>
      <c r="I25"/>
      <c r="J25"/>
      <c r="K25"/>
      <c r="L25"/>
      <c r="M25"/>
      <c r="N25"/>
      <c r="O25"/>
      <c r="P25"/>
      <c r="Q25"/>
      <c r="R25"/>
      <c r="S25"/>
      <c r="T25"/>
      <c r="U25"/>
      <c r="V25"/>
      <c r="W25"/>
      <c r="X25"/>
      <c r="Y25"/>
      <c r="Z25"/>
      <c r="AA25"/>
      <c r="AB25"/>
      <c r="AC25"/>
      <c r="AD25"/>
      <c r="AE25"/>
      <c r="AF25"/>
      <c r="AG25"/>
      <c r="AH25"/>
      <c r="AI25"/>
      <c r="AJ25"/>
      <c r="AK25"/>
      <c r="AL25"/>
      <c r="AM25"/>
      <c r="AN25"/>
      <c r="AO25"/>
      <c r="AP25"/>
      <c r="AQ25"/>
      <c r="AR25"/>
      <c r="AS25"/>
      <c r="AT25"/>
      <c r="AU25"/>
      <c r="AV25"/>
      <c r="AW25"/>
      <c r="AX25"/>
      <c r="AY25"/>
      <c r="AZ25"/>
      <c r="BA25"/>
      <c r="BB25"/>
      <c r="BC25"/>
      <c r="BD25"/>
      <c r="BE25"/>
      <c r="BF25"/>
      <c r="BG25"/>
      <c r="BH25"/>
      <c r="BI25"/>
      <c r="BJ25"/>
      <c r="BK25"/>
      <c r="BL25"/>
      <c r="BM25"/>
      <c r="BN25"/>
      <c r="BO25"/>
      <c r="BP25"/>
      <c r="BQ25"/>
      <c r="BR25"/>
      <c r="BS25"/>
      <c r="BT25"/>
      <c r="BU25"/>
      <c r="BV25"/>
      <c r="BW25"/>
      <c r="BX25"/>
      <c r="BY25"/>
      <c r="BZ25"/>
      <c r="CA25"/>
      <c r="CB25"/>
      <c r="CC25"/>
      <c r="CD25"/>
      <c r="CE25"/>
      <c r="CF25"/>
      <c r="CG25"/>
      <c r="CH25"/>
      <c r="CI25"/>
      <c r="CJ25"/>
      <c r="CK25"/>
      <c r="CL25"/>
      <c r="CM25"/>
      <c r="CN25"/>
      <c r="CO25"/>
      <c r="CP25"/>
      <c r="CQ25"/>
      <c r="CR25"/>
      <c r="CS25"/>
      <c r="CT25"/>
      <c r="CU25"/>
      <c r="CV25"/>
      <c r="CW25"/>
      <c r="CX25"/>
      <c r="CY25"/>
      <c r="CZ25"/>
      <c r="DA25"/>
      <c r="DB25"/>
      <c r="DC25"/>
      <c r="DD25"/>
      <c r="DE25"/>
      <c r="DF25"/>
      <c r="DG25"/>
      <c r="DH25"/>
      <c r="DI25"/>
      <c r="DJ25"/>
      <c r="DK25"/>
      <c r="DL25"/>
      <c r="DM25"/>
      <c r="DN25"/>
      <c r="DO25"/>
      <c r="DP25"/>
      <c r="DQ25"/>
      <c r="DR25"/>
      <c r="DS25"/>
    </row>
    <row r="26" spans="1:123" x14ac:dyDescent="0.25">
      <c r="A26" t="s">
        <v>101</v>
      </c>
      <c r="B26" s="1">
        <v>45293.529166666704</v>
      </c>
      <c r="C26" t="s">
        <v>112</v>
      </c>
      <c r="D26" t="s">
        <v>103</v>
      </c>
      <c r="E26">
        <v>0.84</v>
      </c>
      <c r="F26">
        <v>0.3</v>
      </c>
      <c r="G26" s="7">
        <f t="shared" si="1"/>
        <v>0.84</v>
      </c>
    </row>
    <row r="27" spans="1:123" x14ac:dyDescent="0.25">
      <c r="A27" t="s">
        <v>105</v>
      </c>
      <c r="B27" s="1">
        <v>45293.511805555601</v>
      </c>
      <c r="C27" t="s">
        <v>112</v>
      </c>
      <c r="D27" t="s">
        <v>103</v>
      </c>
      <c r="E27">
        <v>0.84</v>
      </c>
      <c r="F27">
        <v>0.7</v>
      </c>
      <c r="P27" s="2"/>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D301B0-5495-4D33-9EC3-8EA1599C5E8A}">
  <dimension ref="A1:CV27"/>
  <sheetViews>
    <sheetView workbookViewId="0">
      <selection activeCell="E34" sqref="E34"/>
    </sheetView>
  </sheetViews>
  <sheetFormatPr defaultRowHeight="12" x14ac:dyDescent="0.25"/>
  <cols>
    <col min="1" max="2" width="24" customWidth="1"/>
    <col min="3" max="3" width="24.28515625" customWidth="1"/>
  </cols>
  <sheetData>
    <row r="1" spans="1:100" x14ac:dyDescent="0.25">
      <c r="A1" s="4" t="s">
        <v>94</v>
      </c>
      <c r="B1" s="3" t="s">
        <v>95</v>
      </c>
      <c r="C1" s="2" t="s">
        <v>96</v>
      </c>
      <c r="D1" s="2" t="s">
        <v>97</v>
      </c>
      <c r="E1" s="2" t="s">
        <v>98</v>
      </c>
      <c r="F1" s="2" t="s">
        <v>99</v>
      </c>
      <c r="G1" s="2" t="s">
        <v>100</v>
      </c>
      <c r="H1" s="2"/>
    </row>
    <row r="2" spans="1:100" x14ac:dyDescent="0.25">
      <c r="A2" t="s">
        <v>101</v>
      </c>
      <c r="B2" s="21">
        <v>45628.438194444447</v>
      </c>
      <c r="C2" t="s">
        <v>115</v>
      </c>
      <c r="D2" t="s">
        <v>103</v>
      </c>
      <c r="E2">
        <v>0.94</v>
      </c>
      <c r="F2">
        <v>0.3</v>
      </c>
      <c r="G2" s="7">
        <f t="shared" ref="G2" si="0">F2*E2+F3*E3</f>
        <v>0.96799999999999997</v>
      </c>
      <c r="H2" s="19" t="s">
        <v>104</v>
      </c>
      <c r="I2" s="20">
        <f>AVERAGE(G2:G27)</f>
        <v>1.3832307692307688</v>
      </c>
      <c r="L2" s="25"/>
    </row>
    <row r="3" spans="1:100" x14ac:dyDescent="0.25">
      <c r="A3" t="s">
        <v>105</v>
      </c>
      <c r="B3" s="21">
        <v>45628.431250000001</v>
      </c>
      <c r="C3" t="s">
        <v>115</v>
      </c>
      <c r="D3" t="s">
        <v>103</v>
      </c>
      <c r="E3">
        <v>0.98</v>
      </c>
      <c r="F3">
        <v>0.7</v>
      </c>
      <c r="G3" s="7"/>
      <c r="H3" s="12" t="s">
        <v>41</v>
      </c>
      <c r="I3" s="12">
        <f>MIN(G2:G27)</f>
        <v>0.96699999999999997</v>
      </c>
      <c r="K3" s="24"/>
    </row>
    <row r="4" spans="1:100" s="5" customFormat="1" x14ac:dyDescent="0.25">
      <c r="A4" s="5" t="s">
        <v>101</v>
      </c>
      <c r="B4" s="6">
        <v>45600.471527777801</v>
      </c>
      <c r="C4" s="5" t="s">
        <v>115</v>
      </c>
      <c r="D4" s="5" t="s">
        <v>103</v>
      </c>
      <c r="E4" s="5">
        <v>0.99</v>
      </c>
      <c r="F4" s="5">
        <v>0.3</v>
      </c>
      <c r="G4" s="48">
        <f>F4*E4+F5*E5</f>
        <v>1.0669999999999999</v>
      </c>
      <c r="H4" s="12" t="s">
        <v>42</v>
      </c>
      <c r="I4" s="12">
        <f>MAX(G2:G27)</f>
        <v>1.8699999999999999</v>
      </c>
      <c r="J4"/>
      <c r="K4" s="24"/>
      <c r="L4"/>
      <c r="M4"/>
      <c r="N4"/>
      <c r="O4"/>
      <c r="P4"/>
      <c r="Q4"/>
      <c r="R4"/>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row>
    <row r="5" spans="1:100" s="5" customFormat="1" x14ac:dyDescent="0.25">
      <c r="A5" s="5" t="s">
        <v>105</v>
      </c>
      <c r="B5" s="6">
        <v>45600.462500000001</v>
      </c>
      <c r="C5" s="5" t="s">
        <v>115</v>
      </c>
      <c r="D5" s="5" t="s">
        <v>103</v>
      </c>
      <c r="E5" s="5">
        <v>1.1000000000000001</v>
      </c>
      <c r="F5" s="5">
        <v>0.7</v>
      </c>
      <c r="G5" s="48"/>
      <c r="H5" s="12" t="s">
        <v>106</v>
      </c>
      <c r="I5" s="15">
        <f>_xlfn.STDEV.S(G2:G27)</f>
        <v>0.27449139447535686</v>
      </c>
      <c r="J5"/>
      <c r="K5"/>
      <c r="L5"/>
      <c r="M5"/>
      <c r="N5"/>
      <c r="O5"/>
      <c r="P5"/>
      <c r="Q5"/>
      <c r="R5"/>
      <c r="S5"/>
      <c r="T5"/>
      <c r="U5"/>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row>
    <row r="6" spans="1:100" x14ac:dyDescent="0.25">
      <c r="A6" t="s">
        <v>101</v>
      </c>
      <c r="B6" s="1">
        <v>45572.4375</v>
      </c>
      <c r="C6" t="s">
        <v>115</v>
      </c>
      <c r="D6" t="s">
        <v>103</v>
      </c>
      <c r="E6">
        <v>0.89</v>
      </c>
      <c r="F6">
        <v>0.3</v>
      </c>
      <c r="G6" s="7">
        <f t="shared" ref="G6:G26" si="1">F6*E6+F7*E7</f>
        <v>0.96699999999999997</v>
      </c>
      <c r="H6" s="12" t="s">
        <v>107</v>
      </c>
      <c r="I6" s="15">
        <f>I5/SQRT(COUNT(G2:G27))</f>
        <v>7.6130215188808623E-2</v>
      </c>
    </row>
    <row r="7" spans="1:100" x14ac:dyDescent="0.25">
      <c r="A7" t="s">
        <v>105</v>
      </c>
      <c r="B7" s="1">
        <v>45572.418749999997</v>
      </c>
      <c r="C7" t="s">
        <v>115</v>
      </c>
      <c r="D7" t="s">
        <v>103</v>
      </c>
      <c r="E7">
        <v>1</v>
      </c>
      <c r="F7">
        <v>0.7</v>
      </c>
      <c r="G7" s="7"/>
      <c r="H7" s="12" t="s">
        <v>83</v>
      </c>
      <c r="I7" s="15">
        <f>_xlfn.T.INV.2T(0.05, COUNT(G2:G27)-1)</f>
        <v>2.1788128296672284</v>
      </c>
    </row>
    <row r="8" spans="1:100" s="5" customFormat="1" x14ac:dyDescent="0.25">
      <c r="A8" s="5" t="s">
        <v>101</v>
      </c>
      <c r="B8" s="6">
        <v>45544.418055555601</v>
      </c>
      <c r="C8" s="5" t="s">
        <v>115</v>
      </c>
      <c r="D8" s="5" t="s">
        <v>103</v>
      </c>
      <c r="E8" s="5">
        <v>1.3</v>
      </c>
      <c r="F8" s="5">
        <v>0.3</v>
      </c>
      <c r="G8" s="48">
        <f t="shared" si="1"/>
        <v>1.44</v>
      </c>
      <c r="H8" s="12" t="s">
        <v>108</v>
      </c>
      <c r="I8" s="12">
        <f>I7*I6</f>
        <v>0.16587348957870313</v>
      </c>
      <c r="J8"/>
      <c r="K8"/>
      <c r="L8"/>
      <c r="M8"/>
      <c r="N8"/>
      <c r="O8"/>
      <c r="P8"/>
      <c r="Q8"/>
      <c r="R8"/>
      <c r="S8"/>
      <c r="T8"/>
      <c r="U8"/>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row>
    <row r="9" spans="1:100" s="5" customFormat="1" x14ac:dyDescent="0.25">
      <c r="A9" s="5" t="s">
        <v>105</v>
      </c>
      <c r="B9" s="6">
        <v>45544.417361111096</v>
      </c>
      <c r="C9" s="5" t="s">
        <v>115</v>
      </c>
      <c r="D9" s="5" t="s">
        <v>103</v>
      </c>
      <c r="E9" s="5">
        <v>1.5</v>
      </c>
      <c r="F9" s="5">
        <v>0.7</v>
      </c>
      <c r="G9" s="48"/>
      <c r="H9" s="12" t="s">
        <v>109</v>
      </c>
      <c r="I9" s="15">
        <f>I2-I8</f>
        <v>1.2173572796520657</v>
      </c>
      <c r="J9"/>
      <c r="K9"/>
      <c r="L9"/>
      <c r="M9"/>
      <c r="N9"/>
      <c r="O9"/>
      <c r="P9"/>
      <c r="Q9"/>
      <c r="R9"/>
      <c r="S9"/>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row>
    <row r="10" spans="1:100" x14ac:dyDescent="0.25">
      <c r="A10" t="s">
        <v>101</v>
      </c>
      <c r="B10" s="1">
        <v>45516.5402777778</v>
      </c>
      <c r="C10" t="s">
        <v>115</v>
      </c>
      <c r="D10" t="s">
        <v>103</v>
      </c>
      <c r="E10">
        <v>1.6</v>
      </c>
      <c r="F10">
        <v>0.3</v>
      </c>
      <c r="G10" s="7">
        <f t="shared" si="1"/>
        <v>1.5999999999999999</v>
      </c>
      <c r="H10" s="12" t="s">
        <v>110</v>
      </c>
      <c r="I10" s="15">
        <f>I2+I8</f>
        <v>1.5491042588094719</v>
      </c>
    </row>
    <row r="11" spans="1:100" x14ac:dyDescent="0.25">
      <c r="A11" t="s">
        <v>105</v>
      </c>
      <c r="B11" s="1">
        <v>45516.465972222199</v>
      </c>
      <c r="C11" t="s">
        <v>115</v>
      </c>
      <c r="D11" t="s">
        <v>103</v>
      </c>
      <c r="E11">
        <v>1.6</v>
      </c>
      <c r="F11">
        <v>0.7</v>
      </c>
      <c r="G11" s="7"/>
    </row>
    <row r="12" spans="1:100" s="5" customFormat="1" x14ac:dyDescent="0.25">
      <c r="A12" s="5" t="s">
        <v>105</v>
      </c>
      <c r="B12" s="6">
        <v>45488.445138888899</v>
      </c>
      <c r="C12" s="5" t="s">
        <v>115</v>
      </c>
      <c r="D12" s="5" t="s">
        <v>103</v>
      </c>
      <c r="E12" s="5">
        <v>1.3</v>
      </c>
      <c r="F12" s="5">
        <v>0.7</v>
      </c>
      <c r="G12" s="49">
        <f>F12*E12+F13*E13</f>
        <v>1.2999999999999998</v>
      </c>
      <c r="H12"/>
      <c r="I12"/>
      <c r="J12"/>
      <c r="K12"/>
      <c r="L12"/>
      <c r="M12"/>
      <c r="N12"/>
      <c r="O12"/>
      <c r="P12"/>
      <c r="Q12"/>
      <c r="R12"/>
      <c r="S12"/>
      <c r="T12"/>
      <c r="U12"/>
      <c r="V12"/>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row>
    <row r="13" spans="1:100" s="5" customFormat="1" x14ac:dyDescent="0.25">
      <c r="A13" s="5" t="s">
        <v>101</v>
      </c>
      <c r="B13" s="6">
        <v>45488.444444444402</v>
      </c>
      <c r="C13" s="5" t="s">
        <v>115</v>
      </c>
      <c r="D13" s="5" t="s">
        <v>103</v>
      </c>
      <c r="E13" s="5">
        <v>1.3</v>
      </c>
      <c r="F13" s="5">
        <v>0.3</v>
      </c>
      <c r="G13" s="48"/>
      <c r="H13"/>
      <c r="I13"/>
      <c r="J13"/>
      <c r="K13"/>
      <c r="L13"/>
      <c r="M13"/>
      <c r="N13"/>
      <c r="O13"/>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row>
    <row r="14" spans="1:100" x14ac:dyDescent="0.25">
      <c r="A14" t="s">
        <v>101</v>
      </c>
      <c r="B14" s="1">
        <v>45460.436805555597</v>
      </c>
      <c r="C14" t="s">
        <v>115</v>
      </c>
      <c r="D14" t="s">
        <v>103</v>
      </c>
      <c r="E14">
        <v>1.1000000000000001</v>
      </c>
      <c r="F14">
        <v>0.3</v>
      </c>
      <c r="G14" s="7">
        <f t="shared" si="1"/>
        <v>1.24</v>
      </c>
    </row>
    <row r="15" spans="1:100" x14ac:dyDescent="0.25">
      <c r="A15" t="s">
        <v>105</v>
      </c>
      <c r="B15" s="1">
        <v>45460.392361111102</v>
      </c>
      <c r="C15" t="s">
        <v>115</v>
      </c>
      <c r="D15" t="s">
        <v>103</v>
      </c>
      <c r="E15">
        <v>1.3</v>
      </c>
      <c r="F15">
        <v>0.7</v>
      </c>
      <c r="G15" s="7"/>
    </row>
    <row r="16" spans="1:100" s="5" customFormat="1" x14ac:dyDescent="0.25">
      <c r="A16" s="5" t="s">
        <v>101</v>
      </c>
      <c r="B16" s="6">
        <v>45433.475694444402</v>
      </c>
      <c r="C16" s="5" t="s">
        <v>115</v>
      </c>
      <c r="D16" s="5" t="s">
        <v>103</v>
      </c>
      <c r="E16" s="5">
        <v>1.8</v>
      </c>
      <c r="F16" s="5">
        <v>0.3</v>
      </c>
      <c r="G16" s="48">
        <f t="shared" si="1"/>
        <v>1.8699999999999999</v>
      </c>
      <c r="H16"/>
      <c r="I16"/>
      <c r="J16"/>
      <c r="K16"/>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c r="CR16"/>
      <c r="CS16"/>
      <c r="CT16"/>
      <c r="CU16"/>
      <c r="CV16"/>
    </row>
    <row r="17" spans="1:100" s="5" customFormat="1" x14ac:dyDescent="0.25">
      <c r="A17" s="5" t="s">
        <v>105</v>
      </c>
      <c r="B17" s="6">
        <v>45433.290972222203</v>
      </c>
      <c r="C17" s="5" t="s">
        <v>115</v>
      </c>
      <c r="D17" s="5" t="s">
        <v>103</v>
      </c>
      <c r="E17" s="5">
        <v>1.9</v>
      </c>
      <c r="F17" s="5">
        <v>0.7</v>
      </c>
      <c r="G17" s="48"/>
      <c r="H17"/>
      <c r="I17"/>
      <c r="J17"/>
      <c r="K17"/>
      <c r="L17"/>
      <c r="M17"/>
      <c r="N17"/>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row>
    <row r="18" spans="1:100" x14ac:dyDescent="0.25">
      <c r="A18" t="s">
        <v>101</v>
      </c>
      <c r="B18" s="1">
        <v>45404.519444444399</v>
      </c>
      <c r="C18" t="s">
        <v>115</v>
      </c>
      <c r="D18" t="s">
        <v>103</v>
      </c>
      <c r="E18">
        <v>1.5</v>
      </c>
      <c r="F18">
        <v>0.3</v>
      </c>
      <c r="G18" s="7">
        <f t="shared" si="1"/>
        <v>1.4999999999999998</v>
      </c>
    </row>
    <row r="19" spans="1:100" x14ac:dyDescent="0.25">
      <c r="A19" t="s">
        <v>105</v>
      </c>
      <c r="B19" s="1">
        <v>45404.422916666699</v>
      </c>
      <c r="C19" t="s">
        <v>115</v>
      </c>
      <c r="D19" t="s">
        <v>103</v>
      </c>
      <c r="E19">
        <v>1.5</v>
      </c>
      <c r="F19">
        <v>0.7</v>
      </c>
      <c r="G19" s="7"/>
    </row>
    <row r="20" spans="1:100" s="5" customFormat="1" x14ac:dyDescent="0.25">
      <c r="A20" s="5" t="s">
        <v>101</v>
      </c>
      <c r="B20" s="6">
        <v>45376.509722222203</v>
      </c>
      <c r="C20" s="5" t="s">
        <v>115</v>
      </c>
      <c r="D20" s="5" t="s">
        <v>103</v>
      </c>
      <c r="E20" s="5">
        <v>1.4</v>
      </c>
      <c r="F20" s="5">
        <v>0.3</v>
      </c>
      <c r="G20" s="48">
        <f t="shared" si="1"/>
        <v>1.4699999999999998</v>
      </c>
      <c r="H20"/>
      <c r="I20"/>
      <c r="J20"/>
      <c r="K20"/>
      <c r="L20"/>
      <c r="M20"/>
      <c r="N20"/>
      <c r="O20"/>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c r="CT20"/>
      <c r="CU20"/>
      <c r="CV20"/>
    </row>
    <row r="21" spans="1:100" s="5" customFormat="1" x14ac:dyDescent="0.25">
      <c r="A21" s="5" t="s">
        <v>105</v>
      </c>
      <c r="B21" s="6">
        <v>45376.411805555603</v>
      </c>
      <c r="C21" s="5" t="s">
        <v>115</v>
      </c>
      <c r="D21" s="5" t="s">
        <v>103</v>
      </c>
      <c r="E21" s="5">
        <v>1.5</v>
      </c>
      <c r="F21" s="5">
        <v>0.7</v>
      </c>
      <c r="G21" s="48"/>
      <c r="H21"/>
      <c r="I21"/>
      <c r="J21"/>
      <c r="K21"/>
      <c r="L21"/>
      <c r="M21"/>
      <c r="N21"/>
      <c r="O21"/>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c r="CR21"/>
      <c r="CS21"/>
      <c r="CT21"/>
      <c r="CU21"/>
      <c r="CV21"/>
    </row>
    <row r="22" spans="1:100" x14ac:dyDescent="0.25">
      <c r="A22" t="s">
        <v>101</v>
      </c>
      <c r="B22" s="1">
        <v>45348.460416666698</v>
      </c>
      <c r="C22" t="s">
        <v>115</v>
      </c>
      <c r="D22" t="s">
        <v>103</v>
      </c>
      <c r="E22">
        <v>1.5</v>
      </c>
      <c r="F22">
        <v>0.3</v>
      </c>
      <c r="G22" s="7">
        <f t="shared" si="1"/>
        <v>1.4299999999999997</v>
      </c>
    </row>
    <row r="23" spans="1:100" x14ac:dyDescent="0.25">
      <c r="A23" t="s">
        <v>105</v>
      </c>
      <c r="B23" s="1">
        <v>45348.434027777803</v>
      </c>
      <c r="C23" t="s">
        <v>115</v>
      </c>
      <c r="D23" t="s">
        <v>103</v>
      </c>
      <c r="E23">
        <v>1.4</v>
      </c>
      <c r="F23">
        <v>0.7</v>
      </c>
      <c r="G23" s="7"/>
    </row>
    <row r="24" spans="1:100" s="5" customFormat="1" x14ac:dyDescent="0.25">
      <c r="A24" s="5" t="s">
        <v>101</v>
      </c>
      <c r="B24" s="6">
        <v>45320.456250000003</v>
      </c>
      <c r="C24" s="5" t="s">
        <v>115</v>
      </c>
      <c r="D24" s="5" t="s">
        <v>103</v>
      </c>
      <c r="E24" s="5">
        <v>1.8</v>
      </c>
      <c r="F24" s="5">
        <v>0.3</v>
      </c>
      <c r="G24" s="48">
        <f t="shared" si="1"/>
        <v>1.73</v>
      </c>
      <c r="H24"/>
      <c r="I24"/>
      <c r="J24"/>
      <c r="K24"/>
      <c r="L24"/>
      <c r="M24"/>
      <c r="N24"/>
      <c r="O24"/>
      <c r="P24"/>
      <c r="Q24"/>
      <c r="R24"/>
      <c r="S24"/>
      <c r="T24"/>
      <c r="U24"/>
      <c r="V24"/>
      <c r="W24"/>
      <c r="X24"/>
      <c r="Y24"/>
      <c r="Z24"/>
      <c r="AA24"/>
      <c r="AB24"/>
      <c r="AC24"/>
      <c r="AD24"/>
      <c r="AE24"/>
      <c r="AF24"/>
      <c r="AG24"/>
      <c r="AH24"/>
      <c r="AI24"/>
      <c r="AJ24"/>
      <c r="AK24"/>
      <c r="AL24"/>
      <c r="AM24"/>
      <c r="AN24"/>
      <c r="AO24"/>
      <c r="AP24"/>
      <c r="AQ24"/>
      <c r="AR24"/>
      <c r="AS24"/>
      <c r="AT24"/>
      <c r="AU24"/>
      <c r="AV24"/>
      <c r="AW24"/>
      <c r="AX24"/>
      <c r="AY24"/>
      <c r="AZ24"/>
      <c r="BA24"/>
      <c r="BB24"/>
      <c r="BC24"/>
      <c r="BD24"/>
      <c r="BE24"/>
      <c r="BF24"/>
      <c r="BG24"/>
      <c r="BH24"/>
      <c r="BI24"/>
      <c r="BJ24"/>
      <c r="BK24"/>
      <c r="BL24"/>
      <c r="BM24"/>
      <c r="BN24"/>
      <c r="BO24"/>
      <c r="BP24"/>
      <c r="BQ24"/>
      <c r="BR24"/>
      <c r="BS24"/>
      <c r="BT24"/>
      <c r="BU24"/>
      <c r="BV24"/>
      <c r="BW24"/>
      <c r="BX24"/>
      <c r="BY24"/>
      <c r="BZ24"/>
      <c r="CA24"/>
      <c r="CB24"/>
      <c r="CC24"/>
      <c r="CD24"/>
      <c r="CE24"/>
      <c r="CF24"/>
      <c r="CG24"/>
      <c r="CH24"/>
      <c r="CI24"/>
      <c r="CJ24"/>
      <c r="CK24"/>
      <c r="CL24"/>
      <c r="CM24"/>
      <c r="CN24"/>
      <c r="CO24"/>
      <c r="CP24"/>
      <c r="CQ24"/>
      <c r="CR24"/>
      <c r="CS24"/>
      <c r="CT24"/>
      <c r="CU24"/>
      <c r="CV24"/>
    </row>
    <row r="25" spans="1:100" s="5" customFormat="1" x14ac:dyDescent="0.25">
      <c r="A25" s="5" t="s">
        <v>105</v>
      </c>
      <c r="B25" s="6">
        <v>45320.327777777798</v>
      </c>
      <c r="C25" s="5" t="s">
        <v>115</v>
      </c>
      <c r="D25" s="5" t="s">
        <v>103</v>
      </c>
      <c r="E25" s="5">
        <v>1.7</v>
      </c>
      <c r="F25" s="5">
        <v>0.7</v>
      </c>
      <c r="G25" s="48"/>
      <c r="H25"/>
      <c r="I25"/>
      <c r="J25"/>
      <c r="K25"/>
      <c r="L25"/>
      <c r="M25"/>
      <c r="N25"/>
      <c r="O25"/>
      <c r="P25"/>
      <c r="Q25"/>
      <c r="R25"/>
      <c r="S25"/>
      <c r="T25"/>
      <c r="U25"/>
      <c r="V25"/>
      <c r="W25"/>
      <c r="X25"/>
      <c r="Y25"/>
      <c r="Z25"/>
      <c r="AA25"/>
      <c r="AB25"/>
      <c r="AC25"/>
      <c r="AD25"/>
      <c r="AE25"/>
      <c r="AF25"/>
      <c r="AG25"/>
      <c r="AH25"/>
      <c r="AI25"/>
      <c r="AJ25"/>
      <c r="AK25"/>
      <c r="AL25"/>
      <c r="AM25"/>
      <c r="AN25"/>
      <c r="AO25"/>
      <c r="AP25"/>
      <c r="AQ25"/>
      <c r="AR25"/>
      <c r="AS25"/>
      <c r="AT25"/>
      <c r="AU25"/>
      <c r="AV25"/>
      <c r="AW25"/>
      <c r="AX25"/>
      <c r="AY25"/>
      <c r="AZ25"/>
      <c r="BA25"/>
      <c r="BB25"/>
      <c r="BC25"/>
      <c r="BD25"/>
      <c r="BE25"/>
      <c r="BF25"/>
      <c r="BG25"/>
      <c r="BH25"/>
      <c r="BI25"/>
      <c r="BJ25"/>
      <c r="BK25"/>
      <c r="BL25"/>
      <c r="BM25"/>
      <c r="BN25"/>
      <c r="BO25"/>
      <c r="BP25"/>
      <c r="BQ25"/>
      <c r="BR25"/>
      <c r="BS25"/>
      <c r="BT25"/>
      <c r="BU25"/>
      <c r="BV25"/>
      <c r="BW25"/>
      <c r="BX25"/>
      <c r="BY25"/>
      <c r="BZ25"/>
      <c r="CA25"/>
      <c r="CB25"/>
      <c r="CC25"/>
      <c r="CD25"/>
      <c r="CE25"/>
      <c r="CF25"/>
      <c r="CG25"/>
      <c r="CH25"/>
      <c r="CI25"/>
      <c r="CJ25"/>
      <c r="CK25"/>
      <c r="CL25"/>
      <c r="CM25"/>
      <c r="CN25"/>
      <c r="CO25"/>
      <c r="CP25"/>
      <c r="CQ25"/>
      <c r="CR25"/>
      <c r="CS25"/>
      <c r="CT25"/>
      <c r="CU25"/>
      <c r="CV25"/>
    </row>
    <row r="26" spans="1:100" x14ac:dyDescent="0.25">
      <c r="A26" t="s">
        <v>101</v>
      </c>
      <c r="B26" s="1">
        <v>45293.529166666704</v>
      </c>
      <c r="C26" t="s">
        <v>115</v>
      </c>
      <c r="D26" t="s">
        <v>103</v>
      </c>
      <c r="E26">
        <v>1.4</v>
      </c>
      <c r="F26">
        <v>0.3</v>
      </c>
      <c r="G26" s="7">
        <f t="shared" si="1"/>
        <v>1.4</v>
      </c>
    </row>
    <row r="27" spans="1:100" x14ac:dyDescent="0.25">
      <c r="A27" t="s">
        <v>105</v>
      </c>
      <c r="B27" s="1">
        <v>45293.511805555601</v>
      </c>
      <c r="C27" t="s">
        <v>115</v>
      </c>
      <c r="D27" t="s">
        <v>103</v>
      </c>
      <c r="E27">
        <v>1.4</v>
      </c>
      <c r="F27">
        <v>0.7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Overview Data for models</vt:lpstr>
      <vt:lpstr>InfluentData</vt:lpstr>
      <vt:lpstr>PFOA</vt:lpstr>
      <vt:lpstr>PFNA</vt:lpstr>
      <vt:lpstr>PFOS</vt:lpstr>
      <vt:lpstr>PFHxS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Schooten, Fred van</dc:creator>
  <cp:keywords/>
  <dc:description/>
  <cp:lastModifiedBy>Sanne Smith</cp:lastModifiedBy>
  <cp:revision/>
  <dcterms:created xsi:type="dcterms:W3CDTF">2024-12-09T14:05:38Z</dcterms:created>
  <dcterms:modified xsi:type="dcterms:W3CDTF">2025-03-28T07:47:46Z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7cae3d5-7e5a-4770-86e6-185b0edbd38d_Enabled">
    <vt:lpwstr>true</vt:lpwstr>
  </property>
  <property fmtid="{D5CDD505-2E9C-101B-9397-08002B2CF9AE}" pid="3" name="MSIP_Label_d7cae3d5-7e5a-4770-86e6-185b0edbd38d_SetDate">
    <vt:lpwstr>2024-12-09T14:16:37Z</vt:lpwstr>
  </property>
  <property fmtid="{D5CDD505-2E9C-101B-9397-08002B2CF9AE}" pid="4" name="MSIP_Label_d7cae3d5-7e5a-4770-86e6-185b0edbd38d_Method">
    <vt:lpwstr>Standard</vt:lpwstr>
  </property>
  <property fmtid="{D5CDD505-2E9C-101B-9397-08002B2CF9AE}" pid="5" name="MSIP_Label_d7cae3d5-7e5a-4770-86e6-185b0edbd38d_Name">
    <vt:lpwstr>Intern team</vt:lpwstr>
  </property>
  <property fmtid="{D5CDD505-2E9C-101B-9397-08002B2CF9AE}" pid="6" name="MSIP_Label_d7cae3d5-7e5a-4770-86e6-185b0edbd38d_SiteId">
    <vt:lpwstr>dc176db0-cbcb-4c49-84e9-efe31a545c55</vt:lpwstr>
  </property>
  <property fmtid="{D5CDD505-2E9C-101B-9397-08002B2CF9AE}" pid="7" name="MSIP_Label_d7cae3d5-7e5a-4770-86e6-185b0edbd38d_ActionId">
    <vt:lpwstr>aea425c8-e916-40fd-86b0-993ddfbc744a</vt:lpwstr>
  </property>
  <property fmtid="{D5CDD505-2E9C-101B-9397-08002B2CF9AE}" pid="8" name="MSIP_Label_d7cae3d5-7e5a-4770-86e6-185b0edbd38d_ContentBits">
    <vt:lpwstr>2</vt:lpwstr>
  </property>
</Properties>
</file>