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tud365-my.sharepoint.com/personal/sannejuliesmit_tudelft_nl/Documents/Documenten/Manuscripts/20240820_ToTreatOrNotToTreat/Submission_version1/"/>
    </mc:Choice>
  </mc:AlternateContent>
  <xr:revisionPtr revIDLastSave="1341" documentId="8_{A1090BCB-C0DE-42FE-AC10-2C02097E30E0}" xr6:coauthVersionLast="47" xr6:coauthVersionMax="47" xr10:uidLastSave="{CDFBC1E3-41BF-4449-9EBE-E4BB5E297D6D}"/>
  <bookViews>
    <workbookView xWindow="-108" yWindow="-108" windowWidth="23256" windowHeight="14016" firstSheet="2" activeTab="2" xr2:uid="{00000000-000D-0000-FFFF-FFFF00000000}"/>
  </bookViews>
  <sheets>
    <sheet name="Summary_allEndpoints" sheetId="9" r:id="rId1"/>
    <sheet name="TotalDALYs_perScenario" sheetId="12" r:id="rId2"/>
    <sheet name="OverviewSerumConcentrations" sheetId="11" r:id="rId3"/>
    <sheet name="Kidney cancer" sheetId="4" r:id="rId4"/>
    <sheet name="Testicular cancer" sheetId="6" r:id="rId5"/>
    <sheet name="Hypothyroidism" sheetId="7" r:id="rId6"/>
    <sheet name="Hypothyroidism_PFOS" sheetId="10" r:id="rId7"/>
    <sheet name="Hypertension" sheetId="5" r:id="rId8"/>
    <sheet name="AbrahamEtAlDiseases" sheetId="8" r:id="rId9"/>
    <sheet name="Age distribution NL 2024" sheetId="3"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9" l="1"/>
  <c r="D3" i="11"/>
  <c r="E3" i="11"/>
  <c r="F3" i="11"/>
  <c r="G3" i="11"/>
  <c r="D4" i="11"/>
  <c r="E4" i="11"/>
  <c r="F4" i="11"/>
  <c r="G4" i="11"/>
  <c r="D5" i="11"/>
  <c r="E5" i="11"/>
  <c r="F5" i="11"/>
  <c r="G5" i="11"/>
  <c r="D6" i="11"/>
  <c r="E6" i="11"/>
  <c r="F6" i="11"/>
  <c r="G6" i="11"/>
  <c r="C4" i="11"/>
  <c r="C5" i="11"/>
  <c r="C6" i="11"/>
  <c r="C3" i="11"/>
  <c r="D6" i="4"/>
  <c r="B33" i="7" l="1"/>
  <c r="B32" i="7"/>
  <c r="B23" i="7"/>
  <c r="B24" i="7"/>
  <c r="B14" i="7"/>
  <c r="B15" i="7"/>
  <c r="B14" i="5"/>
  <c r="D6" i="7" l="1"/>
  <c r="C10" i="4"/>
  <c r="H48" i="7"/>
  <c r="H50" i="7"/>
  <c r="J50" i="7" s="1"/>
  <c r="K50" i="7" s="1"/>
  <c r="G50" i="7"/>
  <c r="I48" i="7"/>
  <c r="I50" i="7" s="1"/>
  <c r="G48" i="7"/>
  <c r="J54" i="7"/>
  <c r="C11" i="6" l="1"/>
  <c r="C11" i="7"/>
  <c r="C12" i="7" s="1"/>
  <c r="C13" i="7" s="1"/>
  <c r="C11" i="10"/>
  <c r="C12" i="5"/>
  <c r="C13" i="5" s="1"/>
  <c r="C14" i="5" s="1"/>
  <c r="C15" i="5" s="1"/>
  <c r="C16" i="5" s="1"/>
  <c r="C17" i="5" s="1"/>
  <c r="E11" i="7"/>
  <c r="B29" i="6"/>
  <c r="B33" i="5"/>
  <c r="B25" i="5"/>
  <c r="B17" i="5"/>
  <c r="B32" i="10"/>
  <c r="B24" i="10"/>
  <c r="B28" i="4"/>
  <c r="B21" i="4"/>
  <c r="B22" i="6"/>
  <c r="D11" i="7"/>
  <c r="C15" i="7" l="1"/>
  <c r="C16" i="7" s="1"/>
  <c r="C14" i="7"/>
  <c r="C29" i="7"/>
  <c r="C30" i="7" s="1"/>
  <c r="C31" i="7" s="1"/>
  <c r="C12" i="10"/>
  <c r="C13" i="10" s="1"/>
  <c r="C14" i="10" s="1"/>
  <c r="C19" i="10"/>
  <c r="C20" i="10" s="1"/>
  <c r="C21" i="10" s="1"/>
  <c r="C22" i="10" s="1"/>
  <c r="C23" i="10" s="1"/>
  <c r="C24" i="10" s="1"/>
  <c r="E3" i="12" s="1"/>
  <c r="C27" i="10"/>
  <c r="C28" i="10" s="1"/>
  <c r="C29" i="10" s="1"/>
  <c r="C30" i="10" s="1"/>
  <c r="C31" i="10" s="1"/>
  <c r="C32" i="10" s="1"/>
  <c r="E4" i="12" s="1"/>
  <c r="C18" i="6"/>
  <c r="C19" i="6" s="1"/>
  <c r="C20" i="6" s="1"/>
  <c r="C21" i="6" s="1"/>
  <c r="C22" i="6" s="1"/>
  <c r="C12" i="6"/>
  <c r="C13" i="6" s="1"/>
  <c r="C14" i="6" s="1"/>
  <c r="C15" i="6" s="1"/>
  <c r="B2" i="12" s="1"/>
  <c r="C25" i="6"/>
  <c r="C26" i="6" s="1"/>
  <c r="C27" i="6" s="1"/>
  <c r="C28" i="6" s="1"/>
  <c r="C29" i="6" s="1"/>
  <c r="B4" i="12" s="1"/>
  <c r="F2" i="12"/>
  <c r="C20" i="5"/>
  <c r="C21" i="5" s="1"/>
  <c r="C22" i="5" s="1"/>
  <c r="C23" i="5" s="1"/>
  <c r="C24" i="5" s="1"/>
  <c r="C28" i="5"/>
  <c r="C29" i="5" s="1"/>
  <c r="C30" i="5" s="1"/>
  <c r="C31" i="5" s="1"/>
  <c r="C32" i="5" s="1"/>
  <c r="C33" i="5" s="1"/>
  <c r="C20" i="7"/>
  <c r="C21" i="7" s="1"/>
  <c r="C22" i="7" s="1"/>
  <c r="D10" i="4"/>
  <c r="D11" i="4" s="1"/>
  <c r="E10" i="4"/>
  <c r="E11" i="4" s="1"/>
  <c r="D11" i="6"/>
  <c r="D12" i="6" s="1"/>
  <c r="D12" i="7"/>
  <c r="D13" i="7" s="1"/>
  <c r="D11" i="10"/>
  <c r="G11" i="10"/>
  <c r="F10" i="4"/>
  <c r="F11" i="4" s="1"/>
  <c r="G12" i="5"/>
  <c r="E11" i="10"/>
  <c r="F11" i="7"/>
  <c r="F11" i="10"/>
  <c r="E11" i="6"/>
  <c r="F11" i="6"/>
  <c r="G11" i="6"/>
  <c r="G11" i="7"/>
  <c r="D14" i="7" l="1"/>
  <c r="D15" i="7"/>
  <c r="D16" i="7" s="1"/>
  <c r="C15" i="10"/>
  <c r="C16" i="10" s="1"/>
  <c r="E2" i="12" s="1"/>
  <c r="C33" i="7"/>
  <c r="C32" i="7"/>
  <c r="C23" i="7"/>
  <c r="C24" i="7"/>
  <c r="C17" i="4"/>
  <c r="C11" i="4"/>
  <c r="C12" i="4" s="1"/>
  <c r="C13" i="4" s="1"/>
  <c r="C24" i="4"/>
  <c r="C25" i="5"/>
  <c r="F3" i="12" s="1"/>
  <c r="B3" i="12"/>
  <c r="F12" i="5"/>
  <c r="F13" i="5" s="1"/>
  <c r="G10" i="4"/>
  <c r="D12" i="5"/>
  <c r="E12" i="5"/>
  <c r="E28" i="5" s="1"/>
  <c r="E29" i="5" s="1"/>
  <c r="B28" i="10"/>
  <c r="B29" i="10" s="1"/>
  <c r="B30" i="10" s="1"/>
  <c r="G27" i="10"/>
  <c r="G28" i="10" s="1"/>
  <c r="F27" i="10"/>
  <c r="F28" i="10" s="1"/>
  <c r="E27" i="10"/>
  <c r="E28" i="10" s="1"/>
  <c r="D27" i="10"/>
  <c r="D28" i="10" s="1"/>
  <c r="S25" i="10"/>
  <c r="S24" i="10"/>
  <c r="S23" i="10"/>
  <c r="S22" i="10"/>
  <c r="S21" i="10"/>
  <c r="T21" i="10" s="1"/>
  <c r="V21" i="10" s="1"/>
  <c r="S20" i="10"/>
  <c r="B20" i="10"/>
  <c r="B21" i="10" s="1"/>
  <c r="B22" i="10" s="1"/>
  <c r="G19" i="10"/>
  <c r="G20" i="10" s="1"/>
  <c r="F19" i="10"/>
  <c r="F20" i="10" s="1"/>
  <c r="E19" i="10"/>
  <c r="E20" i="10" s="1"/>
  <c r="D19" i="10"/>
  <c r="D20" i="10" s="1"/>
  <c r="G12" i="10"/>
  <c r="F12" i="10"/>
  <c r="E12" i="10"/>
  <c r="D12" i="10"/>
  <c r="B12" i="10"/>
  <c r="B13" i="10" s="1"/>
  <c r="B14" i="10" s="1"/>
  <c r="D8" i="10"/>
  <c r="F1" i="10"/>
  <c r="AE30" i="5"/>
  <c r="AE29" i="5"/>
  <c r="AE28" i="5"/>
  <c r="AE27" i="5"/>
  <c r="AE26" i="5"/>
  <c r="AE25" i="5"/>
  <c r="AE24" i="5"/>
  <c r="AE23" i="5"/>
  <c r="AE22" i="5"/>
  <c r="AE21" i="5"/>
  <c r="AE20" i="5"/>
  <c r="AE19" i="5"/>
  <c r="AE18" i="5"/>
  <c r="AE17" i="5"/>
  <c r="AE16" i="5"/>
  <c r="AE15" i="5"/>
  <c r="AE14" i="5"/>
  <c r="AE13" i="5"/>
  <c r="Y14" i="5"/>
  <c r="Z14" i="5"/>
  <c r="AA14" i="5"/>
  <c r="AB14" i="5"/>
  <c r="AC14" i="5"/>
  <c r="AD14" i="5"/>
  <c r="Y15" i="5"/>
  <c r="Z15" i="5"/>
  <c r="AA15" i="5"/>
  <c r="AB15" i="5"/>
  <c r="AC15" i="5"/>
  <c r="AD15" i="5"/>
  <c r="Y16" i="5"/>
  <c r="Z16" i="5"/>
  <c r="AA16" i="5"/>
  <c r="AB16" i="5"/>
  <c r="AC16" i="5"/>
  <c r="AD16" i="5"/>
  <c r="Y17" i="5"/>
  <c r="Z17" i="5"/>
  <c r="AA17" i="5"/>
  <c r="AB17" i="5"/>
  <c r="AC17" i="5"/>
  <c r="AD17" i="5"/>
  <c r="Y18" i="5"/>
  <c r="Z18" i="5"/>
  <c r="AA18" i="5"/>
  <c r="AB18" i="5"/>
  <c r="AC18" i="5"/>
  <c r="AD18" i="5"/>
  <c r="Y19" i="5"/>
  <c r="Z19" i="5"/>
  <c r="AA19" i="5"/>
  <c r="AB19" i="5"/>
  <c r="AC19" i="5"/>
  <c r="AD19" i="5"/>
  <c r="Y20" i="5"/>
  <c r="Z20" i="5"/>
  <c r="AA20" i="5"/>
  <c r="AB20" i="5"/>
  <c r="AC20" i="5"/>
  <c r="AD20" i="5"/>
  <c r="Y21" i="5"/>
  <c r="Z21" i="5"/>
  <c r="AA21" i="5"/>
  <c r="AB21" i="5"/>
  <c r="AC21" i="5"/>
  <c r="AD21" i="5"/>
  <c r="Y22" i="5"/>
  <c r="Z22" i="5"/>
  <c r="AA22" i="5"/>
  <c r="AB22" i="5"/>
  <c r="AC22" i="5"/>
  <c r="AD22" i="5"/>
  <c r="Y23" i="5"/>
  <c r="Z23" i="5"/>
  <c r="AA23" i="5"/>
  <c r="AB23" i="5"/>
  <c r="AC23" i="5"/>
  <c r="AD23" i="5"/>
  <c r="Y24" i="5"/>
  <c r="Z24" i="5"/>
  <c r="AA24" i="5"/>
  <c r="AB24" i="5"/>
  <c r="AC24" i="5"/>
  <c r="AD24" i="5"/>
  <c r="Y25" i="5"/>
  <c r="Z25" i="5"/>
  <c r="AA25" i="5"/>
  <c r="AB25" i="5"/>
  <c r="AC25" i="5"/>
  <c r="AD25" i="5"/>
  <c r="Y26" i="5"/>
  <c r="Z26" i="5"/>
  <c r="AA26" i="5"/>
  <c r="AB26" i="5"/>
  <c r="AC26" i="5"/>
  <c r="AD26" i="5"/>
  <c r="Y27" i="5"/>
  <c r="Z27" i="5"/>
  <c r="AA27" i="5"/>
  <c r="AB27" i="5"/>
  <c r="AC27" i="5"/>
  <c r="AD27" i="5"/>
  <c r="Y28" i="5"/>
  <c r="Z28" i="5"/>
  <c r="AA28" i="5"/>
  <c r="AB28" i="5"/>
  <c r="AC28" i="5"/>
  <c r="AD28" i="5"/>
  <c r="Y29" i="5"/>
  <c r="Z29" i="5"/>
  <c r="AA29" i="5"/>
  <c r="AB29" i="5"/>
  <c r="AC29" i="5"/>
  <c r="AD29" i="5"/>
  <c r="Y30" i="5"/>
  <c r="Z30" i="5"/>
  <c r="AA30" i="5"/>
  <c r="AB30" i="5"/>
  <c r="AC30" i="5"/>
  <c r="AD30" i="5"/>
  <c r="Z13" i="5"/>
  <c r="AA13" i="5"/>
  <c r="AB13" i="5"/>
  <c r="AC13" i="5"/>
  <c r="AD13" i="5"/>
  <c r="Y13" i="5"/>
  <c r="H2" i="3"/>
  <c r="H3" i="3"/>
  <c r="G2" i="3"/>
  <c r="T25" i="7"/>
  <c r="T24" i="7"/>
  <c r="T23" i="7"/>
  <c r="T22" i="7"/>
  <c r="T21" i="7"/>
  <c r="T20" i="7"/>
  <c r="D5" i="6"/>
  <c r="D6" i="6"/>
  <c r="G28" i="5"/>
  <c r="G29" i="5" s="1"/>
  <c r="G20" i="5"/>
  <c r="G21" i="5" s="1"/>
  <c r="E24" i="4"/>
  <c r="F24" i="4"/>
  <c r="D24" i="4"/>
  <c r="E17" i="4"/>
  <c r="F17" i="4"/>
  <c r="D17" i="4"/>
  <c r="E25" i="6"/>
  <c r="E26" i="6" s="1"/>
  <c r="E27" i="6" s="1"/>
  <c r="F25" i="6"/>
  <c r="F26" i="6" s="1"/>
  <c r="F27" i="6" s="1"/>
  <c r="G25" i="6"/>
  <c r="G26" i="6" s="1"/>
  <c r="G27" i="6" s="1"/>
  <c r="D25" i="6"/>
  <c r="D26" i="6" s="1"/>
  <c r="D27" i="6" s="1"/>
  <c r="E18" i="6"/>
  <c r="E19" i="6" s="1"/>
  <c r="E20" i="6" s="1"/>
  <c r="F18" i="6"/>
  <c r="F19" i="6" s="1"/>
  <c r="F20" i="6" s="1"/>
  <c r="G18" i="6"/>
  <c r="G19" i="6" s="1"/>
  <c r="G20" i="6" s="1"/>
  <c r="D18" i="6"/>
  <c r="D19" i="6" s="1"/>
  <c r="D20" i="6" s="1"/>
  <c r="E29" i="7"/>
  <c r="E30" i="7" s="1"/>
  <c r="F29" i="7"/>
  <c r="F30" i="7" s="1"/>
  <c r="G29" i="7"/>
  <c r="G30" i="7" s="1"/>
  <c r="G31" i="7" s="1"/>
  <c r="D29" i="7"/>
  <c r="D30" i="7" s="1"/>
  <c r="D31" i="7" s="1"/>
  <c r="E20" i="7"/>
  <c r="E21" i="7" s="1"/>
  <c r="F20" i="7"/>
  <c r="F21" i="7" s="1"/>
  <c r="F22" i="7" s="1"/>
  <c r="G20" i="7"/>
  <c r="G21" i="7" s="1"/>
  <c r="G22" i="7" s="1"/>
  <c r="D20" i="7"/>
  <c r="D21" i="7" s="1"/>
  <c r="D22" i="7" s="1"/>
  <c r="F6" i="9"/>
  <c r="E6" i="9"/>
  <c r="C6" i="9"/>
  <c r="D6" i="9"/>
  <c r="B26" i="6"/>
  <c r="B27" i="6" s="1"/>
  <c r="B19" i="6"/>
  <c r="B20" i="6" s="1"/>
  <c r="B25" i="4"/>
  <c r="B26" i="4" s="1"/>
  <c r="B18" i="4"/>
  <c r="B19" i="4" s="1"/>
  <c r="B30" i="7"/>
  <c r="B31" i="7" s="1"/>
  <c r="B21" i="7"/>
  <c r="B22" i="7" s="1"/>
  <c r="D9" i="8"/>
  <c r="C8" i="8"/>
  <c r="D8" i="8"/>
  <c r="B8" i="8"/>
  <c r="C7" i="8"/>
  <c r="D7" i="8"/>
  <c r="B7" i="8"/>
  <c r="D6" i="8"/>
  <c r="C6" i="8"/>
  <c r="B6" i="8"/>
  <c r="D8" i="7"/>
  <c r="D7" i="6"/>
  <c r="D7" i="4"/>
  <c r="B29" i="5"/>
  <c r="B21" i="5"/>
  <c r="D8" i="5"/>
  <c r="G13" i="5"/>
  <c r="B13" i="5"/>
  <c r="F24" i="7" l="1"/>
  <c r="F23" i="7"/>
  <c r="D33" i="7"/>
  <c r="D32" i="7"/>
  <c r="D24" i="7"/>
  <c r="D23" i="7"/>
  <c r="G33" i="7"/>
  <c r="G32" i="7"/>
  <c r="G24" i="7"/>
  <c r="G23" i="7"/>
  <c r="C2" i="12"/>
  <c r="C14" i="4"/>
  <c r="F18" i="4"/>
  <c r="F19" i="4" s="1"/>
  <c r="E18" i="4"/>
  <c r="E19" i="4" s="1"/>
  <c r="D25" i="4"/>
  <c r="D26" i="4" s="1"/>
  <c r="E25" i="4"/>
  <c r="E26" i="4" s="1"/>
  <c r="G24" i="4"/>
  <c r="G11" i="4"/>
  <c r="G12" i="4" s="1"/>
  <c r="F25" i="4"/>
  <c r="F26" i="4" s="1"/>
  <c r="D18" i="4"/>
  <c r="D19" i="4" s="1"/>
  <c r="C25" i="4"/>
  <c r="C26" i="4" s="1"/>
  <c r="C27" i="4" s="1"/>
  <c r="C28" i="4" s="1"/>
  <c r="C4" i="12" s="1"/>
  <c r="C18" i="4"/>
  <c r="C19" i="4" s="1"/>
  <c r="C20" i="4" s="1"/>
  <c r="C21" i="4" s="1"/>
  <c r="C3" i="12" s="1"/>
  <c r="E20" i="5"/>
  <c r="E21" i="5" s="1"/>
  <c r="T23" i="10"/>
  <c r="T24" i="10"/>
  <c r="T25" i="10"/>
  <c r="T20" i="10"/>
  <c r="F20" i="5"/>
  <c r="F21" i="5" s="1"/>
  <c r="E13" i="5"/>
  <c r="D20" i="5"/>
  <c r="D21" i="5" s="1"/>
  <c r="D13" i="5"/>
  <c r="G17" i="4"/>
  <c r="F28" i="5"/>
  <c r="F29" i="5" s="1"/>
  <c r="D28" i="5"/>
  <c r="D29" i="5" s="1"/>
  <c r="D13" i="10"/>
  <c r="D14" i="10" s="1"/>
  <c r="F13" i="10"/>
  <c r="F14" i="10" s="1"/>
  <c r="G13" i="10"/>
  <c r="G14" i="10" s="1"/>
  <c r="D21" i="10"/>
  <c r="D22" i="10" s="1"/>
  <c r="D29" i="10"/>
  <c r="D30" i="10" s="1"/>
  <c r="E13" i="10"/>
  <c r="E14" i="10" s="1"/>
  <c r="E31" i="7"/>
  <c r="E21" i="10"/>
  <c r="E22" i="10" s="1"/>
  <c r="E29" i="10"/>
  <c r="E30" i="10" s="1"/>
  <c r="G21" i="10"/>
  <c r="G22" i="10" s="1"/>
  <c r="G29" i="10"/>
  <c r="G30" i="10" s="1"/>
  <c r="F31" i="7"/>
  <c r="F29" i="10"/>
  <c r="F30" i="10" s="1"/>
  <c r="F21" i="10"/>
  <c r="F22" i="10" s="1"/>
  <c r="E22" i="7"/>
  <c r="AF22" i="5"/>
  <c r="AG22" i="5" s="1"/>
  <c r="AF25" i="5"/>
  <c r="AG25" i="5" s="1"/>
  <c r="AF26" i="5"/>
  <c r="AG26" i="5" s="1"/>
  <c r="AF27" i="5"/>
  <c r="AH27" i="5" s="1"/>
  <c r="AF28" i="5"/>
  <c r="AF18" i="5"/>
  <c r="AH18" i="5" s="1"/>
  <c r="AF20" i="5"/>
  <c r="AG20" i="5" s="1"/>
  <c r="AG27" i="5"/>
  <c r="AG28" i="5"/>
  <c r="AH28" i="5"/>
  <c r="AF24" i="5"/>
  <c r="AF23" i="5"/>
  <c r="AF21" i="5"/>
  <c r="AF19" i="5"/>
  <c r="AF30" i="5"/>
  <c r="AF29" i="5"/>
  <c r="AF17" i="5"/>
  <c r="U21" i="7"/>
  <c r="V21" i="7" s="1"/>
  <c r="U20" i="7"/>
  <c r="U23" i="7"/>
  <c r="V23" i="7" s="1"/>
  <c r="U24" i="7"/>
  <c r="V24" i="7" s="1"/>
  <c r="U25" i="7"/>
  <c r="V25" i="7" s="1"/>
  <c r="U22" i="7"/>
  <c r="W22" i="7" s="1"/>
  <c r="V20" i="10"/>
  <c r="U20" i="10"/>
  <c r="U23" i="10"/>
  <c r="V23" i="10"/>
  <c r="U24" i="10"/>
  <c r="V24" i="10"/>
  <c r="U25" i="10"/>
  <c r="V25" i="10"/>
  <c r="U21" i="10"/>
  <c r="T22" i="10"/>
  <c r="T34" i="10" s="1"/>
  <c r="E12" i="7"/>
  <c r="E13" i="7" s="1"/>
  <c r="F12" i="7"/>
  <c r="F13" i="7" s="1"/>
  <c r="G12" i="7"/>
  <c r="G13" i="7" s="1"/>
  <c r="B12" i="7"/>
  <c r="B13" i="7" s="1"/>
  <c r="G5" i="3"/>
  <c r="I5" i="3"/>
  <c r="H5" i="3"/>
  <c r="D13" i="6"/>
  <c r="E12" i="6"/>
  <c r="E13" i="6" s="1"/>
  <c r="F12" i="6"/>
  <c r="F13" i="6" s="1"/>
  <c r="G12" i="6"/>
  <c r="G13" i="6" s="1"/>
  <c r="B12" i="6"/>
  <c r="B13" i="6" s="1"/>
  <c r="D12" i="4"/>
  <c r="E12" i="4"/>
  <c r="F12" i="4"/>
  <c r="B11" i="4"/>
  <c r="B12" i="4" s="1"/>
  <c r="I3" i="3"/>
  <c r="D5" i="4" s="1"/>
  <c r="I4" i="3"/>
  <c r="H4" i="3"/>
  <c r="G4" i="3"/>
  <c r="G3" i="3"/>
  <c r="I2" i="3"/>
  <c r="F14" i="7" l="1"/>
  <c r="F15" i="7"/>
  <c r="E14" i="7"/>
  <c r="E15" i="7"/>
  <c r="E33" i="7"/>
  <c r="E32" i="7"/>
  <c r="F33" i="7"/>
  <c r="F32" i="7"/>
  <c r="G15" i="7"/>
  <c r="G14" i="7"/>
  <c r="E24" i="7"/>
  <c r="E23" i="7"/>
  <c r="W24" i="7"/>
  <c r="G25" i="4"/>
  <c r="G26" i="4" s="1"/>
  <c r="G18" i="4"/>
  <c r="G19" i="4" s="1"/>
  <c r="AH26" i="5"/>
  <c r="AH22" i="5"/>
  <c r="AH25" i="5"/>
  <c r="AH20" i="5"/>
  <c r="AG18" i="5"/>
  <c r="AF31" i="5"/>
  <c r="AH17" i="5"/>
  <c r="AG17" i="5"/>
  <c r="AH29" i="5"/>
  <c r="AG29" i="5"/>
  <c r="AG30" i="5"/>
  <c r="AH30" i="5"/>
  <c r="AG19" i="5"/>
  <c r="AH19" i="5"/>
  <c r="AG21" i="5"/>
  <c r="AH21" i="5"/>
  <c r="AH23" i="5"/>
  <c r="AG23" i="5"/>
  <c r="AG24" i="5"/>
  <c r="AH24" i="5"/>
  <c r="W23" i="7"/>
  <c r="W21" i="7"/>
  <c r="W25" i="7"/>
  <c r="V22" i="7"/>
  <c r="U34" i="7"/>
  <c r="V22" i="10"/>
  <c r="R34" i="10" s="1"/>
  <c r="D6" i="10" s="1"/>
  <c r="U22" i="10"/>
  <c r="O34" i="10" s="1"/>
  <c r="D7" i="10" s="1"/>
  <c r="W20" i="7"/>
  <c r="V20" i="7"/>
  <c r="P34" i="7" s="1"/>
  <c r="D7" i="7" s="1"/>
  <c r="F1" i="7"/>
  <c r="F1" i="6"/>
  <c r="F1" i="4"/>
  <c r="E13" i="4" s="1"/>
  <c r="E14" i="4" s="1"/>
  <c r="F1" i="5"/>
  <c r="S34" i="7" l="1"/>
  <c r="C8" i="12"/>
  <c r="D34" i="7"/>
  <c r="AB31" i="5"/>
  <c r="D6" i="5" s="1"/>
  <c r="Y31" i="5"/>
  <c r="D7" i="5" s="1"/>
  <c r="D13" i="4"/>
  <c r="G13" i="4"/>
  <c r="G14" i="4" s="1"/>
  <c r="D15" i="10"/>
  <c r="G15" i="10"/>
  <c r="G16" i="10" s="1"/>
  <c r="B23" i="10"/>
  <c r="F23" i="10"/>
  <c r="F24" i="10" s="1"/>
  <c r="E15" i="10"/>
  <c r="E16" i="10" s="1"/>
  <c r="B15" i="10"/>
  <c r="B16" i="10" s="1"/>
  <c r="D31" i="10"/>
  <c r="F15" i="10"/>
  <c r="F16" i="10" s="1"/>
  <c r="G31" i="10"/>
  <c r="G32" i="10" s="1"/>
  <c r="D23" i="10"/>
  <c r="E31" i="10"/>
  <c r="E32" i="10" s="1"/>
  <c r="E23" i="10"/>
  <c r="E24" i="10" s="1"/>
  <c r="B31" i="10"/>
  <c r="F31" i="10"/>
  <c r="F32" i="10" s="1"/>
  <c r="G23" i="10"/>
  <c r="G24" i="10" s="1"/>
  <c r="B13" i="4"/>
  <c r="B14" i="4" s="1"/>
  <c r="G28" i="6"/>
  <c r="G29" i="6" s="1"/>
  <c r="F28" i="6"/>
  <c r="F29" i="6" s="1"/>
  <c r="D28" i="6"/>
  <c r="B28" i="6"/>
  <c r="E28" i="6"/>
  <c r="E29" i="6" s="1"/>
  <c r="G21" i="6"/>
  <c r="G22" i="6" s="1"/>
  <c r="D21" i="6"/>
  <c r="B21" i="6"/>
  <c r="F21" i="6"/>
  <c r="F22" i="6" s="1"/>
  <c r="E21" i="6"/>
  <c r="E22" i="6" s="1"/>
  <c r="B14" i="6"/>
  <c r="B15" i="6" s="1"/>
  <c r="D14" i="6"/>
  <c r="B20" i="4"/>
  <c r="D20" i="4"/>
  <c r="B27" i="4"/>
  <c r="E27" i="4"/>
  <c r="E28" i="4" s="1"/>
  <c r="G20" i="4"/>
  <c r="G21" i="4" s="1"/>
  <c r="F20" i="4"/>
  <c r="F21" i="4" s="1"/>
  <c r="G27" i="4"/>
  <c r="G28" i="4" s="1"/>
  <c r="F27" i="4"/>
  <c r="F28" i="4" s="1"/>
  <c r="E20" i="4"/>
  <c r="E21" i="4" s="1"/>
  <c r="D27" i="4"/>
  <c r="G14" i="6"/>
  <c r="G15" i="6" s="1"/>
  <c r="E14" i="6"/>
  <c r="E15" i="6" s="1"/>
  <c r="B8" i="12" s="1"/>
  <c r="F14" i="6"/>
  <c r="F15" i="6" s="1"/>
  <c r="F13" i="4"/>
  <c r="F14" i="4" s="1"/>
  <c r="D25" i="7" l="1"/>
  <c r="D26" i="7" s="1"/>
  <c r="D6" i="12" s="1"/>
  <c r="E25" i="7"/>
  <c r="E26" i="7" s="1"/>
  <c r="C17" i="7"/>
  <c r="D2" i="12" s="1"/>
  <c r="G2" i="12" s="1"/>
  <c r="G25" i="7"/>
  <c r="G26" i="7" s="1"/>
  <c r="G34" i="7"/>
  <c r="G35" i="7" s="1"/>
  <c r="C34" i="7"/>
  <c r="C35" i="7" s="1"/>
  <c r="D4" i="12" s="1"/>
  <c r="C25" i="7"/>
  <c r="C26" i="7" s="1"/>
  <c r="D3" i="12" s="1"/>
  <c r="G3" i="12" s="1"/>
  <c r="F25" i="7"/>
  <c r="F26" i="7" s="1"/>
  <c r="B25" i="7"/>
  <c r="B26" i="7" s="1"/>
  <c r="D17" i="7"/>
  <c r="G16" i="7"/>
  <c r="G17" i="7" s="1"/>
  <c r="B16" i="7"/>
  <c r="B17" i="7" s="1"/>
  <c r="D35" i="7"/>
  <c r="D7" i="12" s="1"/>
  <c r="D16" i="10"/>
  <c r="E5" i="12" s="1"/>
  <c r="D21" i="4"/>
  <c r="C6" i="12" s="1"/>
  <c r="D29" i="6"/>
  <c r="B7" i="12" s="1"/>
  <c r="D14" i="4"/>
  <c r="G15" i="4" s="1"/>
  <c r="D2" i="9" s="1"/>
  <c r="D22" i="6"/>
  <c r="E23" i="6" s="1"/>
  <c r="D24" i="10"/>
  <c r="E6" i="12" s="1"/>
  <c r="D15" i="6"/>
  <c r="B5" i="12" s="1"/>
  <c r="B12" i="12" s="1"/>
  <c r="D28" i="4"/>
  <c r="E29" i="4" s="1"/>
  <c r="D32" i="10"/>
  <c r="E7" i="12" s="1"/>
  <c r="C9" i="12"/>
  <c r="B9" i="12"/>
  <c r="B10" i="12"/>
  <c r="E10" i="12"/>
  <c r="E9" i="12"/>
  <c r="E8" i="12"/>
  <c r="C10" i="12"/>
  <c r="G22" i="5"/>
  <c r="G23" i="5" s="1"/>
  <c r="G24" i="5" s="1"/>
  <c r="G25" i="5" s="1"/>
  <c r="B30" i="5"/>
  <c r="B31" i="5" s="1"/>
  <c r="E22" i="5"/>
  <c r="E23" i="5" s="1"/>
  <c r="E24" i="5" s="1"/>
  <c r="E25" i="5" s="1"/>
  <c r="E30" i="5"/>
  <c r="E31" i="5" s="1"/>
  <c r="E32" i="5" s="1"/>
  <c r="E33" i="5" s="1"/>
  <c r="B22" i="5"/>
  <c r="B23" i="5" s="1"/>
  <c r="B24" i="5" s="1"/>
  <c r="G30" i="5"/>
  <c r="G31" i="5" s="1"/>
  <c r="G32" i="5" s="1"/>
  <c r="G33" i="5" s="1"/>
  <c r="F22" i="5"/>
  <c r="F23" i="5" s="1"/>
  <c r="F24" i="5" s="1"/>
  <c r="F25" i="5" s="1"/>
  <c r="D22" i="5"/>
  <c r="D23" i="5" s="1"/>
  <c r="D24" i="5" s="1"/>
  <c r="D30" i="5"/>
  <c r="D31" i="5" s="1"/>
  <c r="D32" i="5" s="1"/>
  <c r="D33" i="5" s="1"/>
  <c r="F30" i="5"/>
  <c r="F31" i="5" s="1"/>
  <c r="F32" i="5" s="1"/>
  <c r="F33" i="5" s="1"/>
  <c r="E14" i="5"/>
  <c r="E15" i="5" s="1"/>
  <c r="E16" i="5" s="1"/>
  <c r="E17" i="5" s="1"/>
  <c r="F34" i="7"/>
  <c r="B34" i="7"/>
  <c r="B35" i="7" s="1"/>
  <c r="E34" i="7"/>
  <c r="F16" i="7"/>
  <c r="E16" i="7"/>
  <c r="E17" i="7" s="1"/>
  <c r="G30" i="6"/>
  <c r="D14" i="5"/>
  <c r="D15" i="5" s="1"/>
  <c r="D16" i="5" s="1"/>
  <c r="D17" i="5" s="1"/>
  <c r="B15" i="5"/>
  <c r="B16" i="5" s="1"/>
  <c r="G14" i="5"/>
  <c r="G15" i="5" s="1"/>
  <c r="G16" i="5" s="1"/>
  <c r="G17" i="5" s="1"/>
  <c r="F14" i="5"/>
  <c r="F15" i="5" s="1"/>
  <c r="F16" i="5" s="1"/>
  <c r="F17" i="5" s="1"/>
  <c r="B32" i="5"/>
  <c r="F17" i="10"/>
  <c r="E17" i="10"/>
  <c r="G17" i="10"/>
  <c r="E30" i="6"/>
  <c r="F30" i="6"/>
  <c r="G22" i="4"/>
  <c r="G36" i="7" l="1"/>
  <c r="G18" i="7"/>
  <c r="K9" i="7" s="1"/>
  <c r="D4" i="9" s="1"/>
  <c r="F15" i="4"/>
  <c r="C2" i="9" s="1"/>
  <c r="F22" i="4"/>
  <c r="F23" i="6"/>
  <c r="F27" i="7"/>
  <c r="G25" i="10"/>
  <c r="F25" i="10"/>
  <c r="E27" i="7"/>
  <c r="E33" i="10"/>
  <c r="F33" i="10"/>
  <c r="G33" i="10"/>
  <c r="G16" i="6"/>
  <c r="D3" i="9" s="1"/>
  <c r="E25" i="10"/>
  <c r="E16" i="6"/>
  <c r="B3" i="9" s="1"/>
  <c r="F16" i="6"/>
  <c r="C3" i="9" s="1"/>
  <c r="G29" i="4"/>
  <c r="G27" i="7"/>
  <c r="E22" i="4"/>
  <c r="G23" i="6"/>
  <c r="D5" i="12"/>
  <c r="F17" i="7"/>
  <c r="F18" i="7" s="1"/>
  <c r="E35" i="7"/>
  <c r="E36" i="7" s="1"/>
  <c r="B6" i="12"/>
  <c r="F35" i="7"/>
  <c r="F36" i="7" s="1"/>
  <c r="E12" i="12"/>
  <c r="F29" i="4"/>
  <c r="C7" i="12"/>
  <c r="D25" i="5"/>
  <c r="E26" i="5" s="1"/>
  <c r="E15" i="4"/>
  <c r="B2" i="9" s="1"/>
  <c r="C5" i="12"/>
  <c r="C12" i="12" s="1"/>
  <c r="F8" i="12"/>
  <c r="F7" i="12"/>
  <c r="F4" i="12"/>
  <c r="G4" i="12" s="1"/>
  <c r="E18" i="7"/>
  <c r="J13" i="7" s="1"/>
  <c r="K7" i="7" s="1"/>
  <c r="B4" i="9" s="1"/>
  <c r="D8" i="12"/>
  <c r="F34" i="5"/>
  <c r="G34" i="5"/>
  <c r="E34" i="5"/>
  <c r="K8" i="7" l="1"/>
  <c r="C4" i="9" s="1"/>
  <c r="J10" i="10"/>
  <c r="J11" i="10"/>
  <c r="H13" i="6"/>
  <c r="E3" i="9" s="1"/>
  <c r="H10" i="4"/>
  <c r="E2" i="9" s="1"/>
  <c r="H15" i="6"/>
  <c r="F3" i="9" s="1"/>
  <c r="G26" i="5"/>
  <c r="G7" i="12"/>
  <c r="F26" i="5"/>
  <c r="F6" i="12"/>
  <c r="G6" i="12" s="1"/>
  <c r="D10" i="12"/>
  <c r="D9" i="12"/>
  <c r="H12" i="4"/>
  <c r="F2" i="9" s="1"/>
  <c r="J15" i="7"/>
  <c r="K11" i="7" s="1"/>
  <c r="F10" i="12"/>
  <c r="J14" i="7"/>
  <c r="K10" i="7" s="1"/>
  <c r="E4" i="9" s="1"/>
  <c r="F9" i="12"/>
  <c r="F18" i="5"/>
  <c r="C5" i="9" s="1"/>
  <c r="F5" i="12"/>
  <c r="G18" i="5"/>
  <c r="D5" i="9" s="1"/>
  <c r="G8" i="12"/>
  <c r="D12" i="12"/>
  <c r="E18" i="5"/>
  <c r="B5" i="9" s="1"/>
  <c r="J18" i="7"/>
  <c r="F4" i="9" l="1"/>
  <c r="G9" i="12"/>
  <c r="G10" i="12"/>
  <c r="H14" i="5"/>
  <c r="F5" i="9" s="1"/>
  <c r="F12" i="12"/>
  <c r="G12" i="12" s="1"/>
  <c r="G5" i="12"/>
  <c r="H12" i="5"/>
  <c r="E5" i="9" s="1"/>
</calcChain>
</file>

<file path=xl/sharedStrings.xml><?xml version="1.0" encoding="utf-8"?>
<sst xmlns="http://schemas.openxmlformats.org/spreadsheetml/2006/main" count="814" uniqueCount="367">
  <si>
    <t>Endpoint</t>
  </si>
  <si>
    <t>BestEstimate</t>
  </si>
  <si>
    <t>LowDW</t>
  </si>
  <si>
    <t>HighDW</t>
  </si>
  <si>
    <t>LowOverall</t>
  </si>
  <si>
    <t>HighOverall</t>
  </si>
  <si>
    <t>Kidney Cancer</t>
  </si>
  <si>
    <t>Testicular Cancer</t>
  </si>
  <si>
    <t>Hypothyroidism</t>
  </si>
  <si>
    <t>Hypertension</t>
  </si>
  <si>
    <t>Infectious diseases</t>
  </si>
  <si>
    <t>Scenario\Endpoint</t>
  </si>
  <si>
    <t>Hypothyroidism, PFOA</t>
  </si>
  <si>
    <t>Hypothyroidism, PFOS</t>
  </si>
  <si>
    <t>total</t>
  </si>
  <si>
    <t>EFSA-recommended exposure, best estimate</t>
  </si>
  <si>
    <t>EFSA-recommended exposure, lower bound</t>
  </si>
  <si>
    <t>EFSA-recommended exposure, upper bound</t>
  </si>
  <si>
    <t>Target DW concentrations, best estimate</t>
  </si>
  <si>
    <t>Target DW concentrations, lower bound</t>
  </si>
  <si>
    <t>Target DW concentrations, upper bound</t>
  </si>
  <si>
    <t>Current DW concentrations, best estimate</t>
  </si>
  <si>
    <t>Current DW concentrations, lower bound</t>
  </si>
  <si>
    <t>Current DW concentrations, upper bound</t>
  </si>
  <si>
    <t>delta DALYs from treatment, best estimate</t>
  </si>
  <si>
    <t>Currently used in calculations</t>
  </si>
  <si>
    <t>serum conc ng/mL</t>
  </si>
  <si>
    <t>Copy-paste data here from below to use in calculation</t>
  </si>
  <si>
    <t>Use for endpoint</t>
  </si>
  <si>
    <t>Population/ PFAS</t>
  </si>
  <si>
    <t>EFSA recommended exposure</t>
  </si>
  <si>
    <t>Prospective DW conc.</t>
  </si>
  <si>
    <t>Current DW conc. Mean</t>
  </si>
  <si>
    <t>Current DW conc. LL</t>
  </si>
  <si>
    <t>Current DW Conc. UL</t>
  </si>
  <si>
    <t>Kidney cancer &amp; hypertension, PFOA</t>
  </si>
  <si>
    <t>Adults 20-82</t>
  </si>
  <si>
    <t>Testicular cancer, PFOA</t>
  </si>
  <si>
    <t>Male 18-82</t>
  </si>
  <si>
    <t>Female, 18-49</t>
  </si>
  <si>
    <t>Food exposure at EFSA recommendation</t>
  </si>
  <si>
    <t>female, 18-49</t>
  </si>
  <si>
    <t>Food exposure at current LL levels</t>
  </si>
  <si>
    <t>Food exposure at current UL levels</t>
  </si>
  <si>
    <t>Food exposure at zero</t>
  </si>
  <si>
    <t>EFSA recommended exposure - set to 0 in this scenario</t>
  </si>
  <si>
    <t>Food exposure at 8 times EFSA exposure</t>
  </si>
  <si>
    <t>Population:</t>
  </si>
  <si>
    <t>Adults 20+</t>
  </si>
  <si>
    <t>Size per 10^6 people:</t>
  </si>
  <si>
    <t>Note: ERR data is based on adults &gt;18, whereas incidence &amp; prevalence data is based on adults &gt;20. Assumed to have a minor effect on results.</t>
  </si>
  <si>
    <t>ERR</t>
  </si>
  <si>
    <t xml:space="preserve">per </t>
  </si>
  <si>
    <t>ng/mL PFOA</t>
  </si>
  <si>
    <t>ERR data from: https://doi.org/10.1007/s12403-022-00496-y</t>
  </si>
  <si>
    <t>ERR, 95% lower limit</t>
  </si>
  <si>
    <t>Original publication, for confidence data:</t>
  </si>
  <si>
    <t>https://doi.org/10.1080/10962247.2021.1909668</t>
  </si>
  <si>
    <t>ERR, 95% upper limit</t>
  </si>
  <si>
    <t>Prevalence, kidney cancer</t>
  </si>
  <si>
    <t>5-year prevalence, &gt;20 years old adults; the Netherlands, 2023, &lt;10% so OR can be used instead of RR. Includes  patients in remission</t>
  </si>
  <si>
    <t>from: https://nkr-cijfers.iknl.nl/viewer/prevalentie-per-jaar?language=nl_NL&amp;viewerId=51059014-d140-4975-bb1f-b9a1009061a9</t>
  </si>
  <si>
    <t>Incidence, kidney cancer</t>
  </si>
  <si>
    <t>cases per adult&gt;20 per year, the Netherlands</t>
  </si>
  <si>
    <t>from: https://nkr-cijfers.iknl.nl/viewer/incidentie-per-jaar?language=nl_NL&amp;viewerId=5252f690-44df-4b35-9fa6-557cc650b70f; age group all &gt;20; male + female; year 2023</t>
  </si>
  <si>
    <t>DALYs per case, kidney cancer</t>
  </si>
  <si>
    <t>Kidney cancer DALY data from: https://doi.org/10.1038/s41598-020-70840-2</t>
  </si>
  <si>
    <t>total incidence kidney cancer cases; the Netherlands; 2017</t>
  </si>
  <si>
    <t>total nr. DALYs from kidney cancer; the Netherlands; 2017</t>
  </si>
  <si>
    <t>ERR best estimate</t>
  </si>
  <si>
    <t>Reference level for ERR</t>
  </si>
  <si>
    <t>Reference: EFSA guideline</t>
  </si>
  <si>
    <t>Reference: Prospective exposure</t>
  </si>
  <si>
    <t>Drinking water current:</t>
  </si>
  <si>
    <t>Drinking water low:</t>
  </si>
  <si>
    <t>Drinking water high</t>
  </si>
  <si>
    <t>Overall low</t>
  </si>
  <si>
    <t>PFOA serum concentrations ng/mL, EFSA model, average age 18-81.8 (life expectancy in NL: https://www.cbs.nl/nl-nl/visualisaties/dashboard-bevolking/levensloop/verweduwen)</t>
  </si>
  <si>
    <t>OR</t>
  </si>
  <si>
    <t>Overall high</t>
  </si>
  <si>
    <t>Attributable fraction</t>
  </si>
  <si>
    <t>Number of new kidney cancer cases per year associated with PFOA, per 10^6 people</t>
  </si>
  <si>
    <t>DALYs associated with PFAS in drinking water</t>
  </si>
  <si>
    <t>DALYs gained from treatment</t>
  </si>
  <si>
    <t>ERR lower limit</t>
  </si>
  <si>
    <t>ERR upper limit</t>
  </si>
  <si>
    <t>Males 18+</t>
  </si>
  <si>
    <t>from: https://doi.org/10.1007/s12403-022-00496-y</t>
  </si>
  <si>
    <t>Prevalence, testicular cancer</t>
  </si>
  <si>
    <t>5-year prevalence, &gt;20 years old men; the Netherlands, 2023 &lt;10% so OR can be used instead of RR. Includes  patients in remission</t>
  </si>
  <si>
    <t>Incidence, testicular cancer</t>
  </si>
  <si>
    <t>cases per adult male per year, the NL, 2023</t>
  </si>
  <si>
    <t>from: https://nkr-cijfers.iknl.nl/viewer/incidentie-per-jaar?language=nl_NL&amp;viewerId=c57bba3b-6e42-4eb9-9748-6c33ab7e9c5b</t>
  </si>
  <si>
    <t>DALYs per case, testicular cancer</t>
  </si>
  <si>
    <t>Testicular cancer DALY data from: https://doi.org/10.1111/bju.14771</t>
  </si>
  <si>
    <t>total incidence testicular cancer cases; Western Europe, 2016</t>
  </si>
  <si>
    <t>total nr. DALYs from testicular;  Western Europe, 2016</t>
  </si>
  <si>
    <t>overall high</t>
  </si>
  <si>
    <t>Females 18-49 (incl)</t>
  </si>
  <si>
    <t>Note: population size and OR/ERR are based on females age 18-49, but prevalence &amp; incidence rates are based on females age 20-49. The difference this would make was assumed negligible.</t>
  </si>
  <si>
    <t>ln(PFOA(ng/mL))</t>
  </si>
  <si>
    <t>ERR, low estimate</t>
  </si>
  <si>
    <t>Original publication, for confidence interval data:</t>
  </si>
  <si>
    <t>https://doi.org/10.1210/jc.2013-1282</t>
  </si>
  <si>
    <t>ERR, high estimate</t>
  </si>
  <si>
    <t>Prevalence, hypothyroidism</t>
  </si>
  <si>
    <t>cases per female 18-49</t>
  </si>
  <si>
    <t>For data source, see table on the right</t>
  </si>
  <si>
    <t>Incidence, hypothyroidism</t>
  </si>
  <si>
    <t>cases per female 18-49 per year</t>
  </si>
  <si>
    <t>Incidence value agrees with 0.00226 used by Obsekov et al.</t>
  </si>
  <si>
    <t>Total best:</t>
  </si>
  <si>
    <t>DALYs per case, hypothyroidism</t>
  </si>
  <si>
    <t>DW low</t>
  </si>
  <si>
    <t xml:space="preserve">DALY weight: </t>
  </si>
  <si>
    <t>from: https://cdn.who.int/media/docs/default-source/gho-documents/global-health-estimates/ghe2019_daly-methods.pdf?sfvrsn=31b25009_7</t>
  </si>
  <si>
    <t>DW high</t>
  </si>
  <si>
    <t>Duration</t>
  </si>
  <si>
    <t>years</t>
  </si>
  <si>
    <t>from:</t>
  </si>
  <si>
    <t>https://doi.org/10.1007/s12403-022-00496-y</t>
  </si>
  <si>
    <t>Total min:</t>
  </si>
  <si>
    <t>PFOA serum concentrations, EFSA model, average age 18-49  ng/mL</t>
  </si>
  <si>
    <t>total max:</t>
  </si>
  <si>
    <t>ln(PFOA(ng/mL/Cref)</t>
  </si>
  <si>
    <t>Incidence &amp; Prevalence data</t>
  </si>
  <si>
    <t>From:https://www.nivel.nl/nl/zorg-en-ziekte-in-cijfers/cijfers-ziekten-op-jaarbasis</t>
  </si>
  <si>
    <t>Incidence (new cases per 1000 people per year)</t>
  </si>
  <si>
    <t>Prevalence (cases per 1000 people)</t>
  </si>
  <si>
    <t>RR</t>
  </si>
  <si>
    <t>RR not used, prevalence &lt; 10 %</t>
  </si>
  <si>
    <t>Year</t>
  </si>
  <si>
    <t>ICPC code (Dutch)</t>
  </si>
  <si>
    <t>men</t>
  </si>
  <si>
    <t>women</t>
  </si>
  <si>
    <t>size of age group</t>
  </si>
  <si>
    <t>relative contribution of age group</t>
  </si>
  <si>
    <t>Relative incidence</t>
  </si>
  <si>
    <t>Relative prevalence</t>
  </si>
  <si>
    <t>T86</t>
  </si>
  <si>
    <t>Number of new hypothyroid cases per year associated with PFOA, per 10^6 people</t>
  </si>
  <si>
    <t>0-4 jaar</t>
  </si>
  <si>
    <t>DALYs associated with PFAS</t>
  </si>
  <si>
    <t>5-9 jaar</t>
  </si>
  <si>
    <t>&lt;0.1</t>
  </si>
  <si>
    <t>10-14 jaar</t>
  </si>
  <si>
    <t>ERR low estimate</t>
  </si>
  <si>
    <t>15-19 jaar</t>
  </si>
  <si>
    <t>20-24 jaar</t>
  </si>
  <si>
    <t>25-29 jaar</t>
  </si>
  <si>
    <t>30-34 jaar</t>
  </si>
  <si>
    <t>35-39 jaar</t>
  </si>
  <si>
    <t>40-44 jaar</t>
  </si>
  <si>
    <t>45-49 jaar</t>
  </si>
  <si>
    <t>50-54 jaar</t>
  </si>
  <si>
    <t>55-59 jaar</t>
  </si>
  <si>
    <t>ERR high estimate</t>
  </si>
  <si>
    <t>60-64 jaar</t>
  </si>
  <si>
    <t>65-69 jaar</t>
  </si>
  <si>
    <t>70-74 jaar</t>
  </si>
  <si>
    <t>75-79 jaar</t>
  </si>
  <si>
    <t>80-84 jaar</t>
  </si>
  <si>
    <t>85 jaar en ouder</t>
  </si>
  <si>
    <t>Average 20-&gt;49, female:</t>
  </si>
  <si>
    <t>check sum</t>
  </si>
  <si>
    <t>DELETE WHEN UPLOADED - to test Obsekov et al. method</t>
  </si>
  <si>
    <t>Table S5. Hypothyroidism in Females</t>
  </si>
  <si>
    <t>Exposure</t>
  </si>
  <si>
    <t>Percentile range of exposure</t>
  </si>
  <si>
    <t>0-9</t>
  </si>
  <si>
    <t>25-49</t>
  </si>
  <si>
    <t>50-74</t>
  </si>
  <si>
    <t>75-89</t>
  </si>
  <si>
    <t>90-99</t>
  </si>
  <si>
    <t>&gt;99</t>
  </si>
  <si>
    <t>PFOA</t>
  </si>
  <si>
    <t>Assigned exposure concentration (ng/mL)</t>
  </si>
  <si>
    <t>Threshold of exposure</t>
  </si>
  <si>
    <t>Same outcome for 0.1 ng/mL and 1 ng/mL</t>
  </si>
  <si>
    <t>Odds ratio of hypothyroidism in females</t>
  </si>
  <si>
    <t>Relative risk of hypothyroidism in females</t>
  </si>
  <si>
    <t>AF</t>
  </si>
  <si>
    <t>size of population</t>
  </si>
  <si>
    <t>weighted AF</t>
  </si>
  <si>
    <t>Incremental increase of hypothyroidism in females</t>
  </si>
  <si>
    <t>Attributable fraction of hypothyroidism in females</t>
  </si>
  <si>
    <t>Attributable cases of hypothyroidism in females</t>
  </si>
  <si>
    <t>difference = nr. of women</t>
  </si>
  <si>
    <t>Cost of hypothyroidism in females</t>
  </si>
  <si>
    <t>$42,083,427</t>
  </si>
  <si>
    <t>Indirect cost of attributable hypothyroidism as DALY lost over 10 years</t>
  </si>
  <si>
    <t>$1,216,259,125</t>
  </si>
  <si>
    <t>PFOS~</t>
  </si>
  <si>
    <t>$173,106,006</t>
  </si>
  <si>
    <t>$5,002,961,377</t>
  </si>
  <si>
    <t>Cost of hypothyroism per case*</t>
  </si>
  <si>
    <t>$2,888</t>
  </si>
  <si>
    <t>* adjusted to 2018 dollars</t>
  </si>
  <si>
    <t>~ used for high cost estimate in sensitivity analysis</t>
  </si>
  <si>
    <t>ln(PFOS(ng/mL))</t>
  </si>
  <si>
    <t>Min, PFOS:</t>
  </si>
  <si>
    <t>PFOS serum concentrations, EFSA model, average age 18-49  ng/mL</t>
  </si>
  <si>
    <t>Max, PFOS:</t>
  </si>
  <si>
    <t>ln(PFOS(ng/mL/Cref)</t>
  </si>
  <si>
    <t>People &gt;20</t>
  </si>
  <si>
    <t xml:space="preserve">All data from, except noted otherwise: </t>
  </si>
  <si>
    <t>https://www.eionet.europa.eu/etcs/etc-he/products/etc-he-products/etc-he-reports/etc-he-report-2023-13-estimating-the-burden-of-disease-due-to-lead-pfas-phthalates-cadmium-pyrethroids-and-bisphenol-a-using-hbm4eu-data-2013-test-of-feasibility-and-first-results-for-selected-countries</t>
  </si>
  <si>
    <t>Exposure effect Min et al.</t>
  </si>
  <si>
    <t> 10.1136/oemed-2011-100288</t>
  </si>
  <si>
    <t>Beta</t>
  </si>
  <si>
    <t>alpha</t>
  </si>
  <si>
    <t>central</t>
  </si>
  <si>
    <t>y=2.4119*log PFOA (in µg/L) -0.0045</t>
  </si>
  <si>
    <t>95%LL</t>
  </si>
  <si>
    <t>y=1.1825*log PFOA (in µg/L) + 0.4128</t>
  </si>
  <si>
    <t>95%UL</t>
  </si>
  <si>
    <t>y=4.0353*logPFOA (in µg/L) -0.5417</t>
  </si>
  <si>
    <t>Prevalence, hypertension</t>
  </si>
  <si>
    <t xml:space="preserve">cases per adult </t>
  </si>
  <si>
    <t>Not &lt;10 %, so can't  use OR instead of RR -&gt; OR recalculated into RR according to Obsekov et al. method.</t>
  </si>
  <si>
    <t>Data from:</t>
  </si>
  <si>
    <t>https://www.nivel.nl/nl/zorg-en-ziekte-in-cijfers/cijfers-ziekten-op-jaarbasis</t>
  </si>
  <si>
    <t>Incidence, hypertension</t>
  </si>
  <si>
    <t>Netherlands 2023</t>
  </si>
  <si>
    <t>DALYs per case, hypertension</t>
  </si>
  <si>
    <t>Hypertension without organ damage</t>
  </si>
  <si>
    <t>Total</t>
  </si>
  <si>
    <t>central estimate</t>
  </si>
  <si>
    <t>PFOA serum concentrations, EFSA model, average age 20-81.8 (life expectancy in NL: https://www.cbs.nl/nl-nl/visualisaties/dashboard-bevolking/levensloop/verweduwen) ng/mL</t>
  </si>
  <si>
    <t>K86</t>
  </si>
  <si>
    <t>Number of new hypertension cases per year associated with PFOA, per 10^6 people</t>
  </si>
  <si>
    <t>Low estimate</t>
  </si>
  <si>
    <t>High estimate</t>
  </si>
  <si>
    <t>&gt;20</t>
  </si>
  <si>
    <t>check sum:</t>
  </si>
  <si>
    <t>Hypertension with organ damage</t>
  </si>
  <si>
    <t>Total DALYs in the NL in 2022 ( + 95 % conf.)</t>
  </si>
  <si>
    <t>Source:</t>
  </si>
  <si>
    <t>https://www.rivm.nl/publicaties/rvp-2023</t>
  </si>
  <si>
    <t>Best estimate</t>
  </si>
  <si>
    <t>Low end</t>
  </si>
  <si>
    <t>High end</t>
  </si>
  <si>
    <r>
      <t xml:space="preserve">Invasive </t>
    </r>
    <r>
      <rPr>
        <i/>
        <sz val="11"/>
        <color theme="1"/>
        <rFont val="Calibri"/>
        <family val="2"/>
        <scheme val="minor"/>
      </rPr>
      <t>H. influenzae</t>
    </r>
    <r>
      <rPr>
        <sz val="11"/>
        <color theme="1"/>
        <rFont val="Calibri"/>
        <family val="2"/>
        <scheme val="minor"/>
      </rPr>
      <t xml:space="preserve"> type b</t>
    </r>
  </si>
  <si>
    <t>Only type b, see note b) under Table 4.2 in source publication</t>
  </si>
  <si>
    <t>Tetanus</t>
  </si>
  <si>
    <t>Diphteria</t>
  </si>
  <si>
    <t>Total per 10^6 people</t>
  </si>
  <si>
    <t>Based on 2022 total population:</t>
  </si>
  <si>
    <t>source:</t>
  </si>
  <si>
    <t>https://www.cbs.nl/nl-nl/visualisaties/dashboard-bevolking/bevolkingspiramide</t>
  </si>
  <si>
    <t>Related to drinking water:</t>
  </si>
  <si>
    <t>Related to PFAS:</t>
  </si>
  <si>
    <t>0 % of infections due to lower immune response because of PFAS exposure, versus 100 % of infections due to lower immune response because of PFAS exposure</t>
  </si>
  <si>
    <t>Leeftijd</t>
  </si>
  <si>
    <t>Mannen</t>
  </si>
  <si>
    <t>Vrouwen</t>
  </si>
  <si>
    <t>Men</t>
  </si>
  <si>
    <t>Women</t>
  </si>
  <si>
    <t>105 jaar of ouder</t>
  </si>
  <si>
    <t>104 jaar</t>
  </si>
  <si>
    <t>&gt;18</t>
  </si>
  <si>
    <t>103 jaar</t>
  </si>
  <si>
    <t>18-49</t>
  </si>
  <si>
    <t>102 jaar</t>
  </si>
  <si>
    <t>101 jaar</t>
  </si>
  <si>
    <t>100 jaar</t>
  </si>
  <si>
    <t>99 jaar</t>
  </si>
  <si>
    <t>accessed on</t>
  </si>
  <si>
    <t>98 jaar</t>
  </si>
  <si>
    <t>97 jaar</t>
  </si>
  <si>
    <t>96 jaar</t>
  </si>
  <si>
    <t>95 jaar</t>
  </si>
  <si>
    <t>94 jaar</t>
  </si>
  <si>
    <t>93 jaar</t>
  </si>
  <si>
    <t>92 jaar</t>
  </si>
  <si>
    <t>91 jaar</t>
  </si>
  <si>
    <t>90 jaar</t>
  </si>
  <si>
    <t>89 jaar</t>
  </si>
  <si>
    <t>88 jaar</t>
  </si>
  <si>
    <t>87 jaar</t>
  </si>
  <si>
    <t>86 jaar</t>
  </si>
  <si>
    <t>85 jaar</t>
  </si>
  <si>
    <t>84 jaar</t>
  </si>
  <si>
    <t>83 jaar</t>
  </si>
  <si>
    <t>82 jaar</t>
  </si>
  <si>
    <t>81 jaar</t>
  </si>
  <si>
    <t>80 jaar</t>
  </si>
  <si>
    <t>79 jaar</t>
  </si>
  <si>
    <t>78 jaar</t>
  </si>
  <si>
    <t>77 jaar</t>
  </si>
  <si>
    <t>76 jaar</t>
  </si>
  <si>
    <t>75 jaar</t>
  </si>
  <si>
    <t>74 jaar</t>
  </si>
  <si>
    <t>73 jaar</t>
  </si>
  <si>
    <t>72 jaar</t>
  </si>
  <si>
    <t>71 jaar</t>
  </si>
  <si>
    <t>70 jaar</t>
  </si>
  <si>
    <t>69 jaar</t>
  </si>
  <si>
    <t>68 jaar</t>
  </si>
  <si>
    <t>67 jaar</t>
  </si>
  <si>
    <t>66 jaar</t>
  </si>
  <si>
    <t>65 jaar</t>
  </si>
  <si>
    <t>64 jaar</t>
  </si>
  <si>
    <t>63 jaar</t>
  </si>
  <si>
    <t>62 jaar</t>
  </si>
  <si>
    <t>61 jaar</t>
  </si>
  <si>
    <t>60 jaar</t>
  </si>
  <si>
    <t>59 jaar</t>
  </si>
  <si>
    <t>58 jaar</t>
  </si>
  <si>
    <t>57 jaar</t>
  </si>
  <si>
    <t>56 jaar</t>
  </si>
  <si>
    <t>55 jaar</t>
  </si>
  <si>
    <t>54 jaar</t>
  </si>
  <si>
    <t>53 jaar</t>
  </si>
  <si>
    <t>52 jaar</t>
  </si>
  <si>
    <t>51 jaar</t>
  </si>
  <si>
    <t>50 jaar</t>
  </si>
  <si>
    <t>49 jaar</t>
  </si>
  <si>
    <t>48 jaar</t>
  </si>
  <si>
    <t>47 jaar</t>
  </si>
  <si>
    <t>46 jaar</t>
  </si>
  <si>
    <t>45 jaar</t>
  </si>
  <si>
    <t>44 jaar</t>
  </si>
  <si>
    <t>43 jaar</t>
  </si>
  <si>
    <t>42 jaar</t>
  </si>
  <si>
    <t>41 jaar</t>
  </si>
  <si>
    <t>40 jaar</t>
  </si>
  <si>
    <t>39 jaar</t>
  </si>
  <si>
    <t>38 jaar</t>
  </si>
  <si>
    <t>37 jaar</t>
  </si>
  <si>
    <t>36 jaar</t>
  </si>
  <si>
    <t>35 jaar</t>
  </si>
  <si>
    <t>34 jaar</t>
  </si>
  <si>
    <t>33 jaar</t>
  </si>
  <si>
    <t>32 jaar</t>
  </si>
  <si>
    <t>31 jaar</t>
  </si>
  <si>
    <t>30 jaar</t>
  </si>
  <si>
    <t>29 jaar</t>
  </si>
  <si>
    <t>28 jaar</t>
  </si>
  <si>
    <t>27 jaar</t>
  </si>
  <si>
    <t>26 jaar</t>
  </si>
  <si>
    <t>25 jaar</t>
  </si>
  <si>
    <t>24 jaar</t>
  </si>
  <si>
    <t>23 jaar</t>
  </si>
  <si>
    <t>22 jaar</t>
  </si>
  <si>
    <t>21 jaar</t>
  </si>
  <si>
    <t>20 jaar</t>
  </si>
  <si>
    <t>19 jaar</t>
  </si>
  <si>
    <t>18 jaar</t>
  </si>
  <si>
    <t>17 jaar</t>
  </si>
  <si>
    <t>16 jaar</t>
  </si>
  <si>
    <t>15 jaar</t>
  </si>
  <si>
    <t>14 jaar</t>
  </si>
  <si>
    <t>13 jaar</t>
  </si>
  <si>
    <t>12 jaar</t>
  </si>
  <si>
    <t>11 jaar</t>
  </si>
  <si>
    <t>10 jaar</t>
  </si>
  <si>
    <t>9 jaar</t>
  </si>
  <si>
    <t>8 jaar</t>
  </si>
  <si>
    <t>7 jaar</t>
  </si>
  <si>
    <t>6 jaar</t>
  </si>
  <si>
    <t>5 jaar</t>
  </si>
  <si>
    <t>4 jaar</t>
  </si>
  <si>
    <t>3 jaar</t>
  </si>
  <si>
    <t>2 jaar</t>
  </si>
  <si>
    <t>1 jaar</t>
  </si>
  <si>
    <t>0 jaar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</si>
</sst>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
  </numFmts>
  <fonts count="9" x14ac:knownFonts="1">
    <font>
      <sz val="11"/>
      <color theme="1"/>
      <name val="Calibri"/>
      <family val="2"/>
      <scheme val="minor"/>
    </font>
    <font>
      <b/>
      <sz val="11"/>
      <color theme="1"/>
      <name val="Calibri"/>
      <family val="2"/>
      <scheme val="minor"/>
    </font>
    <font>
      <sz val="11"/>
      <color rgb="FF091D23"/>
      <name val="Arial"/>
      <family val="2"/>
    </font>
    <font>
      <u/>
      <sz val="11"/>
      <color theme="10"/>
      <name val="Calibri"/>
      <family val="2"/>
      <scheme val="minor"/>
    </font>
    <font>
      <i/>
      <sz val="11"/>
      <color theme="1"/>
      <name val="Calibri"/>
      <family val="2"/>
      <scheme val="minor"/>
    </font>
    <font>
      <sz val="11"/>
      <color theme="1"/>
      <name val="Calibri"/>
      <family val="2"/>
      <scheme val="minor"/>
    </font>
    <font>
      <sz val="11"/>
      <color rgb="FF333333"/>
      <name val="Calibri"/>
      <family val="2"/>
      <scheme val="minor"/>
    </font>
    <font>
      <b/>
      <sz val="11"/>
      <color rgb="FF000000"/>
      <name val="Calibri"/>
      <family val="2"/>
      <scheme val="minor"/>
    </font>
    <font>
      <sz val="11"/>
      <color rgb="FF000000"/>
      <name val="Calibri"/>
      <family val="2"/>
      <scheme val="minor"/>
    </font>
  </fonts>
  <fills count="13">
    <fill>
      <patternFill patternType="none"/>
    </fill>
    <fill>
      <patternFill patternType="gray125"/>
    </fill>
    <fill>
      <patternFill patternType="solid">
        <fgColor rgb="FFFFFFFF"/>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E8D8F4"/>
        <bgColor indexed="64"/>
      </patternFill>
    </fill>
    <fill>
      <patternFill patternType="solid">
        <fgColor rgb="FFA5A5A5"/>
        <bgColor indexed="64"/>
      </patternFill>
    </fill>
    <fill>
      <patternFill patternType="solid">
        <fgColor rgb="FFE7E6E6"/>
        <bgColor indexed="64"/>
      </patternFill>
    </fill>
    <fill>
      <patternFill patternType="solid">
        <fgColor rgb="FFFF0000"/>
        <bgColor indexed="64"/>
      </patternFill>
    </fill>
    <fill>
      <patternFill patternType="solid">
        <fgColor theme="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3" fillId="0" borderId="0" applyNumberFormat="0" applyFill="0" applyBorder="0" applyAlignment="0" applyProtection="0"/>
    <xf numFmtId="9" fontId="5" fillId="0" borderId="0" applyFont="0" applyFill="0" applyBorder="0" applyAlignment="0" applyProtection="0"/>
  </cellStyleXfs>
  <cellXfs count="87">
    <xf numFmtId="0" fontId="0" fillId="0" borderId="0" xfId="0"/>
    <xf numFmtId="2" fontId="0" fillId="0" borderId="0" xfId="0" applyNumberFormat="1"/>
    <xf numFmtId="164" fontId="0" fillId="0" borderId="0" xfId="0" applyNumberFormat="1"/>
    <xf numFmtId="165" fontId="0" fillId="0" borderId="0" xfId="0" applyNumberFormat="1"/>
    <xf numFmtId="1" fontId="0" fillId="0" borderId="0" xfId="0" applyNumberFormat="1"/>
    <xf numFmtId="0" fontId="1" fillId="0" borderId="0" xfId="0" applyFont="1"/>
    <xf numFmtId="0" fontId="2" fillId="2" borderId="0" xfId="0" applyFont="1" applyFill="1" applyAlignment="1">
      <alignment horizontal="left" wrapText="1"/>
    </xf>
    <xf numFmtId="0" fontId="2" fillId="0" borderId="0" xfId="0" applyFont="1" applyAlignment="1">
      <alignment horizontal="left" wrapText="1"/>
    </xf>
    <xf numFmtId="0" fontId="2" fillId="0" borderId="0" xfId="0" applyFont="1" applyAlignment="1">
      <alignment horizontal="left" vertical="top"/>
    </xf>
    <xf numFmtId="0" fontId="2" fillId="0" borderId="0" xfId="0" applyFont="1" applyAlignment="1">
      <alignment horizontal="right" vertical="top"/>
    </xf>
    <xf numFmtId="0" fontId="3" fillId="0" borderId="0" xfId="1"/>
    <xf numFmtId="0" fontId="0" fillId="0" borderId="1" xfId="0" applyBorder="1"/>
    <xf numFmtId="0" fontId="0" fillId="2" borderId="1" xfId="0" applyFill="1" applyBorder="1" applyAlignment="1">
      <alignment horizontal="right" vertical="center" wrapText="1"/>
    </xf>
    <xf numFmtId="0" fontId="6" fillId="2" borderId="1" xfId="0" applyFont="1" applyFill="1" applyBorder="1" applyAlignment="1">
      <alignment horizontal="right" vertical="center" wrapText="1"/>
    </xf>
    <xf numFmtId="0" fontId="0" fillId="0" borderId="2" xfId="0" applyBorder="1"/>
    <xf numFmtId="0" fontId="6" fillId="2" borderId="2" xfId="0" applyFont="1" applyFill="1" applyBorder="1" applyAlignment="1">
      <alignment horizontal="right" vertical="center" wrapText="1"/>
    </xf>
    <xf numFmtId="2" fontId="6" fillId="2" borderId="2" xfId="0" applyNumberFormat="1" applyFont="1" applyFill="1" applyBorder="1" applyAlignment="1">
      <alignment horizontal="right" vertical="center" wrapText="1"/>
    </xf>
    <xf numFmtId="165" fontId="6" fillId="2" borderId="2" xfId="0" applyNumberFormat="1" applyFont="1" applyFill="1" applyBorder="1" applyAlignment="1">
      <alignment horizontal="right" vertical="center" wrapText="1"/>
    </xf>
    <xf numFmtId="9" fontId="0" fillId="0" borderId="0" xfId="2" applyFont="1"/>
    <xf numFmtId="10" fontId="0" fillId="0" borderId="0" xfId="2" applyNumberFormat="1" applyFont="1" applyFill="1"/>
    <xf numFmtId="166" fontId="0" fillId="0" borderId="0" xfId="2" applyNumberFormat="1" applyFont="1" applyFill="1"/>
    <xf numFmtId="9" fontId="0" fillId="0" borderId="0" xfId="2" applyFont="1" applyFill="1"/>
    <xf numFmtId="0" fontId="0" fillId="3" borderId="0" xfId="0" applyFill="1"/>
    <xf numFmtId="0" fontId="1" fillId="4" borderId="0" xfId="0" applyFont="1" applyFill="1"/>
    <xf numFmtId="0" fontId="0" fillId="4" borderId="0" xfId="0" applyFill="1"/>
    <xf numFmtId="0" fontId="1" fillId="5" borderId="0" xfId="0" applyFont="1" applyFill="1"/>
    <xf numFmtId="0" fontId="0" fillId="5" borderId="0" xfId="0" applyFill="1"/>
    <xf numFmtId="0" fontId="1" fillId="6" borderId="0" xfId="0" applyFont="1" applyFill="1"/>
    <xf numFmtId="0" fontId="0" fillId="6" borderId="0" xfId="0" applyFill="1"/>
    <xf numFmtId="0" fontId="1" fillId="3" borderId="0" xfId="0" applyFont="1" applyFill="1"/>
    <xf numFmtId="0" fontId="4" fillId="6" borderId="0" xfId="0" applyFont="1" applyFill="1"/>
    <xf numFmtId="0" fontId="4" fillId="6" borderId="0" xfId="0" applyFont="1" applyFill="1" applyAlignment="1">
      <alignment vertical="top" wrapText="1"/>
    </xf>
    <xf numFmtId="0" fontId="4" fillId="5" borderId="0" xfId="0" applyFont="1" applyFill="1"/>
    <xf numFmtId="0" fontId="4" fillId="5" borderId="0" xfId="0" applyFont="1" applyFill="1" applyAlignment="1">
      <alignment vertical="top" wrapText="1"/>
    </xf>
    <xf numFmtId="0" fontId="4" fillId="4" borderId="0" xfId="0" applyFont="1" applyFill="1"/>
    <xf numFmtId="0" fontId="4" fillId="4" borderId="0" xfId="0" applyFont="1" applyFill="1" applyAlignment="1">
      <alignment vertical="top" wrapText="1"/>
    </xf>
    <xf numFmtId="0" fontId="4" fillId="3" borderId="0" xfId="0" applyFont="1" applyFill="1"/>
    <xf numFmtId="0" fontId="4" fillId="3" borderId="0" xfId="0" applyFont="1" applyFill="1" applyAlignment="1">
      <alignment vertical="top" wrapText="1"/>
    </xf>
    <xf numFmtId="9" fontId="0" fillId="6" borderId="0" xfId="2" applyFont="1" applyFill="1"/>
    <xf numFmtId="0" fontId="4" fillId="3" borderId="0" xfId="0" applyFont="1" applyFill="1" applyAlignment="1">
      <alignment wrapText="1"/>
    </xf>
    <xf numFmtId="0" fontId="4" fillId="4" borderId="0" xfId="0" applyFont="1" applyFill="1" applyAlignment="1">
      <alignment wrapText="1"/>
    </xf>
    <xf numFmtId="0" fontId="4" fillId="6" borderId="0" xfId="0" applyFont="1" applyFill="1" applyAlignment="1">
      <alignment wrapText="1"/>
    </xf>
    <xf numFmtId="0" fontId="4" fillId="5" borderId="0" xfId="0" applyFont="1" applyFill="1" applyAlignment="1">
      <alignment wrapText="1"/>
    </xf>
    <xf numFmtId="14" fontId="0" fillId="0" borderId="0" xfId="0" applyNumberFormat="1"/>
    <xf numFmtId="165" fontId="0" fillId="6" borderId="0" xfId="0" applyNumberFormat="1" applyFill="1"/>
    <xf numFmtId="165" fontId="1" fillId="6" borderId="0" xfId="0" applyNumberFormat="1" applyFont="1" applyFill="1"/>
    <xf numFmtId="165" fontId="0" fillId="5" borderId="0" xfId="0" applyNumberFormat="1" applyFill="1"/>
    <xf numFmtId="165" fontId="1" fillId="5" borderId="0" xfId="0" applyNumberFormat="1" applyFont="1" applyFill="1"/>
    <xf numFmtId="165" fontId="0" fillId="4" borderId="0" xfId="0" applyNumberFormat="1" applyFill="1"/>
    <xf numFmtId="165" fontId="1" fillId="4" borderId="0" xfId="0" applyNumberFormat="1" applyFont="1" applyFill="1"/>
    <xf numFmtId="0" fontId="1" fillId="7" borderId="0" xfId="0" applyFont="1" applyFill="1"/>
    <xf numFmtId="0" fontId="0" fillId="7" borderId="0" xfId="0" applyFill="1"/>
    <xf numFmtId="0" fontId="4" fillId="7" borderId="0" xfId="0" applyFont="1" applyFill="1"/>
    <xf numFmtId="0" fontId="4" fillId="7" borderId="0" xfId="0" applyFont="1" applyFill="1" applyAlignment="1">
      <alignment wrapText="1"/>
    </xf>
    <xf numFmtId="0" fontId="4" fillId="7" borderId="0" xfId="0" applyFont="1" applyFill="1" applyAlignment="1">
      <alignment vertical="top" wrapText="1"/>
    </xf>
    <xf numFmtId="2" fontId="0" fillId="7" borderId="0" xfId="0" applyNumberFormat="1" applyFill="1"/>
    <xf numFmtId="2" fontId="0" fillId="3" borderId="0" xfId="0" applyNumberFormat="1" applyFill="1" applyAlignment="1">
      <alignment vertical="top" wrapText="1"/>
    </xf>
    <xf numFmtId="0" fontId="1" fillId="8" borderId="0" xfId="0" applyFont="1" applyFill="1"/>
    <xf numFmtId="0" fontId="0" fillId="8" borderId="0" xfId="0" applyFill="1"/>
    <xf numFmtId="0" fontId="4" fillId="8" borderId="0" xfId="0" applyFont="1" applyFill="1"/>
    <xf numFmtId="0" fontId="4" fillId="8" borderId="0" xfId="0" applyFont="1" applyFill="1" applyAlignment="1">
      <alignment wrapText="1"/>
    </xf>
    <xf numFmtId="0" fontId="4" fillId="8" borderId="0" xfId="0" applyFont="1" applyFill="1" applyAlignment="1">
      <alignment vertical="top" wrapText="1"/>
    </xf>
    <xf numFmtId="2" fontId="0" fillId="8" borderId="0" xfId="0" applyNumberFormat="1" applyFill="1"/>
    <xf numFmtId="165" fontId="0" fillId="3" borderId="0" xfId="0" applyNumberFormat="1" applyFill="1"/>
    <xf numFmtId="0" fontId="8" fillId="9" borderId="0" xfId="0" applyFont="1" applyFill="1" applyAlignment="1">
      <alignment vertical="center"/>
    </xf>
    <xf numFmtId="17" fontId="8" fillId="9" borderId="0" xfId="0" applyNumberFormat="1" applyFont="1" applyFill="1" applyAlignment="1">
      <alignment vertical="center"/>
    </xf>
    <xf numFmtId="0" fontId="8" fillId="0" borderId="0" xfId="0" applyFont="1" applyAlignment="1">
      <alignment vertical="center"/>
    </xf>
    <xf numFmtId="0" fontId="8" fillId="10" borderId="0" xfId="0" applyFont="1" applyFill="1" applyAlignment="1">
      <alignment vertical="center"/>
    </xf>
    <xf numFmtId="10" fontId="0" fillId="0" borderId="0" xfId="0" applyNumberFormat="1"/>
    <xf numFmtId="10" fontId="0" fillId="0" borderId="0" xfId="2" applyNumberFormat="1" applyFont="1"/>
    <xf numFmtId="2" fontId="8" fillId="11" borderId="0" xfId="0" applyNumberFormat="1" applyFont="1" applyFill="1" applyAlignment="1">
      <alignment vertical="center"/>
    </xf>
    <xf numFmtId="0" fontId="8" fillId="12" borderId="0" xfId="0" applyFont="1" applyFill="1" applyAlignment="1">
      <alignment vertical="center"/>
    </xf>
    <xf numFmtId="2" fontId="8" fillId="12" borderId="0" xfId="0" applyNumberFormat="1" applyFont="1" applyFill="1" applyAlignment="1">
      <alignment vertical="center"/>
    </xf>
    <xf numFmtId="0" fontId="8" fillId="11" borderId="0" xfId="0" applyFont="1" applyFill="1" applyAlignment="1">
      <alignment vertical="center"/>
    </xf>
    <xf numFmtId="0" fontId="0" fillId="11" borderId="0" xfId="0" applyFill="1"/>
    <xf numFmtId="0" fontId="0" fillId="2" borderId="1" xfId="0" applyFill="1" applyBorder="1" applyAlignment="1">
      <alignment horizontal="right" vertical="center" wrapText="1"/>
    </xf>
    <xf numFmtId="0" fontId="7" fillId="0" borderId="0" xfId="0" applyFont="1" applyAlignment="1">
      <alignment vertical="center"/>
    </xf>
    <xf numFmtId="0" fontId="8" fillId="0" borderId="0" xfId="0" applyFont="1" applyAlignment="1">
      <alignment vertical="center"/>
    </xf>
    <xf numFmtId="0" fontId="8" fillId="10" borderId="0" xfId="0" applyFont="1" applyFill="1" applyAlignment="1">
      <alignment vertical="center"/>
    </xf>
    <xf numFmtId="10" fontId="8" fillId="0" borderId="0" xfId="0" applyNumberFormat="1" applyFont="1" applyAlignment="1">
      <alignment vertical="center"/>
    </xf>
    <xf numFmtId="10" fontId="8" fillId="10" borderId="0" xfId="0" applyNumberFormat="1" applyFont="1" applyFill="1" applyAlignment="1">
      <alignment vertical="center"/>
    </xf>
    <xf numFmtId="0" fontId="6" fillId="2" borderId="1" xfId="0" applyFont="1" applyFill="1" applyBorder="1" applyAlignment="1">
      <alignment horizontal="right" vertical="center" wrapText="1"/>
    </xf>
    <xf numFmtId="0" fontId="0" fillId="0" borderId="0" xfId="0" applyFill="1"/>
    <xf numFmtId="165" fontId="0" fillId="0" borderId="0" xfId="0" applyNumberFormat="1" applyFill="1"/>
    <xf numFmtId="164" fontId="0" fillId="0" borderId="0" xfId="0" applyNumberFormat="1" applyFill="1"/>
    <xf numFmtId="2" fontId="0" fillId="0" borderId="0" xfId="0" applyNumberFormat="1" applyFill="1"/>
    <xf numFmtId="0" fontId="1" fillId="0" borderId="0" xfId="0" applyFont="1" applyFill="1"/>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E8D8F4"/>
      <color rgb="FFD1B2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281940</xdr:colOff>
      <xdr:row>2</xdr:row>
      <xdr:rowOff>38100</xdr:rowOff>
    </xdr:from>
    <xdr:to>
      <xdr:col>15</xdr:col>
      <xdr:colOff>45720</xdr:colOff>
      <xdr:row>8</xdr:row>
      <xdr:rowOff>129540</xdr:rowOff>
    </xdr:to>
    <xdr:sp macro="" textlink="">
      <xdr:nvSpPr>
        <xdr:cNvPr id="2" name="TextBox 1">
          <a:extLst>
            <a:ext uri="{FF2B5EF4-FFF2-40B4-BE49-F238E27FC236}">
              <a16:creationId xmlns:a16="http://schemas.microsoft.com/office/drawing/2014/main" id="{4FC1FBC8-5CE2-4A1E-BE37-803CC4F6B42E}"/>
            </a:ext>
          </a:extLst>
        </xdr:cNvPr>
        <xdr:cNvSpPr txBox="1"/>
      </xdr:nvSpPr>
      <xdr:spPr>
        <a:xfrm>
          <a:off x="7970520" y="403860"/>
          <a:ext cx="4030980" cy="1188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kern="1200"/>
            <a:t>Note that these are the DALYs associated with total PFAS exposure for each scenario, so do not include the link to drinking water. Because of the nonlinearity of some of the ERRs (Hypothyroidism</a:t>
          </a:r>
          <a:r>
            <a:rPr lang="nl-NL" sz="1100" kern="1200" baseline="0"/>
            <a:t> &amp; hypertension), including this link is non-trivial.</a:t>
          </a:r>
        </a:p>
        <a:p>
          <a:r>
            <a:rPr lang="nl-NL" sz="1100" kern="1200" baseline="0"/>
            <a:t>These total numbers do not include the Abraham et al. infectious diseases.</a:t>
          </a:r>
        </a:p>
        <a:p>
          <a:endParaRPr lang="nl-NL"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53340</xdr:colOff>
      <xdr:row>1</xdr:row>
      <xdr:rowOff>350520</xdr:rowOff>
    </xdr:from>
    <xdr:to>
      <xdr:col>13</xdr:col>
      <xdr:colOff>160020</xdr:colOff>
      <xdr:row>6</xdr:row>
      <xdr:rowOff>0</xdr:rowOff>
    </xdr:to>
    <xdr:sp macro="" textlink="">
      <xdr:nvSpPr>
        <xdr:cNvPr id="2" name="TextBox 1">
          <a:extLst>
            <a:ext uri="{FF2B5EF4-FFF2-40B4-BE49-F238E27FC236}">
              <a16:creationId xmlns:a16="http://schemas.microsoft.com/office/drawing/2014/main" id="{D20662BC-F9FF-8D4E-3EDB-C447C59A2D3F}"/>
            </a:ext>
          </a:extLst>
        </xdr:cNvPr>
        <xdr:cNvSpPr txBox="1"/>
      </xdr:nvSpPr>
      <xdr:spPr>
        <a:xfrm>
          <a:off x="9311640" y="533400"/>
          <a:ext cx="3764280" cy="754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kern="1200"/>
            <a:t>In</a:t>
          </a:r>
          <a:r>
            <a:rPr lang="nl-NL" sz="1100" b="1" kern="1200" baseline="0"/>
            <a:t> the green fields, s</a:t>
          </a:r>
          <a:r>
            <a:rPr lang="nl-NL" sz="1100" b="1" kern="1200"/>
            <a:t>elect the range for the desired food</a:t>
          </a:r>
          <a:r>
            <a:rPr lang="nl-NL" sz="1100" b="1" kern="1200" baseline="0"/>
            <a:t> exposure from one of the scenario's below. Only the green fields are used in the calculations.</a:t>
          </a:r>
          <a:endParaRPr lang="nl-NL" sz="1100" b="1" kern="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hyperlink" Target="https://www.cbs.nl/nl-nl/visualisaties/dashboard-bevolking/bevolkingspiramid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hyperlink" Target="https://doi.org/10.1080/10962247.2021.1909668"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oi.org/10.1007/s12403-022-00496-y" TargetMode="External"/><Relationship Id="rId1" Type="http://schemas.openxmlformats.org/officeDocument/2006/relationships/hyperlink" Target="https://doi.org/10.1210/jc.2013-1282"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oi.org/10.1210/jc.2013-1282"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nivel.nl/nl/zorg-en-ziekte-in-cijfers/cijfers-ziekten-op-jaarbasis" TargetMode="External"/><Relationship Id="rId1" Type="http://schemas.openxmlformats.org/officeDocument/2006/relationships/hyperlink" Target="https://doi.org/10.1136/oemed-2011-100288"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60C12-37BA-4BB2-96B5-1C9A3903447A}">
  <dimension ref="A1:F6"/>
  <sheetViews>
    <sheetView workbookViewId="0">
      <selection activeCell="B25" sqref="B25"/>
    </sheetView>
  </sheetViews>
  <sheetFormatPr defaultRowHeight="14.4" x14ac:dyDescent="0.3"/>
  <cols>
    <col min="1" max="1" width="18.6640625" customWidth="1"/>
    <col min="2" max="2" width="12.88671875" customWidth="1"/>
    <col min="3" max="4" width="10.5546875" bestFit="1" customWidth="1"/>
  </cols>
  <sheetData>
    <row r="1" spans="1:6" x14ac:dyDescent="0.3">
      <c r="A1" t="s">
        <v>0</v>
      </c>
      <c r="B1" t="s">
        <v>1</v>
      </c>
      <c r="C1" t="s">
        <v>2</v>
      </c>
      <c r="D1" t="s">
        <v>3</v>
      </c>
      <c r="E1" t="s">
        <v>4</v>
      </c>
      <c r="F1" t="s">
        <v>5</v>
      </c>
    </row>
    <row r="2" spans="1:6" x14ac:dyDescent="0.3">
      <c r="A2" t="s">
        <v>6</v>
      </c>
      <c r="B2" s="1">
        <f>'Kidney cancer'!E15</f>
        <v>22.691268165157055</v>
      </c>
      <c r="C2" s="1">
        <f>'Kidney cancer'!F15</f>
        <v>19.21146251152598</v>
      </c>
      <c r="D2" s="1">
        <f>'Kidney cancer'!G15</f>
        <v>26.152960728980688</v>
      </c>
      <c r="E2" s="1">
        <f>'Kidney cancer'!H10</f>
        <v>3.8427918054128636</v>
      </c>
      <c r="F2" s="1">
        <f>'Kidney cancer'!H12</f>
        <v>45.653902574870486</v>
      </c>
    </row>
    <row r="3" spans="1:6" x14ac:dyDescent="0.3">
      <c r="A3" t="s">
        <v>7</v>
      </c>
      <c r="B3" s="1">
        <f>'Testicular cancer'!E16</f>
        <v>0.15185406375253568</v>
      </c>
      <c r="C3" s="1">
        <f>'Testicular cancer'!F16</f>
        <v>0.12829578641065942</v>
      </c>
      <c r="D3" s="1">
        <f>'Testicular cancer'!G16</f>
        <v>0.17538847999334095</v>
      </c>
      <c r="E3" s="1">
        <f>'Testicular cancer'!H13</f>
        <v>8.5962472828953501E-2</v>
      </c>
      <c r="F3" s="1">
        <f>'Testicular cancer'!H15</f>
        <v>0.23260168020210376</v>
      </c>
    </row>
    <row r="4" spans="1:6" x14ac:dyDescent="0.3">
      <c r="A4" t="s">
        <v>8</v>
      </c>
      <c r="B4" s="1">
        <f>Hypothyroidism!K7</f>
        <v>12.828566701145448</v>
      </c>
      <c r="C4" s="1">
        <f>Hypothyroidism!K8</f>
        <v>11.440083404495198</v>
      </c>
      <c r="D4" s="1">
        <f>Hypothyroidism!K9</f>
        <v>14.060476286734527</v>
      </c>
      <c r="E4" s="1">
        <f>Hypothyroidism!K10</f>
        <v>4.3133529902132608</v>
      </c>
      <c r="F4" s="1">
        <f>Hypothyroidism!K11</f>
        <v>14.060476286734527</v>
      </c>
    </row>
    <row r="5" spans="1:6" x14ac:dyDescent="0.3">
      <c r="A5" t="s">
        <v>9</v>
      </c>
      <c r="B5" s="1">
        <f>Hypertension!E18</f>
        <v>119.08418541754696</v>
      </c>
      <c r="C5" s="1">
        <f>Hypertension!F18</f>
        <v>95.750395038835634</v>
      </c>
      <c r="D5" s="1">
        <f>Hypertension!G18</f>
        <v>139.3603823905722</v>
      </c>
      <c r="E5" s="1">
        <f>Hypertension!H12</f>
        <v>0</v>
      </c>
      <c r="F5" s="1">
        <f>Hypertension!H14</f>
        <v>237.05302670154094</v>
      </c>
    </row>
    <row r="6" spans="1:6" x14ac:dyDescent="0.3">
      <c r="A6" t="s">
        <v>10</v>
      </c>
      <c r="B6" s="1">
        <f>AbrahamEtAlDiseases!B9</f>
        <v>0</v>
      </c>
      <c r="C6" s="1">
        <f>AbrahamEtAlDiseases!C8</f>
        <v>4.600719219133512</v>
      </c>
      <c r="D6" s="1">
        <f>AbrahamEtAlDiseases!D8</f>
        <v>5.285689822478453</v>
      </c>
      <c r="E6">
        <f>AbrahamEtAlDiseases!C9</f>
        <v>0</v>
      </c>
      <c r="F6" s="1">
        <f>AbrahamEtAlDiseases!D9</f>
        <v>5.285689822478453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6C905-379F-4A0B-A15D-D7190824C2BB}">
  <dimension ref="A1:I108"/>
  <sheetViews>
    <sheetView workbookViewId="0">
      <selection activeCell="K17" sqref="K17"/>
    </sheetView>
  </sheetViews>
  <sheetFormatPr defaultRowHeight="14.4" x14ac:dyDescent="0.3"/>
  <cols>
    <col min="1" max="1" width="14.109375" customWidth="1"/>
    <col min="7" max="7" width="9.33203125" bestFit="1" customWidth="1"/>
  </cols>
  <sheetData>
    <row r="1" spans="1:9" x14ac:dyDescent="0.3">
      <c r="A1" s="7" t="s">
        <v>253</v>
      </c>
      <c r="B1" s="7" t="s">
        <v>254</v>
      </c>
      <c r="C1" s="7" t="s">
        <v>255</v>
      </c>
      <c r="F1" s="6"/>
      <c r="G1" t="s">
        <v>256</v>
      </c>
      <c r="H1" t="s">
        <v>257</v>
      </c>
      <c r="I1" t="s">
        <v>226</v>
      </c>
    </row>
    <row r="2" spans="1:9" x14ac:dyDescent="0.3">
      <c r="A2" s="8" t="s">
        <v>258</v>
      </c>
      <c r="B2" s="9"/>
      <c r="C2" s="9"/>
      <c r="F2" t="s">
        <v>226</v>
      </c>
      <c r="G2">
        <f>SUM(B3:B108)</f>
        <v>8926000</v>
      </c>
      <c r="H2">
        <f>SUM(C3:C108)</f>
        <v>9027000</v>
      </c>
      <c r="I2">
        <f>SUM(G2:H2)</f>
        <v>17953000</v>
      </c>
    </row>
    <row r="3" spans="1:9" x14ac:dyDescent="0.3">
      <c r="A3" s="8"/>
      <c r="B3" s="9">
        <v>0</v>
      </c>
      <c r="C3" s="9">
        <v>0</v>
      </c>
      <c r="F3" t="s">
        <v>233</v>
      </c>
      <c r="G3">
        <f>SUM(B3:B88)</f>
        <v>7017000</v>
      </c>
      <c r="H3">
        <f>SUM(C3:C88)</f>
        <v>7206000</v>
      </c>
      <c r="I3">
        <f t="shared" ref="I3:I5" si="0">SUM(G3:H3)</f>
        <v>14223000</v>
      </c>
    </row>
    <row r="4" spans="1:9" x14ac:dyDescent="0.3">
      <c r="A4" s="8" t="s">
        <v>259</v>
      </c>
      <c r="B4" s="9">
        <v>0</v>
      </c>
      <c r="C4" s="9">
        <v>0</v>
      </c>
      <c r="F4" t="s">
        <v>260</v>
      </c>
      <c r="G4">
        <f>SUM(B3:B90)</f>
        <v>7234000</v>
      </c>
      <c r="H4">
        <f>SUM(C3:C90)</f>
        <v>7416000</v>
      </c>
      <c r="I4">
        <f t="shared" si="0"/>
        <v>14650000</v>
      </c>
    </row>
    <row r="5" spans="1:9" x14ac:dyDescent="0.3">
      <c r="A5" s="8" t="s">
        <v>261</v>
      </c>
      <c r="B5" s="9">
        <v>0</v>
      </c>
      <c r="C5" s="9">
        <v>0</v>
      </c>
      <c r="F5" t="s">
        <v>262</v>
      </c>
      <c r="G5">
        <f>SUM(B59:B90)</f>
        <v>3667000</v>
      </c>
      <c r="H5">
        <f>SUM(C59:C90)</f>
        <v>3598000</v>
      </c>
      <c r="I5">
        <f t="shared" si="0"/>
        <v>7265000</v>
      </c>
    </row>
    <row r="6" spans="1:9" x14ac:dyDescent="0.3">
      <c r="A6" s="8" t="s">
        <v>263</v>
      </c>
      <c r="B6" s="9">
        <v>0</v>
      </c>
      <c r="C6" s="9">
        <v>0</v>
      </c>
    </row>
    <row r="7" spans="1:9" x14ac:dyDescent="0.3">
      <c r="A7" s="8" t="s">
        <v>264</v>
      </c>
      <c r="B7" s="9">
        <v>0</v>
      </c>
      <c r="C7" s="9">
        <v>1000</v>
      </c>
    </row>
    <row r="8" spans="1:9" x14ac:dyDescent="0.3">
      <c r="A8" s="8" t="s">
        <v>265</v>
      </c>
      <c r="B8" s="9">
        <v>0</v>
      </c>
      <c r="C8" s="9">
        <v>1000</v>
      </c>
      <c r="F8" t="s">
        <v>237</v>
      </c>
      <c r="G8" s="10" t="s">
        <v>249</v>
      </c>
    </row>
    <row r="9" spans="1:9" x14ac:dyDescent="0.3">
      <c r="A9" s="8" t="s">
        <v>266</v>
      </c>
      <c r="B9" s="9">
        <v>0</v>
      </c>
      <c r="C9" s="9">
        <v>1000</v>
      </c>
      <c r="F9" t="s">
        <v>267</v>
      </c>
      <c r="G9" s="43">
        <v>45601</v>
      </c>
    </row>
    <row r="10" spans="1:9" x14ac:dyDescent="0.3">
      <c r="A10" s="8" t="s">
        <v>268</v>
      </c>
      <c r="B10" s="9">
        <v>1000</v>
      </c>
      <c r="C10" s="9">
        <v>2000</v>
      </c>
    </row>
    <row r="11" spans="1:9" x14ac:dyDescent="0.3">
      <c r="A11" s="8" t="s">
        <v>269</v>
      </c>
      <c r="B11" s="9">
        <v>1000</v>
      </c>
      <c r="C11" s="9">
        <v>3000</v>
      </c>
    </row>
    <row r="12" spans="1:9" x14ac:dyDescent="0.3">
      <c r="A12" s="8" t="s">
        <v>270</v>
      </c>
      <c r="B12" s="9">
        <v>2000</v>
      </c>
      <c r="C12" s="9">
        <v>5000</v>
      </c>
    </row>
    <row r="13" spans="1:9" x14ac:dyDescent="0.3">
      <c r="A13" s="8" t="s">
        <v>271</v>
      </c>
      <c r="B13" s="9">
        <v>2000</v>
      </c>
      <c r="C13" s="9">
        <v>7000</v>
      </c>
    </row>
    <row r="14" spans="1:9" x14ac:dyDescent="0.3">
      <c r="A14" s="8" t="s">
        <v>272</v>
      </c>
      <c r="B14" s="9">
        <v>3000</v>
      </c>
      <c r="C14" s="9">
        <v>9000</v>
      </c>
    </row>
    <row r="15" spans="1:9" x14ac:dyDescent="0.3">
      <c r="A15" s="8" t="s">
        <v>273</v>
      </c>
      <c r="B15" s="9">
        <v>5000</v>
      </c>
      <c r="C15" s="9">
        <v>12000</v>
      </c>
    </row>
    <row r="16" spans="1:9" x14ac:dyDescent="0.3">
      <c r="A16" s="8" t="s">
        <v>274</v>
      </c>
      <c r="B16" s="9">
        <v>7000</v>
      </c>
      <c r="C16" s="9">
        <v>15000</v>
      </c>
    </row>
    <row r="17" spans="1:3" x14ac:dyDescent="0.3">
      <c r="A17" s="8" t="s">
        <v>275</v>
      </c>
      <c r="B17" s="9">
        <v>9000</v>
      </c>
      <c r="C17" s="9">
        <v>18000</v>
      </c>
    </row>
    <row r="18" spans="1:3" x14ac:dyDescent="0.3">
      <c r="A18" s="8" t="s">
        <v>276</v>
      </c>
      <c r="B18" s="9">
        <v>11000</v>
      </c>
      <c r="C18" s="9">
        <v>21000</v>
      </c>
    </row>
    <row r="19" spans="1:3" x14ac:dyDescent="0.3">
      <c r="A19" s="8" t="s">
        <v>277</v>
      </c>
      <c r="B19" s="9">
        <v>14000</v>
      </c>
      <c r="C19" s="9">
        <v>25000</v>
      </c>
    </row>
    <row r="20" spans="1:3" x14ac:dyDescent="0.3">
      <c r="A20" s="8" t="s">
        <v>278</v>
      </c>
      <c r="B20" s="9">
        <v>18000</v>
      </c>
      <c r="C20" s="9">
        <v>29000</v>
      </c>
    </row>
    <row r="21" spans="1:3" x14ac:dyDescent="0.3">
      <c r="A21" s="8" t="s">
        <v>279</v>
      </c>
      <c r="B21" s="9">
        <v>21000</v>
      </c>
      <c r="C21" s="9">
        <v>33000</v>
      </c>
    </row>
    <row r="22" spans="1:3" x14ac:dyDescent="0.3">
      <c r="A22" s="8" t="s">
        <v>280</v>
      </c>
      <c r="B22" s="9">
        <v>25000</v>
      </c>
      <c r="C22" s="9">
        <v>37000</v>
      </c>
    </row>
    <row r="23" spans="1:3" x14ac:dyDescent="0.3">
      <c r="A23" s="8" t="s">
        <v>281</v>
      </c>
      <c r="B23" s="9">
        <v>31000</v>
      </c>
      <c r="C23" s="9">
        <v>43000</v>
      </c>
    </row>
    <row r="24" spans="1:3" x14ac:dyDescent="0.3">
      <c r="A24" s="8" t="s">
        <v>282</v>
      </c>
      <c r="B24" s="9">
        <v>34000</v>
      </c>
      <c r="C24" s="9">
        <v>47000</v>
      </c>
    </row>
    <row r="25" spans="1:3" x14ac:dyDescent="0.3">
      <c r="A25" s="8" t="s">
        <v>283</v>
      </c>
      <c r="B25" s="9">
        <v>40000</v>
      </c>
      <c r="C25" s="9">
        <v>51000</v>
      </c>
    </row>
    <row r="26" spans="1:3" x14ac:dyDescent="0.3">
      <c r="A26" s="8" t="s">
        <v>284</v>
      </c>
      <c r="B26" s="9">
        <v>42000</v>
      </c>
      <c r="C26" s="9">
        <v>52000</v>
      </c>
    </row>
    <row r="27" spans="1:3" x14ac:dyDescent="0.3">
      <c r="A27" s="8" t="s">
        <v>285</v>
      </c>
      <c r="B27" s="9">
        <v>47000</v>
      </c>
      <c r="C27" s="9">
        <v>57000</v>
      </c>
    </row>
    <row r="28" spans="1:3" x14ac:dyDescent="0.3">
      <c r="A28" s="8" t="s">
        <v>286</v>
      </c>
      <c r="B28" s="9">
        <v>54000</v>
      </c>
      <c r="C28" s="9">
        <v>63000</v>
      </c>
    </row>
    <row r="29" spans="1:3" x14ac:dyDescent="0.3">
      <c r="A29" s="8" t="s">
        <v>287</v>
      </c>
      <c r="B29" s="9">
        <v>60000</v>
      </c>
      <c r="C29" s="9">
        <v>69000</v>
      </c>
    </row>
    <row r="30" spans="1:3" x14ac:dyDescent="0.3">
      <c r="A30" s="8" t="s">
        <v>288</v>
      </c>
      <c r="B30" s="9">
        <v>60000</v>
      </c>
      <c r="C30" s="9">
        <v>68000</v>
      </c>
    </row>
    <row r="31" spans="1:3" x14ac:dyDescent="0.3">
      <c r="A31" s="8" t="s">
        <v>289</v>
      </c>
      <c r="B31" s="9">
        <v>89000</v>
      </c>
      <c r="C31" s="9">
        <v>97000</v>
      </c>
    </row>
    <row r="32" spans="1:3" x14ac:dyDescent="0.3">
      <c r="A32" s="8" t="s">
        <v>290</v>
      </c>
      <c r="B32" s="9">
        <v>88000</v>
      </c>
      <c r="C32" s="9">
        <v>97000</v>
      </c>
    </row>
    <row r="33" spans="1:3" x14ac:dyDescent="0.3">
      <c r="A33" s="8" t="s">
        <v>291</v>
      </c>
      <c r="B33" s="9">
        <v>87000</v>
      </c>
      <c r="C33" s="9">
        <v>93000</v>
      </c>
    </row>
    <row r="34" spans="1:3" x14ac:dyDescent="0.3">
      <c r="A34" s="8" t="s">
        <v>292</v>
      </c>
      <c r="B34" s="9">
        <v>86000</v>
      </c>
      <c r="C34" s="9">
        <v>92000</v>
      </c>
    </row>
    <row r="35" spans="1:3" x14ac:dyDescent="0.3">
      <c r="A35" s="8" t="s">
        <v>293</v>
      </c>
      <c r="B35" s="9">
        <v>87000</v>
      </c>
      <c r="C35" s="9">
        <v>92000</v>
      </c>
    </row>
    <row r="36" spans="1:3" x14ac:dyDescent="0.3">
      <c r="A36" s="8" t="s">
        <v>294</v>
      </c>
      <c r="B36" s="9">
        <v>89000</v>
      </c>
      <c r="C36" s="9">
        <v>93000</v>
      </c>
    </row>
    <row r="37" spans="1:3" x14ac:dyDescent="0.3">
      <c r="A37" s="8" t="s">
        <v>295</v>
      </c>
      <c r="B37" s="9">
        <v>93000</v>
      </c>
      <c r="C37" s="9">
        <v>97000</v>
      </c>
    </row>
    <row r="38" spans="1:3" x14ac:dyDescent="0.3">
      <c r="A38" s="8" t="s">
        <v>296</v>
      </c>
      <c r="B38" s="9">
        <v>94000</v>
      </c>
      <c r="C38" s="9">
        <v>98000</v>
      </c>
    </row>
    <row r="39" spans="1:3" x14ac:dyDescent="0.3">
      <c r="A39" s="8" t="s">
        <v>297</v>
      </c>
      <c r="B39" s="9">
        <v>97000</v>
      </c>
      <c r="C39" s="9">
        <v>101000</v>
      </c>
    </row>
    <row r="40" spans="1:3" x14ac:dyDescent="0.3">
      <c r="A40" s="8" t="s">
        <v>298</v>
      </c>
      <c r="B40" s="9">
        <v>99000</v>
      </c>
      <c r="C40" s="9">
        <v>103000</v>
      </c>
    </row>
    <row r="41" spans="1:3" x14ac:dyDescent="0.3">
      <c r="A41" s="8" t="s">
        <v>299</v>
      </c>
      <c r="B41" s="9">
        <v>104000</v>
      </c>
      <c r="C41" s="9">
        <v>106000</v>
      </c>
    </row>
    <row r="42" spans="1:3" x14ac:dyDescent="0.3">
      <c r="A42" s="8" t="s">
        <v>300</v>
      </c>
      <c r="B42" s="9">
        <v>106000</v>
      </c>
      <c r="C42" s="9">
        <v>109000</v>
      </c>
    </row>
    <row r="43" spans="1:3" x14ac:dyDescent="0.3">
      <c r="A43" s="8" t="s">
        <v>301</v>
      </c>
      <c r="B43" s="9">
        <v>110000</v>
      </c>
      <c r="C43" s="9">
        <v>112000</v>
      </c>
    </row>
    <row r="44" spans="1:3" x14ac:dyDescent="0.3">
      <c r="A44" s="8" t="s">
        <v>302</v>
      </c>
      <c r="B44" s="9">
        <v>114000</v>
      </c>
      <c r="C44" s="9">
        <v>116000</v>
      </c>
    </row>
    <row r="45" spans="1:3" x14ac:dyDescent="0.3">
      <c r="A45" s="8" t="s">
        <v>303</v>
      </c>
      <c r="B45" s="9">
        <v>116000</v>
      </c>
      <c r="C45" s="9">
        <v>118000</v>
      </c>
    </row>
    <row r="46" spans="1:3" x14ac:dyDescent="0.3">
      <c r="A46" s="8" t="s">
        <v>304</v>
      </c>
      <c r="B46" s="9">
        <v>120000</v>
      </c>
      <c r="C46" s="9">
        <v>121000</v>
      </c>
    </row>
    <row r="47" spans="1:3" x14ac:dyDescent="0.3">
      <c r="A47" s="8" t="s">
        <v>305</v>
      </c>
      <c r="B47" s="9">
        <v>122000</v>
      </c>
      <c r="C47" s="9">
        <v>123000</v>
      </c>
    </row>
    <row r="48" spans="1:3" x14ac:dyDescent="0.3">
      <c r="A48" s="8" t="s">
        <v>306</v>
      </c>
      <c r="B48" s="9">
        <v>126000</v>
      </c>
      <c r="C48" s="9">
        <v>125000</v>
      </c>
    </row>
    <row r="49" spans="1:3" x14ac:dyDescent="0.3">
      <c r="A49" s="8" t="s">
        <v>307</v>
      </c>
      <c r="B49" s="9">
        <v>129000</v>
      </c>
      <c r="C49" s="9">
        <v>128000</v>
      </c>
    </row>
    <row r="50" spans="1:3" x14ac:dyDescent="0.3">
      <c r="A50" s="8" t="s">
        <v>308</v>
      </c>
      <c r="B50" s="9">
        <v>127000</v>
      </c>
      <c r="C50" s="9">
        <v>126000</v>
      </c>
    </row>
    <row r="51" spans="1:3" x14ac:dyDescent="0.3">
      <c r="A51" s="8" t="s">
        <v>309</v>
      </c>
      <c r="B51" s="9">
        <v>126000</v>
      </c>
      <c r="C51" s="9">
        <v>125000</v>
      </c>
    </row>
    <row r="52" spans="1:3" x14ac:dyDescent="0.3">
      <c r="A52" s="8" t="s">
        <v>310</v>
      </c>
      <c r="B52" s="9">
        <v>126000</v>
      </c>
      <c r="C52" s="9">
        <v>125000</v>
      </c>
    </row>
    <row r="53" spans="1:3" x14ac:dyDescent="0.3">
      <c r="A53" s="8" t="s">
        <v>311</v>
      </c>
      <c r="B53" s="9">
        <v>127000</v>
      </c>
      <c r="C53" s="9">
        <v>127000</v>
      </c>
    </row>
    <row r="54" spans="1:3" x14ac:dyDescent="0.3">
      <c r="A54" s="8" t="s">
        <v>312</v>
      </c>
      <c r="B54" s="9">
        <v>133000</v>
      </c>
      <c r="C54" s="9">
        <v>133000</v>
      </c>
    </row>
    <row r="55" spans="1:3" x14ac:dyDescent="0.3">
      <c r="A55" s="8" t="s">
        <v>313</v>
      </c>
      <c r="B55" s="9">
        <v>130000</v>
      </c>
      <c r="C55" s="9">
        <v>131000</v>
      </c>
    </row>
    <row r="56" spans="1:3" x14ac:dyDescent="0.3">
      <c r="A56" s="8" t="s">
        <v>314</v>
      </c>
      <c r="B56" s="9">
        <v>125000</v>
      </c>
      <c r="C56" s="9">
        <v>126000</v>
      </c>
    </row>
    <row r="57" spans="1:3" x14ac:dyDescent="0.3">
      <c r="A57" s="8" t="s">
        <v>315</v>
      </c>
      <c r="B57" s="9">
        <v>119000</v>
      </c>
      <c r="C57" s="9">
        <v>122000</v>
      </c>
    </row>
    <row r="58" spans="1:3" x14ac:dyDescent="0.3">
      <c r="A58" s="8" t="s">
        <v>316</v>
      </c>
      <c r="B58" s="9">
        <v>111000</v>
      </c>
      <c r="C58" s="9">
        <v>113000</v>
      </c>
    </row>
    <row r="59" spans="1:3" x14ac:dyDescent="0.3">
      <c r="A59" s="8" t="s">
        <v>317</v>
      </c>
      <c r="B59" s="9">
        <v>108000</v>
      </c>
      <c r="C59" s="9">
        <v>110000</v>
      </c>
    </row>
    <row r="60" spans="1:3" x14ac:dyDescent="0.3">
      <c r="A60" s="8" t="s">
        <v>318</v>
      </c>
      <c r="B60" s="9">
        <v>104000</v>
      </c>
      <c r="C60" s="9">
        <v>105000</v>
      </c>
    </row>
    <row r="61" spans="1:3" x14ac:dyDescent="0.3">
      <c r="A61" s="8" t="s">
        <v>319</v>
      </c>
      <c r="B61" s="9">
        <v>104000</v>
      </c>
      <c r="C61" s="9">
        <v>104000</v>
      </c>
    </row>
    <row r="62" spans="1:3" x14ac:dyDescent="0.3">
      <c r="A62" s="8" t="s">
        <v>320</v>
      </c>
      <c r="B62" s="9">
        <v>103000</v>
      </c>
      <c r="C62" s="9">
        <v>104000</v>
      </c>
    </row>
    <row r="63" spans="1:3" x14ac:dyDescent="0.3">
      <c r="A63" s="8" t="s">
        <v>321</v>
      </c>
      <c r="B63" s="9">
        <v>105000</v>
      </c>
      <c r="C63" s="9">
        <v>106000</v>
      </c>
    </row>
    <row r="64" spans="1:3" x14ac:dyDescent="0.3">
      <c r="A64" s="8" t="s">
        <v>322</v>
      </c>
      <c r="B64" s="9">
        <v>105000</v>
      </c>
      <c r="C64" s="9">
        <v>106000</v>
      </c>
    </row>
    <row r="65" spans="1:3" x14ac:dyDescent="0.3">
      <c r="A65" s="8" t="s">
        <v>323</v>
      </c>
      <c r="B65" s="9">
        <v>109000</v>
      </c>
      <c r="C65" s="9">
        <v>109000</v>
      </c>
    </row>
    <row r="66" spans="1:3" x14ac:dyDescent="0.3">
      <c r="A66" s="8" t="s">
        <v>324</v>
      </c>
      <c r="B66" s="9">
        <v>108000</v>
      </c>
      <c r="C66" s="9">
        <v>109000</v>
      </c>
    </row>
    <row r="67" spans="1:3" x14ac:dyDescent="0.3">
      <c r="A67" s="8" t="s">
        <v>325</v>
      </c>
      <c r="B67" s="9">
        <v>107000</v>
      </c>
      <c r="C67" s="9">
        <v>106000</v>
      </c>
    </row>
    <row r="68" spans="1:3" x14ac:dyDescent="0.3">
      <c r="A68" s="8" t="s">
        <v>326</v>
      </c>
      <c r="B68" s="9">
        <v>107000</v>
      </c>
      <c r="C68" s="9">
        <v>107000</v>
      </c>
    </row>
    <row r="69" spans="1:3" x14ac:dyDescent="0.3">
      <c r="A69" s="8" t="s">
        <v>327</v>
      </c>
      <c r="B69" s="9">
        <v>111000</v>
      </c>
      <c r="C69" s="9">
        <v>109000</v>
      </c>
    </row>
    <row r="70" spans="1:3" x14ac:dyDescent="0.3">
      <c r="A70" s="8" t="s">
        <v>328</v>
      </c>
      <c r="B70" s="9">
        <v>113000</v>
      </c>
      <c r="C70" s="9">
        <v>111000</v>
      </c>
    </row>
    <row r="71" spans="1:3" x14ac:dyDescent="0.3">
      <c r="A71" s="8" t="s">
        <v>329</v>
      </c>
      <c r="B71" s="9">
        <v>116000</v>
      </c>
      <c r="C71" s="9">
        <v>114000</v>
      </c>
    </row>
    <row r="72" spans="1:3" x14ac:dyDescent="0.3">
      <c r="A72" s="8" t="s">
        <v>330</v>
      </c>
      <c r="B72" s="9">
        <v>117000</v>
      </c>
      <c r="C72" s="9">
        <v>114000</v>
      </c>
    </row>
    <row r="73" spans="1:3" x14ac:dyDescent="0.3">
      <c r="A73" s="8" t="s">
        <v>331</v>
      </c>
      <c r="B73" s="9">
        <v>118000</v>
      </c>
      <c r="C73" s="9">
        <v>115000</v>
      </c>
    </row>
    <row r="74" spans="1:3" x14ac:dyDescent="0.3">
      <c r="A74" s="8" t="s">
        <v>332</v>
      </c>
      <c r="B74" s="9">
        <v>120000</v>
      </c>
      <c r="C74" s="9">
        <v>116000</v>
      </c>
    </row>
    <row r="75" spans="1:3" x14ac:dyDescent="0.3">
      <c r="A75" s="8" t="s">
        <v>333</v>
      </c>
      <c r="B75" s="9">
        <v>125000</v>
      </c>
      <c r="C75" s="9">
        <v>120000</v>
      </c>
    </row>
    <row r="76" spans="1:3" x14ac:dyDescent="0.3">
      <c r="A76" s="8" t="s">
        <v>334</v>
      </c>
      <c r="B76" s="9">
        <v>124000</v>
      </c>
      <c r="C76" s="9">
        <v>120000</v>
      </c>
    </row>
    <row r="77" spans="1:3" x14ac:dyDescent="0.3">
      <c r="A77" s="8" t="s">
        <v>335</v>
      </c>
      <c r="B77" s="9">
        <v>123000</v>
      </c>
      <c r="C77" s="9">
        <v>119000</v>
      </c>
    </row>
    <row r="78" spans="1:3" x14ac:dyDescent="0.3">
      <c r="A78" s="8" t="s">
        <v>336</v>
      </c>
      <c r="B78" s="9">
        <v>122000</v>
      </c>
      <c r="C78" s="9">
        <v>118000</v>
      </c>
    </row>
    <row r="79" spans="1:3" x14ac:dyDescent="0.3">
      <c r="A79" s="8" t="s">
        <v>337</v>
      </c>
      <c r="B79" s="9">
        <v>123000</v>
      </c>
      <c r="C79" s="9">
        <v>118000</v>
      </c>
    </row>
    <row r="80" spans="1:3" x14ac:dyDescent="0.3">
      <c r="A80" s="8" t="s">
        <v>338</v>
      </c>
      <c r="B80" s="9">
        <v>119000</v>
      </c>
      <c r="C80" s="9">
        <v>115000</v>
      </c>
    </row>
    <row r="81" spans="1:3" x14ac:dyDescent="0.3">
      <c r="A81" s="8" t="s">
        <v>339</v>
      </c>
      <c r="B81" s="9">
        <v>119000</v>
      </c>
      <c r="C81" s="9">
        <v>114000</v>
      </c>
    </row>
    <row r="82" spans="1:3" x14ac:dyDescent="0.3">
      <c r="A82" s="8" t="s">
        <v>340</v>
      </c>
      <c r="B82" s="9">
        <v>118000</v>
      </c>
      <c r="C82" s="9">
        <v>115000</v>
      </c>
    </row>
    <row r="83" spans="1:3" x14ac:dyDescent="0.3">
      <c r="A83" s="8" t="s">
        <v>341</v>
      </c>
      <c r="B83" s="9">
        <v>121000</v>
      </c>
      <c r="C83" s="9">
        <v>117000</v>
      </c>
    </row>
    <row r="84" spans="1:3" x14ac:dyDescent="0.3">
      <c r="A84" s="8" t="s">
        <v>342</v>
      </c>
      <c r="B84" s="9">
        <v>121000</v>
      </c>
      <c r="C84" s="9">
        <v>117000</v>
      </c>
    </row>
    <row r="85" spans="1:3" x14ac:dyDescent="0.3">
      <c r="A85" s="8" t="s">
        <v>343</v>
      </c>
      <c r="B85" s="9">
        <v>123000</v>
      </c>
      <c r="C85" s="9">
        <v>120000</v>
      </c>
    </row>
    <row r="86" spans="1:3" x14ac:dyDescent="0.3">
      <c r="A86" s="8" t="s">
        <v>344</v>
      </c>
      <c r="B86" s="9">
        <v>120000</v>
      </c>
      <c r="C86" s="9">
        <v>117000</v>
      </c>
    </row>
    <row r="87" spans="1:3" x14ac:dyDescent="0.3">
      <c r="A87" s="8" t="s">
        <v>345</v>
      </c>
      <c r="B87" s="9">
        <v>119000</v>
      </c>
      <c r="C87" s="9">
        <v>117000</v>
      </c>
    </row>
    <row r="88" spans="1:3" x14ac:dyDescent="0.3">
      <c r="A88" s="8" t="s">
        <v>346</v>
      </c>
      <c r="B88" s="9">
        <v>118000</v>
      </c>
      <c r="C88" s="9">
        <v>116000</v>
      </c>
    </row>
    <row r="89" spans="1:3" x14ac:dyDescent="0.3">
      <c r="A89" s="8" t="s">
        <v>347</v>
      </c>
      <c r="B89" s="9">
        <v>112000</v>
      </c>
      <c r="C89" s="9">
        <v>109000</v>
      </c>
    </row>
    <row r="90" spans="1:3" x14ac:dyDescent="0.3">
      <c r="A90" s="8" t="s">
        <v>348</v>
      </c>
      <c r="B90" s="9">
        <v>105000</v>
      </c>
      <c r="C90" s="9">
        <v>101000</v>
      </c>
    </row>
    <row r="91" spans="1:3" x14ac:dyDescent="0.3">
      <c r="A91" s="8" t="s">
        <v>349</v>
      </c>
      <c r="B91" s="9">
        <v>102000</v>
      </c>
      <c r="C91" s="9">
        <v>96000</v>
      </c>
    </row>
    <row r="92" spans="1:3" x14ac:dyDescent="0.3">
      <c r="A92" s="8" t="s">
        <v>350</v>
      </c>
      <c r="B92" s="9">
        <v>99000</v>
      </c>
      <c r="C92" s="9">
        <v>95000</v>
      </c>
    </row>
    <row r="93" spans="1:3" x14ac:dyDescent="0.3">
      <c r="A93" s="8" t="s">
        <v>351</v>
      </c>
      <c r="B93" s="9">
        <v>101000</v>
      </c>
      <c r="C93" s="9">
        <v>96000</v>
      </c>
    </row>
    <row r="94" spans="1:3" x14ac:dyDescent="0.3">
      <c r="A94" s="8" t="s">
        <v>352</v>
      </c>
      <c r="B94" s="9">
        <v>101000</v>
      </c>
      <c r="C94" s="9">
        <v>96000</v>
      </c>
    </row>
    <row r="95" spans="1:3" x14ac:dyDescent="0.3">
      <c r="A95" s="8" t="s">
        <v>353</v>
      </c>
      <c r="B95" s="9">
        <v>100000</v>
      </c>
      <c r="C95" s="9">
        <v>96000</v>
      </c>
    </row>
    <row r="96" spans="1:3" x14ac:dyDescent="0.3">
      <c r="A96" s="8" t="s">
        <v>354</v>
      </c>
      <c r="B96" s="9">
        <v>98000</v>
      </c>
      <c r="C96" s="9">
        <v>93000</v>
      </c>
    </row>
    <row r="97" spans="1:3" x14ac:dyDescent="0.3">
      <c r="A97" s="8" t="s">
        <v>355</v>
      </c>
      <c r="B97" s="9">
        <v>96000</v>
      </c>
      <c r="C97" s="9">
        <v>91000</v>
      </c>
    </row>
    <row r="98" spans="1:3" x14ac:dyDescent="0.3">
      <c r="A98" s="8" t="s">
        <v>356</v>
      </c>
      <c r="B98" s="9">
        <v>93000</v>
      </c>
      <c r="C98" s="9">
        <v>88000</v>
      </c>
    </row>
    <row r="99" spans="1:3" x14ac:dyDescent="0.3">
      <c r="A99" s="8" t="s">
        <v>357</v>
      </c>
      <c r="B99" s="9">
        <v>95000</v>
      </c>
      <c r="C99" s="9">
        <v>90000</v>
      </c>
    </row>
    <row r="100" spans="1:3" x14ac:dyDescent="0.3">
      <c r="A100" s="8" t="s">
        <v>358</v>
      </c>
      <c r="B100" s="9">
        <v>92000</v>
      </c>
      <c r="C100" s="9">
        <v>88000</v>
      </c>
    </row>
    <row r="101" spans="1:3" x14ac:dyDescent="0.3">
      <c r="A101" s="8" t="s">
        <v>359</v>
      </c>
      <c r="B101" s="9">
        <v>93000</v>
      </c>
      <c r="C101" s="9">
        <v>88000</v>
      </c>
    </row>
    <row r="102" spans="1:3" x14ac:dyDescent="0.3">
      <c r="A102" s="8" t="s">
        <v>360</v>
      </c>
      <c r="B102" s="9">
        <v>91000</v>
      </c>
      <c r="C102" s="9">
        <v>86000</v>
      </c>
    </row>
    <row r="103" spans="1:3" x14ac:dyDescent="0.3">
      <c r="A103" s="8" t="s">
        <v>361</v>
      </c>
      <c r="B103" s="9">
        <v>89000</v>
      </c>
      <c r="C103" s="9">
        <v>86000</v>
      </c>
    </row>
    <row r="104" spans="1:3" x14ac:dyDescent="0.3">
      <c r="A104" s="8" t="s">
        <v>362</v>
      </c>
      <c r="B104" s="9">
        <v>89000</v>
      </c>
      <c r="C104" s="9">
        <v>85000</v>
      </c>
    </row>
    <row r="105" spans="1:3" x14ac:dyDescent="0.3">
      <c r="A105" s="8" t="s">
        <v>363</v>
      </c>
      <c r="B105" s="9">
        <v>88000</v>
      </c>
      <c r="C105" s="9">
        <v>84000</v>
      </c>
    </row>
    <row r="106" spans="1:3" x14ac:dyDescent="0.3">
      <c r="A106" s="8" t="s">
        <v>364</v>
      </c>
      <c r="B106" s="9">
        <v>94000</v>
      </c>
      <c r="C106" s="9">
        <v>89000</v>
      </c>
    </row>
    <row r="107" spans="1:3" x14ac:dyDescent="0.3">
      <c r="A107" s="8" t="s">
        <v>365</v>
      </c>
      <c r="B107" s="9">
        <v>86000</v>
      </c>
      <c r="C107" s="9">
        <v>83000</v>
      </c>
    </row>
    <row r="108" spans="1:3" x14ac:dyDescent="0.3">
      <c r="A108" s="8" t="s">
        <v>366</v>
      </c>
      <c r="B108" s="9">
        <v>85000</v>
      </c>
      <c r="C108" s="9">
        <v>81000</v>
      </c>
    </row>
  </sheetData>
  <hyperlinks>
    <hyperlink ref="G8" r:id="rId1" xr:uid="{24FB6E65-9357-4948-92DD-85479BE80F0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93ABB-2A3A-46EB-876E-017B9C672D11}">
  <dimension ref="A1:H12"/>
  <sheetViews>
    <sheetView workbookViewId="0">
      <selection activeCell="L11" sqref="L11"/>
    </sheetView>
  </sheetViews>
  <sheetFormatPr defaultRowHeight="14.4" x14ac:dyDescent="0.3"/>
  <cols>
    <col min="1" max="1" width="41.88671875" customWidth="1"/>
    <col min="2" max="2" width="9.5546875" bestFit="1" customWidth="1"/>
    <col min="3" max="5" width="10.5546875" bestFit="1" customWidth="1"/>
    <col min="6" max="6" width="9.5546875" bestFit="1" customWidth="1"/>
    <col min="7" max="7" width="10.5546875" bestFit="1" customWidth="1"/>
  </cols>
  <sheetData>
    <row r="1" spans="1:8" x14ac:dyDescent="0.3">
      <c r="A1" t="s">
        <v>11</v>
      </c>
      <c r="B1" t="s">
        <v>7</v>
      </c>
      <c r="C1" t="s">
        <v>6</v>
      </c>
      <c r="D1" t="s">
        <v>12</v>
      </c>
      <c r="E1" t="s">
        <v>13</v>
      </c>
      <c r="F1" t="s">
        <v>9</v>
      </c>
      <c r="G1" s="5" t="s">
        <v>14</v>
      </c>
    </row>
    <row r="2" spans="1:8" x14ac:dyDescent="0.3">
      <c r="A2" s="28" t="s">
        <v>15</v>
      </c>
      <c r="B2" s="44">
        <f>'Testicular cancer'!C15</f>
        <v>0.26486001082406785</v>
      </c>
      <c r="C2" s="44">
        <f>'Kidney cancer'!C14</f>
        <v>41.307342248611654</v>
      </c>
      <c r="D2" s="44">
        <f>Hypothyroidism!C17</f>
        <v>62.611544297125498</v>
      </c>
      <c r="E2" s="44">
        <f>Hypothyroidism_PFOS!C16</f>
        <v>69.818640660979341</v>
      </c>
      <c r="F2" s="44">
        <f>Hypertension!C17</f>
        <v>0</v>
      </c>
      <c r="G2" s="45">
        <f>SUM(B2:F2)</f>
        <v>174.00238721754056</v>
      </c>
    </row>
    <row r="3" spans="1:8" x14ac:dyDescent="0.3">
      <c r="A3" s="28" t="s">
        <v>16</v>
      </c>
      <c r="B3" s="44">
        <f>'Testicular cancer'!C22</f>
        <v>0.17690626307536253</v>
      </c>
      <c r="C3" s="44">
        <f>'Kidney cancer'!C21</f>
        <v>7.9356556419578705</v>
      </c>
      <c r="D3" s="44">
        <f>Hypothyroidism!C26</f>
        <v>7.09626480699756</v>
      </c>
      <c r="E3" s="44">
        <f>Hypothyroidism_PFOS!C24</f>
        <v>15.647827365359058</v>
      </c>
      <c r="F3" s="44">
        <f>Hypertension!C25</f>
        <v>0</v>
      </c>
      <c r="G3" s="45">
        <f t="shared" ref="G3:G10" si="0">SUM(B3:F3)</f>
        <v>30.856654077389852</v>
      </c>
    </row>
    <row r="4" spans="1:8" x14ac:dyDescent="0.3">
      <c r="A4" s="28" t="s">
        <v>17</v>
      </c>
      <c r="B4" s="44">
        <f>'Testicular cancer'!C29</f>
        <v>0.35248333746674604</v>
      </c>
      <c r="C4" s="44">
        <f>'Kidney cancer'!C28</f>
        <v>75.49915362900586</v>
      </c>
      <c r="D4" s="44">
        <f>Hypothyroidism!C35</f>
        <v>78.570600218351302</v>
      </c>
      <c r="E4" s="44">
        <f>Hypothyroidism_PFOS!C32</f>
        <v>81.711837676965544</v>
      </c>
      <c r="F4" s="44">
        <f>Hypertension!D33</f>
        <v>0</v>
      </c>
      <c r="G4" s="45">
        <f t="shared" si="0"/>
        <v>236.13407486178949</v>
      </c>
    </row>
    <row r="5" spans="1:8" x14ac:dyDescent="0.3">
      <c r="A5" s="26" t="s">
        <v>18</v>
      </c>
      <c r="B5" s="46">
        <f>'Testicular cancer'!D15</f>
        <v>0.28988056092276993</v>
      </c>
      <c r="C5" s="46">
        <f>'Kidney cancer'!D14</f>
        <v>45.107129562402505</v>
      </c>
      <c r="D5" s="46">
        <f>Hypothyroidism!D17</f>
        <v>66.179839239433917</v>
      </c>
      <c r="E5" s="46">
        <f>Hypothyroidism_PFOS!D16</f>
        <v>66.664502627521728</v>
      </c>
      <c r="F5" s="46">
        <f>Hypertension!D17</f>
        <v>0</v>
      </c>
      <c r="G5" s="47">
        <f t="shared" si="0"/>
        <v>178.24135199028092</v>
      </c>
    </row>
    <row r="6" spans="1:8" x14ac:dyDescent="0.3">
      <c r="A6" s="26" t="s">
        <v>19</v>
      </c>
      <c r="B6" s="46">
        <f>'Testicular cancer'!D22</f>
        <v>0.19365257229471214</v>
      </c>
      <c r="C6" s="46">
        <f>'Kidney cancer'!D21</f>
        <v>8.6852960957836061</v>
      </c>
      <c r="D6" s="46">
        <f>Hypothyroidism!D26</f>
        <v>7.9742679723043022</v>
      </c>
      <c r="E6" s="46">
        <f>Hypothyroidism_PFOS!D24</f>
        <v>14.085942538787393</v>
      </c>
      <c r="F6" s="46">
        <f>Hypertension!D25</f>
        <v>0</v>
      </c>
      <c r="G6" s="47">
        <f t="shared" si="0"/>
        <v>30.939159179170012</v>
      </c>
    </row>
    <row r="7" spans="1:8" x14ac:dyDescent="0.3">
      <c r="A7" s="26" t="s">
        <v>20</v>
      </c>
      <c r="B7" s="46">
        <f>'Testicular cancer'!D29</f>
        <v>0.3857129639426527</v>
      </c>
      <c r="C7" s="46">
        <f>'Kidney cancer'!D28</f>
        <v>82.253478211935743</v>
      </c>
      <c r="D7" s="46">
        <f>Hypothyroidism!D35</f>
        <v>80.411813097872852</v>
      </c>
      <c r="E7" s="46">
        <f>Hypothyroidism_PFOS!D32</f>
        <v>80.294708046344653</v>
      </c>
      <c r="F7" s="46">
        <f>Hypertension!D33</f>
        <v>0</v>
      </c>
      <c r="G7" s="47">
        <f t="shared" si="0"/>
        <v>243.34571232009588</v>
      </c>
    </row>
    <row r="8" spans="1:8" x14ac:dyDescent="0.3">
      <c r="A8" s="24" t="s">
        <v>21</v>
      </c>
      <c r="B8" s="48">
        <f>'Testicular cancer'!E15</f>
        <v>0.44173462467530561</v>
      </c>
      <c r="C8" s="48">
        <f>'Kidney cancer'!E14</f>
        <v>67.798397727559561</v>
      </c>
      <c r="D8" s="48">
        <f>Hypothyroidism!E17</f>
        <v>76.722076174264416</v>
      </c>
      <c r="E8" s="48">
        <f>Hypothyroidism_PFOS!E16</f>
        <v>68.950832393836677</v>
      </c>
      <c r="F8" s="48">
        <f>Hypertension!E17</f>
        <v>119.08418541754696</v>
      </c>
      <c r="G8" s="49">
        <f t="shared" si="0"/>
        <v>332.99722633788292</v>
      </c>
      <c r="H8" s="3"/>
    </row>
    <row r="9" spans="1:8" x14ac:dyDescent="0.3">
      <c r="A9" s="24" t="s">
        <v>22</v>
      </c>
      <c r="B9" s="48">
        <f>MIN('Testicular cancer'!E15:G15,'Testicular cancer'!E22:G22,'Testicular cancer'!E29:G29)</f>
        <v>0.27961504512366564</v>
      </c>
      <c r="C9" s="48">
        <f>MIN('Kidney cancer'!E14:G14,'Kidney cancer'!E21:G21,'Kidney cancer'!E28:G28)</f>
        <v>12.52808790119647</v>
      </c>
      <c r="D9" s="48">
        <f>MIN(Hypothyroidism!E17:G17,Hypothyroidism!E26:G26,Hypothyroidism!E35:G35)</f>
        <v>11.475790781415677</v>
      </c>
      <c r="E9" s="48">
        <f>MIN(Hypothyroidism_PFOS!E16:G16,Hypothyroidism_PFOS!E24:G24,Hypothyroidism_PFOS!E32:G32)</f>
        <v>14.965671721314209</v>
      </c>
      <c r="F9" s="48">
        <f>MIN(Hypertension!E17:G17,Hypertension!E25:G25,Hypertension!E33:G33)</f>
        <v>0</v>
      </c>
      <c r="G9" s="49">
        <f t="shared" si="0"/>
        <v>39.249165449050025</v>
      </c>
      <c r="H9" s="3"/>
    </row>
    <row r="10" spans="1:8" x14ac:dyDescent="0.3">
      <c r="A10" s="24" t="s">
        <v>23</v>
      </c>
      <c r="B10" s="48">
        <f>MAX('Testicular cancer'!E15:G15,'Testicular cancer'!E22:G22,'Testicular cancer'!E29:G29)</f>
        <v>0.61831464414475645</v>
      </c>
      <c r="C10" s="48">
        <f>MAX('Kidney cancer'!E14:G14,'Kidney cancer'!E21:G21,'Kidney cancer'!E28:G28)</f>
        <v>127.90738078680623</v>
      </c>
      <c r="D10" s="48">
        <f>MAX(Hypothyroidism!E17:G17,Hypothyroidism!E26:G26,Hypothyroidism!F35:G35,Hypothyroidism!E35)</f>
        <v>84.258988294222149</v>
      </c>
      <c r="E10" s="48">
        <f>MAX(Hypothyroidism_PFOS!E16:G16,Hypothyroidism_PFOS!E24:G24,Hypothyroidism_PFOS!E32:G32)</f>
        <v>81.527507644309949</v>
      </c>
      <c r="F10" s="48">
        <f>MAX(Hypertension!E17:G17,Hypertension!E25:G25,Hypertension!E33:G33)</f>
        <v>237.05302670154094</v>
      </c>
      <c r="G10" s="49">
        <f t="shared" si="0"/>
        <v>531.36521807102395</v>
      </c>
      <c r="H10" s="3"/>
    </row>
    <row r="12" spans="1:8" x14ac:dyDescent="0.3">
      <c r="A12" s="22" t="s">
        <v>24</v>
      </c>
      <c r="B12" s="63">
        <f>B8-B5</f>
        <v>0.15185406375253568</v>
      </c>
      <c r="C12" s="63">
        <f t="shared" ref="C12:F12" si="1">C8-C5</f>
        <v>22.691268165157055</v>
      </c>
      <c r="D12" s="63">
        <f t="shared" si="1"/>
        <v>10.542236934830498</v>
      </c>
      <c r="E12" s="63">
        <f t="shared" si="1"/>
        <v>2.2863297663149496</v>
      </c>
      <c r="F12" s="63">
        <f t="shared" si="1"/>
        <v>119.08418541754696</v>
      </c>
      <c r="G12" s="63">
        <f>SUM(B12:F12)</f>
        <v>154.755874347602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D4EDA-E0B3-49DE-9C99-B00C37699FD8}">
  <dimension ref="A1:G42"/>
  <sheetViews>
    <sheetView tabSelected="1" workbookViewId="0">
      <selection activeCell="K22" sqref="K22"/>
    </sheetView>
  </sheetViews>
  <sheetFormatPr defaultRowHeight="14.4" x14ac:dyDescent="0.3"/>
  <cols>
    <col min="1" max="1" width="32.109375" customWidth="1"/>
    <col min="2" max="2" width="12.88671875" customWidth="1"/>
    <col min="3" max="7" width="18" customWidth="1"/>
  </cols>
  <sheetData>
    <row r="1" spans="1:7" x14ac:dyDescent="0.3">
      <c r="A1" s="29" t="s">
        <v>25</v>
      </c>
      <c r="B1" s="22"/>
      <c r="C1" s="29" t="s">
        <v>26</v>
      </c>
      <c r="D1" s="29" t="s">
        <v>27</v>
      </c>
      <c r="E1" s="22"/>
      <c r="F1" s="22"/>
      <c r="G1" s="22"/>
    </row>
    <row r="2" spans="1:7" ht="29.4" customHeight="1" x14ac:dyDescent="0.3">
      <c r="A2" s="36" t="s">
        <v>28</v>
      </c>
      <c r="B2" s="39" t="s">
        <v>29</v>
      </c>
      <c r="C2" s="37" t="s">
        <v>30</v>
      </c>
      <c r="D2" s="37" t="s">
        <v>31</v>
      </c>
      <c r="E2" s="37" t="s">
        <v>32</v>
      </c>
      <c r="F2" s="37" t="s">
        <v>33</v>
      </c>
      <c r="G2" s="37" t="s">
        <v>34</v>
      </c>
    </row>
    <row r="3" spans="1:7" x14ac:dyDescent="0.3">
      <c r="A3" s="22" t="s">
        <v>35</v>
      </c>
      <c r="B3" s="22" t="s">
        <v>36</v>
      </c>
      <c r="C3" s="56">
        <f>C10</f>
        <v>2.0030999999999999</v>
      </c>
      <c r="D3" s="56">
        <f t="shared" ref="D3:G3" si="0">D10</f>
        <v>2.1840000000000002</v>
      </c>
      <c r="E3" s="56">
        <f t="shared" si="0"/>
        <v>3.2858000000000001</v>
      </c>
      <c r="F3" s="56">
        <f t="shared" si="0"/>
        <v>3.1143999999999998</v>
      </c>
      <c r="G3" s="56">
        <f t="shared" si="0"/>
        <v>3.4571999999999998</v>
      </c>
    </row>
    <row r="4" spans="1:7" x14ac:dyDescent="0.3">
      <c r="A4" s="22" t="s">
        <v>37</v>
      </c>
      <c r="B4" s="22" t="s">
        <v>38</v>
      </c>
      <c r="C4" s="56">
        <f t="shared" ref="C4:G6" si="1">C11</f>
        <v>1.9925999999999999</v>
      </c>
      <c r="D4" s="56">
        <f t="shared" si="1"/>
        <v>2.1724999999999999</v>
      </c>
      <c r="E4" s="56">
        <f t="shared" si="1"/>
        <v>3.2685</v>
      </c>
      <c r="F4" s="56">
        <f t="shared" si="1"/>
        <v>3.0979999999999999</v>
      </c>
      <c r="G4" s="56">
        <f t="shared" si="1"/>
        <v>3.4390000000000001</v>
      </c>
    </row>
    <row r="5" spans="1:7" x14ac:dyDescent="0.3">
      <c r="A5" s="22" t="s">
        <v>12</v>
      </c>
      <c r="B5" s="22" t="s">
        <v>39</v>
      </c>
      <c r="C5" s="56">
        <f t="shared" si="1"/>
        <v>1.9444999999999999</v>
      </c>
      <c r="D5" s="56">
        <f t="shared" si="1"/>
        <v>2.1200999999999999</v>
      </c>
      <c r="E5" s="56">
        <f t="shared" si="1"/>
        <v>3.1897000000000002</v>
      </c>
      <c r="F5" s="56">
        <f t="shared" si="1"/>
        <v>3.0232999999999999</v>
      </c>
      <c r="G5" s="56">
        <f t="shared" si="1"/>
        <v>3.3561000000000001</v>
      </c>
    </row>
    <row r="6" spans="1:7" x14ac:dyDescent="0.3">
      <c r="A6" s="22" t="s">
        <v>13</v>
      </c>
      <c r="B6" s="22" t="s">
        <v>39</v>
      </c>
      <c r="C6" s="56">
        <f t="shared" si="1"/>
        <v>4.7206000000000001</v>
      </c>
      <c r="D6" s="56">
        <f t="shared" si="1"/>
        <v>3.9830999999999999</v>
      </c>
      <c r="E6" s="56">
        <f t="shared" si="1"/>
        <v>4.4903000000000004</v>
      </c>
      <c r="F6" s="56">
        <f t="shared" si="1"/>
        <v>4.3810000000000002</v>
      </c>
      <c r="G6" s="56">
        <f t="shared" si="1"/>
        <v>4.6002999999999998</v>
      </c>
    </row>
    <row r="8" spans="1:7" x14ac:dyDescent="0.3">
      <c r="A8" s="23" t="s">
        <v>40</v>
      </c>
      <c r="B8" s="24"/>
      <c r="C8" s="24"/>
      <c r="D8" s="24"/>
      <c r="E8" s="24"/>
      <c r="F8" s="24"/>
      <c r="G8" s="24"/>
    </row>
    <row r="9" spans="1:7" ht="28.8" x14ac:dyDescent="0.3">
      <c r="A9" s="34" t="s">
        <v>28</v>
      </c>
      <c r="B9" s="40" t="s">
        <v>29</v>
      </c>
      <c r="C9" s="35" t="s">
        <v>30</v>
      </c>
      <c r="D9" s="35" t="s">
        <v>31</v>
      </c>
      <c r="E9" s="35" t="s">
        <v>32</v>
      </c>
      <c r="F9" s="35" t="s">
        <v>33</v>
      </c>
      <c r="G9" s="35" t="s">
        <v>34</v>
      </c>
    </row>
    <row r="10" spans="1:7" x14ac:dyDescent="0.3">
      <c r="A10" s="24" t="s">
        <v>35</v>
      </c>
      <c r="B10" s="24" t="s">
        <v>36</v>
      </c>
      <c r="C10" s="24">
        <v>2.0030999999999999</v>
      </c>
      <c r="D10" s="24">
        <v>2.1840000000000002</v>
      </c>
      <c r="E10" s="24">
        <v>3.2858000000000001</v>
      </c>
      <c r="F10" s="24">
        <v>3.1143999999999998</v>
      </c>
      <c r="G10" s="24">
        <v>3.4571999999999998</v>
      </c>
    </row>
    <row r="11" spans="1:7" x14ac:dyDescent="0.3">
      <c r="A11" s="24" t="s">
        <v>37</v>
      </c>
      <c r="B11" s="24" t="s">
        <v>38</v>
      </c>
      <c r="C11" s="24">
        <v>1.9925999999999999</v>
      </c>
      <c r="D11" s="24">
        <v>2.1724999999999999</v>
      </c>
      <c r="E11" s="24">
        <v>3.2685</v>
      </c>
      <c r="F11" s="24">
        <v>3.0979999999999999</v>
      </c>
      <c r="G11" s="24">
        <v>3.4390000000000001</v>
      </c>
    </row>
    <row r="12" spans="1:7" x14ac:dyDescent="0.3">
      <c r="A12" s="24" t="s">
        <v>12</v>
      </c>
      <c r="B12" s="24" t="s">
        <v>41</v>
      </c>
      <c r="C12" s="24">
        <v>1.9444999999999999</v>
      </c>
      <c r="D12" s="24">
        <v>2.1200999999999999</v>
      </c>
      <c r="E12" s="24">
        <v>3.1897000000000002</v>
      </c>
      <c r="F12" s="24">
        <v>3.0232999999999999</v>
      </c>
      <c r="G12" s="24">
        <v>3.3561000000000001</v>
      </c>
    </row>
    <row r="13" spans="1:7" x14ac:dyDescent="0.3">
      <c r="A13" s="24" t="s">
        <v>13</v>
      </c>
      <c r="B13" s="24" t="s">
        <v>41</v>
      </c>
      <c r="C13" s="24">
        <v>4.7206000000000001</v>
      </c>
      <c r="D13" s="24">
        <v>3.9830999999999999</v>
      </c>
      <c r="E13" s="24">
        <v>4.4903000000000004</v>
      </c>
      <c r="F13" s="24">
        <v>4.3810000000000002</v>
      </c>
      <c r="G13" s="24">
        <v>4.6002999999999998</v>
      </c>
    </row>
    <row r="15" spans="1:7" x14ac:dyDescent="0.3">
      <c r="A15" s="25" t="s">
        <v>42</v>
      </c>
      <c r="B15" s="26"/>
      <c r="C15" s="26"/>
      <c r="D15" s="26"/>
      <c r="E15" s="26"/>
      <c r="F15" s="26"/>
      <c r="G15" s="26"/>
    </row>
    <row r="16" spans="1:7" ht="28.8" x14ac:dyDescent="0.3">
      <c r="A16" s="32" t="s">
        <v>28</v>
      </c>
      <c r="B16" s="42" t="s">
        <v>29</v>
      </c>
      <c r="C16" s="33" t="s">
        <v>30</v>
      </c>
      <c r="D16" s="33" t="s">
        <v>31</v>
      </c>
      <c r="E16" s="33" t="s">
        <v>32</v>
      </c>
      <c r="F16" s="33" t="s">
        <v>33</v>
      </c>
      <c r="G16" s="33" t="s">
        <v>34</v>
      </c>
    </row>
    <row r="17" spans="1:7" x14ac:dyDescent="0.3">
      <c r="A17" s="26" t="s">
        <v>35</v>
      </c>
      <c r="B17" s="26" t="s">
        <v>36</v>
      </c>
      <c r="C17" s="26">
        <v>2.0030999999999999</v>
      </c>
      <c r="D17" s="26">
        <v>0.62007000000000001</v>
      </c>
      <c r="E17" s="26">
        <v>1.7219</v>
      </c>
      <c r="F17" s="26">
        <v>1.5505</v>
      </c>
      <c r="G17" s="26">
        <v>1.8933</v>
      </c>
    </row>
    <row r="18" spans="1:7" x14ac:dyDescent="0.3">
      <c r="A18" s="26" t="s">
        <v>37</v>
      </c>
      <c r="B18" s="26" t="s">
        <v>38</v>
      </c>
      <c r="C18" s="26">
        <v>1.9925999999999999</v>
      </c>
      <c r="D18" s="26">
        <v>0.61680000000000001</v>
      </c>
      <c r="E18" s="26">
        <v>1.7128000000000001</v>
      </c>
      <c r="F18" s="26">
        <v>1.5423</v>
      </c>
      <c r="G18" s="26">
        <v>1.8833</v>
      </c>
    </row>
    <row r="19" spans="1:7" x14ac:dyDescent="0.3">
      <c r="A19" s="26" t="s">
        <v>12</v>
      </c>
      <c r="B19" s="26" t="s">
        <v>41</v>
      </c>
      <c r="C19" s="26">
        <v>1.9444999999999999</v>
      </c>
      <c r="D19" s="26">
        <v>0.60192999999999997</v>
      </c>
      <c r="E19" s="26">
        <v>1.6715</v>
      </c>
      <c r="F19" s="26">
        <v>1.5051000000000001</v>
      </c>
      <c r="G19" s="26">
        <v>1.8379000000000001</v>
      </c>
    </row>
    <row r="20" spans="1:7" x14ac:dyDescent="0.3">
      <c r="A20" s="26" t="s">
        <v>13</v>
      </c>
      <c r="B20" s="26" t="s">
        <v>41</v>
      </c>
      <c r="C20" s="26">
        <v>4.7206000000000001</v>
      </c>
      <c r="D20" s="26">
        <v>0.85941000000000001</v>
      </c>
      <c r="E20" s="26">
        <v>1.3667</v>
      </c>
      <c r="F20" s="26">
        <v>1.2573000000000001</v>
      </c>
      <c r="G20" s="26">
        <v>1.4761</v>
      </c>
    </row>
    <row r="23" spans="1:7" x14ac:dyDescent="0.3">
      <c r="A23" s="27" t="s">
        <v>43</v>
      </c>
      <c r="B23" s="28"/>
      <c r="C23" s="28"/>
      <c r="D23" s="28"/>
      <c r="E23" s="28"/>
      <c r="F23" s="28"/>
      <c r="G23" s="28"/>
    </row>
    <row r="24" spans="1:7" ht="28.8" x14ac:dyDescent="0.3">
      <c r="A24" s="30" t="s">
        <v>28</v>
      </c>
      <c r="B24" s="41" t="s">
        <v>29</v>
      </c>
      <c r="C24" s="31" t="s">
        <v>30</v>
      </c>
      <c r="D24" s="31" t="s">
        <v>31</v>
      </c>
      <c r="E24" s="31" t="s">
        <v>32</v>
      </c>
      <c r="F24" s="31" t="s">
        <v>33</v>
      </c>
      <c r="G24" s="31" t="s">
        <v>34</v>
      </c>
    </row>
    <row r="25" spans="1:7" x14ac:dyDescent="0.3">
      <c r="A25" s="28" t="s">
        <v>35</v>
      </c>
      <c r="B25" s="28" t="s">
        <v>36</v>
      </c>
      <c r="C25" s="28">
        <v>2.0030999999999999</v>
      </c>
      <c r="D25" s="28">
        <v>3.5198</v>
      </c>
      <c r="E25" s="28">
        <v>4.6215999999999999</v>
      </c>
      <c r="F25" s="28">
        <v>4.4501999999999997</v>
      </c>
      <c r="G25" s="28">
        <v>4.7930000000000001</v>
      </c>
    </row>
    <row r="26" spans="1:7" x14ac:dyDescent="0.3">
      <c r="A26" s="28" t="s">
        <v>37</v>
      </c>
      <c r="B26" s="28" t="s">
        <v>38</v>
      </c>
      <c r="C26" s="28">
        <v>1.9925999999999999</v>
      </c>
      <c r="D26" s="28">
        <v>3.5011999999999999</v>
      </c>
      <c r="E26" s="28">
        <v>4.5972</v>
      </c>
      <c r="F26" s="28">
        <v>4.4267000000000003</v>
      </c>
      <c r="G26" s="28">
        <v>4.7676999999999996</v>
      </c>
    </row>
    <row r="27" spans="1:7" x14ac:dyDescent="0.3">
      <c r="A27" s="28" t="s">
        <v>12</v>
      </c>
      <c r="B27" s="28" t="s">
        <v>41</v>
      </c>
      <c r="C27" s="28">
        <v>1.9444999999999999</v>
      </c>
      <c r="D27" s="28">
        <v>3.4167999999999998</v>
      </c>
      <c r="E27" s="28">
        <v>4.4863999999999997</v>
      </c>
      <c r="F27" s="28">
        <v>4.32</v>
      </c>
      <c r="G27" s="28">
        <v>4.6528</v>
      </c>
    </row>
    <row r="28" spans="1:7" x14ac:dyDescent="0.3">
      <c r="A28" s="28" t="s">
        <v>13</v>
      </c>
      <c r="B28" s="28" t="s">
        <v>41</v>
      </c>
      <c r="C28" s="28">
        <v>4.7206000000000001</v>
      </c>
      <c r="D28" s="28">
        <v>1.3208</v>
      </c>
      <c r="E28" s="28">
        <v>1.8281000000000001</v>
      </c>
      <c r="F28" s="28">
        <v>1.7188000000000001</v>
      </c>
      <c r="G28" s="28">
        <v>1.9375</v>
      </c>
    </row>
    <row r="30" spans="1:7" x14ac:dyDescent="0.3">
      <c r="A30" s="50" t="s">
        <v>44</v>
      </c>
      <c r="B30" s="51"/>
      <c r="C30" s="51"/>
      <c r="D30" s="51"/>
      <c r="E30" s="51"/>
      <c r="F30" s="51"/>
      <c r="G30" s="51"/>
    </row>
    <row r="31" spans="1:7" ht="43.2" x14ac:dyDescent="0.3">
      <c r="A31" s="52" t="s">
        <v>28</v>
      </c>
      <c r="B31" s="53" t="s">
        <v>29</v>
      </c>
      <c r="C31" s="54" t="s">
        <v>45</v>
      </c>
      <c r="D31" s="54" t="s">
        <v>31</v>
      </c>
      <c r="E31" s="54" t="s">
        <v>32</v>
      </c>
      <c r="F31" s="54" t="s">
        <v>33</v>
      </c>
      <c r="G31" s="54" t="s">
        <v>34</v>
      </c>
    </row>
    <row r="32" spans="1:7" x14ac:dyDescent="0.3">
      <c r="A32" s="51" t="s">
        <v>35</v>
      </c>
      <c r="B32" s="51" t="s">
        <v>36</v>
      </c>
      <c r="C32" s="55">
        <v>1.2984000000000001E-8</v>
      </c>
      <c r="D32" s="51">
        <v>0.58150000000000002</v>
      </c>
      <c r="E32" s="51">
        <v>1.6833</v>
      </c>
      <c r="F32" s="51">
        <v>1.5119</v>
      </c>
      <c r="G32" s="51">
        <v>1.8547</v>
      </c>
    </row>
    <row r="33" spans="1:7" x14ac:dyDescent="0.3">
      <c r="A33" s="51" t="s">
        <v>37</v>
      </c>
      <c r="B33" s="51" t="s">
        <v>38</v>
      </c>
      <c r="C33" s="55">
        <v>2.1445000000000001E-8</v>
      </c>
      <c r="D33" s="51">
        <v>0.57843999999999995</v>
      </c>
      <c r="E33" s="51">
        <v>1.6744000000000001</v>
      </c>
      <c r="F33" s="51">
        <v>1.5039</v>
      </c>
      <c r="G33" s="51">
        <v>1.8449</v>
      </c>
    </row>
    <row r="34" spans="1:7" x14ac:dyDescent="0.3">
      <c r="A34" s="51" t="s">
        <v>12</v>
      </c>
      <c r="B34" s="51" t="s">
        <v>41</v>
      </c>
      <c r="C34" s="55">
        <v>4.2727000000000003E-8</v>
      </c>
      <c r="D34" s="51">
        <v>0.5645</v>
      </c>
      <c r="E34" s="51">
        <v>1.6341000000000001</v>
      </c>
      <c r="F34" s="51">
        <v>1.4677</v>
      </c>
      <c r="G34" s="51">
        <v>1.8005</v>
      </c>
    </row>
    <row r="35" spans="1:7" x14ac:dyDescent="0.3">
      <c r="A35" s="51" t="s">
        <v>13</v>
      </c>
      <c r="B35" s="51" t="s">
        <v>41</v>
      </c>
      <c r="C35" s="55">
        <v>4.6485E-5</v>
      </c>
      <c r="D35" s="51">
        <v>0.20660999999999999</v>
      </c>
      <c r="E35" s="51">
        <v>0.71389999999999998</v>
      </c>
      <c r="F35" s="51">
        <v>0.60455000000000003</v>
      </c>
      <c r="G35" s="51">
        <v>0.82325999999999999</v>
      </c>
    </row>
    <row r="37" spans="1:7" x14ac:dyDescent="0.3">
      <c r="A37" s="57" t="s">
        <v>46</v>
      </c>
      <c r="B37" s="58"/>
      <c r="C37" s="58"/>
      <c r="D37" s="58"/>
      <c r="E37" s="58"/>
      <c r="F37" s="58"/>
      <c r="G37" s="58"/>
    </row>
    <row r="38" spans="1:7" ht="28.8" x14ac:dyDescent="0.3">
      <c r="A38" s="59" t="s">
        <v>28</v>
      </c>
      <c r="B38" s="60" t="s">
        <v>29</v>
      </c>
      <c r="C38" s="61" t="s">
        <v>30</v>
      </c>
      <c r="D38" s="61" t="s">
        <v>31</v>
      </c>
      <c r="E38" s="61" t="s">
        <v>32</v>
      </c>
      <c r="F38" s="61" t="s">
        <v>33</v>
      </c>
      <c r="G38" s="61" t="s">
        <v>34</v>
      </c>
    </row>
    <row r="39" spans="1:7" x14ac:dyDescent="0.3">
      <c r="A39" s="58" t="s">
        <v>35</v>
      </c>
      <c r="B39" s="58" t="s">
        <v>36</v>
      </c>
      <c r="C39" s="62">
        <v>2.0030999999999999</v>
      </c>
      <c r="D39" s="58">
        <v>16.606000000000002</v>
      </c>
      <c r="E39" s="58">
        <v>17.707999999999998</v>
      </c>
      <c r="F39" s="58">
        <v>17.536999999999999</v>
      </c>
      <c r="G39" s="58">
        <v>17.88</v>
      </c>
    </row>
    <row r="40" spans="1:7" x14ac:dyDescent="0.3">
      <c r="A40" s="58" t="s">
        <v>37</v>
      </c>
      <c r="B40" s="58" t="s">
        <v>38</v>
      </c>
      <c r="C40" s="62">
        <v>1.9925999999999999</v>
      </c>
      <c r="D40" s="58">
        <v>16.518999999999998</v>
      </c>
      <c r="E40" s="58">
        <v>17.614999999999998</v>
      </c>
      <c r="F40" s="58">
        <v>17.443999999999999</v>
      </c>
      <c r="G40" s="58">
        <v>17.785</v>
      </c>
    </row>
    <row r="41" spans="1:7" x14ac:dyDescent="0.3">
      <c r="A41" s="58" t="s">
        <v>12</v>
      </c>
      <c r="B41" s="58" t="s">
        <v>41</v>
      </c>
      <c r="C41" s="62">
        <v>1.9444999999999999</v>
      </c>
      <c r="D41" s="58">
        <v>16.120999999999999</v>
      </c>
      <c r="E41" s="58">
        <v>17.190000000000001</v>
      </c>
      <c r="F41" s="58">
        <v>17.024000000000001</v>
      </c>
      <c r="G41" s="58">
        <v>17.356999999999999</v>
      </c>
    </row>
    <row r="42" spans="1:7" x14ac:dyDescent="0.3">
      <c r="A42" s="58" t="s">
        <v>13</v>
      </c>
      <c r="B42" s="58" t="s">
        <v>41</v>
      </c>
      <c r="C42" s="62">
        <v>4.7206000000000001</v>
      </c>
      <c r="D42" s="58">
        <v>37.969000000000001</v>
      </c>
      <c r="E42" s="58">
        <v>38.476999999999997</v>
      </c>
      <c r="F42" s="58">
        <v>38.366999999999997</v>
      </c>
      <c r="G42" s="58">
        <v>38.585999999999999</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06F90-79FF-4A0A-A30B-AAAC08EFB465}">
  <dimension ref="A1:I29"/>
  <sheetViews>
    <sheetView workbookViewId="0">
      <selection activeCell="F6" sqref="F6"/>
    </sheetView>
  </sheetViews>
  <sheetFormatPr defaultRowHeight="14.4" x14ac:dyDescent="0.3"/>
  <cols>
    <col min="1" max="2" width="20.33203125" customWidth="1"/>
    <col min="3" max="3" width="22.44140625" customWidth="1"/>
    <col min="4" max="4" width="21.6640625" customWidth="1"/>
    <col min="5" max="5" width="22.33203125" customWidth="1"/>
    <col min="6" max="6" width="20.6640625" customWidth="1"/>
    <col min="7" max="7" width="21" customWidth="1"/>
  </cols>
  <sheetData>
    <row r="1" spans="1:9" x14ac:dyDescent="0.3">
      <c r="C1" t="s">
        <v>47</v>
      </c>
      <c r="D1" t="s">
        <v>48</v>
      </c>
      <c r="E1" t="s">
        <v>49</v>
      </c>
      <c r="F1">
        <f>'Age distribution NL 2024'!I3/'Age distribution NL 2024'!I2*10^6</f>
        <v>792235.28101153008</v>
      </c>
      <c r="H1" t="s">
        <v>50</v>
      </c>
    </row>
    <row r="2" spans="1:9" x14ac:dyDescent="0.3">
      <c r="C2" t="s">
        <v>51</v>
      </c>
      <c r="D2">
        <v>0.16</v>
      </c>
      <c r="E2" t="s">
        <v>52</v>
      </c>
      <c r="F2">
        <v>10</v>
      </c>
      <c r="G2" t="s">
        <v>53</v>
      </c>
      <c r="H2" t="s">
        <v>54</v>
      </c>
    </row>
    <row r="3" spans="1:9" x14ac:dyDescent="0.3">
      <c r="C3" t="s">
        <v>55</v>
      </c>
      <c r="D3">
        <v>0.03</v>
      </c>
      <c r="E3" t="s">
        <v>52</v>
      </c>
      <c r="F3">
        <v>10</v>
      </c>
      <c r="G3" t="s">
        <v>53</v>
      </c>
      <c r="H3" t="s">
        <v>56</v>
      </c>
      <c r="I3" t="s">
        <v>57</v>
      </c>
    </row>
    <row r="4" spans="1:9" x14ac:dyDescent="0.3">
      <c r="C4" t="s">
        <v>58</v>
      </c>
      <c r="D4">
        <v>0.3</v>
      </c>
      <c r="E4" t="s">
        <v>52</v>
      </c>
      <c r="F4">
        <v>10</v>
      </c>
      <c r="G4" t="s">
        <v>53</v>
      </c>
    </row>
    <row r="5" spans="1:9" x14ac:dyDescent="0.3">
      <c r="C5" t="s">
        <v>59</v>
      </c>
      <c r="D5" s="19">
        <f>6470/'Age distribution NL 2024'!I3</f>
        <v>4.5489699782043168E-4</v>
      </c>
      <c r="E5" t="s">
        <v>60</v>
      </c>
      <c r="F5" t="s">
        <v>61</v>
      </c>
    </row>
    <row r="6" spans="1:9" x14ac:dyDescent="0.3">
      <c r="C6" t="s">
        <v>62</v>
      </c>
      <c r="D6">
        <f>19.4/100000</f>
        <v>1.94E-4</v>
      </c>
      <c r="E6" t="s">
        <v>63</v>
      </c>
      <c r="F6" t="s">
        <v>64</v>
      </c>
    </row>
    <row r="7" spans="1:9" x14ac:dyDescent="0.3">
      <c r="C7" t="s">
        <v>65</v>
      </c>
      <c r="D7" s="3">
        <f>I7/G7</f>
        <v>9.0952890792291221</v>
      </c>
      <c r="E7" t="s">
        <v>66</v>
      </c>
      <c r="F7" t="s">
        <v>67</v>
      </c>
      <c r="G7">
        <v>2802</v>
      </c>
      <c r="H7" t="s">
        <v>68</v>
      </c>
      <c r="I7">
        <v>25485</v>
      </c>
    </row>
    <row r="9" spans="1:9" x14ac:dyDescent="0.3">
      <c r="A9" s="5" t="s">
        <v>69</v>
      </c>
      <c r="B9" t="s">
        <v>70</v>
      </c>
      <c r="C9" t="s">
        <v>71</v>
      </c>
      <c r="D9" t="s">
        <v>72</v>
      </c>
      <c r="E9" t="s">
        <v>73</v>
      </c>
      <c r="F9" t="s">
        <v>74</v>
      </c>
      <c r="G9" t="s">
        <v>75</v>
      </c>
      <c r="H9" s="5" t="s">
        <v>76</v>
      </c>
    </row>
    <row r="10" spans="1:9" x14ac:dyDescent="0.3">
      <c r="A10" t="s">
        <v>77</v>
      </c>
      <c r="B10">
        <v>0.1</v>
      </c>
      <c r="C10">
        <f>OverviewSerumConcentrations!C3</f>
        <v>2.0030999999999999</v>
      </c>
      <c r="D10">
        <f>OverviewSerumConcentrations!D3</f>
        <v>2.1840000000000002</v>
      </c>
      <c r="E10">
        <f>OverviewSerumConcentrations!E3</f>
        <v>3.2858000000000001</v>
      </c>
      <c r="F10">
        <f>OverviewSerumConcentrations!F3</f>
        <v>3.1143999999999998</v>
      </c>
      <c r="G10">
        <f>OverviewSerumConcentrations!G3</f>
        <v>3.4571999999999998</v>
      </c>
      <c r="H10" s="1">
        <f>MIN(E15:G15,E22:G22,E29:G29)</f>
        <v>3.8427918054128636</v>
      </c>
    </row>
    <row r="11" spans="1:9" x14ac:dyDescent="0.3">
      <c r="A11" t="s">
        <v>78</v>
      </c>
      <c r="B11" s="2">
        <f t="shared" ref="B11" si="0">1+$D$2*(B10-$B$10)/10</f>
        <v>1</v>
      </c>
      <c r="C11" s="2">
        <f>IF(1+$D$2*(C10-$B$10)/10&lt;1,1,1+$D$2*(C10-$B$10)/10)</f>
        <v>1.0304496000000001</v>
      </c>
      <c r="D11" s="2">
        <f t="shared" ref="D11:G11" si="1">IF(1+$D$2*(D10-$B$10)/10&lt;1,1,1+$D$2*(D10-$B$10)/10)</f>
        <v>1.033344</v>
      </c>
      <c r="E11" s="2">
        <f t="shared" si="1"/>
        <v>1.0509728</v>
      </c>
      <c r="F11" s="2">
        <f t="shared" si="1"/>
        <v>1.0482304</v>
      </c>
      <c r="G11" s="2">
        <f t="shared" si="1"/>
        <v>1.0537152000000001</v>
      </c>
      <c r="H11" s="5" t="s">
        <v>79</v>
      </c>
    </row>
    <row r="12" spans="1:9" x14ac:dyDescent="0.3">
      <c r="A12" t="s">
        <v>80</v>
      </c>
      <c r="B12" s="2">
        <f t="shared" ref="B12:G12" si="2">1-1/B11</f>
        <v>0</v>
      </c>
      <c r="C12" s="2">
        <f t="shared" si="2"/>
        <v>2.9549819806810596E-2</v>
      </c>
      <c r="D12" s="2">
        <f t="shared" si="2"/>
        <v>3.2268054007184466E-2</v>
      </c>
      <c r="E12" s="2">
        <f t="shared" si="2"/>
        <v>4.8500589168435249E-2</v>
      </c>
      <c r="F12" s="2">
        <f t="shared" si="2"/>
        <v>4.6011258593530613E-2</v>
      </c>
      <c r="G12" s="2">
        <f t="shared" si="2"/>
        <v>5.0976962275954718E-2</v>
      </c>
      <c r="H12" s="1">
        <f>MAX(E15:G15,E22:G22,E29:G29)</f>
        <v>45.653902574870486</v>
      </c>
    </row>
    <row r="13" spans="1:9" x14ac:dyDescent="0.3">
      <c r="A13" t="s">
        <v>81</v>
      </c>
      <c r="B13" s="3">
        <f>B12*$D$6*$F$1</f>
        <v>0</v>
      </c>
      <c r="C13" s="3">
        <f t="shared" ref="C13" si="3">C12*$D$6*$F$1</f>
        <v>4.5416195009068021</v>
      </c>
      <c r="D13" s="3">
        <f t="shared" ref="D13:G13" si="4">D12*$D$6*$F$1</f>
        <v>4.9593948218109407</v>
      </c>
      <c r="E13" s="3">
        <f t="shared" si="4"/>
        <v>7.4542323104815331</v>
      </c>
      <c r="F13" s="3">
        <f t="shared" si="4"/>
        <v>7.0716380220187416</v>
      </c>
      <c r="G13" s="3">
        <f t="shared" si="4"/>
        <v>7.8348351185581988</v>
      </c>
    </row>
    <row r="14" spans="1:9" x14ac:dyDescent="0.3">
      <c r="A14" t="s">
        <v>82</v>
      </c>
      <c r="B14" s="3">
        <f>B13*$D$7</f>
        <v>0</v>
      </c>
      <c r="C14" s="3">
        <f>C13*$D$7</f>
        <v>41.307342248611654</v>
      </c>
      <c r="D14" s="3">
        <f t="shared" ref="D14:G14" si="5">D13*$D$7</f>
        <v>45.107129562402505</v>
      </c>
      <c r="E14" s="3">
        <f t="shared" si="5"/>
        <v>67.798397727559561</v>
      </c>
      <c r="F14" s="3">
        <f t="shared" si="5"/>
        <v>64.318592073928485</v>
      </c>
      <c r="G14" s="3">
        <f t="shared" si="5"/>
        <v>71.260090291383193</v>
      </c>
    </row>
    <row r="15" spans="1:9" x14ac:dyDescent="0.3">
      <c r="A15" t="s">
        <v>83</v>
      </c>
      <c r="E15" s="3">
        <f>E14-$D$14</f>
        <v>22.691268165157055</v>
      </c>
      <c r="F15" s="3">
        <f t="shared" ref="F15:G15" si="6">F14-$D$14</f>
        <v>19.21146251152598</v>
      </c>
      <c r="G15" s="3">
        <f t="shared" si="6"/>
        <v>26.152960728980688</v>
      </c>
    </row>
    <row r="16" spans="1:9" x14ac:dyDescent="0.3">
      <c r="A16" s="5" t="s">
        <v>84</v>
      </c>
    </row>
    <row r="17" spans="1:7" x14ac:dyDescent="0.3">
      <c r="A17" t="s">
        <v>77</v>
      </c>
      <c r="B17">
        <v>0.1</v>
      </c>
      <c r="C17">
        <f>C10</f>
        <v>2.0030999999999999</v>
      </c>
      <c r="D17">
        <f>D10</f>
        <v>2.1840000000000002</v>
      </c>
      <c r="E17">
        <f>E10</f>
        <v>3.2858000000000001</v>
      </c>
      <c r="F17">
        <f>F10</f>
        <v>3.1143999999999998</v>
      </c>
      <c r="G17">
        <f>G10</f>
        <v>3.4571999999999998</v>
      </c>
    </row>
    <row r="18" spans="1:7" x14ac:dyDescent="0.3">
      <c r="A18" t="s">
        <v>78</v>
      </c>
      <c r="B18" s="2">
        <f t="shared" ref="B18" si="7">1+$D$3*(B17-$B$10)/10</f>
        <v>1</v>
      </c>
      <c r="C18" s="2">
        <f>IF(1+$D$3*(C17-$B$10)/10&lt;1,1,1+$D$3*(C17-$B$10)/10)</f>
        <v>1.0057092999999999</v>
      </c>
      <c r="D18" s="2">
        <f t="shared" ref="D18:G18" si="8">IF(1+$D$3*(D17-$B$10)/10&lt;1,1,1+$D$3*(D17-$B$10)/10)</f>
        <v>1.0062519999999999</v>
      </c>
      <c r="E18" s="2">
        <f t="shared" si="8"/>
        <v>1.0095574</v>
      </c>
      <c r="F18" s="2">
        <f t="shared" si="8"/>
        <v>1.0090432</v>
      </c>
      <c r="G18" s="2">
        <f t="shared" si="8"/>
        <v>1.0100716000000001</v>
      </c>
    </row>
    <row r="19" spans="1:7" x14ac:dyDescent="0.3">
      <c r="A19" t="s">
        <v>80</v>
      </c>
      <c r="B19" s="2">
        <f>1-1/B18</f>
        <v>0</v>
      </c>
      <c r="C19" s="2">
        <f t="shared" ref="C19" si="9">1-1/C18</f>
        <v>5.6768889379862353E-3</v>
      </c>
      <c r="D19" s="2">
        <f t="shared" ref="D19:G19" si="10">1-1/D18</f>
        <v>6.2131553527345895E-3</v>
      </c>
      <c r="E19" s="2">
        <f t="shared" si="10"/>
        <v>9.4669208506619196E-3</v>
      </c>
      <c r="F19" s="2">
        <f t="shared" si="10"/>
        <v>8.9621534538858461E-3</v>
      </c>
      <c r="G19" s="2">
        <f t="shared" si="10"/>
        <v>9.9711743207115955E-3</v>
      </c>
    </row>
    <row r="20" spans="1:7" x14ac:dyDescent="0.3">
      <c r="A20" t="s">
        <v>81</v>
      </c>
      <c r="B20" s="3">
        <f>B19*$D$6*$F$1</f>
        <v>0</v>
      </c>
      <c r="C20" s="3">
        <f t="shared" ref="C20" si="11">C19*$D$6*$F$1</f>
        <v>0.8725017503930137</v>
      </c>
      <c r="D20" s="3">
        <f t="shared" ref="D20:G20" si="12">D19*$D$6*$F$1</f>
        <v>0.95492249010734409</v>
      </c>
      <c r="E20" s="3">
        <f t="shared" si="12"/>
        <v>1.4550055678849836</v>
      </c>
      <c r="F20" s="3">
        <f t="shared" si="12"/>
        <v>1.3774260270414953</v>
      </c>
      <c r="G20" s="3">
        <f t="shared" si="12"/>
        <v>1.5325061214568771</v>
      </c>
    </row>
    <row r="21" spans="1:7" x14ac:dyDescent="0.3">
      <c r="A21" t="s">
        <v>82</v>
      </c>
      <c r="B21" s="3">
        <f>B20*$D$7</f>
        <v>0</v>
      </c>
      <c r="C21" s="3">
        <f t="shared" ref="C21:G21" si="13">C20*$D$7</f>
        <v>7.9356556419578705</v>
      </c>
      <c r="D21" s="3">
        <f t="shared" si="13"/>
        <v>8.6852960957836061</v>
      </c>
      <c r="E21" s="3">
        <f t="shared" si="13"/>
        <v>13.233696251801858</v>
      </c>
      <c r="F21" s="3">
        <f t="shared" si="13"/>
        <v>12.52808790119647</v>
      </c>
      <c r="G21" s="3">
        <f t="shared" si="13"/>
        <v>13.938586190338514</v>
      </c>
    </row>
    <row r="22" spans="1:7" x14ac:dyDescent="0.3">
      <c r="A22" t="s">
        <v>83</v>
      </c>
      <c r="E22" s="3">
        <f>E21-$D$21</f>
        <v>4.5484001560182516</v>
      </c>
      <c r="F22" s="3">
        <f t="shared" ref="F22:G22" si="14">F21-$D$21</f>
        <v>3.8427918054128636</v>
      </c>
      <c r="G22" s="3">
        <f t="shared" si="14"/>
        <v>5.2532900945549077</v>
      </c>
    </row>
    <row r="23" spans="1:7" x14ac:dyDescent="0.3">
      <c r="A23" s="5" t="s">
        <v>85</v>
      </c>
    </row>
    <row r="24" spans="1:7" x14ac:dyDescent="0.3">
      <c r="A24" t="s">
        <v>77</v>
      </c>
      <c r="B24">
        <v>0.1</v>
      </c>
      <c r="C24">
        <f>C10</f>
        <v>2.0030999999999999</v>
      </c>
      <c r="D24">
        <f>D10</f>
        <v>2.1840000000000002</v>
      </c>
      <c r="E24">
        <f>E10</f>
        <v>3.2858000000000001</v>
      </c>
      <c r="F24">
        <f>F10</f>
        <v>3.1143999999999998</v>
      </c>
      <c r="G24">
        <f>G10</f>
        <v>3.4571999999999998</v>
      </c>
    </row>
    <row r="25" spans="1:7" x14ac:dyDescent="0.3">
      <c r="A25" t="s">
        <v>78</v>
      </c>
      <c r="B25" s="2">
        <f t="shared" ref="B25" si="15">1+$D$4*(B24-$B$10)/10</f>
        <v>1</v>
      </c>
      <c r="C25" s="2">
        <f>IF(1+$D$4*(C24-$B$10)/10&lt;1,1,1+$D$4*(C24-$B$10)/10)</f>
        <v>1.0570930000000001</v>
      </c>
      <c r="D25" s="2">
        <f t="shared" ref="D25:G25" si="16">IF(1+$D$4*(D24-$B$10)/10&lt;1,1,1+$D$4*(D24-$B$10)/10)</f>
        <v>1.0625199999999999</v>
      </c>
      <c r="E25" s="2">
        <f t="shared" si="16"/>
        <v>1.095574</v>
      </c>
      <c r="F25" s="2">
        <f t="shared" si="16"/>
        <v>1.0904320000000001</v>
      </c>
      <c r="G25" s="2">
        <f t="shared" si="16"/>
        <v>1.100716</v>
      </c>
    </row>
    <row r="26" spans="1:7" x14ac:dyDescent="0.3">
      <c r="A26" t="s">
        <v>80</v>
      </c>
      <c r="B26" s="2">
        <f>1-1/B25</f>
        <v>0</v>
      </c>
      <c r="C26" s="2">
        <f t="shared" ref="C26" si="17">1-1/C25</f>
        <v>5.4009439093816725E-2</v>
      </c>
      <c r="D26" s="2">
        <f t="shared" ref="D26:G26" si="18">1-1/D25</f>
        <v>5.8841245341264115E-2</v>
      </c>
      <c r="E26" s="2">
        <f t="shared" si="18"/>
        <v>8.7236462347591304E-2</v>
      </c>
      <c r="F26" s="2">
        <f t="shared" si="18"/>
        <v>8.2932269045662643E-2</v>
      </c>
      <c r="G26" s="2">
        <f t="shared" si="18"/>
        <v>9.1500441530785404E-2</v>
      </c>
    </row>
    <row r="27" spans="1:7" x14ac:dyDescent="0.3">
      <c r="A27" t="s">
        <v>81</v>
      </c>
      <c r="B27" s="3">
        <f>B26*$D$6*$F$1</f>
        <v>0</v>
      </c>
      <c r="C27" s="3">
        <f t="shared" ref="C27" si="19">C26*$D$6*$F$1</f>
        <v>8.3009075326064128</v>
      </c>
      <c r="D27" s="3">
        <f t="shared" ref="D27:G27" si="20">D26*$D$6*$F$1</f>
        <v>9.0435254443729232</v>
      </c>
      <c r="E27" s="3">
        <f t="shared" si="20"/>
        <v>13.407689832904778</v>
      </c>
      <c r="F27" s="3">
        <f t="shared" si="20"/>
        <v>12.746162677628986</v>
      </c>
      <c r="G27" s="3">
        <f t="shared" si="20"/>
        <v>14.063036333711244</v>
      </c>
    </row>
    <row r="28" spans="1:7" x14ac:dyDescent="0.3">
      <c r="A28" t="s">
        <v>82</v>
      </c>
      <c r="B28" s="3">
        <f>B27*$D$7</f>
        <v>0</v>
      </c>
      <c r="C28" s="3">
        <f t="shared" ref="C28:G28" si="21">C27*$D$7</f>
        <v>75.49915362900586</v>
      </c>
      <c r="D28" s="3">
        <f t="shared" si="21"/>
        <v>82.253478211935743</v>
      </c>
      <c r="E28" s="3">
        <f t="shared" si="21"/>
        <v>121.94681491491016</v>
      </c>
      <c r="F28" s="3">
        <f t="shared" si="21"/>
        <v>115.93003420391673</v>
      </c>
      <c r="G28" s="3">
        <f t="shared" si="21"/>
        <v>127.90738078680623</v>
      </c>
    </row>
    <row r="29" spans="1:7" x14ac:dyDescent="0.3">
      <c r="A29" t="s">
        <v>83</v>
      </c>
      <c r="E29" s="3">
        <f>E28-$D$28</f>
        <v>39.69333670297442</v>
      </c>
      <c r="F29" s="3">
        <f>F28-$D$28</f>
        <v>33.67655599198099</v>
      </c>
      <c r="G29" s="3">
        <f t="shared" ref="G29" si="22">G28-$D$28</f>
        <v>45.653902574870486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C05CB-8ED1-49F9-8329-08659DEEEF9B}">
  <dimension ref="A1:J30"/>
  <sheetViews>
    <sheetView workbookViewId="0">
      <selection activeCell="G8" sqref="G8"/>
    </sheetView>
  </sheetViews>
  <sheetFormatPr defaultRowHeight="14.4" x14ac:dyDescent="0.3"/>
  <cols>
    <col min="1" max="2" width="14.6640625" customWidth="1"/>
    <col min="3" max="3" width="20.6640625" customWidth="1"/>
    <col min="4" max="4" width="18" customWidth="1"/>
    <col min="5" max="5" width="17.44140625" customWidth="1"/>
    <col min="6" max="7" width="16.6640625" customWidth="1"/>
  </cols>
  <sheetData>
    <row r="1" spans="1:10" x14ac:dyDescent="0.3">
      <c r="C1" t="s">
        <v>47</v>
      </c>
      <c r="D1" t="s">
        <v>86</v>
      </c>
      <c r="E1" t="s">
        <v>49</v>
      </c>
      <c r="F1" s="4">
        <f>'Age distribution NL 2024'!G4/'Age distribution NL 2024'!I2*10^6</f>
        <v>402941.01264412637</v>
      </c>
      <c r="G1" t="s">
        <v>50</v>
      </c>
    </row>
    <row r="2" spans="1:10" x14ac:dyDescent="0.3">
      <c r="C2" t="s">
        <v>51</v>
      </c>
      <c r="D2">
        <v>0.03</v>
      </c>
      <c r="E2" t="s">
        <v>52</v>
      </c>
      <c r="F2">
        <v>10</v>
      </c>
      <c r="G2" t="s">
        <v>53</v>
      </c>
      <c r="H2" t="s">
        <v>87</v>
      </c>
    </row>
    <row r="3" spans="1:10" x14ac:dyDescent="0.3">
      <c r="C3" t="s">
        <v>55</v>
      </c>
      <c r="D3">
        <v>0.02</v>
      </c>
      <c r="E3" t="s">
        <v>52</v>
      </c>
      <c r="F3">
        <v>10</v>
      </c>
      <c r="G3" t="s">
        <v>53</v>
      </c>
      <c r="H3" t="s">
        <v>56</v>
      </c>
      <c r="I3" s="10" t="s">
        <v>57</v>
      </c>
    </row>
    <row r="4" spans="1:10" x14ac:dyDescent="0.3">
      <c r="C4" t="s">
        <v>58</v>
      </c>
      <c r="D4">
        <v>0.04</v>
      </c>
      <c r="E4" t="s">
        <v>52</v>
      </c>
      <c r="F4">
        <v>10</v>
      </c>
      <c r="G4" t="s">
        <v>53</v>
      </c>
    </row>
    <row r="5" spans="1:10" x14ac:dyDescent="0.3">
      <c r="C5" t="s">
        <v>88</v>
      </c>
      <c r="D5" s="20">
        <f>4157/'Age distribution NL 2024'!G3</f>
        <v>5.9241841242696307E-4</v>
      </c>
      <c r="E5" t="s">
        <v>89</v>
      </c>
      <c r="G5" t="s">
        <v>87</v>
      </c>
    </row>
    <row r="6" spans="1:10" x14ac:dyDescent="0.3">
      <c r="C6" t="s">
        <v>90</v>
      </c>
      <c r="D6">
        <f>6.4/100000</f>
        <v>6.3999999999999997E-5</v>
      </c>
      <c r="E6" t="s">
        <v>91</v>
      </c>
      <c r="G6" t="s">
        <v>92</v>
      </c>
    </row>
    <row r="7" spans="1:10" x14ac:dyDescent="0.3">
      <c r="C7" t="s">
        <v>93</v>
      </c>
      <c r="D7" s="3">
        <f>J8/H8</f>
        <v>1.8191718110563917</v>
      </c>
      <c r="G7" t="s">
        <v>94</v>
      </c>
    </row>
    <row r="8" spans="1:10" x14ac:dyDescent="0.3">
      <c r="G8" t="s">
        <v>95</v>
      </c>
      <c r="H8">
        <v>14417</v>
      </c>
      <c r="I8" t="s">
        <v>96</v>
      </c>
      <c r="J8">
        <v>26227</v>
      </c>
    </row>
    <row r="10" spans="1:10" x14ac:dyDescent="0.3">
      <c r="A10" s="5" t="s">
        <v>69</v>
      </c>
      <c r="B10" t="s">
        <v>70</v>
      </c>
      <c r="C10" t="s">
        <v>71</v>
      </c>
      <c r="D10" t="s">
        <v>72</v>
      </c>
      <c r="E10" t="s">
        <v>73</v>
      </c>
      <c r="F10" t="s">
        <v>74</v>
      </c>
      <c r="G10" t="s">
        <v>75</v>
      </c>
    </row>
    <row r="11" spans="1:10" x14ac:dyDescent="0.3">
      <c r="A11" t="s">
        <v>77</v>
      </c>
      <c r="B11">
        <v>0.1</v>
      </c>
      <c r="C11">
        <f>OverviewSerumConcentrations!C4</f>
        <v>1.9925999999999999</v>
      </c>
      <c r="D11">
        <f>OverviewSerumConcentrations!D4</f>
        <v>2.1724999999999999</v>
      </c>
      <c r="E11">
        <f>OverviewSerumConcentrations!E4</f>
        <v>3.2685</v>
      </c>
      <c r="F11">
        <f>OverviewSerumConcentrations!F4</f>
        <v>3.0979999999999999</v>
      </c>
      <c r="G11">
        <f>OverviewSerumConcentrations!G4</f>
        <v>3.4390000000000001</v>
      </c>
    </row>
    <row r="12" spans="1:10" x14ac:dyDescent="0.3">
      <c r="A12" t="s">
        <v>78</v>
      </c>
      <c r="B12" s="2">
        <f t="shared" ref="B12:G12" si="0">1+$D$2*(B11-$B$11)/$F$2</f>
        <v>1</v>
      </c>
      <c r="C12" s="2">
        <f t="shared" si="0"/>
        <v>1.0056778</v>
      </c>
      <c r="D12" s="2">
        <f>1+$D$2*(D11-$B$11)/$F$2</f>
        <v>1.0062175</v>
      </c>
      <c r="E12" s="2">
        <f t="shared" si="0"/>
        <v>1.0095054999999999</v>
      </c>
      <c r="F12" s="2">
        <f t="shared" si="0"/>
        <v>1.0089939999999999</v>
      </c>
      <c r="G12" s="2">
        <f t="shared" si="0"/>
        <v>1.0100169999999999</v>
      </c>
      <c r="H12" s="5" t="s">
        <v>76</v>
      </c>
    </row>
    <row r="13" spans="1:10" x14ac:dyDescent="0.3">
      <c r="A13" t="s">
        <v>80</v>
      </c>
      <c r="B13" s="2">
        <f>1-1/B12</f>
        <v>0</v>
      </c>
      <c r="C13" s="2">
        <f t="shared" ref="C13" si="1">1-1/C12</f>
        <v>5.6457445913591364E-3</v>
      </c>
      <c r="D13" s="2">
        <f t="shared" ref="D13:G13" si="2">1-1/D12</f>
        <v>6.1790815603982585E-3</v>
      </c>
      <c r="E13" s="2">
        <f t="shared" si="2"/>
        <v>9.4159962476677572E-3</v>
      </c>
      <c r="F13" s="2">
        <f t="shared" si="2"/>
        <v>8.9138290217780636E-3</v>
      </c>
      <c r="G13" s="2">
        <f t="shared" si="2"/>
        <v>9.9176548513539853E-3</v>
      </c>
      <c r="H13" s="1">
        <f>MIN(E16:G16,E23:G23,E30:G30)</f>
        <v>8.5962472828953501E-2</v>
      </c>
    </row>
    <row r="14" spans="1:10" x14ac:dyDescent="0.3">
      <c r="A14" t="s">
        <v>81</v>
      </c>
      <c r="B14" s="3">
        <f>B13*$D$6*$F$1</f>
        <v>0</v>
      </c>
      <c r="C14" s="3">
        <f t="shared" ref="C14" si="3">C13*$D$6*$F$1</f>
        <v>0.14559373073743037</v>
      </c>
      <c r="D14" s="3">
        <f t="shared" ref="D14:G14" si="4">D13*$D$6*$F$1</f>
        <v>0.15934754439408144</v>
      </c>
      <c r="E14" s="3">
        <f t="shared" si="4"/>
        <v>0.24282182803766658</v>
      </c>
      <c r="F14" s="3">
        <f t="shared" si="4"/>
        <v>0.22987182672459874</v>
      </c>
      <c r="G14" s="3">
        <f t="shared" si="4"/>
        <v>0.25575871288700847</v>
      </c>
      <c r="H14" s="5" t="s">
        <v>97</v>
      </c>
    </row>
    <row r="15" spans="1:10" x14ac:dyDescent="0.3">
      <c r="A15" t="s">
        <v>82</v>
      </c>
      <c r="B15" s="3">
        <f>B14*$D$7</f>
        <v>0</v>
      </c>
      <c r="C15" s="3">
        <f t="shared" ref="C15:G15" si="5">C14*$D$7</f>
        <v>0.26486001082406785</v>
      </c>
      <c r="D15" s="3">
        <f t="shared" si="5"/>
        <v>0.28988056092276993</v>
      </c>
      <c r="E15" s="3">
        <f t="shared" si="5"/>
        <v>0.44173462467530561</v>
      </c>
      <c r="F15" s="3">
        <f t="shared" si="5"/>
        <v>0.41817634733342934</v>
      </c>
      <c r="G15" s="3">
        <f t="shared" si="5"/>
        <v>0.46526904091611088</v>
      </c>
      <c r="H15" s="1">
        <f>MAX(E16:G16,E23:G23,E30:G30)</f>
        <v>0.23260168020210376</v>
      </c>
    </row>
    <row r="16" spans="1:10" x14ac:dyDescent="0.3">
      <c r="A16" t="s">
        <v>83</v>
      </c>
      <c r="E16" s="1">
        <f>E15-$D$15</f>
        <v>0.15185406375253568</v>
      </c>
      <c r="F16" s="1">
        <f t="shared" ref="F16:G16" si="6">F15-$D$15</f>
        <v>0.12829578641065942</v>
      </c>
      <c r="G16" s="1">
        <f t="shared" si="6"/>
        <v>0.17538847999334095</v>
      </c>
    </row>
    <row r="17" spans="1:7" x14ac:dyDescent="0.3">
      <c r="A17" s="5" t="s">
        <v>84</v>
      </c>
    </row>
    <row r="18" spans="1:7" x14ac:dyDescent="0.3">
      <c r="A18" t="s">
        <v>77</v>
      </c>
      <c r="B18">
        <v>0.1</v>
      </c>
      <c r="C18">
        <f>C11</f>
        <v>1.9925999999999999</v>
      </c>
      <c r="D18">
        <f>D11</f>
        <v>2.1724999999999999</v>
      </c>
      <c r="E18">
        <f t="shared" ref="E18:G18" si="7">E11</f>
        <v>3.2685</v>
      </c>
      <c r="F18">
        <f t="shared" si="7"/>
        <v>3.0979999999999999</v>
      </c>
      <c r="G18">
        <f t="shared" si="7"/>
        <v>3.4390000000000001</v>
      </c>
    </row>
    <row r="19" spans="1:7" x14ac:dyDescent="0.3">
      <c r="A19" t="s">
        <v>78</v>
      </c>
      <c r="B19" s="2">
        <f t="shared" ref="B19:G19" si="8">1+$D$3*(B18-$B$11)/$F$2</f>
        <v>1</v>
      </c>
      <c r="C19" s="2">
        <f t="shared" si="8"/>
        <v>1.0037852</v>
      </c>
      <c r="D19" s="2">
        <f t="shared" si="8"/>
        <v>1.0041450000000001</v>
      </c>
      <c r="E19" s="2">
        <f t="shared" si="8"/>
        <v>1.006337</v>
      </c>
      <c r="F19" s="2">
        <f t="shared" si="8"/>
        <v>1.0059959999999999</v>
      </c>
      <c r="G19" s="2">
        <f t="shared" si="8"/>
        <v>1.006678</v>
      </c>
    </row>
    <row r="20" spans="1:7" x14ac:dyDescent="0.3">
      <c r="A20" t="s">
        <v>80</v>
      </c>
      <c r="B20" s="2">
        <f>1-1/B19</f>
        <v>0</v>
      </c>
      <c r="C20" s="2">
        <f t="shared" ref="C20" si="9">1-1/C19</f>
        <v>3.7709262898079077E-3</v>
      </c>
      <c r="D20" s="2">
        <f t="shared" ref="D20:G20" si="10">1-1/D19</f>
        <v>4.1278898963795774E-3</v>
      </c>
      <c r="E20" s="2">
        <f t="shared" si="10"/>
        <v>6.2970953070393687E-3</v>
      </c>
      <c r="F20" s="2">
        <f t="shared" si="10"/>
        <v>5.9602622674442829E-3</v>
      </c>
      <c r="G20" s="2">
        <f t="shared" si="10"/>
        <v>6.6337001503956605E-3</v>
      </c>
    </row>
    <row r="21" spans="1:7" x14ac:dyDescent="0.3">
      <c r="A21" t="s">
        <v>81</v>
      </c>
      <c r="B21" s="3">
        <f>B20*$D$6*$F$1</f>
        <v>0</v>
      </c>
      <c r="C21" s="3">
        <f t="shared" ref="C21" si="11">C20*$D$6*$F$1</f>
        <v>9.7245494900579613E-2</v>
      </c>
      <c r="D21" s="3">
        <f t="shared" ref="D21:G21" si="12">D20*$D$6*$F$1</f>
        <v>0.10645095263556126</v>
      </c>
      <c r="E21" s="3">
        <f t="shared" si="12"/>
        <v>0.16239090942304121</v>
      </c>
      <c r="F21" s="3">
        <f t="shared" si="12"/>
        <v>0.15370458327478886</v>
      </c>
      <c r="G21" s="3">
        <f t="shared" si="12"/>
        <v>0.17107135079538691</v>
      </c>
    </row>
    <row r="22" spans="1:7" x14ac:dyDescent="0.3">
      <c r="A22" t="s">
        <v>82</v>
      </c>
      <c r="B22" s="3">
        <f>B21*$D$7</f>
        <v>0</v>
      </c>
      <c r="C22" s="3">
        <f t="shared" ref="C22:G22" si="13">C21*$D$7</f>
        <v>0.17690626307536253</v>
      </c>
      <c r="D22" s="3">
        <f t="shared" si="13"/>
        <v>0.19365257229471214</v>
      </c>
      <c r="E22" s="3">
        <f t="shared" si="13"/>
        <v>0.29541696479420837</v>
      </c>
      <c r="F22" s="3">
        <f t="shared" si="13"/>
        <v>0.27961504512366564</v>
      </c>
      <c r="G22" s="3">
        <f t="shared" si="13"/>
        <v>0.31120817904630727</v>
      </c>
    </row>
    <row r="23" spans="1:7" x14ac:dyDescent="0.3">
      <c r="A23" t="s">
        <v>83</v>
      </c>
      <c r="E23" s="1">
        <f>E22-$D$22</f>
        <v>0.10176439249949623</v>
      </c>
      <c r="F23" s="1">
        <f t="shared" ref="F23:G23" si="14">F22-$D$22</f>
        <v>8.5962472828953501E-2</v>
      </c>
      <c r="G23" s="1">
        <f t="shared" si="14"/>
        <v>0.11755560675159513</v>
      </c>
    </row>
    <row r="24" spans="1:7" x14ac:dyDescent="0.3">
      <c r="A24" s="5" t="s">
        <v>84</v>
      </c>
    </row>
    <row r="25" spans="1:7" x14ac:dyDescent="0.3">
      <c r="A25" t="s">
        <v>77</v>
      </c>
      <c r="B25">
        <v>0.1</v>
      </c>
      <c r="C25">
        <f>C11</f>
        <v>1.9925999999999999</v>
      </c>
      <c r="D25">
        <f>D11</f>
        <v>2.1724999999999999</v>
      </c>
      <c r="E25">
        <f t="shared" ref="E25:G25" si="15">E11</f>
        <v>3.2685</v>
      </c>
      <c r="F25">
        <f t="shared" si="15"/>
        <v>3.0979999999999999</v>
      </c>
      <c r="G25">
        <f t="shared" si="15"/>
        <v>3.4390000000000001</v>
      </c>
    </row>
    <row r="26" spans="1:7" x14ac:dyDescent="0.3">
      <c r="A26" t="s">
        <v>78</v>
      </c>
      <c r="B26" s="2">
        <f t="shared" ref="B26:G26" si="16">1+$D$4*(B25-$B$11)/$F$2</f>
        <v>1</v>
      </c>
      <c r="C26" s="2">
        <f t="shared" si="16"/>
        <v>1.0075704000000001</v>
      </c>
      <c r="D26" s="2">
        <f t="shared" si="16"/>
        <v>1.0082899999999999</v>
      </c>
      <c r="E26" s="2">
        <f t="shared" si="16"/>
        <v>1.0126740000000001</v>
      </c>
      <c r="F26" s="2">
        <f t="shared" si="16"/>
        <v>1.011992</v>
      </c>
      <c r="G26" s="2">
        <f t="shared" si="16"/>
        <v>1.0133559999999999</v>
      </c>
    </row>
    <row r="27" spans="1:7" x14ac:dyDescent="0.3">
      <c r="A27" t="s">
        <v>80</v>
      </c>
      <c r="B27" s="2">
        <f>1-1/B26</f>
        <v>0</v>
      </c>
      <c r="C27" s="2">
        <f t="shared" ref="C27" si="17">1-1/C26</f>
        <v>7.5135196508353541E-3</v>
      </c>
      <c r="D27" s="2">
        <f t="shared" ref="D27:G27" si="18">1-1/D26</f>
        <v>8.2218409386187741E-3</v>
      </c>
      <c r="E27" s="2">
        <f t="shared" si="18"/>
        <v>1.2515380072955384E-2</v>
      </c>
      <c r="F27" s="2">
        <f t="shared" si="18"/>
        <v>1.1849896046609021E-2</v>
      </c>
      <c r="G27" s="2">
        <f t="shared" si="18"/>
        <v>1.317996834281332E-2</v>
      </c>
    </row>
    <row r="28" spans="1:7" x14ac:dyDescent="0.3">
      <c r="A28" t="s">
        <v>81</v>
      </c>
      <c r="B28" s="3">
        <f>B27*$D$6*$F$1</f>
        <v>0</v>
      </c>
      <c r="C28" s="3">
        <f t="shared" ref="C28" si="19">C27*$D$6*$F$1</f>
        <v>0.19376033386426497</v>
      </c>
      <c r="D28" s="3">
        <f t="shared" ref="D28:G28" si="20">D27*$D$6*$F$1</f>
        <v>0.21202668247078293</v>
      </c>
      <c r="E28" s="3">
        <f t="shared" si="20"/>
        <v>0.32274943489425678</v>
      </c>
      <c r="F28" s="3">
        <f t="shared" si="20"/>
        <v>0.3055877832158892</v>
      </c>
      <c r="G28" s="3">
        <f t="shared" si="20"/>
        <v>0.33988798660292652</v>
      </c>
    </row>
    <row r="29" spans="1:7" x14ac:dyDescent="0.3">
      <c r="A29" t="s">
        <v>82</v>
      </c>
      <c r="B29" s="3">
        <f>B28*$D$7</f>
        <v>0</v>
      </c>
      <c r="C29" s="3">
        <f t="shared" ref="C29:G29" si="21">C28*$D$7</f>
        <v>0.35248333746674604</v>
      </c>
      <c r="D29" s="3">
        <f t="shared" si="21"/>
        <v>0.3857129639426527</v>
      </c>
      <c r="E29" s="3">
        <f t="shared" si="21"/>
        <v>0.58713667399401204</v>
      </c>
      <c r="F29" s="3">
        <f t="shared" si="21"/>
        <v>0.55591668102955716</v>
      </c>
      <c r="G29" s="3">
        <f t="shared" si="21"/>
        <v>0.61831464414475645</v>
      </c>
    </row>
    <row r="30" spans="1:7" x14ac:dyDescent="0.3">
      <c r="A30" t="s">
        <v>83</v>
      </c>
      <c r="E30" s="1">
        <f>E29-$D$29</f>
        <v>0.20142371005135934</v>
      </c>
      <c r="F30" s="1">
        <f t="shared" ref="F30" si="22">F29-$D$29</f>
        <v>0.17020371708690446</v>
      </c>
      <c r="G30" s="1">
        <f>G29-$D$29</f>
        <v>0.23260168020210376</v>
      </c>
    </row>
  </sheetData>
  <hyperlinks>
    <hyperlink ref="I3" r:id="rId1" xr:uid="{3D26F386-2A00-42D0-BC7A-BA74B07A27E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0A96E-1D91-4ABD-AAFF-7C8928B1CFC5}">
  <dimension ref="A1:W72"/>
  <sheetViews>
    <sheetView topLeftCell="A7" workbookViewId="0">
      <selection activeCell="H21" sqref="H21"/>
    </sheetView>
  </sheetViews>
  <sheetFormatPr defaultRowHeight="14.4" x14ac:dyDescent="0.3"/>
  <cols>
    <col min="1" max="2" width="14.6640625" customWidth="1"/>
    <col min="3" max="3" width="20.6640625" customWidth="1"/>
    <col min="4" max="4" width="18" customWidth="1"/>
    <col min="5" max="5" width="15.88671875" customWidth="1"/>
    <col min="6" max="8" width="16.6640625" customWidth="1"/>
    <col min="9" max="9" width="10.5546875" bestFit="1" customWidth="1"/>
    <col min="10" max="10" width="13.109375" customWidth="1"/>
    <col min="11" max="11" width="20.33203125" bestFit="1" customWidth="1"/>
  </cols>
  <sheetData>
    <row r="1" spans="1:23" x14ac:dyDescent="0.3">
      <c r="C1" t="s">
        <v>47</v>
      </c>
      <c r="D1" t="s">
        <v>98</v>
      </c>
      <c r="E1" t="s">
        <v>49</v>
      </c>
      <c r="F1" s="4">
        <f>'Age distribution NL 2024'!H5/'Age distribution NL 2024'!I2*10^6</f>
        <v>200412.18737815405</v>
      </c>
      <c r="G1" t="s">
        <v>99</v>
      </c>
    </row>
    <row r="2" spans="1:23" x14ac:dyDescent="0.3">
      <c r="C2" t="s">
        <v>51</v>
      </c>
      <c r="D2">
        <v>7.42</v>
      </c>
      <c r="E2" t="s">
        <v>52</v>
      </c>
      <c r="F2" t="s">
        <v>100</v>
      </c>
      <c r="G2" t="s">
        <v>87</v>
      </c>
    </row>
    <row r="3" spans="1:23" x14ac:dyDescent="0.3">
      <c r="C3" t="s">
        <v>101</v>
      </c>
      <c r="D3">
        <v>1.1399999999999999</v>
      </c>
      <c r="E3" t="s">
        <v>52</v>
      </c>
      <c r="F3" t="s">
        <v>100</v>
      </c>
      <c r="G3" t="s">
        <v>102</v>
      </c>
      <c r="I3" s="10" t="s">
        <v>103</v>
      </c>
    </row>
    <row r="4" spans="1:23" x14ac:dyDescent="0.3">
      <c r="C4" t="s">
        <v>104</v>
      </c>
      <c r="D4">
        <v>48.12</v>
      </c>
      <c r="E4" t="s">
        <v>52</v>
      </c>
      <c r="F4" t="s">
        <v>100</v>
      </c>
      <c r="M4" s="5"/>
    </row>
    <row r="6" spans="1:23" x14ac:dyDescent="0.3">
      <c r="C6" t="s">
        <v>105</v>
      </c>
      <c r="D6" s="21">
        <f>S34/1000</f>
        <v>3.2290082644628099E-2</v>
      </c>
      <c r="E6" t="s">
        <v>106</v>
      </c>
      <c r="G6" t="s">
        <v>107</v>
      </c>
    </row>
    <row r="7" spans="1:23" x14ac:dyDescent="0.3">
      <c r="C7" t="s">
        <v>108</v>
      </c>
      <c r="D7" s="2">
        <f>P34/1000</f>
        <v>2.2332939787485244E-3</v>
      </c>
      <c r="E7" t="s">
        <v>109</v>
      </c>
      <c r="G7" t="s">
        <v>110</v>
      </c>
      <c r="J7" s="5" t="s">
        <v>111</v>
      </c>
      <c r="K7" s="1">
        <f>J13+Hypothyroidism_PFOS!E17</f>
        <v>12.828566701145448</v>
      </c>
    </row>
    <row r="8" spans="1:23" x14ac:dyDescent="0.3">
      <c r="C8" t="s">
        <v>112</v>
      </c>
      <c r="D8" s="1">
        <f>N8*N9</f>
        <v>0.19</v>
      </c>
      <c r="J8" s="5" t="s">
        <v>113</v>
      </c>
      <c r="K8" s="1">
        <f>F18+Hypothyroidism_PFOS!F17</f>
        <v>11.440083404495198</v>
      </c>
      <c r="M8" t="s">
        <v>114</v>
      </c>
      <c r="N8">
        <v>1.9E-2</v>
      </c>
      <c r="O8" t="s">
        <v>115</v>
      </c>
    </row>
    <row r="9" spans="1:23" x14ac:dyDescent="0.3">
      <c r="J9" s="5" t="s">
        <v>116</v>
      </c>
      <c r="K9" s="1">
        <f>G18+Hypothyroidism_PFOS!G17</f>
        <v>14.060476286734527</v>
      </c>
      <c r="M9" t="s">
        <v>117</v>
      </c>
      <c r="N9">
        <v>10</v>
      </c>
      <c r="O9" t="s">
        <v>118</v>
      </c>
      <c r="P9" t="s">
        <v>119</v>
      </c>
      <c r="Q9" s="10" t="s">
        <v>120</v>
      </c>
    </row>
    <row r="10" spans="1:23" x14ac:dyDescent="0.3">
      <c r="A10" s="5" t="s">
        <v>69</v>
      </c>
      <c r="B10" s="5" t="s">
        <v>70</v>
      </c>
      <c r="C10" s="5" t="s">
        <v>71</v>
      </c>
      <c r="D10" s="5" t="s">
        <v>72</v>
      </c>
      <c r="E10" s="5" t="s">
        <v>73</v>
      </c>
      <c r="F10" s="5" t="s">
        <v>74</v>
      </c>
      <c r="G10" s="5" t="s">
        <v>75</v>
      </c>
      <c r="H10" s="5"/>
      <c r="J10" s="5" t="s">
        <v>121</v>
      </c>
      <c r="K10" s="1">
        <f>J14+Hypothyroidism_PFOS!J10</f>
        <v>4.3133529902132608</v>
      </c>
    </row>
    <row r="11" spans="1:23" x14ac:dyDescent="0.3">
      <c r="A11" t="s">
        <v>122</v>
      </c>
      <c r="B11" s="3">
        <v>1</v>
      </c>
      <c r="C11">
        <f>OverviewSerumConcentrations!C5</f>
        <v>1.9444999999999999</v>
      </c>
      <c r="D11">
        <f>OverviewSerumConcentrations!D5</f>
        <v>2.1200999999999999</v>
      </c>
      <c r="E11">
        <f>OverviewSerumConcentrations!E5</f>
        <v>3.1897000000000002</v>
      </c>
      <c r="F11">
        <f>OverviewSerumConcentrations!F5</f>
        <v>3.0232999999999999</v>
      </c>
      <c r="G11">
        <f>OverviewSerumConcentrations!G5</f>
        <v>3.3561000000000001</v>
      </c>
      <c r="J11" s="5" t="s">
        <v>123</v>
      </c>
      <c r="K11" s="1">
        <f>J15+Hypothyroidism_PFOS!J11</f>
        <v>14.060476286734527</v>
      </c>
    </row>
    <row r="12" spans="1:23" x14ac:dyDescent="0.3">
      <c r="A12" t="s">
        <v>124</v>
      </c>
      <c r="B12" s="3">
        <f t="shared" ref="B12:G12" si="0">LN(B11/$B$11)</f>
        <v>0</v>
      </c>
      <c r="C12" s="2">
        <f>LN(C11/$B$11)</f>
        <v>0.66500487461366486</v>
      </c>
      <c r="D12" s="2">
        <f t="shared" si="0"/>
        <v>0.75146325738278119</v>
      </c>
      <c r="E12" s="2">
        <f t="shared" si="0"/>
        <v>1.1599268684872024</v>
      </c>
      <c r="F12" s="2">
        <f t="shared" si="0"/>
        <v>1.1063489500398316</v>
      </c>
      <c r="G12" s="2">
        <f t="shared" si="0"/>
        <v>1.2107795855388575</v>
      </c>
      <c r="H12" s="2"/>
      <c r="L12" s="5" t="s">
        <v>125</v>
      </c>
      <c r="O12" t="s">
        <v>126</v>
      </c>
    </row>
    <row r="13" spans="1:23" x14ac:dyDescent="0.3">
      <c r="A13" s="82" t="s">
        <v>78</v>
      </c>
      <c r="B13" s="83">
        <f>$D$2^B12</f>
        <v>1</v>
      </c>
      <c r="C13" s="84">
        <f>IF($D$2^C12&lt;1,1,$D$2^C12)</f>
        <v>3.7916028400084123</v>
      </c>
      <c r="D13" s="84">
        <f>IF($D$2^D12&lt;1,1,$D$2^D12)</f>
        <v>4.5089617784843101</v>
      </c>
      <c r="E13" s="84">
        <f t="shared" ref="E13:G13" si="1">IF($D$2^E12&lt;1,1,$D$2^E12)</f>
        <v>10.223624173142403</v>
      </c>
      <c r="F13" s="84">
        <f t="shared" si="1"/>
        <v>9.1827010703978704</v>
      </c>
      <c r="G13" s="84">
        <f t="shared" si="1"/>
        <v>11.320543547628089</v>
      </c>
      <c r="H13" s="2"/>
      <c r="J13" s="1">
        <f>E18</f>
        <v>10.542236934830498</v>
      </c>
      <c r="K13" s="11"/>
      <c r="L13" s="11"/>
      <c r="M13" s="11"/>
      <c r="N13" s="11" t="s">
        <v>127</v>
      </c>
      <c r="O13" s="11"/>
      <c r="P13" s="11"/>
      <c r="Q13" s="11" t="s">
        <v>128</v>
      </c>
      <c r="R13" s="11"/>
      <c r="S13" s="11"/>
    </row>
    <row r="14" spans="1:23" x14ac:dyDescent="0.3">
      <c r="A14" s="82" t="s">
        <v>129</v>
      </c>
      <c r="B14" s="85">
        <f>B13/((1-$D$6)+$D$6*B13)</f>
        <v>1</v>
      </c>
      <c r="C14" s="84">
        <f t="shared" ref="C14:G14" si="2">C13/((1-$D$6)+$D$6*C13)</f>
        <v>3.4780845225069594</v>
      </c>
      <c r="D14" s="84">
        <f t="shared" si="2"/>
        <v>4.0500699556007413</v>
      </c>
      <c r="E14" s="84">
        <f t="shared" si="2"/>
        <v>7.8774659800693927</v>
      </c>
      <c r="F14" s="84">
        <f t="shared" si="2"/>
        <v>7.2635303894397811</v>
      </c>
      <c r="G14" s="84">
        <f t="shared" si="2"/>
        <v>8.490930676002268</v>
      </c>
      <c r="H14" s="2" t="s">
        <v>130</v>
      </c>
      <c r="J14" s="1">
        <f>MIN(E18:G18,E27:G27,E36:G36)</f>
        <v>3.4577247535370503</v>
      </c>
      <c r="K14" s="11" t="s">
        <v>131</v>
      </c>
      <c r="L14" s="11" t="s">
        <v>132</v>
      </c>
      <c r="M14" s="11"/>
      <c r="N14" s="11" t="s">
        <v>14</v>
      </c>
      <c r="O14" s="11" t="s">
        <v>133</v>
      </c>
      <c r="P14" s="11" t="s">
        <v>134</v>
      </c>
      <c r="Q14" s="11" t="s">
        <v>14</v>
      </c>
      <c r="R14" s="11" t="s">
        <v>133</v>
      </c>
      <c r="S14" s="11" t="s">
        <v>134</v>
      </c>
      <c r="T14" s="14" t="s">
        <v>135</v>
      </c>
      <c r="U14" s="14" t="s">
        <v>136</v>
      </c>
      <c r="V14" s="14" t="s">
        <v>137</v>
      </c>
      <c r="W14" s="14" t="s">
        <v>138</v>
      </c>
    </row>
    <row r="15" spans="1:23" x14ac:dyDescent="0.3">
      <c r="A15" s="82" t="s">
        <v>80</v>
      </c>
      <c r="B15" s="83">
        <f t="shared" ref="B15:G15" si="3">1-1/B13</f>
        <v>0</v>
      </c>
      <c r="C15" s="84">
        <f>1-1/C13</f>
        <v>0.73625929660982603</v>
      </c>
      <c r="D15" s="84">
        <f t="shared" si="3"/>
        <v>0.77821945513670987</v>
      </c>
      <c r="E15" s="84">
        <f t="shared" si="3"/>
        <v>0.90218732779448085</v>
      </c>
      <c r="F15" s="84">
        <f t="shared" si="3"/>
        <v>0.89109958035945613</v>
      </c>
      <c r="G15" s="84">
        <f t="shared" si="3"/>
        <v>0.91166501892839569</v>
      </c>
      <c r="H15" s="3"/>
      <c r="I15" s="2"/>
      <c r="J15" s="2">
        <f>MAX(E18:G18,E27:G27,E36:G36)</f>
        <v>11.348220480298806</v>
      </c>
      <c r="K15" s="13">
        <v>2023</v>
      </c>
      <c r="L15" s="13" t="s">
        <v>139</v>
      </c>
      <c r="M15" s="13"/>
      <c r="N15" s="13">
        <v>1.1000000000000001</v>
      </c>
      <c r="O15" s="13">
        <v>0.5</v>
      </c>
      <c r="P15" s="13">
        <v>1.7</v>
      </c>
      <c r="Q15" s="13">
        <v>29.3</v>
      </c>
      <c r="R15" s="13">
        <v>10.9</v>
      </c>
      <c r="S15" s="13">
        <v>47.6</v>
      </c>
    </row>
    <row r="16" spans="1:23" x14ac:dyDescent="0.3">
      <c r="A16" s="82" t="s">
        <v>140</v>
      </c>
      <c r="B16" s="83">
        <f>B15*$D$7*$F$1</f>
        <v>0</v>
      </c>
      <c r="C16" s="83">
        <f>C15*$D$7*$F$1</f>
        <v>329.53444366908155</v>
      </c>
      <c r="D16" s="83">
        <f>D15*$D$7*$F$1</f>
        <v>348.31494336544165</v>
      </c>
      <c r="E16" s="83">
        <f t="shared" ref="E16:G16" si="4">E15*$D$7*$F$1</f>
        <v>403.80040091718115</v>
      </c>
      <c r="F16" s="83">
        <f t="shared" si="4"/>
        <v>398.83775433415212</v>
      </c>
      <c r="G16" s="83">
        <f t="shared" si="4"/>
        <v>408.04241957754061</v>
      </c>
      <c r="H16" s="3"/>
      <c r="K16" s="75" t="s">
        <v>141</v>
      </c>
      <c r="L16" s="75"/>
      <c r="M16" s="75"/>
      <c r="N16" s="12">
        <v>0.1</v>
      </c>
      <c r="O16" s="12">
        <v>0.1</v>
      </c>
      <c r="P16" s="12">
        <v>0.1</v>
      </c>
      <c r="Q16" s="12">
        <v>0.9</v>
      </c>
      <c r="R16" s="12">
        <v>0.9</v>
      </c>
      <c r="S16" s="12">
        <v>0.9</v>
      </c>
    </row>
    <row r="17" spans="1:23" x14ac:dyDescent="0.3">
      <c r="A17" s="82" t="s">
        <v>142</v>
      </c>
      <c r="B17" s="83">
        <f>B16*$D$8</f>
        <v>0</v>
      </c>
      <c r="C17" s="83">
        <f t="shared" ref="C17:G17" si="5">C16*$D$8</f>
        <v>62.611544297125498</v>
      </c>
      <c r="D17" s="83">
        <f t="shared" si="5"/>
        <v>66.179839239433917</v>
      </c>
      <c r="E17" s="83">
        <f t="shared" si="5"/>
        <v>76.722076174264416</v>
      </c>
      <c r="F17" s="83">
        <f t="shared" si="5"/>
        <v>75.779173323488905</v>
      </c>
      <c r="G17" s="83">
        <f t="shared" si="5"/>
        <v>77.528059719732724</v>
      </c>
      <c r="H17" s="1"/>
      <c r="K17" s="75" t="s">
        <v>143</v>
      </c>
      <c r="L17" s="75"/>
      <c r="M17" s="75"/>
      <c r="N17" s="12" t="s">
        <v>144</v>
      </c>
      <c r="O17" s="12" t="s">
        <v>144</v>
      </c>
      <c r="P17" s="12">
        <v>0.1</v>
      </c>
      <c r="Q17" s="12">
        <v>1.2</v>
      </c>
      <c r="R17" s="12">
        <v>1.2</v>
      </c>
      <c r="S17" s="12">
        <v>1.2</v>
      </c>
    </row>
    <row r="18" spans="1:23" x14ac:dyDescent="0.3">
      <c r="A18" s="82" t="s">
        <v>83</v>
      </c>
      <c r="B18" s="83"/>
      <c r="C18" s="82"/>
      <c r="D18" s="82"/>
      <c r="E18" s="85">
        <f>E17-$D$17</f>
        <v>10.542236934830498</v>
      </c>
      <c r="F18" s="85">
        <f>F17-$D$17</f>
        <v>9.5993340840549877</v>
      </c>
      <c r="G18" s="85">
        <f>G17-$D$17</f>
        <v>11.348220480298806</v>
      </c>
      <c r="J18" s="18">
        <f>Hypothyroidism_PFOS!E17/Hypothyroidism!K7</f>
        <v>0.1782217623821378</v>
      </c>
      <c r="K18" s="75" t="s">
        <v>145</v>
      </c>
      <c r="L18" s="75"/>
      <c r="M18" s="75"/>
      <c r="N18" s="12">
        <v>0.2</v>
      </c>
      <c r="O18" s="12">
        <v>0.1</v>
      </c>
      <c r="P18" s="12">
        <v>0.3</v>
      </c>
      <c r="Q18" s="12">
        <v>1.8</v>
      </c>
      <c r="R18" s="12">
        <v>1.3</v>
      </c>
      <c r="S18" s="12">
        <v>2.2000000000000002</v>
      </c>
    </row>
    <row r="19" spans="1:23" x14ac:dyDescent="0.3">
      <c r="A19" s="86" t="s">
        <v>146</v>
      </c>
      <c r="B19" s="83"/>
      <c r="C19" s="82"/>
      <c r="D19" s="82"/>
      <c r="E19" s="82"/>
      <c r="F19" s="82"/>
      <c r="G19" s="82"/>
      <c r="H19" s="2"/>
      <c r="K19" s="75" t="s">
        <v>147</v>
      </c>
      <c r="L19" s="75"/>
      <c r="M19" s="75"/>
      <c r="N19" s="12">
        <v>0.3</v>
      </c>
      <c r="O19" s="12">
        <v>0.2</v>
      </c>
      <c r="P19" s="12">
        <v>0.5</v>
      </c>
      <c r="Q19" s="12">
        <v>3</v>
      </c>
      <c r="R19" s="12">
        <v>2.4</v>
      </c>
      <c r="S19" s="12">
        <v>3.7</v>
      </c>
    </row>
    <row r="20" spans="1:23" x14ac:dyDescent="0.3">
      <c r="A20" s="82" t="s">
        <v>122</v>
      </c>
      <c r="B20" s="83">
        <v>1</v>
      </c>
      <c r="C20" s="84">
        <f>C11</f>
        <v>1.9444999999999999</v>
      </c>
      <c r="D20" s="84">
        <f>D11</f>
        <v>2.1200999999999999</v>
      </c>
      <c r="E20" s="84">
        <f>E11</f>
        <v>3.1897000000000002</v>
      </c>
      <c r="F20" s="84">
        <f>F11</f>
        <v>3.0232999999999999</v>
      </c>
      <c r="G20" s="84">
        <f>G11</f>
        <v>3.3561000000000001</v>
      </c>
      <c r="H20" s="2"/>
      <c r="K20" s="75" t="s">
        <v>148</v>
      </c>
      <c r="L20" s="75"/>
      <c r="M20" s="75"/>
      <c r="N20" s="12">
        <v>0.6</v>
      </c>
      <c r="O20" s="12">
        <v>0.1</v>
      </c>
      <c r="P20" s="12">
        <v>1.1000000000000001</v>
      </c>
      <c r="Q20" s="12">
        <v>5.9</v>
      </c>
      <c r="R20" s="12">
        <v>2.7</v>
      </c>
      <c r="S20" s="12">
        <v>9.1</v>
      </c>
      <c r="T20">
        <f>SUM('Age distribution NL 2024'!C84:C88)</f>
        <v>587000</v>
      </c>
      <c r="U20">
        <f t="shared" ref="U20:U25" si="6">T20/SUM($T$20:$T$25)</f>
        <v>0.173258559622196</v>
      </c>
      <c r="V20">
        <f t="shared" ref="V20:V25" si="7">U20*P20</f>
        <v>0.19058441558441561</v>
      </c>
      <c r="W20">
        <f t="shared" ref="W20:W25" si="8">U20*S20</f>
        <v>1.5766528925619836</v>
      </c>
    </row>
    <row r="21" spans="1:23" x14ac:dyDescent="0.3">
      <c r="A21" s="82" t="s">
        <v>124</v>
      </c>
      <c r="B21" s="83">
        <f t="shared" ref="B21:G21" si="9">LN(B20/$B$11)</f>
        <v>0</v>
      </c>
      <c r="C21" s="84">
        <f t="shared" si="9"/>
        <v>0.66500487461366486</v>
      </c>
      <c r="D21" s="84">
        <f t="shared" si="9"/>
        <v>0.75146325738278119</v>
      </c>
      <c r="E21" s="84">
        <f t="shared" si="9"/>
        <v>1.1599268684872024</v>
      </c>
      <c r="F21" s="84">
        <f t="shared" si="9"/>
        <v>1.1063489500398316</v>
      </c>
      <c r="G21" s="84">
        <f t="shared" si="9"/>
        <v>1.2107795855388575</v>
      </c>
      <c r="H21" s="2"/>
      <c r="K21" s="75" t="s">
        <v>149</v>
      </c>
      <c r="L21" s="75"/>
      <c r="M21" s="75"/>
      <c r="N21" s="12">
        <v>1.1000000000000001</v>
      </c>
      <c r="O21" s="12">
        <v>0.2</v>
      </c>
      <c r="P21" s="12">
        <v>2.1</v>
      </c>
      <c r="Q21" s="12">
        <v>11.2</v>
      </c>
      <c r="R21" s="12">
        <v>3.9</v>
      </c>
      <c r="S21" s="12">
        <v>18.7</v>
      </c>
      <c r="T21">
        <f>SUM('Age distribution NL 2024'!C79:C83)</f>
        <v>579000</v>
      </c>
      <c r="U21">
        <f t="shared" si="6"/>
        <v>0.17089728453364816</v>
      </c>
      <c r="V21">
        <f t="shared" si="7"/>
        <v>0.35888429752066114</v>
      </c>
      <c r="W21">
        <f t="shared" si="8"/>
        <v>3.1957792207792206</v>
      </c>
    </row>
    <row r="22" spans="1:23" x14ac:dyDescent="0.3">
      <c r="A22" s="82" t="s">
        <v>78</v>
      </c>
      <c r="B22" s="83">
        <f>$D$3^B21</f>
        <v>1</v>
      </c>
      <c r="C22" s="84">
        <f>IF($D$3^C21&lt;1,1,$D$3^C21)</f>
        <v>1.0910433423212889</v>
      </c>
      <c r="D22" s="84">
        <f>IF($D$3^D21&lt;1,1,$D$3^D21)</f>
        <v>1.1034734922206677</v>
      </c>
      <c r="E22" s="84">
        <f t="shared" ref="E22:G22" si="10">IF($D$3^E21&lt;1,1,$D$3^E21)</f>
        <v>1.1641406811449064</v>
      </c>
      <c r="F22" s="84">
        <f t="shared" si="10"/>
        <v>1.1559967750982156</v>
      </c>
      <c r="G22" s="84">
        <f t="shared" si="10"/>
        <v>1.1719234171021211</v>
      </c>
      <c r="H22" s="2"/>
      <c r="K22" s="75" t="s">
        <v>150</v>
      </c>
      <c r="L22" s="75"/>
      <c r="M22" s="75"/>
      <c r="N22" s="12">
        <v>1.6</v>
      </c>
      <c r="O22" s="12">
        <v>0.2</v>
      </c>
      <c r="P22" s="12">
        <v>3</v>
      </c>
      <c r="Q22" s="12">
        <v>17.5</v>
      </c>
      <c r="R22" s="12">
        <v>4.5</v>
      </c>
      <c r="S22" s="12">
        <v>30.8</v>
      </c>
      <c r="T22">
        <f>SUM('Age distribution NL 2024'!C74:C78)</f>
        <v>593000</v>
      </c>
      <c r="U22">
        <f t="shared" si="6"/>
        <v>0.17502951593860686</v>
      </c>
      <c r="V22">
        <f t="shared" si="7"/>
        <v>0.52508854781582059</v>
      </c>
      <c r="W22">
        <f t="shared" si="8"/>
        <v>5.3909090909090915</v>
      </c>
    </row>
    <row r="23" spans="1:23" x14ac:dyDescent="0.3">
      <c r="A23" s="82" t="s">
        <v>129</v>
      </c>
      <c r="B23" s="82">
        <f>B22/((1-$D$6)+$D$6*B22)</f>
        <v>1</v>
      </c>
      <c r="C23" s="84">
        <f t="shared" ref="C23:G23" si="11">C22/((1-$D$6)+$D$6*C22)</f>
        <v>1.0878452979259856</v>
      </c>
      <c r="D23" s="84">
        <f t="shared" si="11"/>
        <v>1.0997988798200329</v>
      </c>
      <c r="E23" s="84">
        <f t="shared" si="11"/>
        <v>1.1580031300425992</v>
      </c>
      <c r="F23" s="84">
        <f t="shared" si="11"/>
        <v>1.1502030313249794</v>
      </c>
      <c r="G23" s="84">
        <f t="shared" si="11"/>
        <v>1.1654534936985301</v>
      </c>
      <c r="H23" s="2"/>
      <c r="K23" s="75" t="s">
        <v>151</v>
      </c>
      <c r="L23" s="75"/>
      <c r="M23" s="75"/>
      <c r="N23" s="12">
        <v>1.7</v>
      </c>
      <c r="O23" s="12">
        <v>0.5</v>
      </c>
      <c r="P23" s="12">
        <v>2.9</v>
      </c>
      <c r="Q23" s="12">
        <v>23.3</v>
      </c>
      <c r="R23" s="12">
        <v>6.1</v>
      </c>
      <c r="S23" s="12">
        <v>40.700000000000003</v>
      </c>
      <c r="T23">
        <f>SUM('Age distribution NL 2024'!C69:C73)</f>
        <v>563000</v>
      </c>
      <c r="U23">
        <f t="shared" si="6"/>
        <v>0.16617473435655253</v>
      </c>
      <c r="V23">
        <f t="shared" si="7"/>
        <v>0.48190672963400233</v>
      </c>
      <c r="W23">
        <f t="shared" si="8"/>
        <v>6.7633116883116884</v>
      </c>
    </row>
    <row r="24" spans="1:23" x14ac:dyDescent="0.3">
      <c r="A24" s="82" t="s">
        <v>80</v>
      </c>
      <c r="B24" s="83">
        <f t="shared" ref="B24:G24" si="12">1-1/B22</f>
        <v>0</v>
      </c>
      <c r="C24" s="84">
        <f t="shared" si="12"/>
        <v>8.3446127930707381E-2</v>
      </c>
      <c r="D24" s="84">
        <f t="shared" si="12"/>
        <v>9.3770709446254208E-2</v>
      </c>
      <c r="E24" s="84">
        <f t="shared" si="12"/>
        <v>0.14099728993533478</v>
      </c>
      <c r="F24" s="84">
        <f t="shared" si="12"/>
        <v>0.13494568363736292</v>
      </c>
      <c r="G24" s="84">
        <f t="shared" si="12"/>
        <v>0.14670192146791083</v>
      </c>
      <c r="H24" s="2"/>
      <c r="K24" s="75" t="s">
        <v>152</v>
      </c>
      <c r="L24" s="75"/>
      <c r="M24" s="75"/>
      <c r="N24" s="12">
        <v>1.5</v>
      </c>
      <c r="O24" s="12">
        <v>0.6</v>
      </c>
      <c r="P24" s="12">
        <v>2.2999999999999998</v>
      </c>
      <c r="Q24" s="12">
        <v>26.7</v>
      </c>
      <c r="R24" s="12">
        <v>7.3</v>
      </c>
      <c r="S24" s="12">
        <v>46</v>
      </c>
      <c r="T24">
        <f>SUM('Age distribution NL 2024'!C64:C68)</f>
        <v>537000</v>
      </c>
      <c r="U24">
        <f t="shared" si="6"/>
        <v>0.15850059031877214</v>
      </c>
      <c r="V24">
        <f t="shared" si="7"/>
        <v>0.36455135773317593</v>
      </c>
      <c r="W24">
        <f t="shared" si="8"/>
        <v>7.291027154663519</v>
      </c>
    </row>
    <row r="25" spans="1:23" x14ac:dyDescent="0.3">
      <c r="A25" s="82" t="s">
        <v>140</v>
      </c>
      <c r="B25" s="83">
        <f>B24*$D$7*$F$1</f>
        <v>0</v>
      </c>
      <c r="C25" s="84">
        <f>C24*$D$7*$F$1</f>
        <v>37.348762142092419</v>
      </c>
      <c r="D25" s="84">
        <f>D24*$D$7*$F$1</f>
        <v>41.969831433180538</v>
      </c>
      <c r="E25" s="84">
        <f t="shared" ref="E25:G25" si="13">E24*$D$7*$F$1</f>
        <v>63.10747274993205</v>
      </c>
      <c r="F25" s="84">
        <f t="shared" si="13"/>
        <v>60.39889884955619</v>
      </c>
      <c r="G25" s="84">
        <f t="shared" si="13"/>
        <v>65.660747916820398</v>
      </c>
      <c r="H25" s="2"/>
      <c r="K25" s="75" t="s">
        <v>153</v>
      </c>
      <c r="L25" s="75"/>
      <c r="M25" s="75"/>
      <c r="N25" s="12">
        <v>1.3</v>
      </c>
      <c r="O25" s="12">
        <v>0.6</v>
      </c>
      <c r="P25" s="12">
        <v>2</v>
      </c>
      <c r="Q25" s="12">
        <v>30.6</v>
      </c>
      <c r="R25" s="12">
        <v>9.1</v>
      </c>
      <c r="S25" s="12">
        <v>51.7</v>
      </c>
      <c r="T25">
        <f>SUM('Age distribution NL 2024'!C59:C63)</f>
        <v>529000</v>
      </c>
      <c r="U25">
        <f t="shared" si="6"/>
        <v>0.15613931523022431</v>
      </c>
      <c r="V25">
        <f t="shared" si="7"/>
        <v>0.31227863046044863</v>
      </c>
      <c r="W25">
        <f t="shared" si="8"/>
        <v>8.072402597402597</v>
      </c>
    </row>
    <row r="26" spans="1:23" x14ac:dyDescent="0.3">
      <c r="A26" s="82" t="s">
        <v>82</v>
      </c>
      <c r="B26" s="83">
        <f>B25*$D$8</f>
        <v>0</v>
      </c>
      <c r="C26" s="83">
        <f t="shared" ref="C26:G26" si="14">C25*$D$8</f>
        <v>7.09626480699756</v>
      </c>
      <c r="D26" s="83">
        <f t="shared" si="14"/>
        <v>7.9742679723043022</v>
      </c>
      <c r="E26" s="83">
        <f t="shared" si="14"/>
        <v>11.990419822487089</v>
      </c>
      <c r="F26" s="83">
        <f t="shared" si="14"/>
        <v>11.475790781415677</v>
      </c>
      <c r="G26" s="83">
        <f t="shared" si="14"/>
        <v>12.475542104195876</v>
      </c>
      <c r="K26" s="75" t="s">
        <v>154</v>
      </c>
      <c r="L26" s="75"/>
      <c r="M26" s="75"/>
      <c r="N26" s="12">
        <v>1.5</v>
      </c>
      <c r="O26" s="12">
        <v>0.6</v>
      </c>
      <c r="P26" s="12">
        <v>2.4</v>
      </c>
      <c r="Q26" s="12">
        <v>34.5</v>
      </c>
      <c r="R26" s="12">
        <v>10.8</v>
      </c>
      <c r="S26" s="12">
        <v>58</v>
      </c>
    </row>
    <row r="27" spans="1:23" x14ac:dyDescent="0.3">
      <c r="A27" s="82" t="s">
        <v>83</v>
      </c>
      <c r="B27" s="83"/>
      <c r="C27" s="84"/>
      <c r="D27" s="84"/>
      <c r="E27" s="84">
        <f>E26-$D$26</f>
        <v>4.0161518501827871</v>
      </c>
      <c r="F27" s="84">
        <f>F26-$D$26</f>
        <v>3.5015228091113748</v>
      </c>
      <c r="G27" s="84">
        <f>G26-$D$26</f>
        <v>4.5012741318915737</v>
      </c>
      <c r="H27" s="2"/>
      <c r="K27" s="75" t="s">
        <v>155</v>
      </c>
      <c r="L27" s="75"/>
      <c r="M27" s="75"/>
      <c r="N27" s="12">
        <v>1.4</v>
      </c>
      <c r="O27" s="12">
        <v>0.8</v>
      </c>
      <c r="P27" s="12">
        <v>2.1</v>
      </c>
      <c r="Q27" s="12">
        <v>40.700000000000003</v>
      </c>
      <c r="R27" s="12">
        <v>14.5</v>
      </c>
      <c r="S27" s="12">
        <v>67</v>
      </c>
    </row>
    <row r="28" spans="1:23" x14ac:dyDescent="0.3">
      <c r="A28" s="86" t="s">
        <v>156</v>
      </c>
      <c r="B28" s="83"/>
      <c r="C28" s="82"/>
      <c r="D28" s="82"/>
      <c r="E28" s="82"/>
      <c r="F28" s="82"/>
      <c r="G28" s="82"/>
      <c r="H28" s="2"/>
      <c r="K28" s="75" t="s">
        <v>157</v>
      </c>
      <c r="L28" s="75"/>
      <c r="M28" s="75"/>
      <c r="N28" s="12">
        <v>1.5</v>
      </c>
      <c r="O28" s="12">
        <v>0.9</v>
      </c>
      <c r="P28" s="12">
        <v>2.1</v>
      </c>
      <c r="Q28" s="12">
        <v>46.4</v>
      </c>
      <c r="R28" s="12">
        <v>17.7</v>
      </c>
      <c r="S28" s="12">
        <v>74.8</v>
      </c>
    </row>
    <row r="29" spans="1:23" x14ac:dyDescent="0.3">
      <c r="A29" s="82" t="s">
        <v>122</v>
      </c>
      <c r="B29" s="83">
        <v>1</v>
      </c>
      <c r="C29" s="84">
        <f>C11</f>
        <v>1.9444999999999999</v>
      </c>
      <c r="D29" s="84">
        <f>D11</f>
        <v>2.1200999999999999</v>
      </c>
      <c r="E29" s="84">
        <f>E11</f>
        <v>3.1897000000000002</v>
      </c>
      <c r="F29" s="84">
        <f>F11</f>
        <v>3.0232999999999999</v>
      </c>
      <c r="G29" s="84">
        <f>G11</f>
        <v>3.3561000000000001</v>
      </c>
      <c r="H29" s="2"/>
      <c r="K29" s="75" t="s">
        <v>158</v>
      </c>
      <c r="L29" s="75"/>
      <c r="M29" s="75"/>
      <c r="N29" s="12">
        <v>1.4</v>
      </c>
      <c r="O29" s="12">
        <v>0.9</v>
      </c>
      <c r="P29" s="12">
        <v>1.9</v>
      </c>
      <c r="Q29" s="12">
        <v>52.8</v>
      </c>
      <c r="R29" s="12">
        <v>21.3</v>
      </c>
      <c r="S29" s="12">
        <v>83.5</v>
      </c>
    </row>
    <row r="30" spans="1:23" x14ac:dyDescent="0.3">
      <c r="A30" s="82" t="s">
        <v>124</v>
      </c>
      <c r="B30" s="83">
        <f t="shared" ref="B30:G30" si="15">LN(B29/$B$11)</f>
        <v>0</v>
      </c>
      <c r="C30" s="84">
        <f t="shared" si="15"/>
        <v>0.66500487461366486</v>
      </c>
      <c r="D30" s="84">
        <f t="shared" si="15"/>
        <v>0.75146325738278119</v>
      </c>
      <c r="E30" s="84">
        <f t="shared" si="15"/>
        <v>1.1599268684872024</v>
      </c>
      <c r="F30" s="84">
        <f t="shared" si="15"/>
        <v>1.1063489500398316</v>
      </c>
      <c r="G30" s="84">
        <f t="shared" si="15"/>
        <v>1.2107795855388575</v>
      </c>
      <c r="H30" s="2"/>
      <c r="K30" s="75" t="s">
        <v>159</v>
      </c>
      <c r="L30" s="75"/>
      <c r="M30" s="75"/>
      <c r="N30" s="12">
        <v>1.2</v>
      </c>
      <c r="O30" s="12">
        <v>0.8</v>
      </c>
      <c r="P30" s="12">
        <v>1.7</v>
      </c>
      <c r="Q30" s="12">
        <v>61.8</v>
      </c>
      <c r="R30" s="12">
        <v>26.3</v>
      </c>
      <c r="S30" s="12">
        <v>95.7</v>
      </c>
    </row>
    <row r="31" spans="1:23" x14ac:dyDescent="0.3">
      <c r="A31" s="82" t="s">
        <v>78</v>
      </c>
      <c r="B31" s="83">
        <f>$D$4^B30</f>
        <v>1</v>
      </c>
      <c r="C31" s="84">
        <f>IF($D$4^C30&lt;1,1,$D$4^C30)</f>
        <v>13.144822835310947</v>
      </c>
      <c r="D31" s="84">
        <f>IF($D$4^D30&lt;1,1,$D$4^D30)</f>
        <v>18.374092118618172</v>
      </c>
      <c r="E31" s="84">
        <f t="shared" ref="E31:G31" si="16">IF($D$4^E30&lt;1,1,$D$4^E30)</f>
        <v>89.407651368678515</v>
      </c>
      <c r="F31" s="84">
        <f t="shared" si="16"/>
        <v>72.650596065245438</v>
      </c>
      <c r="G31" s="84">
        <f t="shared" si="16"/>
        <v>108.87433498525438</v>
      </c>
      <c r="H31" s="2"/>
      <c r="K31" s="75" t="s">
        <v>160</v>
      </c>
      <c r="L31" s="75"/>
      <c r="M31" s="75"/>
      <c r="N31" s="12">
        <v>1.4</v>
      </c>
      <c r="O31" s="12">
        <v>1</v>
      </c>
      <c r="P31" s="12">
        <v>1.8</v>
      </c>
      <c r="Q31" s="12">
        <v>66.900000000000006</v>
      </c>
      <c r="R31" s="12">
        <v>28.5</v>
      </c>
      <c r="S31" s="12">
        <v>101.6</v>
      </c>
    </row>
    <row r="32" spans="1:23" x14ac:dyDescent="0.3">
      <c r="A32" s="82" t="s">
        <v>129</v>
      </c>
      <c r="B32" s="84">
        <f>B31/((1-$D$6)+$D$6*B31)</f>
        <v>1</v>
      </c>
      <c r="C32" s="84">
        <f t="shared" ref="C32:G32" si="17">C31/((1-$D$6)+$D$6*C31)</f>
        <v>9.4420526496461239</v>
      </c>
      <c r="D32" s="84">
        <f t="shared" si="17"/>
        <v>11.770636878447782</v>
      </c>
      <c r="E32" s="84">
        <f t="shared" si="17"/>
        <v>23.194509236100583</v>
      </c>
      <c r="F32" s="84">
        <f t="shared" si="17"/>
        <v>21.924950396524505</v>
      </c>
      <c r="G32" s="84">
        <f t="shared" si="17"/>
        <v>24.284574884018003</v>
      </c>
      <c r="H32" s="2"/>
      <c r="K32" s="75" t="s">
        <v>161</v>
      </c>
      <c r="L32" s="75"/>
      <c r="M32" s="75"/>
      <c r="N32" s="12">
        <v>1.5</v>
      </c>
      <c r="O32" s="12">
        <v>1.2</v>
      </c>
      <c r="P32" s="12">
        <v>1.7</v>
      </c>
      <c r="Q32" s="12">
        <v>78.099999999999994</v>
      </c>
      <c r="R32" s="12">
        <v>37.299999999999997</v>
      </c>
      <c r="S32" s="12">
        <v>110.7</v>
      </c>
    </row>
    <row r="33" spans="1:21" ht="14.4" customHeight="1" x14ac:dyDescent="0.3">
      <c r="A33" t="s">
        <v>80</v>
      </c>
      <c r="B33" s="3">
        <f t="shared" ref="B33:G33" si="18">1-1/B31</f>
        <v>0</v>
      </c>
      <c r="C33" s="2">
        <f t="shared" si="18"/>
        <v>0.9239244216123097</v>
      </c>
      <c r="D33" s="2">
        <f t="shared" si="18"/>
        <v>0.94557554226112128</v>
      </c>
      <c r="E33" s="2">
        <f t="shared" si="18"/>
        <v>0.98881527492679089</v>
      </c>
      <c r="F33" s="2">
        <f t="shared" si="18"/>
        <v>0.98623548801854388</v>
      </c>
      <c r="G33" s="2">
        <f t="shared" si="18"/>
        <v>0.99081509889235664</v>
      </c>
      <c r="H33" s="2"/>
      <c r="K33" s="75" t="s">
        <v>162</v>
      </c>
      <c r="L33" s="75"/>
      <c r="M33" s="75"/>
      <c r="N33" s="12">
        <v>2</v>
      </c>
      <c r="O33" s="12">
        <v>2.2999999999999998</v>
      </c>
      <c r="P33" s="12">
        <v>1.8</v>
      </c>
      <c r="Q33" s="12">
        <v>93.1</v>
      </c>
      <c r="R33" s="12">
        <v>48.9</v>
      </c>
      <c r="S33" s="12">
        <v>118.1</v>
      </c>
    </row>
    <row r="34" spans="1:21" x14ac:dyDescent="0.3">
      <c r="A34" t="s">
        <v>140</v>
      </c>
      <c r="B34" s="3">
        <f>B33*$D$7*$F$1</f>
        <v>0</v>
      </c>
      <c r="C34" s="2">
        <f>C33*$D$7*$F$1</f>
        <v>413.52947483342791</v>
      </c>
      <c r="D34" s="2">
        <f>D33*$D$7*$F$1</f>
        <v>423.22006893617288</v>
      </c>
      <c r="E34" s="2">
        <f t="shared" ref="E34:G34" si="19">E33*$D$7*$F$1</f>
        <v>442.57327956996994</v>
      </c>
      <c r="F34" s="2">
        <f t="shared" si="19"/>
        <v>441.41862027057846</v>
      </c>
      <c r="G34" s="2">
        <f t="shared" si="19"/>
        <v>443.46835944327449</v>
      </c>
      <c r="M34" t="s">
        <v>163</v>
      </c>
      <c r="P34">
        <f>SUM(V20:V25)</f>
        <v>2.2332939787485242</v>
      </c>
      <c r="S34">
        <f>SUM(W20:W25)</f>
        <v>32.2900826446281</v>
      </c>
      <c r="T34" t="s">
        <v>164</v>
      </c>
      <c r="U34">
        <f>SUM(U20:U25)</f>
        <v>1</v>
      </c>
    </row>
    <row r="35" spans="1:21" x14ac:dyDescent="0.3">
      <c r="A35" t="s">
        <v>82</v>
      </c>
      <c r="B35" s="3">
        <f>B34*$D$8</f>
        <v>0</v>
      </c>
      <c r="C35" s="3">
        <f t="shared" ref="C35:G35" si="20">C34*$D$8</f>
        <v>78.570600218351302</v>
      </c>
      <c r="D35" s="3">
        <f t="shared" si="20"/>
        <v>80.411813097872852</v>
      </c>
      <c r="E35" s="3">
        <f t="shared" si="20"/>
        <v>84.088923118294289</v>
      </c>
      <c r="F35" s="3">
        <f t="shared" si="20"/>
        <v>83.869537851409902</v>
      </c>
      <c r="G35" s="3">
        <f t="shared" si="20"/>
        <v>84.258988294222149</v>
      </c>
    </row>
    <row r="36" spans="1:21" x14ac:dyDescent="0.3">
      <c r="A36" t="s">
        <v>83</v>
      </c>
      <c r="B36" s="3"/>
      <c r="C36" s="2"/>
      <c r="D36" s="2"/>
      <c r="E36" s="2">
        <f>E35-$D$35</f>
        <v>3.6771100204214378</v>
      </c>
      <c r="F36" s="2">
        <f>F35-$D$35</f>
        <v>3.4577247535370503</v>
      </c>
      <c r="G36" s="2">
        <f>G35-$D$35</f>
        <v>3.8471751963492977</v>
      </c>
    </row>
    <row r="41" spans="1:21" x14ac:dyDescent="0.3">
      <c r="A41" s="74" t="s">
        <v>165</v>
      </c>
      <c r="B41" s="74"/>
      <c r="C41" s="74"/>
    </row>
    <row r="42" spans="1:21" x14ac:dyDescent="0.3">
      <c r="A42" s="76" t="s">
        <v>166</v>
      </c>
      <c r="B42" s="76"/>
      <c r="C42" s="76"/>
      <c r="D42" s="76"/>
      <c r="E42" s="76"/>
      <c r="F42" s="76"/>
      <c r="G42" s="76"/>
      <c r="H42" s="76"/>
      <c r="I42" s="76"/>
    </row>
    <row r="43" spans="1:21" x14ac:dyDescent="0.3">
      <c r="A43" s="64" t="s">
        <v>167</v>
      </c>
      <c r="B43" s="64" t="s">
        <v>168</v>
      </c>
      <c r="C43" s="64" t="s">
        <v>169</v>
      </c>
      <c r="D43" s="65">
        <v>45566</v>
      </c>
      <c r="E43" s="64" t="s">
        <v>170</v>
      </c>
      <c r="F43" s="64" t="s">
        <v>171</v>
      </c>
      <c r="G43" s="64" t="s">
        <v>172</v>
      </c>
      <c r="H43" s="64" t="s">
        <v>173</v>
      </c>
      <c r="I43" s="64" t="s">
        <v>174</v>
      </c>
    </row>
    <row r="44" spans="1:21" x14ac:dyDescent="0.3">
      <c r="A44" s="66" t="s">
        <v>175</v>
      </c>
      <c r="B44" s="66" t="s">
        <v>176</v>
      </c>
      <c r="C44" s="66">
        <v>0</v>
      </c>
      <c r="D44" s="66">
        <v>0.47</v>
      </c>
      <c r="E44" s="66">
        <v>0.67</v>
      </c>
      <c r="F44" s="66">
        <v>0.97</v>
      </c>
      <c r="G44" s="66">
        <v>1.47</v>
      </c>
      <c r="H44" s="66">
        <v>2.37</v>
      </c>
      <c r="I44" s="66">
        <v>5.17</v>
      </c>
    </row>
    <row r="45" spans="1:21" x14ac:dyDescent="0.3">
      <c r="B45" s="66" t="s">
        <v>177</v>
      </c>
      <c r="C45" s="77" t="s">
        <v>178</v>
      </c>
      <c r="D45" s="77"/>
      <c r="E45" s="77"/>
      <c r="F45" s="77"/>
      <c r="G45" s="77"/>
      <c r="H45" s="77"/>
      <c r="I45" s="77"/>
    </row>
    <row r="46" spans="1:21" x14ac:dyDescent="0.3">
      <c r="B46" s="66" t="s">
        <v>179</v>
      </c>
      <c r="C46" s="66">
        <v>1</v>
      </c>
      <c r="D46" s="66">
        <v>1</v>
      </c>
      <c r="E46" s="66">
        <v>1</v>
      </c>
      <c r="F46" s="66">
        <v>1</v>
      </c>
      <c r="G46" s="66">
        <v>2.16</v>
      </c>
      <c r="H46" s="66">
        <v>5.64</v>
      </c>
      <c r="I46" s="66">
        <v>26.9</v>
      </c>
    </row>
    <row r="47" spans="1:21" x14ac:dyDescent="0.3">
      <c r="B47" s="66" t="s">
        <v>180</v>
      </c>
      <c r="C47" s="66">
        <v>1</v>
      </c>
      <c r="D47" s="66">
        <v>1</v>
      </c>
      <c r="E47" s="66">
        <v>1</v>
      </c>
      <c r="F47" s="66">
        <v>1</v>
      </c>
      <c r="G47" s="66">
        <v>2.16</v>
      </c>
      <c r="H47" s="66">
        <v>5.56</v>
      </c>
      <c r="I47" s="66">
        <v>25</v>
      </c>
    </row>
    <row r="48" spans="1:21" x14ac:dyDescent="0.3">
      <c r="B48" s="66" t="s">
        <v>181</v>
      </c>
      <c r="C48" s="66"/>
      <c r="D48" s="66"/>
      <c r="E48" s="66"/>
      <c r="F48" s="66"/>
      <c r="G48" s="72">
        <f>G49*(G47-1)/(1+G49*(G47-1))</f>
        <v>0.14821124361158436</v>
      </c>
      <c r="H48" s="70">
        <f>H49*(H47-1)/(1+H49*(H47-1))</f>
        <v>0.31318681318681318</v>
      </c>
      <c r="I48" s="72">
        <f t="shared" ref="I48" si="21">I49*(I47-1)/(1+I49*(I47-1))</f>
        <v>0.19354838709677419</v>
      </c>
    </row>
    <row r="49" spans="1:11" x14ac:dyDescent="0.3">
      <c r="B49" s="66" t="s">
        <v>182</v>
      </c>
      <c r="C49" s="66"/>
      <c r="D49" s="66"/>
      <c r="E49" s="66"/>
      <c r="F49" s="66"/>
      <c r="G49" s="66">
        <v>0.15</v>
      </c>
      <c r="H49" s="66">
        <v>0.1</v>
      </c>
      <c r="I49" s="66">
        <v>0.01</v>
      </c>
    </row>
    <row r="50" spans="1:11" x14ac:dyDescent="0.3">
      <c r="B50" s="66" t="s">
        <v>183</v>
      </c>
      <c r="C50" s="66"/>
      <c r="D50" s="66"/>
      <c r="E50" s="66"/>
      <c r="F50" s="66"/>
      <c r="G50" s="66">
        <f>G49*G48</f>
        <v>2.2231686541737652E-2</v>
      </c>
      <c r="H50" s="66">
        <f>H49*H48</f>
        <v>3.1318681318681318E-2</v>
      </c>
      <c r="I50" s="66">
        <f t="shared" ref="I50" si="22">I49*I48</f>
        <v>1.9354838709677419E-3</v>
      </c>
      <c r="J50" s="69">
        <f>SUM(G50:I50)</f>
        <v>5.5485851731386718E-2</v>
      </c>
      <c r="K50" s="68">
        <f>J50-0.3/100</f>
        <v>5.2485851731386715E-2</v>
      </c>
    </row>
    <row r="51" spans="1:11" x14ac:dyDescent="0.3">
      <c r="B51" s="66"/>
      <c r="C51" s="66"/>
      <c r="D51" s="66"/>
      <c r="E51" s="66"/>
      <c r="F51" s="66"/>
      <c r="G51" s="66"/>
      <c r="H51" s="66"/>
      <c r="I51" s="66"/>
    </row>
    <row r="52" spans="1:11" x14ac:dyDescent="0.3">
      <c r="B52" s="66" t="s">
        <v>184</v>
      </c>
      <c r="C52" s="66">
        <v>0</v>
      </c>
      <c r="D52" s="66">
        <v>0</v>
      </c>
      <c r="E52" s="66">
        <v>0</v>
      </c>
      <c r="F52" s="66">
        <v>0</v>
      </c>
      <c r="G52" s="71">
        <v>0.15</v>
      </c>
      <c r="H52" s="73">
        <v>0.28999999999999998</v>
      </c>
      <c r="I52" s="71">
        <v>0.19</v>
      </c>
    </row>
    <row r="53" spans="1:11" x14ac:dyDescent="0.3">
      <c r="B53" s="66" t="s">
        <v>185</v>
      </c>
      <c r="C53" s="79">
        <v>5.0299999999999997E-2</v>
      </c>
      <c r="D53" s="79"/>
      <c r="E53" s="79"/>
      <c r="F53" s="79"/>
      <c r="G53" s="79"/>
      <c r="H53" s="79"/>
      <c r="I53" s="79"/>
    </row>
    <row r="54" spans="1:11" x14ac:dyDescent="0.3">
      <c r="B54" s="66" t="s">
        <v>186</v>
      </c>
      <c r="C54" s="77">
        <v>14572</v>
      </c>
      <c r="D54" s="77"/>
      <c r="E54" s="77"/>
      <c r="F54" s="77"/>
      <c r="G54" s="77"/>
      <c r="H54" s="77"/>
      <c r="I54" s="77"/>
      <c r="J54" s="4">
        <f>C53*226.2/100000*118*10^6</f>
        <v>13425.874799999998</v>
      </c>
      <c r="K54" t="s">
        <v>187</v>
      </c>
    </row>
    <row r="55" spans="1:11" x14ac:dyDescent="0.3">
      <c r="B55" s="66" t="s">
        <v>188</v>
      </c>
      <c r="C55" s="77" t="s">
        <v>189</v>
      </c>
      <c r="D55" s="77"/>
      <c r="E55" s="77"/>
      <c r="F55" s="77"/>
      <c r="G55" s="77"/>
      <c r="H55" s="77"/>
      <c r="I55" s="77"/>
    </row>
    <row r="56" spans="1:11" x14ac:dyDescent="0.3">
      <c r="B56" s="66" t="s">
        <v>190</v>
      </c>
      <c r="C56" s="77" t="s">
        <v>191</v>
      </c>
      <c r="D56" s="77"/>
      <c r="E56" s="77"/>
      <c r="F56" s="77"/>
      <c r="G56" s="77"/>
      <c r="H56" s="77"/>
      <c r="I56" s="77"/>
    </row>
    <row r="57" spans="1:11" x14ac:dyDescent="0.3">
      <c r="A57" s="67" t="s">
        <v>192</v>
      </c>
      <c r="B57" s="67" t="s">
        <v>176</v>
      </c>
      <c r="C57" s="67">
        <v>0</v>
      </c>
      <c r="D57" s="67">
        <v>1.1000000000000001</v>
      </c>
      <c r="E57" s="67">
        <v>1.7</v>
      </c>
      <c r="F57" s="67">
        <v>2.6</v>
      </c>
      <c r="G57" s="67">
        <v>3.9</v>
      </c>
      <c r="H57" s="67">
        <v>5.7</v>
      </c>
      <c r="I57" s="67">
        <v>11.9</v>
      </c>
    </row>
    <row r="58" spans="1:11" x14ac:dyDescent="0.3">
      <c r="A58" s="67"/>
      <c r="B58" s="67" t="s">
        <v>177</v>
      </c>
      <c r="C58" s="78" t="s">
        <v>178</v>
      </c>
      <c r="D58" s="78"/>
      <c r="E58" s="78"/>
      <c r="F58" s="78"/>
      <c r="G58" s="78"/>
      <c r="H58" s="78"/>
      <c r="I58" s="78"/>
    </row>
    <row r="59" spans="1:11" x14ac:dyDescent="0.3">
      <c r="A59" s="67"/>
      <c r="B59" s="67" t="s">
        <v>179</v>
      </c>
      <c r="C59" s="67">
        <v>1</v>
      </c>
      <c r="D59" s="67">
        <v>1.1100000000000001</v>
      </c>
      <c r="E59" s="67">
        <v>1.8</v>
      </c>
      <c r="F59" s="67">
        <v>2.88</v>
      </c>
      <c r="G59" s="67">
        <v>4.5199999999999996</v>
      </c>
      <c r="H59" s="67">
        <v>6.89</v>
      </c>
      <c r="I59" s="67">
        <v>15.6</v>
      </c>
    </row>
    <row r="60" spans="1:11" x14ac:dyDescent="0.3">
      <c r="A60" s="67"/>
      <c r="B60" s="67" t="s">
        <v>180</v>
      </c>
      <c r="C60" s="67">
        <v>1</v>
      </c>
      <c r="D60" s="67">
        <v>1.1100000000000001</v>
      </c>
      <c r="E60" s="67">
        <v>1.8</v>
      </c>
      <c r="F60" s="67">
        <v>2.87</v>
      </c>
      <c r="G60" s="67">
        <v>4.47</v>
      </c>
      <c r="H60" s="67">
        <v>6.77</v>
      </c>
      <c r="I60" s="67">
        <v>14.9</v>
      </c>
    </row>
    <row r="61" spans="1:11" x14ac:dyDescent="0.3">
      <c r="A61" s="67"/>
      <c r="B61" s="67" t="s">
        <v>184</v>
      </c>
      <c r="C61" s="67">
        <v>0</v>
      </c>
      <c r="D61" s="67">
        <v>0.02</v>
      </c>
      <c r="E61" s="67">
        <v>0.17</v>
      </c>
      <c r="F61" s="67">
        <v>0.32</v>
      </c>
      <c r="G61" s="67">
        <v>0.34</v>
      </c>
      <c r="H61" s="67">
        <v>0.34</v>
      </c>
      <c r="I61" s="67">
        <v>0.12</v>
      </c>
    </row>
    <row r="62" spans="1:11" x14ac:dyDescent="0.3">
      <c r="A62" s="67"/>
      <c r="B62" s="67" t="s">
        <v>185</v>
      </c>
      <c r="C62" s="80">
        <v>0.2069</v>
      </c>
      <c r="D62" s="80"/>
      <c r="E62" s="80"/>
      <c r="F62" s="80"/>
      <c r="G62" s="80"/>
      <c r="H62" s="80"/>
      <c r="I62" s="80"/>
    </row>
    <row r="63" spans="1:11" x14ac:dyDescent="0.3">
      <c r="A63" s="67"/>
      <c r="B63" s="67" t="s">
        <v>186</v>
      </c>
      <c r="C63" s="78">
        <v>59939</v>
      </c>
      <c r="D63" s="78"/>
      <c r="E63" s="78"/>
      <c r="F63" s="78"/>
      <c r="G63" s="78"/>
      <c r="H63" s="78"/>
      <c r="I63" s="78"/>
    </row>
    <row r="64" spans="1:11" x14ac:dyDescent="0.3">
      <c r="A64" s="67"/>
      <c r="B64" s="67" t="s">
        <v>188</v>
      </c>
      <c r="C64" s="78" t="s">
        <v>193</v>
      </c>
      <c r="D64" s="78"/>
      <c r="E64" s="78"/>
      <c r="F64" s="78"/>
      <c r="G64" s="78"/>
      <c r="H64" s="78"/>
      <c r="I64" s="78"/>
    </row>
    <row r="65" spans="1:9" x14ac:dyDescent="0.3">
      <c r="A65" s="67"/>
      <c r="B65" s="67" t="s">
        <v>190</v>
      </c>
      <c r="C65" s="78" t="s">
        <v>194</v>
      </c>
      <c r="D65" s="78"/>
      <c r="E65" s="78"/>
      <c r="F65" s="78"/>
      <c r="G65" s="78"/>
      <c r="H65" s="78"/>
      <c r="I65" s="78"/>
    </row>
    <row r="66" spans="1:9" x14ac:dyDescent="0.3">
      <c r="B66" s="66" t="s">
        <v>195</v>
      </c>
      <c r="C66" s="77" t="s">
        <v>196</v>
      </c>
      <c r="D66" s="77"/>
      <c r="E66" s="77"/>
      <c r="F66" s="77"/>
      <c r="G66" s="77"/>
      <c r="H66" s="77"/>
      <c r="I66" s="77"/>
    </row>
    <row r="67" spans="1:9" x14ac:dyDescent="0.3">
      <c r="A67" s="77" t="s">
        <v>197</v>
      </c>
      <c r="B67" s="77"/>
    </row>
    <row r="68" spans="1:9" x14ac:dyDescent="0.3">
      <c r="A68" s="77" t="s">
        <v>198</v>
      </c>
      <c r="B68" s="77"/>
    </row>
    <row r="70" spans="1:9" x14ac:dyDescent="0.3">
      <c r="B70" s="66" t="s">
        <v>195</v>
      </c>
      <c r="C70" s="77" t="s">
        <v>196</v>
      </c>
      <c r="D70" s="77"/>
      <c r="E70" s="77"/>
      <c r="F70" s="77"/>
      <c r="G70" s="77"/>
      <c r="H70" s="77"/>
      <c r="I70" s="77"/>
    </row>
    <row r="71" spans="1:9" x14ac:dyDescent="0.3">
      <c r="A71" s="77" t="s">
        <v>197</v>
      </c>
      <c r="B71" s="77"/>
    </row>
    <row r="72" spans="1:9" x14ac:dyDescent="0.3">
      <c r="A72" s="77" t="s">
        <v>198</v>
      </c>
      <c r="B72" s="77"/>
    </row>
  </sheetData>
  <mergeCells count="35">
    <mergeCell ref="C70:I70"/>
    <mergeCell ref="A71:B71"/>
    <mergeCell ref="A72:B72"/>
    <mergeCell ref="C53:I53"/>
    <mergeCell ref="C54:I54"/>
    <mergeCell ref="C55:I55"/>
    <mergeCell ref="C56:I56"/>
    <mergeCell ref="C63:I63"/>
    <mergeCell ref="C64:I64"/>
    <mergeCell ref="C65:I65"/>
    <mergeCell ref="A67:B67"/>
    <mergeCell ref="A68:B68"/>
    <mergeCell ref="C62:I62"/>
    <mergeCell ref="C66:I66"/>
    <mergeCell ref="A42:I42"/>
    <mergeCell ref="C45:I45"/>
    <mergeCell ref="C58:I58"/>
    <mergeCell ref="K33:M33"/>
    <mergeCell ref="K22:M22"/>
    <mergeCell ref="K23:M23"/>
    <mergeCell ref="K24:M24"/>
    <mergeCell ref="K25:M25"/>
    <mergeCell ref="K26:M26"/>
    <mergeCell ref="K27:M27"/>
    <mergeCell ref="K28:M28"/>
    <mergeCell ref="K29:M29"/>
    <mergeCell ref="K30:M30"/>
    <mergeCell ref="K31:M31"/>
    <mergeCell ref="K32:M32"/>
    <mergeCell ref="K21:M21"/>
    <mergeCell ref="K16:M16"/>
    <mergeCell ref="K17:M17"/>
    <mergeCell ref="K18:M18"/>
    <mergeCell ref="K19:M19"/>
    <mergeCell ref="K20:M20"/>
  </mergeCells>
  <hyperlinks>
    <hyperlink ref="I3" r:id="rId1" xr:uid="{F0FC9DC1-F399-4C44-A25A-FFD518778913}"/>
    <hyperlink ref="Q9" r:id="rId2" xr:uid="{FC425D3F-5953-4C23-860C-917A73C201C3}"/>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0FE3A-BD1B-4911-9227-ACB02AF91D2E}">
  <dimension ref="A1:V34"/>
  <sheetViews>
    <sheetView topLeftCell="D1" workbookViewId="0">
      <selection activeCell="F9" sqref="F9"/>
    </sheetView>
  </sheetViews>
  <sheetFormatPr defaultRowHeight="14.4" x14ac:dyDescent="0.3"/>
  <cols>
    <col min="1" max="2" width="14.6640625" customWidth="1"/>
    <col min="3" max="3" width="20.6640625" customWidth="1"/>
    <col min="4" max="4" width="18" customWidth="1"/>
    <col min="5" max="5" width="15.88671875" customWidth="1"/>
    <col min="6" max="7" width="16.6640625" customWidth="1"/>
    <col min="9" max="9" width="13.109375" customWidth="1"/>
  </cols>
  <sheetData>
    <row r="1" spans="1:22" x14ac:dyDescent="0.3">
      <c r="C1" t="s">
        <v>47</v>
      </c>
      <c r="D1" t="s">
        <v>98</v>
      </c>
      <c r="E1" t="s">
        <v>49</v>
      </c>
      <c r="F1" s="4">
        <f>'Age distribution NL 2024'!H5/'Age distribution NL 2024'!I2*10^6</f>
        <v>200412.18737815405</v>
      </c>
      <c r="G1" t="s">
        <v>99</v>
      </c>
    </row>
    <row r="2" spans="1:22" x14ac:dyDescent="0.3">
      <c r="C2" t="s">
        <v>51</v>
      </c>
      <c r="D2">
        <v>3.03</v>
      </c>
      <c r="E2" t="s">
        <v>52</v>
      </c>
      <c r="F2" t="s">
        <v>199</v>
      </c>
      <c r="G2" t="s">
        <v>87</v>
      </c>
    </row>
    <row r="3" spans="1:22" x14ac:dyDescent="0.3">
      <c r="C3" t="s">
        <v>101</v>
      </c>
      <c r="D3">
        <v>1.1399999999999999</v>
      </c>
      <c r="E3" t="s">
        <v>52</v>
      </c>
      <c r="F3" t="s">
        <v>199</v>
      </c>
      <c r="G3" t="s">
        <v>102</v>
      </c>
      <c r="H3" s="10" t="s">
        <v>103</v>
      </c>
    </row>
    <row r="4" spans="1:22" x14ac:dyDescent="0.3">
      <c r="C4" t="s">
        <v>104</v>
      </c>
      <c r="D4">
        <v>8.07</v>
      </c>
      <c r="E4" t="s">
        <v>52</v>
      </c>
      <c r="F4" t="s">
        <v>199</v>
      </c>
    </row>
    <row r="6" spans="1:22" x14ac:dyDescent="0.3">
      <c r="C6" t="s">
        <v>105</v>
      </c>
      <c r="D6" s="21">
        <f>R34/1000</f>
        <v>3.2290082644628099E-2</v>
      </c>
      <c r="E6" t="s">
        <v>106</v>
      </c>
      <c r="G6" t="s">
        <v>107</v>
      </c>
    </row>
    <row r="7" spans="1:22" x14ac:dyDescent="0.3">
      <c r="C7" t="s">
        <v>108</v>
      </c>
      <c r="D7">
        <f>O34/1000</f>
        <v>2.2332939787485244E-3</v>
      </c>
      <c r="E7" t="s">
        <v>106</v>
      </c>
    </row>
    <row r="8" spans="1:22" x14ac:dyDescent="0.3">
      <c r="C8" t="s">
        <v>112</v>
      </c>
      <c r="D8" s="3">
        <f>M8*M9</f>
        <v>0.19</v>
      </c>
      <c r="L8" t="s">
        <v>114</v>
      </c>
      <c r="M8">
        <v>1.9E-2</v>
      </c>
      <c r="N8" t="s">
        <v>115</v>
      </c>
    </row>
    <row r="9" spans="1:22" x14ac:dyDescent="0.3">
      <c r="L9" t="s">
        <v>117</v>
      </c>
      <c r="M9">
        <v>10</v>
      </c>
      <c r="N9" t="s">
        <v>118</v>
      </c>
      <c r="O9" t="s">
        <v>119</v>
      </c>
      <c r="P9" t="s">
        <v>120</v>
      </c>
    </row>
    <row r="10" spans="1:22" x14ac:dyDescent="0.3">
      <c r="A10" s="5" t="s">
        <v>69</v>
      </c>
      <c r="B10" s="5" t="s">
        <v>70</v>
      </c>
      <c r="C10" s="5" t="s">
        <v>71</v>
      </c>
      <c r="D10" s="5" t="s">
        <v>72</v>
      </c>
      <c r="E10" s="5" t="s">
        <v>73</v>
      </c>
      <c r="F10" s="5" t="s">
        <v>74</v>
      </c>
      <c r="G10" s="5" t="s">
        <v>75</v>
      </c>
      <c r="I10" s="5" t="s">
        <v>200</v>
      </c>
      <c r="J10" s="1">
        <f>MIN(E17:G17,E25:G25,E33:G33)</f>
        <v>0.85562823667621046</v>
      </c>
    </row>
    <row r="11" spans="1:22" x14ac:dyDescent="0.3">
      <c r="A11" t="s">
        <v>201</v>
      </c>
      <c r="B11">
        <v>1</v>
      </c>
      <c r="C11">
        <f>OverviewSerumConcentrations!C6</f>
        <v>4.7206000000000001</v>
      </c>
      <c r="D11">
        <f>OverviewSerumConcentrations!D6</f>
        <v>3.9830999999999999</v>
      </c>
      <c r="E11">
        <f>OverviewSerumConcentrations!E6</f>
        <v>4.4903000000000004</v>
      </c>
      <c r="F11">
        <f>OverviewSerumConcentrations!F6</f>
        <v>4.3810000000000002</v>
      </c>
      <c r="G11">
        <f>OverviewSerumConcentrations!G6</f>
        <v>4.6002999999999998</v>
      </c>
      <c r="I11" s="5" t="s">
        <v>202</v>
      </c>
      <c r="J11" s="1">
        <f>MAX(E17:G17,E25:G25,E33:G33)</f>
        <v>2.7122558064357207</v>
      </c>
    </row>
    <row r="12" spans="1:22" x14ac:dyDescent="0.3">
      <c r="A12" t="s">
        <v>203</v>
      </c>
      <c r="B12">
        <f t="shared" ref="B12:G12" si="0">LN(B11/$B$11)</f>
        <v>0</v>
      </c>
      <c r="C12" s="2">
        <f t="shared" si="0"/>
        <v>1.5519359101626415</v>
      </c>
      <c r="D12" s="2">
        <f t="shared" si="0"/>
        <v>1.3820604105878289</v>
      </c>
      <c r="E12" s="2">
        <f t="shared" si="0"/>
        <v>1.5019195146668969</v>
      </c>
      <c r="F12" s="2">
        <f t="shared" si="0"/>
        <v>1.4772770088317615</v>
      </c>
      <c r="G12" s="2">
        <f t="shared" si="0"/>
        <v>1.5261215187597921</v>
      </c>
      <c r="K12" s="5" t="s">
        <v>125</v>
      </c>
      <c r="N12" t="s">
        <v>126</v>
      </c>
    </row>
    <row r="13" spans="1:22" x14ac:dyDescent="0.3">
      <c r="A13" t="s">
        <v>78</v>
      </c>
      <c r="B13" s="2">
        <f>$D$2^B12</f>
        <v>1</v>
      </c>
      <c r="C13" s="2">
        <f>IF($D$2^C12&lt;1,1,$D$2^C12)</f>
        <v>5.5868640555407971</v>
      </c>
      <c r="D13" s="2">
        <f>IF($D$2^D12&lt;1,1,$D$2^D12)</f>
        <v>4.6278875398856139</v>
      </c>
      <c r="E13" s="2">
        <f t="shared" ref="E13:G13" si="1">IF($D$2^E12&lt;1,1,$D$2^E12)</f>
        <v>5.2855243623140442</v>
      </c>
      <c r="F13" s="2">
        <f t="shared" si="1"/>
        <v>5.1430900232237686</v>
      </c>
      <c r="G13" s="2">
        <f t="shared" si="1"/>
        <v>5.429251442470056</v>
      </c>
      <c r="H13" s="2"/>
      <c r="I13" s="2"/>
      <c r="J13" s="11"/>
      <c r="K13" s="11"/>
      <c r="L13" s="11"/>
      <c r="M13" s="11" t="s">
        <v>127</v>
      </c>
      <c r="N13" s="11"/>
      <c r="O13" s="11"/>
      <c r="P13" s="11" t="s">
        <v>128</v>
      </c>
      <c r="Q13" s="11"/>
      <c r="R13" s="11"/>
    </row>
    <row r="14" spans="1:22" x14ac:dyDescent="0.3">
      <c r="A14" t="s">
        <v>80</v>
      </c>
      <c r="B14" s="2">
        <f>1-1/B13</f>
        <v>0</v>
      </c>
      <c r="C14" s="2">
        <f t="shared" ref="C14" si="2">1-1/C13</f>
        <v>0.82100871077966442</v>
      </c>
      <c r="D14" s="2">
        <f t="shared" ref="D14:G14" si="3">1-1/D13</f>
        <v>0.78391869046482565</v>
      </c>
      <c r="E14" s="2">
        <f t="shared" si="3"/>
        <v>0.81080401272387814</v>
      </c>
      <c r="F14" s="2">
        <f t="shared" si="3"/>
        <v>0.80556436004727283</v>
      </c>
      <c r="G14" s="2">
        <f t="shared" si="3"/>
        <v>0.81581254605790621</v>
      </c>
      <c r="J14" s="11" t="s">
        <v>131</v>
      </c>
      <c r="K14" s="11" t="s">
        <v>132</v>
      </c>
      <c r="L14" s="11"/>
      <c r="M14" s="11" t="s">
        <v>14</v>
      </c>
      <c r="N14" s="11" t="s">
        <v>133</v>
      </c>
      <c r="O14" s="11" t="s">
        <v>134</v>
      </c>
      <c r="P14" s="11" t="s">
        <v>14</v>
      </c>
      <c r="Q14" s="11" t="s">
        <v>133</v>
      </c>
      <c r="R14" s="11" t="s">
        <v>134</v>
      </c>
      <c r="S14" s="14" t="s">
        <v>135</v>
      </c>
      <c r="T14" s="14" t="s">
        <v>136</v>
      </c>
      <c r="U14" s="14" t="s">
        <v>137</v>
      </c>
      <c r="V14" s="14" t="s">
        <v>138</v>
      </c>
    </row>
    <row r="15" spans="1:22" x14ac:dyDescent="0.3">
      <c r="A15" t="s">
        <v>140</v>
      </c>
      <c r="B15" s="3">
        <f>B14*$D$7*$F$1</f>
        <v>0</v>
      </c>
      <c r="C15" s="3">
        <f>C14*$D$7*$F$1</f>
        <v>367.46652979462812</v>
      </c>
      <c r="D15" s="3">
        <f>D14*$D$7*$F$1</f>
        <v>350.86580330274592</v>
      </c>
      <c r="E15" s="3">
        <f t="shared" ref="E15:G15" si="4">E14*$D$7*$F$1</f>
        <v>362.89911786229828</v>
      </c>
      <c r="F15" s="3">
        <f t="shared" si="4"/>
        <v>360.55395762085232</v>
      </c>
      <c r="G15" s="3">
        <f t="shared" si="4"/>
        <v>365.14083386293396</v>
      </c>
      <c r="J15" s="13">
        <v>2023</v>
      </c>
      <c r="K15" s="13" t="s">
        <v>139</v>
      </c>
      <c r="L15" s="13"/>
      <c r="M15" s="13">
        <v>1.1000000000000001</v>
      </c>
      <c r="N15" s="13">
        <v>0.5</v>
      </c>
      <c r="O15" s="13">
        <v>1.7</v>
      </c>
      <c r="P15" s="13">
        <v>29.3</v>
      </c>
      <c r="Q15" s="13">
        <v>10.9</v>
      </c>
      <c r="R15" s="13">
        <v>47.6</v>
      </c>
    </row>
    <row r="16" spans="1:22" x14ac:dyDescent="0.3">
      <c r="A16" t="s">
        <v>82</v>
      </c>
      <c r="B16" s="3">
        <f>B15*$D$8</f>
        <v>0</v>
      </c>
      <c r="C16" s="3">
        <f t="shared" ref="C16:G16" si="5">C15*$D$8</f>
        <v>69.818640660979341</v>
      </c>
      <c r="D16" s="3">
        <f t="shared" si="5"/>
        <v>66.664502627521728</v>
      </c>
      <c r="E16" s="3">
        <f t="shared" si="5"/>
        <v>68.950832393836677</v>
      </c>
      <c r="F16" s="3">
        <f t="shared" si="5"/>
        <v>68.505251947961938</v>
      </c>
      <c r="G16" s="3">
        <f t="shared" si="5"/>
        <v>69.376758433957448</v>
      </c>
      <c r="J16" s="75" t="s">
        <v>141</v>
      </c>
      <c r="K16" s="75"/>
      <c r="L16" s="75"/>
      <c r="M16" s="12">
        <v>0.1</v>
      </c>
      <c r="N16" s="12">
        <v>0.1</v>
      </c>
      <c r="O16" s="12">
        <v>0.1</v>
      </c>
      <c r="P16" s="12">
        <v>0.9</v>
      </c>
      <c r="Q16" s="12">
        <v>0.9</v>
      </c>
      <c r="R16" s="12">
        <v>0.9</v>
      </c>
    </row>
    <row r="17" spans="1:22" x14ac:dyDescent="0.3">
      <c r="A17" t="s">
        <v>83</v>
      </c>
      <c r="E17" s="1">
        <f>E16-$D$16</f>
        <v>2.2863297663149496</v>
      </c>
      <c r="F17" s="1">
        <f t="shared" ref="F17:G17" si="6">F16-$D$16</f>
        <v>1.8407493204402101</v>
      </c>
      <c r="G17" s="1">
        <f t="shared" si="6"/>
        <v>2.7122558064357207</v>
      </c>
      <c r="J17" s="75" t="s">
        <v>143</v>
      </c>
      <c r="K17" s="75"/>
      <c r="L17" s="75"/>
      <c r="M17" s="12" t="s">
        <v>144</v>
      </c>
      <c r="N17" s="12" t="s">
        <v>144</v>
      </c>
      <c r="O17" s="12">
        <v>0.1</v>
      </c>
      <c r="P17" s="12">
        <v>1.2</v>
      </c>
      <c r="Q17" s="12">
        <v>1.2</v>
      </c>
      <c r="R17" s="12">
        <v>1.2</v>
      </c>
    </row>
    <row r="18" spans="1:22" x14ac:dyDescent="0.3">
      <c r="A18" s="5" t="s">
        <v>146</v>
      </c>
      <c r="J18" s="75" t="s">
        <v>145</v>
      </c>
      <c r="K18" s="75"/>
      <c r="L18" s="75"/>
      <c r="M18" s="12">
        <v>0.2</v>
      </c>
      <c r="N18" s="12">
        <v>0.1</v>
      </c>
      <c r="O18" s="12">
        <v>0.3</v>
      </c>
      <c r="P18" s="12">
        <v>1.8</v>
      </c>
      <c r="Q18" s="12">
        <v>1.3</v>
      </c>
      <c r="R18" s="12">
        <v>2.2000000000000002</v>
      </c>
    </row>
    <row r="19" spans="1:22" x14ac:dyDescent="0.3">
      <c r="A19" t="s">
        <v>201</v>
      </c>
      <c r="B19">
        <v>1</v>
      </c>
      <c r="C19" s="2">
        <f>C11</f>
        <v>4.7206000000000001</v>
      </c>
      <c r="D19" s="2">
        <f>D11</f>
        <v>3.9830999999999999</v>
      </c>
      <c r="E19" s="2">
        <f t="shared" ref="E19:G19" si="7">E11</f>
        <v>4.4903000000000004</v>
      </c>
      <c r="F19" s="2">
        <f t="shared" si="7"/>
        <v>4.3810000000000002</v>
      </c>
      <c r="G19" s="2">
        <f t="shared" si="7"/>
        <v>4.6002999999999998</v>
      </c>
      <c r="J19" s="75" t="s">
        <v>147</v>
      </c>
      <c r="K19" s="75"/>
      <c r="L19" s="75"/>
      <c r="M19" s="12">
        <v>0.3</v>
      </c>
      <c r="N19" s="12">
        <v>0.2</v>
      </c>
      <c r="O19" s="12">
        <v>0.5</v>
      </c>
      <c r="P19" s="12">
        <v>3</v>
      </c>
      <c r="Q19" s="12">
        <v>2.4</v>
      </c>
      <c r="R19" s="12">
        <v>3.7</v>
      </c>
    </row>
    <row r="20" spans="1:22" x14ac:dyDescent="0.3">
      <c r="A20" t="s">
        <v>203</v>
      </c>
      <c r="B20">
        <f t="shared" ref="B20:G20" si="8">LN(B19/$B$11)</f>
        <v>0</v>
      </c>
      <c r="C20" s="2">
        <f t="shared" si="8"/>
        <v>1.5519359101626415</v>
      </c>
      <c r="D20" s="2">
        <f t="shared" si="8"/>
        <v>1.3820604105878289</v>
      </c>
      <c r="E20" s="2">
        <f t="shared" si="8"/>
        <v>1.5019195146668969</v>
      </c>
      <c r="F20" s="2">
        <f t="shared" si="8"/>
        <v>1.4772770088317615</v>
      </c>
      <c r="G20" s="2">
        <f t="shared" si="8"/>
        <v>1.5261215187597921</v>
      </c>
      <c r="J20" s="75" t="s">
        <v>148</v>
      </c>
      <c r="K20" s="75"/>
      <c r="L20" s="75"/>
      <c r="M20" s="12">
        <v>0.6</v>
      </c>
      <c r="N20" s="12">
        <v>0.1</v>
      </c>
      <c r="O20" s="12">
        <v>1.1000000000000001</v>
      </c>
      <c r="P20" s="12">
        <v>5.9</v>
      </c>
      <c r="Q20" s="12">
        <v>2.7</v>
      </c>
      <c r="R20" s="12">
        <v>9.1</v>
      </c>
      <c r="S20">
        <f>SUM('Age distribution NL 2024'!C84:C88)</f>
        <v>587000</v>
      </c>
      <c r="T20">
        <f t="shared" ref="T20:T25" si="9">S20/SUM($S$20:$S$25)</f>
        <v>0.173258559622196</v>
      </c>
      <c r="U20">
        <f t="shared" ref="U20:U25" si="10">T20*O20</f>
        <v>0.19058441558441561</v>
      </c>
      <c r="V20">
        <f t="shared" ref="V20:V25" si="11">T20*R20</f>
        <v>1.5766528925619836</v>
      </c>
    </row>
    <row r="21" spans="1:22" x14ac:dyDescent="0.3">
      <c r="A21" t="s">
        <v>78</v>
      </c>
      <c r="B21" s="4">
        <f>$D$3^B20</f>
        <v>1</v>
      </c>
      <c r="C21" s="2">
        <f>IF($D$3^C20&lt;1,1,$D$3^C20)</f>
        <v>1.2254982128407828</v>
      </c>
      <c r="D21" s="2">
        <f>IF($D$3^D20&lt;1,1,$D$3^D20)</f>
        <v>1.1985218119968517</v>
      </c>
      <c r="E21" s="2">
        <f t="shared" ref="E21:G21" si="12">IF($D$3^E20&lt;1,1,$D$3^E20)</f>
        <v>1.2174930947327038</v>
      </c>
      <c r="F21" s="2">
        <f t="shared" si="12"/>
        <v>1.213568313934128</v>
      </c>
      <c r="G21" s="2">
        <f t="shared" si="12"/>
        <v>1.2213600718862814</v>
      </c>
      <c r="J21" s="75" t="s">
        <v>149</v>
      </c>
      <c r="K21" s="75"/>
      <c r="L21" s="75"/>
      <c r="M21" s="12">
        <v>1.1000000000000001</v>
      </c>
      <c r="N21" s="12">
        <v>0.2</v>
      </c>
      <c r="O21" s="12">
        <v>2.1</v>
      </c>
      <c r="P21" s="12">
        <v>11.2</v>
      </c>
      <c r="Q21" s="12">
        <v>3.9</v>
      </c>
      <c r="R21" s="12">
        <v>18.7</v>
      </c>
      <c r="S21">
        <f>SUM('Age distribution NL 2024'!C79:C83)</f>
        <v>579000</v>
      </c>
      <c r="T21">
        <f t="shared" si="9"/>
        <v>0.17089728453364816</v>
      </c>
      <c r="U21">
        <f t="shared" si="10"/>
        <v>0.35888429752066114</v>
      </c>
      <c r="V21">
        <f t="shared" si="11"/>
        <v>3.1957792207792206</v>
      </c>
    </row>
    <row r="22" spans="1:22" x14ac:dyDescent="0.3">
      <c r="A22" t="s">
        <v>80</v>
      </c>
      <c r="B22">
        <f>1-1/B21</f>
        <v>0</v>
      </c>
      <c r="C22" s="2">
        <f>1-1/C21</f>
        <v>0.18400533797439289</v>
      </c>
      <c r="D22" s="2">
        <f>1-1/D21</f>
        <v>0.16563888116987657</v>
      </c>
      <c r="E22" s="2">
        <f t="shared" ref="E22:G22" si="13">1-1/E21</f>
        <v>0.17864010537197639</v>
      </c>
      <c r="F22" s="2">
        <f t="shared" si="13"/>
        <v>0.17598375920164344</v>
      </c>
      <c r="G22" s="2">
        <f t="shared" si="13"/>
        <v>0.18124063245690569</v>
      </c>
      <c r="J22" s="75" t="s">
        <v>150</v>
      </c>
      <c r="K22" s="75"/>
      <c r="L22" s="75"/>
      <c r="M22" s="12">
        <v>1.6</v>
      </c>
      <c r="N22" s="12">
        <v>0.2</v>
      </c>
      <c r="O22" s="12">
        <v>3</v>
      </c>
      <c r="P22" s="12">
        <v>17.5</v>
      </c>
      <c r="Q22" s="12">
        <v>4.5</v>
      </c>
      <c r="R22" s="12">
        <v>30.8</v>
      </c>
      <c r="S22">
        <f>SUM('Age distribution NL 2024'!C74:C78)</f>
        <v>593000</v>
      </c>
      <c r="T22">
        <f t="shared" si="9"/>
        <v>0.17502951593860686</v>
      </c>
      <c r="U22">
        <f t="shared" si="10"/>
        <v>0.52508854781582059</v>
      </c>
      <c r="V22">
        <f t="shared" si="11"/>
        <v>5.3909090909090915</v>
      </c>
    </row>
    <row r="23" spans="1:22" x14ac:dyDescent="0.3">
      <c r="A23" t="s">
        <v>140</v>
      </c>
      <c r="B23">
        <f>B22*$D$7*$F$1</f>
        <v>0</v>
      </c>
      <c r="C23" s="2">
        <f>C22*$D$7*$F$1</f>
        <v>82.356986133468723</v>
      </c>
      <c r="D23" s="2">
        <f>D22*$D$7*$F$1</f>
        <v>74.136539677828381</v>
      </c>
      <c r="E23" s="2">
        <f t="shared" ref="E23:G23" si="14">E22*$D$7*$F$1</f>
        <v>79.955618912798528</v>
      </c>
      <c r="F23" s="2">
        <f t="shared" si="14"/>
        <v>78.766693270074782</v>
      </c>
      <c r="G23" s="2">
        <f t="shared" si="14"/>
        <v>81.119561086601308</v>
      </c>
      <c r="J23" s="75" t="s">
        <v>151</v>
      </c>
      <c r="K23" s="75"/>
      <c r="L23" s="75"/>
      <c r="M23" s="12">
        <v>1.7</v>
      </c>
      <c r="N23" s="12">
        <v>0.5</v>
      </c>
      <c r="O23" s="12">
        <v>2.9</v>
      </c>
      <c r="P23" s="12">
        <v>23.3</v>
      </c>
      <c r="Q23" s="12">
        <v>6.1</v>
      </c>
      <c r="R23" s="12">
        <v>40.700000000000003</v>
      </c>
      <c r="S23">
        <f>SUM('Age distribution NL 2024'!C69:C73)</f>
        <v>563000</v>
      </c>
      <c r="T23">
        <f t="shared" si="9"/>
        <v>0.16617473435655253</v>
      </c>
      <c r="U23">
        <f t="shared" si="10"/>
        <v>0.48190672963400233</v>
      </c>
      <c r="V23">
        <f t="shared" si="11"/>
        <v>6.7633116883116884</v>
      </c>
    </row>
    <row r="24" spans="1:22" x14ac:dyDescent="0.3">
      <c r="A24" t="s">
        <v>82</v>
      </c>
      <c r="B24" s="4">
        <f>B23*$D$8</f>
        <v>0</v>
      </c>
      <c r="C24" s="1">
        <f t="shared" ref="C24:G24" si="15">C23*$D$8</f>
        <v>15.647827365359058</v>
      </c>
      <c r="D24" s="1">
        <f t="shared" si="15"/>
        <v>14.085942538787393</v>
      </c>
      <c r="E24" s="1">
        <f t="shared" si="15"/>
        <v>15.191567593431721</v>
      </c>
      <c r="F24" s="1">
        <f t="shared" si="15"/>
        <v>14.965671721314209</v>
      </c>
      <c r="G24" s="1">
        <f t="shared" si="15"/>
        <v>15.412716606454248</v>
      </c>
      <c r="J24" s="75" t="s">
        <v>152</v>
      </c>
      <c r="K24" s="75"/>
      <c r="L24" s="75"/>
      <c r="M24" s="12">
        <v>1.5</v>
      </c>
      <c r="N24" s="12">
        <v>0.6</v>
      </c>
      <c r="O24" s="12">
        <v>2.2999999999999998</v>
      </c>
      <c r="P24" s="12">
        <v>26.7</v>
      </c>
      <c r="Q24" s="12">
        <v>7.3</v>
      </c>
      <c r="R24" s="12">
        <v>46</v>
      </c>
      <c r="S24">
        <f>SUM('Age distribution NL 2024'!C64:C68)</f>
        <v>537000</v>
      </c>
      <c r="T24">
        <f t="shared" si="9"/>
        <v>0.15850059031877214</v>
      </c>
      <c r="U24">
        <f t="shared" si="10"/>
        <v>0.36455135773317593</v>
      </c>
      <c r="V24">
        <f t="shared" si="11"/>
        <v>7.291027154663519</v>
      </c>
    </row>
    <row r="25" spans="1:22" x14ac:dyDescent="0.3">
      <c r="A25" t="s">
        <v>83</v>
      </c>
      <c r="C25" s="2"/>
      <c r="D25" s="2"/>
      <c r="E25" s="2">
        <f>E24-$D$24</f>
        <v>1.105625054644328</v>
      </c>
      <c r="F25" s="2">
        <f t="shared" ref="F25:G25" si="16">F24-$D$24</f>
        <v>0.87972918252681609</v>
      </c>
      <c r="G25" s="2">
        <f t="shared" si="16"/>
        <v>1.3267740676668556</v>
      </c>
      <c r="J25" s="75" t="s">
        <v>153</v>
      </c>
      <c r="K25" s="75"/>
      <c r="L25" s="75"/>
      <c r="M25" s="12">
        <v>1.3</v>
      </c>
      <c r="N25" s="12">
        <v>0.6</v>
      </c>
      <c r="O25" s="12">
        <v>2</v>
      </c>
      <c r="P25" s="12">
        <v>30.6</v>
      </c>
      <c r="Q25" s="12">
        <v>9.1</v>
      </c>
      <c r="R25" s="12">
        <v>51.7</v>
      </c>
      <c r="S25">
        <f>SUM('Age distribution NL 2024'!C59:C63)</f>
        <v>529000</v>
      </c>
      <c r="T25">
        <f t="shared" si="9"/>
        <v>0.15613931523022431</v>
      </c>
      <c r="U25">
        <f t="shared" si="10"/>
        <v>0.31227863046044863</v>
      </c>
      <c r="V25">
        <f t="shared" si="11"/>
        <v>8.072402597402597</v>
      </c>
    </row>
    <row r="26" spans="1:22" x14ac:dyDescent="0.3">
      <c r="A26" s="5" t="s">
        <v>156</v>
      </c>
      <c r="J26" s="75" t="s">
        <v>154</v>
      </c>
      <c r="K26" s="75"/>
      <c r="L26" s="75"/>
      <c r="M26" s="12">
        <v>1.5</v>
      </c>
      <c r="N26" s="12">
        <v>0.6</v>
      </c>
      <c r="O26" s="12">
        <v>2.4</v>
      </c>
      <c r="P26" s="12">
        <v>34.5</v>
      </c>
      <c r="Q26" s="12">
        <v>10.8</v>
      </c>
      <c r="R26" s="12">
        <v>58</v>
      </c>
    </row>
    <row r="27" spans="1:22" x14ac:dyDescent="0.3">
      <c r="A27" t="s">
        <v>201</v>
      </c>
      <c r="B27">
        <v>1</v>
      </c>
      <c r="C27" s="2">
        <f>C11</f>
        <v>4.7206000000000001</v>
      </c>
      <c r="D27" s="2">
        <f>D11</f>
        <v>3.9830999999999999</v>
      </c>
      <c r="E27" s="2">
        <f t="shared" ref="E27:G27" si="17">E11</f>
        <v>4.4903000000000004</v>
      </c>
      <c r="F27" s="2">
        <f t="shared" si="17"/>
        <v>4.3810000000000002</v>
      </c>
      <c r="G27" s="2">
        <f t="shared" si="17"/>
        <v>4.6002999999999998</v>
      </c>
      <c r="J27" s="75" t="s">
        <v>155</v>
      </c>
      <c r="K27" s="75"/>
      <c r="L27" s="75"/>
      <c r="M27" s="12">
        <v>1.4</v>
      </c>
      <c r="N27" s="12">
        <v>0.8</v>
      </c>
      <c r="O27" s="12">
        <v>2.1</v>
      </c>
      <c r="P27" s="12">
        <v>40.700000000000003</v>
      </c>
      <c r="Q27" s="12">
        <v>14.5</v>
      </c>
      <c r="R27" s="12">
        <v>67</v>
      </c>
    </row>
    <row r="28" spans="1:22" x14ac:dyDescent="0.3">
      <c r="A28" t="s">
        <v>203</v>
      </c>
      <c r="B28">
        <f t="shared" ref="B28:G28" si="18">LN(B27/$B$11)</f>
        <v>0</v>
      </c>
      <c r="C28" s="2">
        <f t="shared" si="18"/>
        <v>1.5519359101626415</v>
      </c>
      <c r="D28" s="2">
        <f t="shared" si="18"/>
        <v>1.3820604105878289</v>
      </c>
      <c r="E28" s="2">
        <f t="shared" si="18"/>
        <v>1.5019195146668969</v>
      </c>
      <c r="F28" s="2">
        <f t="shared" si="18"/>
        <v>1.4772770088317615</v>
      </c>
      <c r="G28" s="2">
        <f t="shared" si="18"/>
        <v>1.5261215187597921</v>
      </c>
      <c r="J28" s="75" t="s">
        <v>157</v>
      </c>
      <c r="K28" s="75"/>
      <c r="L28" s="75"/>
      <c r="M28" s="12">
        <v>1.5</v>
      </c>
      <c r="N28" s="12">
        <v>0.9</v>
      </c>
      <c r="O28" s="12">
        <v>2.1</v>
      </c>
      <c r="P28" s="12">
        <v>46.4</v>
      </c>
      <c r="Q28" s="12">
        <v>17.7</v>
      </c>
      <c r="R28" s="12">
        <v>74.8</v>
      </c>
    </row>
    <row r="29" spans="1:22" x14ac:dyDescent="0.3">
      <c r="A29" t="s">
        <v>78</v>
      </c>
      <c r="B29" s="4">
        <f>$D$4^B28</f>
        <v>1</v>
      </c>
      <c r="C29" s="2">
        <f>IF($D$4^C28&lt;1,1,$D$4^C28)</f>
        <v>25.551100166691374</v>
      </c>
      <c r="D29" s="2">
        <f>IF($D$4^D28&lt;1,1,$D$4^D28)</f>
        <v>17.92066039187398</v>
      </c>
      <c r="E29" s="2">
        <f t="shared" ref="E29:G29" si="19">IF($D$4^E28&lt;1,1,$D$4^E28)</f>
        <v>23.017124092282522</v>
      </c>
      <c r="F29" s="2">
        <f t="shared" si="19"/>
        <v>21.862681239613636</v>
      </c>
      <c r="G29" s="2">
        <f t="shared" si="19"/>
        <v>24.210246769758353</v>
      </c>
      <c r="J29" s="75" t="s">
        <v>158</v>
      </c>
      <c r="K29" s="75"/>
      <c r="L29" s="75"/>
      <c r="M29" s="12">
        <v>1.4</v>
      </c>
      <c r="N29" s="12">
        <v>0.9</v>
      </c>
      <c r="O29" s="12">
        <v>1.9</v>
      </c>
      <c r="P29" s="12">
        <v>52.8</v>
      </c>
      <c r="Q29" s="12">
        <v>21.3</v>
      </c>
      <c r="R29" s="12">
        <v>83.5</v>
      </c>
    </row>
    <row r="30" spans="1:22" x14ac:dyDescent="0.3">
      <c r="A30" t="s">
        <v>80</v>
      </c>
      <c r="B30">
        <f>1-1/B29</f>
        <v>0</v>
      </c>
      <c r="C30" s="2">
        <f>1-1/C29</f>
        <v>0.96086274197681676</v>
      </c>
      <c r="D30" s="2">
        <f>1-1/D29</f>
        <v>0.94419848498142156</v>
      </c>
      <c r="E30" s="2">
        <f t="shared" ref="E30:G30" si="20">1-1/E29</f>
        <v>0.95655408573240075</v>
      </c>
      <c r="F30" s="2">
        <f t="shared" si="20"/>
        <v>0.95425995608498049</v>
      </c>
      <c r="G30" s="2">
        <f t="shared" si="20"/>
        <v>0.95869517524913761</v>
      </c>
      <c r="J30" s="75" t="s">
        <v>159</v>
      </c>
      <c r="K30" s="75"/>
      <c r="L30" s="75"/>
      <c r="M30" s="12">
        <v>1.2</v>
      </c>
      <c r="N30" s="12">
        <v>0.8</v>
      </c>
      <c r="O30" s="12">
        <v>1.7</v>
      </c>
      <c r="P30" s="12">
        <v>61.8</v>
      </c>
      <c r="Q30" s="12">
        <v>26.3</v>
      </c>
      <c r="R30" s="12">
        <v>95.7</v>
      </c>
    </row>
    <row r="31" spans="1:22" x14ac:dyDescent="0.3">
      <c r="A31" t="s">
        <v>140</v>
      </c>
      <c r="B31">
        <f>B30*$D$7*$F$1</f>
        <v>0</v>
      </c>
      <c r="C31" s="2">
        <f>C30*$D$7*$F$1</f>
        <v>430.06230356297652</v>
      </c>
      <c r="D31" s="2">
        <f>D30*$D$7*$F$1</f>
        <v>422.60372655970872</v>
      </c>
      <c r="E31" s="2">
        <f t="shared" ref="E31:G31" si="21">E30*$D$7*$F$1</f>
        <v>428.13383808212922</v>
      </c>
      <c r="F31" s="2">
        <f t="shared" si="21"/>
        <v>427.10703306853088</v>
      </c>
      <c r="G31" s="2">
        <f t="shared" si="21"/>
        <v>429.09214549636818</v>
      </c>
      <c r="J31" s="75" t="s">
        <v>160</v>
      </c>
      <c r="K31" s="75"/>
      <c r="L31" s="75"/>
      <c r="M31" s="12">
        <v>1.4</v>
      </c>
      <c r="N31" s="12">
        <v>1</v>
      </c>
      <c r="O31" s="12">
        <v>1.8</v>
      </c>
      <c r="P31" s="12">
        <v>66.900000000000006</v>
      </c>
      <c r="Q31" s="12">
        <v>28.5</v>
      </c>
      <c r="R31" s="12">
        <v>101.6</v>
      </c>
    </row>
    <row r="32" spans="1:22" x14ac:dyDescent="0.3">
      <c r="A32" t="s">
        <v>82</v>
      </c>
      <c r="B32" s="4">
        <f>B31*$D$8</f>
        <v>0</v>
      </c>
      <c r="C32" s="2">
        <f t="shared" ref="C32:G32" si="22">C31*$D$8</f>
        <v>81.711837676965544</v>
      </c>
      <c r="D32" s="2">
        <f t="shared" si="22"/>
        <v>80.294708046344653</v>
      </c>
      <c r="E32" s="2">
        <f t="shared" si="22"/>
        <v>81.345429235604556</v>
      </c>
      <c r="F32" s="2">
        <f t="shared" si="22"/>
        <v>81.150336283020863</v>
      </c>
      <c r="G32" s="2">
        <f t="shared" si="22"/>
        <v>81.527507644309949</v>
      </c>
      <c r="J32" s="75" t="s">
        <v>161</v>
      </c>
      <c r="K32" s="75"/>
      <c r="L32" s="75"/>
      <c r="M32" s="12">
        <v>1.5</v>
      </c>
      <c r="N32" s="12">
        <v>1.2</v>
      </c>
      <c r="O32" s="12">
        <v>1.7</v>
      </c>
      <c r="P32" s="12">
        <v>78.099999999999994</v>
      </c>
      <c r="Q32" s="12">
        <v>37.299999999999997</v>
      </c>
      <c r="R32" s="12">
        <v>110.7</v>
      </c>
    </row>
    <row r="33" spans="1:20" ht="14.4" customHeight="1" x14ac:dyDescent="0.3">
      <c r="A33" t="s">
        <v>83</v>
      </c>
      <c r="C33" s="2"/>
      <c r="D33" s="2"/>
      <c r="E33" s="2">
        <f>E32-$D$32</f>
        <v>1.0507211892599031</v>
      </c>
      <c r="F33" s="2">
        <f t="shared" ref="F33:G33" si="23">F32-$D$32</f>
        <v>0.85562823667621046</v>
      </c>
      <c r="G33" s="2">
        <f t="shared" si="23"/>
        <v>1.2327995979652968</v>
      </c>
      <c r="J33" s="75" t="s">
        <v>162</v>
      </c>
      <c r="K33" s="75"/>
      <c r="L33" s="75"/>
      <c r="M33" s="12">
        <v>2</v>
      </c>
      <c r="N33" s="12">
        <v>2.2999999999999998</v>
      </c>
      <c r="O33" s="12">
        <v>1.8</v>
      </c>
      <c r="P33" s="12">
        <v>93.1</v>
      </c>
      <c r="Q33" s="12">
        <v>48.9</v>
      </c>
      <c r="R33" s="12">
        <v>118.1</v>
      </c>
    </row>
    <row r="34" spans="1:20" x14ac:dyDescent="0.3">
      <c r="L34" t="s">
        <v>163</v>
      </c>
      <c r="O34">
        <f>SUM(U20:U25)</f>
        <v>2.2332939787485242</v>
      </c>
      <c r="R34">
        <f>SUM(V20:V25)</f>
        <v>32.2900826446281</v>
      </c>
      <c r="S34" t="s">
        <v>164</v>
      </c>
      <c r="T34">
        <f>SUM(T20:T25)</f>
        <v>1</v>
      </c>
    </row>
  </sheetData>
  <mergeCells count="18">
    <mergeCell ref="J21:L21"/>
    <mergeCell ref="J16:L16"/>
    <mergeCell ref="J17:L17"/>
    <mergeCell ref="J18:L18"/>
    <mergeCell ref="J19:L19"/>
    <mergeCell ref="J20:L20"/>
    <mergeCell ref="J33:L33"/>
    <mergeCell ref="J22:L22"/>
    <mergeCell ref="J23:L23"/>
    <mergeCell ref="J24:L24"/>
    <mergeCell ref="J25:L25"/>
    <mergeCell ref="J26:L26"/>
    <mergeCell ref="J27:L27"/>
    <mergeCell ref="J28:L28"/>
    <mergeCell ref="J29:L29"/>
    <mergeCell ref="J30:L30"/>
    <mergeCell ref="J31:L31"/>
    <mergeCell ref="J32:L32"/>
  </mergeCells>
  <hyperlinks>
    <hyperlink ref="H3" r:id="rId1" xr:uid="{BB1E110B-327B-4269-8997-58488E6D7B39}"/>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C6FE9-85BD-41F7-8AAD-EC8211995C2D}">
  <dimension ref="A1:AH53"/>
  <sheetViews>
    <sheetView zoomScale="85" zoomScaleNormal="85" workbookViewId="0">
      <selection activeCell="F6" sqref="F6"/>
    </sheetView>
  </sheetViews>
  <sheetFormatPr defaultRowHeight="14.4" x14ac:dyDescent="0.3"/>
  <cols>
    <col min="1" max="2" width="14.6640625" customWidth="1"/>
    <col min="3" max="3" width="20.6640625" customWidth="1"/>
    <col min="4" max="4" width="18" customWidth="1"/>
    <col min="5" max="5" width="15.88671875" customWidth="1"/>
    <col min="6" max="7" width="16.6640625" customWidth="1"/>
    <col min="8" max="8" width="33.88671875" customWidth="1"/>
    <col min="25" max="25" width="11.88671875" bestFit="1" customWidth="1"/>
    <col min="28" max="28" width="11.88671875" bestFit="1" customWidth="1"/>
  </cols>
  <sheetData>
    <row r="1" spans="1:34" x14ac:dyDescent="0.3">
      <c r="C1" t="s">
        <v>47</v>
      </c>
      <c r="D1" t="s">
        <v>204</v>
      </c>
      <c r="E1" t="s">
        <v>49</v>
      </c>
      <c r="F1" s="4">
        <f>'Age distribution NL 2024'!I3/'Age distribution NL 2024'!I2*10^6</f>
        <v>792235.28101153008</v>
      </c>
      <c r="H1" t="s">
        <v>205</v>
      </c>
      <c r="I1" t="s">
        <v>206</v>
      </c>
    </row>
    <row r="2" spans="1:34" x14ac:dyDescent="0.3">
      <c r="C2" t="s">
        <v>207</v>
      </c>
      <c r="D2" s="10" t="s">
        <v>208</v>
      </c>
      <c r="F2" t="s">
        <v>209</v>
      </c>
      <c r="G2" t="s">
        <v>210</v>
      </c>
    </row>
    <row r="3" spans="1:34" x14ac:dyDescent="0.3">
      <c r="C3" t="s">
        <v>211</v>
      </c>
      <c r="D3" t="s">
        <v>212</v>
      </c>
      <c r="F3">
        <v>2.4119000000000002</v>
      </c>
      <c r="G3">
        <v>-4.4999999999999997E-3</v>
      </c>
    </row>
    <row r="4" spans="1:34" x14ac:dyDescent="0.3">
      <c r="C4" t="s">
        <v>213</v>
      </c>
      <c r="D4" t="s">
        <v>214</v>
      </c>
      <c r="F4">
        <v>1.1825000000000001</v>
      </c>
      <c r="G4">
        <v>0.4128</v>
      </c>
    </row>
    <row r="5" spans="1:34" x14ac:dyDescent="0.3">
      <c r="C5" t="s">
        <v>215</v>
      </c>
      <c r="D5" t="s">
        <v>216</v>
      </c>
      <c r="F5">
        <v>4.0353000000000003</v>
      </c>
      <c r="G5">
        <v>-0.54169999999999996</v>
      </c>
    </row>
    <row r="6" spans="1:34" x14ac:dyDescent="0.3">
      <c r="C6" t="s">
        <v>217</v>
      </c>
      <c r="D6" s="38">
        <f>AB31/1000</f>
        <v>0.20866662448147366</v>
      </c>
      <c r="E6" s="28" t="s">
        <v>218</v>
      </c>
      <c r="F6" s="28" t="s">
        <v>219</v>
      </c>
      <c r="G6" t="s">
        <v>220</v>
      </c>
      <c r="H6" s="10" t="s">
        <v>221</v>
      </c>
    </row>
    <row r="7" spans="1:34" x14ac:dyDescent="0.3">
      <c r="C7" t="s">
        <v>222</v>
      </c>
      <c r="D7" s="2">
        <f>Y31/1000</f>
        <v>8.1351051114392173E-3</v>
      </c>
      <c r="E7" t="s">
        <v>218</v>
      </c>
      <c r="F7" t="s">
        <v>223</v>
      </c>
    </row>
    <row r="8" spans="1:34" x14ac:dyDescent="0.3">
      <c r="C8" t="s">
        <v>224</v>
      </c>
      <c r="D8">
        <f>1.2/100*10</f>
        <v>0.12</v>
      </c>
    </row>
    <row r="10" spans="1:34" x14ac:dyDescent="0.3">
      <c r="K10" s="11" t="s">
        <v>225</v>
      </c>
      <c r="L10" s="11"/>
      <c r="M10" s="11"/>
      <c r="N10" s="11" t="s">
        <v>127</v>
      </c>
      <c r="O10" s="11"/>
      <c r="P10" s="11"/>
      <c r="Q10" s="11" t="s">
        <v>128</v>
      </c>
      <c r="R10" s="11"/>
      <c r="S10" s="11"/>
      <c r="V10" s="11" t="s">
        <v>226</v>
      </c>
      <c r="W10" s="11"/>
      <c r="X10" s="11"/>
      <c r="Y10" s="11" t="s">
        <v>127</v>
      </c>
      <c r="Z10" s="11"/>
      <c r="AA10" s="11"/>
      <c r="AB10" s="11" t="s">
        <v>128</v>
      </c>
      <c r="AC10" s="11"/>
      <c r="AD10" s="11"/>
      <c r="AE10" s="14" t="s">
        <v>135</v>
      </c>
      <c r="AF10" s="14" t="s">
        <v>136</v>
      </c>
      <c r="AG10" s="14" t="s">
        <v>137</v>
      </c>
      <c r="AH10" s="14" t="s">
        <v>138</v>
      </c>
    </row>
    <row r="11" spans="1:34" x14ac:dyDescent="0.3">
      <c r="A11" s="5" t="s">
        <v>227</v>
      </c>
      <c r="B11" s="5" t="s">
        <v>70</v>
      </c>
      <c r="C11" s="5" t="s">
        <v>71</v>
      </c>
      <c r="D11" s="5" t="s">
        <v>72</v>
      </c>
      <c r="E11" s="5" t="s">
        <v>73</v>
      </c>
      <c r="F11" s="5" t="s">
        <v>74</v>
      </c>
      <c r="G11" s="5" t="s">
        <v>75</v>
      </c>
      <c r="H11" s="5" t="s">
        <v>76</v>
      </c>
      <c r="K11" s="11" t="s">
        <v>131</v>
      </c>
      <c r="L11" s="11" t="s">
        <v>132</v>
      </c>
      <c r="M11" s="11"/>
      <c r="N11" s="11" t="s">
        <v>14</v>
      </c>
      <c r="O11" s="11" t="s">
        <v>133</v>
      </c>
      <c r="P11" s="11" t="s">
        <v>134</v>
      </c>
      <c r="Q11" s="11" t="s">
        <v>14</v>
      </c>
      <c r="R11" s="11" t="s">
        <v>133</v>
      </c>
      <c r="S11" s="11" t="s">
        <v>134</v>
      </c>
      <c r="V11" s="11" t="s">
        <v>131</v>
      </c>
      <c r="W11" s="11" t="s">
        <v>132</v>
      </c>
      <c r="X11" s="11"/>
      <c r="Y11" s="11" t="s">
        <v>14</v>
      </c>
      <c r="Z11" s="11" t="s">
        <v>133</v>
      </c>
      <c r="AA11" s="11" t="s">
        <v>134</v>
      </c>
      <c r="AB11" s="11" t="s">
        <v>14</v>
      </c>
      <c r="AC11" s="11" t="s">
        <v>133</v>
      </c>
      <c r="AD11" s="11" t="s">
        <v>134</v>
      </c>
    </row>
    <row r="12" spans="1:34" x14ac:dyDescent="0.3">
      <c r="A12" t="s">
        <v>228</v>
      </c>
      <c r="B12" s="1">
        <v>2.6</v>
      </c>
      <c r="C12" s="1">
        <f>OverviewSerumConcentrations!C3</f>
        <v>2.0030999999999999</v>
      </c>
      <c r="D12" s="1">
        <f>OverviewSerumConcentrations!D3</f>
        <v>2.1840000000000002</v>
      </c>
      <c r="E12" s="1">
        <f>OverviewSerumConcentrations!E3</f>
        <v>3.2858000000000001</v>
      </c>
      <c r="F12" s="1">
        <f>OverviewSerumConcentrations!F3</f>
        <v>3.1143999999999998</v>
      </c>
      <c r="G12" s="1">
        <f>OverviewSerumConcentrations!G3</f>
        <v>3.4571999999999998</v>
      </c>
      <c r="H12" s="1">
        <f>MIN(E18:G18,E26:G26,E34:G34)</f>
        <v>0</v>
      </c>
      <c r="K12" s="11">
        <v>2023</v>
      </c>
      <c r="L12" s="11" t="s">
        <v>229</v>
      </c>
      <c r="M12" s="11"/>
      <c r="N12" s="11">
        <v>5.8</v>
      </c>
      <c r="O12" s="11">
        <v>5.8</v>
      </c>
      <c r="P12" s="11">
        <v>5.8</v>
      </c>
      <c r="Q12" s="11">
        <v>146.6</v>
      </c>
      <c r="R12" s="11">
        <v>133.9</v>
      </c>
      <c r="S12" s="11">
        <v>159.1</v>
      </c>
      <c r="V12" s="11">
        <v>2023</v>
      </c>
      <c r="W12" s="11" t="s">
        <v>229</v>
      </c>
      <c r="X12" s="11"/>
      <c r="Y12" s="11">
        <v>5.8</v>
      </c>
      <c r="Z12" s="11">
        <v>5.8</v>
      </c>
      <c r="AA12" s="11">
        <v>5.8</v>
      </c>
      <c r="AB12" s="11">
        <v>146.6</v>
      </c>
      <c r="AC12" s="11">
        <v>133.9</v>
      </c>
      <c r="AD12" s="11">
        <v>159.1</v>
      </c>
    </row>
    <row r="13" spans="1:34" x14ac:dyDescent="0.3">
      <c r="A13" t="s">
        <v>78</v>
      </c>
      <c r="B13" s="1">
        <f>IF(($F$3*LOG(B12)+$G$3)&lt;1,1,($F$3*LOG(B12)+$G$3))</f>
        <v>1</v>
      </c>
      <c r="C13" s="1">
        <f>IF(($F$3*LOG(C12)+$G$3)&lt;1,1,($F$3*LOG(C12)+$G$3))</f>
        <v>1</v>
      </c>
      <c r="D13" s="1">
        <f>IF(($F$3*LOG(D12)+$G$3)&lt;1,1,($F$3*LOG(D12)+$G$3))</f>
        <v>1</v>
      </c>
      <c r="E13" s="1">
        <f>IF(($F$3*LOG(E12)+$G$3)&lt;1,1,($F$3*LOG(E12)+$G$3))</f>
        <v>1.2415867300551879</v>
      </c>
      <c r="F13" s="1">
        <f>IF(($F$3*LOG(F12)+$G$3)&lt;1,1,($F$3*LOG(F12)+$G$3))</f>
        <v>1.1854696929537034</v>
      </c>
      <c r="G13" s="1">
        <f t="shared" ref="G13" si="0">IF(($F$3*LOG(G12)+$G$3)&lt;1,1,($F$3*LOG(G12)+$G$3))</f>
        <v>1.2948496319887943</v>
      </c>
      <c r="H13" s="5" t="s">
        <v>97</v>
      </c>
      <c r="K13" s="81" t="s">
        <v>141</v>
      </c>
      <c r="L13" s="81"/>
      <c r="M13" s="81"/>
      <c r="N13" s="13" t="s">
        <v>144</v>
      </c>
      <c r="O13" s="13" t="s">
        <v>144</v>
      </c>
      <c r="P13" s="13" t="s">
        <v>144</v>
      </c>
      <c r="Q13" s="13">
        <v>0.2</v>
      </c>
      <c r="R13" s="13">
        <v>0.2</v>
      </c>
      <c r="S13" s="13">
        <v>0.1</v>
      </c>
      <c r="V13" s="81" t="s">
        <v>141</v>
      </c>
      <c r="W13" s="81"/>
      <c r="X13" s="81"/>
      <c r="Y13" s="13">
        <f>SUM(N13,N36)</f>
        <v>0</v>
      </c>
      <c r="Z13" s="13">
        <f t="shared" ref="Z13:AD13" si="1">SUM(O13,O36)</f>
        <v>0</v>
      </c>
      <c r="AA13" s="13">
        <f t="shared" si="1"/>
        <v>0</v>
      </c>
      <c r="AB13" s="13">
        <f t="shared" si="1"/>
        <v>0.2</v>
      </c>
      <c r="AC13" s="13">
        <f t="shared" si="1"/>
        <v>0.2</v>
      </c>
      <c r="AD13" s="13">
        <f t="shared" si="1"/>
        <v>0.1</v>
      </c>
      <c r="AE13" s="15">
        <f>SUM('Age distribution NL 2024'!B104:C108)</f>
        <v>864000</v>
      </c>
    </row>
    <row r="14" spans="1:34" x14ac:dyDescent="0.3">
      <c r="A14" t="s">
        <v>129</v>
      </c>
      <c r="B14" s="1">
        <f>B13/((1-$D$6)+$D$6*B13)</f>
        <v>1</v>
      </c>
      <c r="C14" s="1">
        <f t="shared" ref="C14" si="2">C13/((1-$D$6)+$D$6*C13)</f>
        <v>1</v>
      </c>
      <c r="D14" s="1">
        <f t="shared" ref="D14:G14" si="3">D13/((1-$D$6)+$D$6*D13)</f>
        <v>1</v>
      </c>
      <c r="E14" s="1">
        <f>E13/((1-$D$6)+$D$6*E13)</f>
        <v>1.1820007850770811</v>
      </c>
      <c r="F14" s="1">
        <f t="shared" si="3"/>
        <v>1.1412998648101456</v>
      </c>
      <c r="G14" s="1">
        <f t="shared" si="3"/>
        <v>1.2198010348990487</v>
      </c>
      <c r="H14" s="1">
        <f>MAX(E18:G18,E26:G26,E34:G34)</f>
        <v>237.05302670154094</v>
      </c>
      <c r="I14" s="2"/>
      <c r="K14" s="81" t="s">
        <v>143</v>
      </c>
      <c r="L14" s="81"/>
      <c r="M14" s="81"/>
      <c r="N14" s="13" t="s">
        <v>144</v>
      </c>
      <c r="O14" s="13" t="s">
        <v>144</v>
      </c>
      <c r="P14" s="13" t="s">
        <v>144</v>
      </c>
      <c r="Q14" s="13">
        <v>0.3</v>
      </c>
      <c r="R14" s="13">
        <v>0.4</v>
      </c>
      <c r="S14" s="13">
        <v>0.2</v>
      </c>
      <c r="V14" s="81" t="s">
        <v>143</v>
      </c>
      <c r="W14" s="81"/>
      <c r="X14" s="81"/>
      <c r="Y14" s="13">
        <f t="shared" ref="Y14:Y30" si="4">SUM(N14,N37)</f>
        <v>0</v>
      </c>
      <c r="Z14" s="13">
        <f t="shared" ref="Z14:Z30" si="5">SUM(O14,O37)</f>
        <v>0</v>
      </c>
      <c r="AA14" s="13">
        <f t="shared" ref="AA14:AA30" si="6">SUM(P14,P37)</f>
        <v>0</v>
      </c>
      <c r="AB14" s="13">
        <f t="shared" ref="AB14:AB30" si="7">SUM(Q14,Q37)</f>
        <v>0.3</v>
      </c>
      <c r="AC14" s="13">
        <f t="shared" ref="AC14:AC30" si="8">SUM(R14,R37)</f>
        <v>0.4</v>
      </c>
      <c r="AD14" s="13">
        <f t="shared" ref="AD14:AD30" si="9">SUM(S14,S37)</f>
        <v>0.2</v>
      </c>
      <c r="AE14" s="15">
        <f>SUM('Age distribution NL 2024'!B99:C103)</f>
        <v>898000</v>
      </c>
    </row>
    <row r="15" spans="1:34" x14ac:dyDescent="0.3">
      <c r="A15" t="s">
        <v>80</v>
      </c>
      <c r="B15" s="1">
        <f>1-1/B14</f>
        <v>0</v>
      </c>
      <c r="C15" s="1">
        <f t="shared" ref="C15" si="10">1-1/C14</f>
        <v>0</v>
      </c>
      <c r="D15" s="1">
        <f t="shared" ref="D15:G15" si="11">1-1/D14</f>
        <v>0</v>
      </c>
      <c r="E15" s="1">
        <f t="shared" si="11"/>
        <v>0.15397687326003962</v>
      </c>
      <c r="F15" s="1">
        <f t="shared" si="11"/>
        <v>0.1238060821409549</v>
      </c>
      <c r="G15" s="1">
        <f t="shared" si="11"/>
        <v>0.18019416987725334</v>
      </c>
      <c r="K15" s="81" t="s">
        <v>145</v>
      </c>
      <c r="L15" s="81"/>
      <c r="M15" s="81"/>
      <c r="N15" s="13" t="s">
        <v>144</v>
      </c>
      <c r="O15" s="13" t="s">
        <v>144</v>
      </c>
      <c r="P15" s="13" t="s">
        <v>144</v>
      </c>
      <c r="Q15" s="13">
        <v>0.5</v>
      </c>
      <c r="R15" s="13">
        <v>0.6</v>
      </c>
      <c r="S15" s="13">
        <v>0.4</v>
      </c>
      <c r="V15" s="81" t="s">
        <v>145</v>
      </c>
      <c r="W15" s="81"/>
      <c r="X15" s="81"/>
      <c r="Y15" s="13">
        <f t="shared" si="4"/>
        <v>0</v>
      </c>
      <c r="Z15" s="13">
        <f t="shared" si="5"/>
        <v>0</v>
      </c>
      <c r="AA15" s="13">
        <f t="shared" si="6"/>
        <v>0</v>
      </c>
      <c r="AB15" s="13">
        <f t="shared" si="7"/>
        <v>0.7</v>
      </c>
      <c r="AC15" s="13">
        <f t="shared" si="8"/>
        <v>0.8</v>
      </c>
      <c r="AD15" s="13">
        <f t="shared" si="9"/>
        <v>0.60000000000000009</v>
      </c>
      <c r="AE15" s="15">
        <f>SUM('Age distribution NL 2024'!B94:C98)</f>
        <v>952000</v>
      </c>
    </row>
    <row r="16" spans="1:34" x14ac:dyDescent="0.3">
      <c r="A16" t="s">
        <v>230</v>
      </c>
      <c r="B16" s="1">
        <f>B15*$D$7*$F$1</f>
        <v>0</v>
      </c>
      <c r="C16" s="1">
        <f t="shared" ref="C16" si="12">C15*$D$7*$F$1</f>
        <v>0</v>
      </c>
      <c r="D16" s="1">
        <f t="shared" ref="D16:G16" si="13">D15*$D$7*$F$1</f>
        <v>0</v>
      </c>
      <c r="E16" s="1">
        <f>E15*$D$7*$F$1</f>
        <v>992.36821181289133</v>
      </c>
      <c r="F16" s="1">
        <f t="shared" si="13"/>
        <v>797.91995865696367</v>
      </c>
      <c r="G16" s="1">
        <f t="shared" si="13"/>
        <v>1161.336519921435</v>
      </c>
      <c r="K16" s="81" t="s">
        <v>147</v>
      </c>
      <c r="L16" s="81"/>
      <c r="M16" s="81"/>
      <c r="N16" s="13">
        <v>0.2</v>
      </c>
      <c r="O16" s="13">
        <v>0.2</v>
      </c>
      <c r="P16" s="13">
        <v>0.2</v>
      </c>
      <c r="Q16" s="13">
        <v>1.4</v>
      </c>
      <c r="R16" s="13">
        <v>1.4</v>
      </c>
      <c r="S16" s="13">
        <v>1.3</v>
      </c>
      <c r="V16" s="81" t="s">
        <v>147</v>
      </c>
      <c r="W16" s="81"/>
      <c r="X16" s="81"/>
      <c r="Y16" s="13">
        <f t="shared" si="4"/>
        <v>0.2</v>
      </c>
      <c r="Z16" s="13">
        <f t="shared" si="5"/>
        <v>0.2</v>
      </c>
      <c r="AA16" s="13">
        <f t="shared" si="6"/>
        <v>0.2</v>
      </c>
      <c r="AB16" s="13">
        <f t="shared" si="7"/>
        <v>1.5999999999999999</v>
      </c>
      <c r="AC16" s="13">
        <f t="shared" si="8"/>
        <v>1.5999999999999999</v>
      </c>
      <c r="AD16" s="13">
        <f t="shared" si="9"/>
        <v>1.5</v>
      </c>
      <c r="AE16" s="15">
        <f>SUM('Age distribution NL 2024'!B89:C93)</f>
        <v>1016000</v>
      </c>
    </row>
    <row r="17" spans="1:34" x14ac:dyDescent="0.3">
      <c r="A17" t="s">
        <v>82</v>
      </c>
      <c r="B17" s="1">
        <f>B16*$D$8</f>
        <v>0</v>
      </c>
      <c r="C17" s="1">
        <f t="shared" ref="C17:G17" si="14">C16*$D$8</f>
        <v>0</v>
      </c>
      <c r="D17" s="1">
        <f t="shared" si="14"/>
        <v>0</v>
      </c>
      <c r="E17" s="1">
        <f t="shared" si="14"/>
        <v>119.08418541754696</v>
      </c>
      <c r="F17" s="1">
        <f t="shared" si="14"/>
        <v>95.750395038835634</v>
      </c>
      <c r="G17" s="1">
        <f t="shared" si="14"/>
        <v>139.3603823905722</v>
      </c>
      <c r="K17" s="81" t="s">
        <v>148</v>
      </c>
      <c r="L17" s="81"/>
      <c r="M17" s="81"/>
      <c r="N17" s="13">
        <v>0.5</v>
      </c>
      <c r="O17" s="13">
        <v>0.4</v>
      </c>
      <c r="P17" s="13">
        <v>0.6</v>
      </c>
      <c r="Q17" s="13">
        <v>3.5</v>
      </c>
      <c r="R17" s="13">
        <v>3.1</v>
      </c>
      <c r="S17" s="13">
        <v>3.8</v>
      </c>
      <c r="V17" s="81" t="s">
        <v>148</v>
      </c>
      <c r="W17" s="81"/>
      <c r="X17" s="81"/>
      <c r="Y17" s="13">
        <f t="shared" si="4"/>
        <v>0.5</v>
      </c>
      <c r="Z17" s="13">
        <f t="shared" si="5"/>
        <v>0.4</v>
      </c>
      <c r="AA17" s="13">
        <f t="shared" si="6"/>
        <v>0.6</v>
      </c>
      <c r="AB17" s="13">
        <f t="shared" si="7"/>
        <v>3.8</v>
      </c>
      <c r="AC17" s="13">
        <f t="shared" si="8"/>
        <v>3.4</v>
      </c>
      <c r="AD17" s="13">
        <f t="shared" si="9"/>
        <v>4.0999999999999996</v>
      </c>
      <c r="AE17" s="15">
        <f>SUM('Age distribution NL 2024'!B84:C88)</f>
        <v>1188000</v>
      </c>
      <c r="AF17">
        <f t="shared" ref="AF17:AF30" si="15">AE17/SUM($AE$17:$AE$30)</f>
        <v>8.3526682134570762E-2</v>
      </c>
      <c r="AG17">
        <f>AF17*Y17</f>
        <v>4.1763341067285381E-2</v>
      </c>
      <c r="AH17">
        <f>AF17*AB17</f>
        <v>0.31740139211136886</v>
      </c>
    </row>
    <row r="18" spans="1:34" x14ac:dyDescent="0.3">
      <c r="A18" t="s">
        <v>83</v>
      </c>
      <c r="B18" s="1"/>
      <c r="C18" s="1"/>
      <c r="D18" s="1"/>
      <c r="E18" s="1">
        <f>E17-$D$17</f>
        <v>119.08418541754696</v>
      </c>
      <c r="F18" s="1">
        <f>F17-$D$17</f>
        <v>95.750395038835634</v>
      </c>
      <c r="G18" s="1">
        <f>G17-$D$17</f>
        <v>139.3603823905722</v>
      </c>
      <c r="K18" s="81" t="s">
        <v>149</v>
      </c>
      <c r="L18" s="81"/>
      <c r="M18" s="81"/>
      <c r="N18" s="13">
        <v>1.2</v>
      </c>
      <c r="O18" s="13">
        <v>1.1000000000000001</v>
      </c>
      <c r="P18" s="13">
        <v>1.4</v>
      </c>
      <c r="Q18" s="13">
        <v>7.7</v>
      </c>
      <c r="R18" s="13">
        <v>7</v>
      </c>
      <c r="S18" s="13">
        <v>8.4</v>
      </c>
      <c r="V18" s="81" t="s">
        <v>149</v>
      </c>
      <c r="W18" s="81"/>
      <c r="X18" s="81"/>
      <c r="Y18" s="13">
        <f t="shared" si="4"/>
        <v>1.2</v>
      </c>
      <c r="Z18" s="13">
        <f t="shared" si="5"/>
        <v>1.1000000000000001</v>
      </c>
      <c r="AA18" s="13">
        <f t="shared" si="6"/>
        <v>1.5</v>
      </c>
      <c r="AB18" s="13">
        <f t="shared" si="7"/>
        <v>8.3000000000000007</v>
      </c>
      <c r="AC18" s="13">
        <f t="shared" si="8"/>
        <v>7.6</v>
      </c>
      <c r="AD18" s="13">
        <f t="shared" si="9"/>
        <v>9.1</v>
      </c>
      <c r="AE18" s="15">
        <f>SUM('Age distribution NL 2024'!B79:C83)</f>
        <v>1179000</v>
      </c>
      <c r="AF18">
        <f t="shared" si="15"/>
        <v>8.289390423961189E-2</v>
      </c>
      <c r="AG18">
        <f t="shared" ref="AG18:AG30" si="16">AF18*Y18</f>
        <v>9.9472685087534263E-2</v>
      </c>
      <c r="AH18">
        <f t="shared" ref="AH18:AH30" si="17">AF18*AB18</f>
        <v>0.6880194051887788</v>
      </c>
    </row>
    <row r="19" spans="1:34" x14ac:dyDescent="0.3">
      <c r="A19" s="5" t="s">
        <v>231</v>
      </c>
      <c r="B19" s="1"/>
      <c r="C19" s="1"/>
      <c r="D19" s="1"/>
      <c r="E19" s="1"/>
      <c r="F19" s="1"/>
      <c r="G19" s="1"/>
      <c r="K19" s="81" t="s">
        <v>150</v>
      </c>
      <c r="L19" s="81"/>
      <c r="M19" s="81"/>
      <c r="N19" s="13">
        <v>2.1</v>
      </c>
      <c r="O19" s="13">
        <v>1.9</v>
      </c>
      <c r="P19" s="13">
        <v>2.2999999999999998</v>
      </c>
      <c r="Q19" s="13">
        <v>14.9</v>
      </c>
      <c r="R19" s="13">
        <v>13</v>
      </c>
      <c r="S19" s="13">
        <v>16.8</v>
      </c>
      <c r="V19" s="81" t="s">
        <v>150</v>
      </c>
      <c r="W19" s="81"/>
      <c r="X19" s="81"/>
      <c r="Y19" s="13">
        <f t="shared" si="4"/>
        <v>2.1</v>
      </c>
      <c r="Z19" s="13">
        <f t="shared" si="5"/>
        <v>1.9</v>
      </c>
      <c r="AA19" s="13">
        <f t="shared" si="6"/>
        <v>2.2999999999999998</v>
      </c>
      <c r="AB19" s="13">
        <f t="shared" si="7"/>
        <v>15.8</v>
      </c>
      <c r="AC19" s="13">
        <f t="shared" si="8"/>
        <v>13.9</v>
      </c>
      <c r="AD19" s="13">
        <f t="shared" si="9"/>
        <v>17.600000000000001</v>
      </c>
      <c r="AE19" s="15">
        <f>SUM('Age distribution NL 2024'!B74:C78)</f>
        <v>1207000</v>
      </c>
      <c r="AF19">
        <f t="shared" si="15"/>
        <v>8.486254657948393E-2</v>
      </c>
      <c r="AG19">
        <f t="shared" si="16"/>
        <v>0.17821134781691625</v>
      </c>
      <c r="AH19">
        <f t="shared" si="17"/>
        <v>1.3408282359558461</v>
      </c>
    </row>
    <row r="20" spans="1:34" x14ac:dyDescent="0.3">
      <c r="A20" t="s">
        <v>228</v>
      </c>
      <c r="B20" s="1">
        <v>2.6</v>
      </c>
      <c r="C20" s="1">
        <f>C12</f>
        <v>2.0030999999999999</v>
      </c>
      <c r="D20" s="1">
        <f>D12</f>
        <v>2.1840000000000002</v>
      </c>
      <c r="E20" s="1">
        <f>E12</f>
        <v>3.2858000000000001</v>
      </c>
      <c r="F20" s="1">
        <f>F12</f>
        <v>3.1143999999999998</v>
      </c>
      <c r="G20" s="1">
        <f>G12</f>
        <v>3.4571999999999998</v>
      </c>
      <c r="K20" s="81" t="s">
        <v>151</v>
      </c>
      <c r="L20" s="81"/>
      <c r="M20" s="81"/>
      <c r="N20" s="13">
        <v>3.3</v>
      </c>
      <c r="O20" s="13">
        <v>3.1</v>
      </c>
      <c r="P20" s="13">
        <v>3.5</v>
      </c>
      <c r="Q20" s="13">
        <v>27.5</v>
      </c>
      <c r="R20" s="13">
        <v>23.6</v>
      </c>
      <c r="S20" s="13">
        <v>31.4</v>
      </c>
      <c r="V20" s="81" t="s">
        <v>151</v>
      </c>
      <c r="W20" s="81"/>
      <c r="X20" s="81"/>
      <c r="Y20" s="13">
        <f t="shared" si="4"/>
        <v>3.5</v>
      </c>
      <c r="Z20" s="13">
        <f t="shared" si="5"/>
        <v>3.3000000000000003</v>
      </c>
      <c r="AA20" s="13">
        <f t="shared" si="6"/>
        <v>3.7</v>
      </c>
      <c r="AB20" s="13">
        <f t="shared" si="7"/>
        <v>29.2</v>
      </c>
      <c r="AC20" s="13">
        <f t="shared" si="8"/>
        <v>25.1</v>
      </c>
      <c r="AD20" s="13">
        <f t="shared" si="9"/>
        <v>33.4</v>
      </c>
      <c r="AE20" s="15">
        <f>SUM('Age distribution NL 2024'!B69:C73)</f>
        <v>1138000</v>
      </c>
      <c r="AF20">
        <f t="shared" si="15"/>
        <v>8.0011249384799268E-2</v>
      </c>
      <c r="AG20">
        <f t="shared" si="16"/>
        <v>0.28003937284679742</v>
      </c>
      <c r="AH20">
        <f t="shared" si="17"/>
        <v>2.3363284820361385</v>
      </c>
    </row>
    <row r="21" spans="1:34" x14ac:dyDescent="0.3">
      <c r="A21" t="s">
        <v>78</v>
      </c>
      <c r="B21" s="1">
        <f>IF(($F$4*LOG(B20)+$G$4)&lt;1,1,($F$4*LOG(B20)+$G$4))</f>
        <v>1</v>
      </c>
      <c r="C21" s="1">
        <f t="shared" ref="C21" si="18">IF(($F$4*LOG(C20)+$G$4)&lt;1,1,($F$4*LOG(C20)+$G$4))</f>
        <v>1</v>
      </c>
      <c r="D21" s="1">
        <f t="shared" ref="D21:G21" si="19">IF(($F$4*LOG(D20)+$G$4)&lt;1,1,($F$4*LOG(D20)+$G$4))</f>
        <v>1</v>
      </c>
      <c r="E21" s="1">
        <f t="shared" si="19"/>
        <v>1.0237281306398522</v>
      </c>
      <c r="F21" s="1">
        <f>IF(($F$4*LOG(F20)+$G$4)&lt;1,1,($F$4*LOG(F20)+$G$4))</f>
        <v>1</v>
      </c>
      <c r="G21" s="1">
        <f t="shared" si="19"/>
        <v>1.0498417263679047</v>
      </c>
      <c r="K21" s="81" t="s">
        <v>152</v>
      </c>
      <c r="L21" s="81"/>
      <c r="M21" s="81"/>
      <c r="N21" s="13">
        <v>5</v>
      </c>
      <c r="O21" s="13">
        <v>5.0999999999999996</v>
      </c>
      <c r="P21" s="13">
        <v>4.9000000000000004</v>
      </c>
      <c r="Q21" s="13">
        <v>48.6</v>
      </c>
      <c r="R21" s="13">
        <v>45.6</v>
      </c>
      <c r="S21" s="13">
        <v>51.5</v>
      </c>
      <c r="V21" s="81" t="s">
        <v>152</v>
      </c>
      <c r="W21" s="81"/>
      <c r="X21" s="81"/>
      <c r="Y21" s="13">
        <f t="shared" si="4"/>
        <v>5.4</v>
      </c>
      <c r="Z21" s="13">
        <f t="shared" si="5"/>
        <v>5.5</v>
      </c>
      <c r="AA21" s="13">
        <f t="shared" si="6"/>
        <v>5.2</v>
      </c>
      <c r="AB21" s="13">
        <f t="shared" si="7"/>
        <v>51.5</v>
      </c>
      <c r="AC21" s="13">
        <f t="shared" si="8"/>
        <v>48.5</v>
      </c>
      <c r="AD21" s="13">
        <f t="shared" si="9"/>
        <v>54.3</v>
      </c>
      <c r="AE21" s="15">
        <f>SUM('Age distribution NL 2024'!B64:C68)</f>
        <v>1073000</v>
      </c>
      <c r="AF21">
        <f t="shared" si="15"/>
        <v>7.5441186810096317E-2</v>
      </c>
      <c r="AG21">
        <f t="shared" si="16"/>
        <v>0.40738240877452014</v>
      </c>
      <c r="AH21">
        <f t="shared" si="17"/>
        <v>3.8852211207199603</v>
      </c>
    </row>
    <row r="22" spans="1:34" x14ac:dyDescent="0.3">
      <c r="A22" t="s">
        <v>129</v>
      </c>
      <c r="B22" s="1">
        <f>B21/((1-$D$6)+$D$6*B21)</f>
        <v>1</v>
      </c>
      <c r="C22" s="1">
        <f t="shared" ref="C22:D22" si="20">C21/((1-$D$6)+$D$6*C21)</f>
        <v>1</v>
      </c>
      <c r="D22" s="1">
        <f t="shared" si="20"/>
        <v>1</v>
      </c>
      <c r="E22" s="1">
        <f t="shared" ref="E22" si="21">E21/((1-$D$6)+$D$6*E21)</f>
        <v>1.0186843504700962</v>
      </c>
      <c r="F22" s="1">
        <f t="shared" ref="F22" si="22">F21/((1-$D$6)+$D$6*F21)</f>
        <v>1</v>
      </c>
      <c r="G22" s="1">
        <f t="shared" ref="G22" si="23">G21/((1-$D$6)+$D$6*G21)</f>
        <v>1.0390354410831364</v>
      </c>
      <c r="K22" s="81" t="s">
        <v>153</v>
      </c>
      <c r="L22" s="81"/>
      <c r="M22" s="81"/>
      <c r="N22" s="13">
        <v>7.3</v>
      </c>
      <c r="O22" s="13">
        <v>7.8</v>
      </c>
      <c r="P22" s="13">
        <v>6.7</v>
      </c>
      <c r="Q22" s="13">
        <v>82.4</v>
      </c>
      <c r="R22" s="13">
        <v>80.3</v>
      </c>
      <c r="S22" s="13">
        <v>84.5</v>
      </c>
      <c r="V22" s="81" t="s">
        <v>153</v>
      </c>
      <c r="W22" s="81"/>
      <c r="X22" s="81"/>
      <c r="Y22" s="13">
        <f t="shared" si="4"/>
        <v>7.7</v>
      </c>
      <c r="Z22" s="13">
        <f t="shared" si="5"/>
        <v>8.1999999999999993</v>
      </c>
      <c r="AA22" s="13">
        <f t="shared" si="6"/>
        <v>7.1000000000000005</v>
      </c>
      <c r="AB22" s="13">
        <f t="shared" si="7"/>
        <v>87.7</v>
      </c>
      <c r="AC22" s="13">
        <f t="shared" si="8"/>
        <v>86.399999999999991</v>
      </c>
      <c r="AD22" s="13">
        <f t="shared" si="9"/>
        <v>89.1</v>
      </c>
      <c r="AE22" s="15">
        <f>SUM('Age distribution NL 2024'!B59:C63)</f>
        <v>1053000</v>
      </c>
      <c r="AF22">
        <f t="shared" si="15"/>
        <v>7.4035013710187725E-2</v>
      </c>
      <c r="AG22">
        <f t="shared" si="16"/>
        <v>0.57006960556844555</v>
      </c>
      <c r="AH22">
        <f t="shared" si="17"/>
        <v>6.4928707023834633</v>
      </c>
    </row>
    <row r="23" spans="1:34" x14ac:dyDescent="0.3">
      <c r="A23" t="s">
        <v>80</v>
      </c>
      <c r="B23" s="1">
        <f>1-1/B22</f>
        <v>0</v>
      </c>
      <c r="C23" s="1">
        <f t="shared" ref="C23" si="24">1-1/C22</f>
        <v>0</v>
      </c>
      <c r="D23" s="1">
        <f t="shared" ref="D23:G23" si="25">1-1/D22</f>
        <v>0</v>
      </c>
      <c r="E23" s="1">
        <f t="shared" si="25"/>
        <v>1.8341648677997147E-2</v>
      </c>
      <c r="F23" s="1">
        <f t="shared" si="25"/>
        <v>0</v>
      </c>
      <c r="G23" s="1">
        <f t="shared" si="25"/>
        <v>3.7568921655303789E-2</v>
      </c>
      <c r="K23" s="81" t="s">
        <v>154</v>
      </c>
      <c r="L23" s="81"/>
      <c r="M23" s="81"/>
      <c r="N23" s="13">
        <v>9.6999999999999993</v>
      </c>
      <c r="O23" s="13">
        <v>10.3</v>
      </c>
      <c r="P23" s="13">
        <v>9.1999999999999993</v>
      </c>
      <c r="Q23" s="13">
        <v>138.30000000000001</v>
      </c>
      <c r="R23" s="13">
        <v>133.80000000000001</v>
      </c>
      <c r="S23" s="13">
        <v>142.80000000000001</v>
      </c>
      <c r="V23" s="81" t="s">
        <v>154</v>
      </c>
      <c r="W23" s="81"/>
      <c r="X23" s="81"/>
      <c r="Y23" s="13">
        <f t="shared" si="4"/>
        <v>10.399999999999999</v>
      </c>
      <c r="Z23" s="13">
        <f t="shared" si="5"/>
        <v>11.100000000000001</v>
      </c>
      <c r="AA23" s="13">
        <f t="shared" si="6"/>
        <v>9.8999999999999986</v>
      </c>
      <c r="AB23" s="13">
        <f t="shared" si="7"/>
        <v>147.9</v>
      </c>
      <c r="AC23" s="13">
        <f t="shared" si="8"/>
        <v>144.9</v>
      </c>
      <c r="AD23" s="13">
        <f t="shared" si="9"/>
        <v>151</v>
      </c>
      <c r="AE23" s="15">
        <f>SUM('Age distribution NL 2024'!B54:C58)</f>
        <v>1243000</v>
      </c>
      <c r="AF23">
        <f t="shared" si="15"/>
        <v>8.7393658159319418E-2</v>
      </c>
      <c r="AG23">
        <f t="shared" si="16"/>
        <v>0.90889404485692182</v>
      </c>
      <c r="AH23">
        <f t="shared" si="17"/>
        <v>12.925522041763342</v>
      </c>
    </row>
    <row r="24" spans="1:34" x14ac:dyDescent="0.3">
      <c r="A24" t="s">
        <v>230</v>
      </c>
      <c r="B24" s="1">
        <f>B23*$D$7*$F$1</f>
        <v>0</v>
      </c>
      <c r="C24" s="1">
        <f t="shared" ref="C24:D24" si="26">C23*$D$7*$F$1</f>
        <v>0</v>
      </c>
      <c r="D24" s="1">
        <f t="shared" si="26"/>
        <v>0</v>
      </c>
      <c r="E24" s="1">
        <f>E23*$D$7*$F$1</f>
        <v>118.21040858223508</v>
      </c>
      <c r="F24" s="1">
        <f t="shared" ref="F24" si="27">F23*$D$7*$F$1</f>
        <v>0</v>
      </c>
      <c r="G24" s="1">
        <f t="shared" ref="G24" si="28">G23*$D$7*$F$1</f>
        <v>242.1285925182375</v>
      </c>
      <c r="K24" s="81" t="s">
        <v>155</v>
      </c>
      <c r="L24" s="81"/>
      <c r="M24" s="81"/>
      <c r="N24" s="13">
        <v>10.9</v>
      </c>
      <c r="O24" s="13">
        <v>11.9</v>
      </c>
      <c r="P24" s="13">
        <v>10</v>
      </c>
      <c r="Q24" s="13">
        <v>202.3</v>
      </c>
      <c r="R24" s="13">
        <v>197.8</v>
      </c>
      <c r="S24" s="13">
        <v>206.8</v>
      </c>
      <c r="V24" s="81" t="s">
        <v>155</v>
      </c>
      <c r="W24" s="81"/>
      <c r="X24" s="81"/>
      <c r="Y24" s="13">
        <f t="shared" si="4"/>
        <v>11.700000000000001</v>
      </c>
      <c r="Z24" s="13">
        <f t="shared" si="5"/>
        <v>12.8</v>
      </c>
      <c r="AA24" s="13">
        <f t="shared" si="6"/>
        <v>10.7</v>
      </c>
      <c r="AB24" s="13">
        <f t="shared" si="7"/>
        <v>218.20000000000002</v>
      </c>
      <c r="AC24" s="13">
        <f t="shared" si="8"/>
        <v>215.9</v>
      </c>
      <c r="AD24" s="13">
        <f t="shared" si="9"/>
        <v>220.4</v>
      </c>
      <c r="AE24" s="15">
        <f>SUM('Age distribution NL 2024'!B49:C53)</f>
        <v>1266000</v>
      </c>
      <c r="AF24">
        <f t="shared" si="15"/>
        <v>8.9010757224214296E-2</v>
      </c>
      <c r="AG24">
        <f t="shared" si="16"/>
        <v>1.0414258595233075</v>
      </c>
      <c r="AH24">
        <f t="shared" si="17"/>
        <v>19.42214722632356</v>
      </c>
    </row>
    <row r="25" spans="1:34" x14ac:dyDescent="0.3">
      <c r="A25" t="s">
        <v>82</v>
      </c>
      <c r="B25" s="1">
        <f>B24*$D$8</f>
        <v>0</v>
      </c>
      <c r="C25" s="1">
        <f t="shared" ref="C25:G25" si="29">C24*$D$8</f>
        <v>0</v>
      </c>
      <c r="D25" s="1">
        <f t="shared" si="29"/>
        <v>0</v>
      </c>
      <c r="E25" s="1">
        <f t="shared" si="29"/>
        <v>14.185249029868208</v>
      </c>
      <c r="F25" s="1">
        <f t="shared" si="29"/>
        <v>0</v>
      </c>
      <c r="G25" s="1">
        <f t="shared" si="29"/>
        <v>29.0554311021885</v>
      </c>
      <c r="K25" s="81" t="s">
        <v>157</v>
      </c>
      <c r="L25" s="81"/>
      <c r="M25" s="81"/>
      <c r="N25" s="13">
        <v>12.4</v>
      </c>
      <c r="O25" s="13">
        <v>13.9</v>
      </c>
      <c r="P25" s="13">
        <v>11</v>
      </c>
      <c r="Q25" s="13">
        <v>277.3</v>
      </c>
      <c r="R25" s="13">
        <v>276.60000000000002</v>
      </c>
      <c r="S25" s="13">
        <v>278.10000000000002</v>
      </c>
      <c r="V25" s="81" t="s">
        <v>157</v>
      </c>
      <c r="W25" s="81"/>
      <c r="X25" s="81"/>
      <c r="Y25" s="13">
        <f t="shared" si="4"/>
        <v>13.8</v>
      </c>
      <c r="Z25" s="13">
        <f t="shared" si="5"/>
        <v>15.6</v>
      </c>
      <c r="AA25" s="13">
        <f t="shared" si="6"/>
        <v>12.1</v>
      </c>
      <c r="AB25" s="13">
        <f t="shared" si="7"/>
        <v>302.7</v>
      </c>
      <c r="AC25" s="13">
        <f t="shared" si="8"/>
        <v>306.90000000000003</v>
      </c>
      <c r="AD25" s="13">
        <f t="shared" si="9"/>
        <v>298.60000000000002</v>
      </c>
      <c r="AE25" s="15">
        <f>SUM('Age distribution NL 2024'!B44:C48)</f>
        <v>1201000</v>
      </c>
      <c r="AF25">
        <f t="shared" si="15"/>
        <v>8.4440694649511358E-2</v>
      </c>
      <c r="AG25">
        <f t="shared" si="16"/>
        <v>1.1652815861632568</v>
      </c>
      <c r="AH25">
        <f t="shared" si="17"/>
        <v>25.560198270407088</v>
      </c>
    </row>
    <row r="26" spans="1:34" x14ac:dyDescent="0.3">
      <c r="A26" t="s">
        <v>83</v>
      </c>
      <c r="B26" s="1"/>
      <c r="C26" s="1"/>
      <c r="D26" s="1"/>
      <c r="E26" s="1">
        <f>E25-$D$25</f>
        <v>14.185249029868208</v>
      </c>
      <c r="F26" s="1">
        <f>F25-$D$25</f>
        <v>0</v>
      </c>
      <c r="G26" s="1">
        <f>G25-$D$25</f>
        <v>29.0554311021885</v>
      </c>
      <c r="K26" s="81" t="s">
        <v>158</v>
      </c>
      <c r="L26" s="81"/>
      <c r="M26" s="81"/>
      <c r="N26" s="13">
        <v>12.4</v>
      </c>
      <c r="O26" s="13">
        <v>13.1</v>
      </c>
      <c r="P26" s="13">
        <v>11.8</v>
      </c>
      <c r="Q26" s="13">
        <v>353</v>
      </c>
      <c r="R26" s="13">
        <v>351.3</v>
      </c>
      <c r="S26" s="13">
        <v>354.6</v>
      </c>
      <c r="V26" s="81" t="s">
        <v>158</v>
      </c>
      <c r="W26" s="81"/>
      <c r="X26" s="81"/>
      <c r="Y26" s="13">
        <f t="shared" si="4"/>
        <v>14</v>
      </c>
      <c r="Z26" s="13">
        <f t="shared" si="5"/>
        <v>14.799999999999999</v>
      </c>
      <c r="AA26" s="13">
        <f t="shared" si="6"/>
        <v>13.200000000000001</v>
      </c>
      <c r="AB26" s="13">
        <f t="shared" si="7"/>
        <v>391.7</v>
      </c>
      <c r="AC26" s="13">
        <f t="shared" si="8"/>
        <v>398.2</v>
      </c>
      <c r="AD26" s="13">
        <f t="shared" si="9"/>
        <v>385.3</v>
      </c>
      <c r="AE26" s="15">
        <f>SUM('Age distribution NL 2024'!B39:C43)</f>
        <v>1047000</v>
      </c>
      <c r="AF26">
        <f t="shared" si="15"/>
        <v>7.3613161780215139E-2</v>
      </c>
      <c r="AG26">
        <f t="shared" si="16"/>
        <v>1.0305842649230119</v>
      </c>
      <c r="AH26">
        <f t="shared" si="17"/>
        <v>28.834275469310271</v>
      </c>
    </row>
    <row r="27" spans="1:34" x14ac:dyDescent="0.3">
      <c r="A27" s="5" t="s">
        <v>232</v>
      </c>
      <c r="B27" s="1"/>
      <c r="C27" s="1"/>
      <c r="D27" s="1"/>
      <c r="E27" s="1"/>
      <c r="F27" s="1"/>
      <c r="G27" s="1"/>
      <c r="K27" s="81" t="s">
        <v>159</v>
      </c>
      <c r="L27" s="81"/>
      <c r="M27" s="81"/>
      <c r="N27" s="13">
        <v>11.9</v>
      </c>
      <c r="O27" s="13">
        <v>11</v>
      </c>
      <c r="P27" s="13">
        <v>12.8</v>
      </c>
      <c r="Q27" s="13">
        <v>426.8</v>
      </c>
      <c r="R27" s="13">
        <v>414.7</v>
      </c>
      <c r="S27" s="13">
        <v>438.3</v>
      </c>
      <c r="V27" s="81" t="s">
        <v>159</v>
      </c>
      <c r="W27" s="81"/>
      <c r="X27" s="81"/>
      <c r="Y27" s="13">
        <f t="shared" si="4"/>
        <v>13.6</v>
      </c>
      <c r="Z27" s="13">
        <f t="shared" si="5"/>
        <v>12.8</v>
      </c>
      <c r="AA27" s="13">
        <f t="shared" si="6"/>
        <v>14.5</v>
      </c>
      <c r="AB27" s="13">
        <f t="shared" si="7"/>
        <v>481.8</v>
      </c>
      <c r="AC27" s="13">
        <f t="shared" si="8"/>
        <v>481.6</v>
      </c>
      <c r="AD27" s="13">
        <f t="shared" si="9"/>
        <v>481.90000000000003</v>
      </c>
      <c r="AE27" s="15">
        <f>SUM('Age distribution NL 2024'!B34:C38)</f>
        <v>921000</v>
      </c>
      <c r="AF27">
        <f t="shared" si="15"/>
        <v>6.4754271250790973E-2</v>
      </c>
      <c r="AG27">
        <f t="shared" si="16"/>
        <v>0.88065808901075726</v>
      </c>
      <c r="AH27">
        <f t="shared" si="17"/>
        <v>31.198607888631091</v>
      </c>
    </row>
    <row r="28" spans="1:34" x14ac:dyDescent="0.3">
      <c r="A28" t="s">
        <v>228</v>
      </c>
      <c r="B28" s="1">
        <v>2.6</v>
      </c>
      <c r="C28" s="1">
        <f>C12</f>
        <v>2.0030999999999999</v>
      </c>
      <c r="D28" s="1">
        <f>D12</f>
        <v>2.1840000000000002</v>
      </c>
      <c r="E28" s="1">
        <f>E12</f>
        <v>3.2858000000000001</v>
      </c>
      <c r="F28" s="1">
        <f>F12</f>
        <v>3.1143999999999998</v>
      </c>
      <c r="G28" s="1">
        <f>G12</f>
        <v>3.4571999999999998</v>
      </c>
      <c r="K28" s="81" t="s">
        <v>160</v>
      </c>
      <c r="L28" s="81"/>
      <c r="M28" s="81"/>
      <c r="N28" s="13">
        <v>11.7</v>
      </c>
      <c r="O28" s="13">
        <v>10.6</v>
      </c>
      <c r="P28" s="13">
        <v>12.8</v>
      </c>
      <c r="Q28" s="13">
        <v>495.6</v>
      </c>
      <c r="R28" s="13">
        <v>465.4</v>
      </c>
      <c r="S28" s="13">
        <v>522.9</v>
      </c>
      <c r="V28" s="81" t="s">
        <v>160</v>
      </c>
      <c r="W28" s="81"/>
      <c r="X28" s="81"/>
      <c r="Y28" s="13">
        <f t="shared" si="4"/>
        <v>14.1</v>
      </c>
      <c r="Z28" s="13">
        <f t="shared" si="5"/>
        <v>12.899999999999999</v>
      </c>
      <c r="AA28" s="13">
        <f t="shared" si="6"/>
        <v>15.4</v>
      </c>
      <c r="AB28" s="13">
        <f t="shared" si="7"/>
        <v>572.9</v>
      </c>
      <c r="AC28" s="13">
        <f t="shared" si="8"/>
        <v>557.4</v>
      </c>
      <c r="AD28" s="13">
        <f t="shared" si="9"/>
        <v>586.9</v>
      </c>
      <c r="AE28" s="15">
        <f>SUM('Age distribution NL 2024'!B29:C33)</f>
        <v>808000</v>
      </c>
      <c r="AF28">
        <f t="shared" si="15"/>
        <v>5.680939323630739E-2</v>
      </c>
      <c r="AG28">
        <f t="shared" si="16"/>
        <v>0.80101244463193422</v>
      </c>
      <c r="AH28">
        <f t="shared" si="17"/>
        <v>32.546101385080505</v>
      </c>
    </row>
    <row r="29" spans="1:34" x14ac:dyDescent="0.3">
      <c r="A29" t="s">
        <v>78</v>
      </c>
      <c r="B29" s="1">
        <f>IF(($F$5*LOG(B28)+$G$5)&lt;1,1,($F$5*LOG(B28)+$G$5))</f>
        <v>1.1328419510666419</v>
      </c>
      <c r="C29" s="1">
        <f t="shared" ref="C29" si="30">IF(($F$5*LOG(C28)+$G$5)&lt;1,1,($F$5*LOG(C28)+$G$5))</f>
        <v>1</v>
      </c>
      <c r="D29" s="1">
        <f t="shared" ref="D29:G29" si="31">IF(($F$5*LOG(D28)+$G$5)&lt;1,1,($F$5*LOG(D28)+$G$5))</f>
        <v>1</v>
      </c>
      <c r="E29" s="1">
        <f t="shared" si="31"/>
        <v>1.5431019328295945</v>
      </c>
      <c r="F29" s="1">
        <f t="shared" si="31"/>
        <v>1.4492136788324887</v>
      </c>
      <c r="G29" s="1">
        <f t="shared" si="31"/>
        <v>1.6322149923149309</v>
      </c>
      <c r="K29" s="81" t="s">
        <v>161</v>
      </c>
      <c r="L29" s="81"/>
      <c r="M29" s="81"/>
      <c r="N29" s="13">
        <v>9.1999999999999993</v>
      </c>
      <c r="O29" s="13">
        <v>8.6</v>
      </c>
      <c r="P29" s="13">
        <v>9.6999999999999993</v>
      </c>
      <c r="Q29" s="13">
        <v>544.9</v>
      </c>
      <c r="R29" s="13">
        <v>490.3</v>
      </c>
      <c r="S29" s="13">
        <v>588.6</v>
      </c>
      <c r="V29" s="81" t="s">
        <v>161</v>
      </c>
      <c r="W29" s="81"/>
      <c r="X29" s="81"/>
      <c r="Y29" s="13">
        <f t="shared" si="4"/>
        <v>11.6</v>
      </c>
      <c r="Z29" s="13">
        <f t="shared" si="5"/>
        <v>11</v>
      </c>
      <c r="AA29" s="13">
        <f t="shared" si="6"/>
        <v>12.1</v>
      </c>
      <c r="AB29" s="13">
        <f t="shared" si="7"/>
        <v>643</v>
      </c>
      <c r="AC29" s="13">
        <f t="shared" si="8"/>
        <v>602.1</v>
      </c>
      <c r="AD29" s="13">
        <f t="shared" si="9"/>
        <v>675.7</v>
      </c>
      <c r="AE29" s="15">
        <f>SUM('Age distribution NL 2024'!B24:C28)</f>
        <v>487000</v>
      </c>
      <c r="AF29">
        <f t="shared" si="15"/>
        <v>3.4240314982774377E-2</v>
      </c>
      <c r="AG29">
        <f t="shared" si="16"/>
        <v>0.39718765380018278</v>
      </c>
      <c r="AH29">
        <f t="shared" si="17"/>
        <v>22.016522533923926</v>
      </c>
    </row>
    <row r="30" spans="1:34" x14ac:dyDescent="0.3">
      <c r="A30" t="s">
        <v>129</v>
      </c>
      <c r="B30" s="1">
        <f>B29/((1-$D$6)+$D$6*B29)</f>
        <v>1.1022869090068399</v>
      </c>
      <c r="C30" s="1">
        <f t="shared" ref="C30:D30" si="32">C29/((1-$D$6)+$D$6*C29)</f>
        <v>1</v>
      </c>
      <c r="D30" s="1">
        <f t="shared" si="32"/>
        <v>1</v>
      </c>
      <c r="E30" s="1">
        <f t="shared" ref="E30" si="33">E29/((1-$D$6)+$D$6*E29)</f>
        <v>1.3860272771430087</v>
      </c>
      <c r="F30" s="1">
        <f t="shared" ref="F30" si="34">F29/((1-$D$6)+$D$6*F29)</f>
        <v>1.325012442344534</v>
      </c>
      <c r="G30" s="1">
        <f t="shared" ref="G30" si="35">G29/((1-$D$6)+$D$6*G29)</f>
        <v>1.4419851805113875</v>
      </c>
      <c r="K30" s="81" t="s">
        <v>162</v>
      </c>
      <c r="L30" s="81"/>
      <c r="M30" s="81"/>
      <c r="N30" s="13">
        <v>8.8000000000000007</v>
      </c>
      <c r="O30" s="13">
        <v>7.3</v>
      </c>
      <c r="P30" s="13">
        <v>9.6999999999999993</v>
      </c>
      <c r="Q30" s="13">
        <v>596.9</v>
      </c>
      <c r="R30" s="13">
        <v>511.6</v>
      </c>
      <c r="S30" s="13">
        <v>645.20000000000005</v>
      </c>
      <c r="V30" s="81" t="s">
        <v>162</v>
      </c>
      <c r="W30" s="81"/>
      <c r="X30" s="81"/>
      <c r="Y30" s="13">
        <f t="shared" si="4"/>
        <v>11.5</v>
      </c>
      <c r="Z30" s="13">
        <f t="shared" si="5"/>
        <v>9.8000000000000007</v>
      </c>
      <c r="AA30" s="13">
        <f t="shared" si="6"/>
        <v>12.5</v>
      </c>
      <c r="AB30" s="13">
        <f t="shared" si="7"/>
        <v>728.5</v>
      </c>
      <c r="AC30" s="13">
        <f t="shared" si="8"/>
        <v>653.40000000000009</v>
      </c>
      <c r="AD30" s="13">
        <f t="shared" si="9"/>
        <v>771.1</v>
      </c>
      <c r="AE30" s="15">
        <f>SUM('Age distribution NL 2024'!B5:C23)</f>
        <v>412000</v>
      </c>
      <c r="AF30">
        <f t="shared" si="15"/>
        <v>2.8967165858117132E-2</v>
      </c>
      <c r="AG30">
        <f t="shared" si="16"/>
        <v>0.33312240736834703</v>
      </c>
      <c r="AH30">
        <f t="shared" si="17"/>
        <v>21.102580327638332</v>
      </c>
    </row>
    <row r="31" spans="1:34" x14ac:dyDescent="0.3">
      <c r="A31" t="s">
        <v>80</v>
      </c>
      <c r="B31" s="1">
        <f>1-1/B30</f>
        <v>9.2795177163992992E-2</v>
      </c>
      <c r="C31" s="1">
        <f t="shared" ref="C31" si="36">1-1/C30</f>
        <v>0</v>
      </c>
      <c r="D31" s="1">
        <f t="shared" ref="D31:G31" si="37">1-1/D30</f>
        <v>0</v>
      </c>
      <c r="E31" s="1">
        <f t="shared" si="37"/>
        <v>0.27851347769916857</v>
      </c>
      <c r="F31" s="1">
        <f t="shared" si="37"/>
        <v>0.2452901059324718</v>
      </c>
      <c r="G31" s="1">
        <f t="shared" si="37"/>
        <v>0.30651159698787012</v>
      </c>
      <c r="K31" s="11"/>
      <c r="L31" s="11"/>
      <c r="M31" s="11"/>
      <c r="N31" s="11"/>
      <c r="O31" s="11"/>
      <c r="P31" s="11"/>
      <c r="Q31" s="11"/>
      <c r="R31" s="11"/>
      <c r="S31" s="11"/>
      <c r="X31" t="s">
        <v>233</v>
      </c>
      <c r="Y31" s="16">
        <f>SUM(AG17:AG30)</f>
        <v>8.1351051114392181</v>
      </c>
      <c r="AB31" s="17">
        <f>SUM(AH17:AH30)</f>
        <v>208.66662448147366</v>
      </c>
      <c r="AE31" t="s">
        <v>234</v>
      </c>
      <c r="AF31">
        <f>SUM(AF13:AF30)</f>
        <v>0.99999999999999989</v>
      </c>
    </row>
    <row r="32" spans="1:34" x14ac:dyDescent="0.3">
      <c r="A32" t="s">
        <v>230</v>
      </c>
      <c r="B32" s="1">
        <f>B31*$D$7*$F$1</f>
        <v>598.05724117785917</v>
      </c>
      <c r="C32" s="1">
        <f t="shared" ref="C32:D32" si="38">C31*$D$7*$F$1</f>
        <v>0</v>
      </c>
      <c r="D32" s="1">
        <f t="shared" si="38"/>
        <v>0</v>
      </c>
      <c r="E32" s="1">
        <f t="shared" ref="E32" si="39">E31*$D$7*$F$1</f>
        <v>1794.9963262557187</v>
      </c>
      <c r="F32" s="1">
        <f t="shared" ref="F32" si="40">F31*$D$7*$F$1</f>
        <v>1580.8744433231327</v>
      </c>
      <c r="G32" s="1">
        <f t="shared" ref="G32" si="41">G31*$D$7*$F$1</f>
        <v>1975.4418891795078</v>
      </c>
      <c r="K32" s="11"/>
      <c r="L32" s="11"/>
      <c r="M32" s="11"/>
      <c r="N32" s="11"/>
      <c r="O32" s="11"/>
      <c r="P32" s="11"/>
      <c r="Q32" s="11"/>
      <c r="R32" s="11"/>
      <c r="S32" s="11"/>
    </row>
    <row r="33" spans="1:19" x14ac:dyDescent="0.3">
      <c r="A33" t="s">
        <v>82</v>
      </c>
      <c r="B33" s="1">
        <f>B32*$D$8</f>
        <v>71.766868941343091</v>
      </c>
      <c r="C33" s="1">
        <f t="shared" ref="C33:G33" si="42">C32*$D$8</f>
        <v>0</v>
      </c>
      <c r="D33" s="1">
        <f t="shared" si="42"/>
        <v>0</v>
      </c>
      <c r="E33" s="1">
        <f t="shared" si="42"/>
        <v>215.39955915068623</v>
      </c>
      <c r="F33" s="1">
        <f t="shared" si="42"/>
        <v>189.7049331987759</v>
      </c>
      <c r="G33" s="1">
        <f t="shared" si="42"/>
        <v>237.05302670154094</v>
      </c>
      <c r="K33" s="11" t="s">
        <v>235</v>
      </c>
      <c r="L33" s="11"/>
      <c r="M33" s="11"/>
      <c r="N33" s="11" t="s">
        <v>127</v>
      </c>
      <c r="O33" s="11"/>
      <c r="P33" s="11"/>
      <c r="Q33" s="11" t="s">
        <v>128</v>
      </c>
      <c r="R33" s="11"/>
      <c r="S33" s="11"/>
    </row>
    <row r="34" spans="1:19" x14ac:dyDescent="0.3">
      <c r="A34" t="s">
        <v>83</v>
      </c>
      <c r="E34" s="1">
        <f>E33-$D$33</f>
        <v>215.39955915068623</v>
      </c>
      <c r="F34" s="1">
        <f>F33-$D$33</f>
        <v>189.7049331987759</v>
      </c>
      <c r="G34" s="1">
        <f>G33-$D$33</f>
        <v>237.05302670154094</v>
      </c>
      <c r="K34" s="11" t="s">
        <v>131</v>
      </c>
      <c r="L34" s="11" t="s">
        <v>132</v>
      </c>
      <c r="M34" s="11"/>
      <c r="N34" s="11" t="s">
        <v>14</v>
      </c>
      <c r="O34" s="11" t="s">
        <v>133</v>
      </c>
      <c r="P34" s="11" t="s">
        <v>134</v>
      </c>
      <c r="Q34" s="11" t="s">
        <v>14</v>
      </c>
      <c r="R34" s="11" t="s">
        <v>133</v>
      </c>
      <c r="S34" s="11" t="s">
        <v>134</v>
      </c>
    </row>
    <row r="35" spans="1:19" x14ac:dyDescent="0.3">
      <c r="K35" s="11">
        <v>2023</v>
      </c>
      <c r="L35" s="11" t="s">
        <v>229</v>
      </c>
      <c r="M35" s="11"/>
      <c r="N35" s="11">
        <v>5.8</v>
      </c>
      <c r="O35" s="11">
        <v>5.8</v>
      </c>
      <c r="P35" s="11">
        <v>5.8</v>
      </c>
      <c r="Q35" s="11">
        <v>146.6</v>
      </c>
      <c r="R35" s="11">
        <v>133.9</v>
      </c>
      <c r="S35" s="11">
        <v>159.1</v>
      </c>
    </row>
    <row r="36" spans="1:19" x14ac:dyDescent="0.3">
      <c r="K36" s="81" t="s">
        <v>141</v>
      </c>
      <c r="L36" s="81"/>
      <c r="M36" s="81"/>
      <c r="N36" s="13" t="s">
        <v>144</v>
      </c>
      <c r="O36" s="13" t="s">
        <v>144</v>
      </c>
      <c r="P36" s="13" t="s">
        <v>144</v>
      </c>
      <c r="Q36" s="13" t="s">
        <v>144</v>
      </c>
      <c r="R36" s="13" t="s">
        <v>144</v>
      </c>
      <c r="S36" s="13" t="s">
        <v>144</v>
      </c>
    </row>
    <row r="37" spans="1:19" x14ac:dyDescent="0.3">
      <c r="K37" s="81" t="s">
        <v>143</v>
      </c>
      <c r="L37" s="81"/>
      <c r="M37" s="81"/>
      <c r="N37" s="13" t="s">
        <v>144</v>
      </c>
      <c r="O37" s="13" t="s">
        <v>144</v>
      </c>
      <c r="P37" s="13" t="s">
        <v>144</v>
      </c>
      <c r="Q37" s="13" t="s">
        <v>144</v>
      </c>
      <c r="R37" s="13" t="s">
        <v>144</v>
      </c>
      <c r="S37" s="13" t="s">
        <v>144</v>
      </c>
    </row>
    <row r="38" spans="1:19" x14ac:dyDescent="0.3">
      <c r="K38" s="81" t="s">
        <v>145</v>
      </c>
      <c r="L38" s="81"/>
      <c r="M38" s="81"/>
      <c r="N38" s="13" t="s">
        <v>144</v>
      </c>
      <c r="O38" s="13" t="s">
        <v>144</v>
      </c>
      <c r="P38" s="13" t="s">
        <v>144</v>
      </c>
      <c r="Q38" s="13">
        <v>0.2</v>
      </c>
      <c r="R38" s="13">
        <v>0.2</v>
      </c>
      <c r="S38" s="13">
        <v>0.2</v>
      </c>
    </row>
    <row r="39" spans="1:19" x14ac:dyDescent="0.3">
      <c r="K39" s="81" t="s">
        <v>147</v>
      </c>
      <c r="L39" s="81"/>
      <c r="M39" s="81"/>
      <c r="N39" s="13" t="s">
        <v>144</v>
      </c>
      <c r="O39" s="13" t="s">
        <v>144</v>
      </c>
      <c r="P39" s="13" t="s">
        <v>144</v>
      </c>
      <c r="Q39" s="13">
        <v>0.2</v>
      </c>
      <c r="R39" s="13">
        <v>0.2</v>
      </c>
      <c r="S39" s="13">
        <v>0.2</v>
      </c>
    </row>
    <row r="40" spans="1:19" x14ac:dyDescent="0.3">
      <c r="K40" s="81" t="s">
        <v>148</v>
      </c>
      <c r="L40" s="81"/>
      <c r="M40" s="81"/>
      <c r="N40" s="13" t="s">
        <v>144</v>
      </c>
      <c r="O40" s="13" t="s">
        <v>144</v>
      </c>
      <c r="P40" s="13" t="s">
        <v>144</v>
      </c>
      <c r="Q40" s="13">
        <v>0.3</v>
      </c>
      <c r="R40" s="13">
        <v>0.3</v>
      </c>
      <c r="S40" s="13">
        <v>0.3</v>
      </c>
    </row>
    <row r="41" spans="1:19" x14ac:dyDescent="0.3">
      <c r="K41" s="81" t="s">
        <v>149</v>
      </c>
      <c r="L41" s="81"/>
      <c r="M41" s="81"/>
      <c r="N41" s="13" t="s">
        <v>144</v>
      </c>
      <c r="O41" s="13" t="s">
        <v>144</v>
      </c>
      <c r="P41" s="13">
        <v>0.1</v>
      </c>
      <c r="Q41" s="13">
        <v>0.6</v>
      </c>
      <c r="R41" s="13">
        <v>0.6</v>
      </c>
      <c r="S41" s="13">
        <v>0.7</v>
      </c>
    </row>
    <row r="42" spans="1:19" x14ac:dyDescent="0.3">
      <c r="K42" s="81" t="s">
        <v>150</v>
      </c>
      <c r="L42" s="81"/>
      <c r="M42" s="81"/>
      <c r="N42" s="13" t="s">
        <v>144</v>
      </c>
      <c r="O42" s="13" t="s">
        <v>144</v>
      </c>
      <c r="P42" s="13" t="s">
        <v>144</v>
      </c>
      <c r="Q42" s="13">
        <v>0.9</v>
      </c>
      <c r="R42" s="13">
        <v>0.9</v>
      </c>
      <c r="S42" s="13">
        <v>0.8</v>
      </c>
    </row>
    <row r="43" spans="1:19" x14ac:dyDescent="0.3">
      <c r="K43" s="81" t="s">
        <v>151</v>
      </c>
      <c r="L43" s="81"/>
      <c r="M43" s="81"/>
      <c r="N43" s="13">
        <v>0.2</v>
      </c>
      <c r="O43" s="13">
        <v>0.2</v>
      </c>
      <c r="P43" s="13">
        <v>0.2</v>
      </c>
      <c r="Q43" s="13">
        <v>1.7</v>
      </c>
      <c r="R43" s="13">
        <v>1.5</v>
      </c>
      <c r="S43" s="13">
        <v>2</v>
      </c>
    </row>
    <row r="44" spans="1:19" x14ac:dyDescent="0.3">
      <c r="K44" s="81" t="s">
        <v>152</v>
      </c>
      <c r="L44" s="81"/>
      <c r="M44" s="81"/>
      <c r="N44" s="13">
        <v>0.4</v>
      </c>
      <c r="O44" s="13">
        <v>0.4</v>
      </c>
      <c r="P44" s="13">
        <v>0.3</v>
      </c>
      <c r="Q44" s="13">
        <v>2.9</v>
      </c>
      <c r="R44" s="13">
        <v>2.9</v>
      </c>
      <c r="S44" s="13">
        <v>2.8</v>
      </c>
    </row>
    <row r="45" spans="1:19" x14ac:dyDescent="0.3">
      <c r="K45" s="81" t="s">
        <v>153</v>
      </c>
      <c r="L45" s="81"/>
      <c r="M45" s="81"/>
      <c r="N45" s="13">
        <v>0.4</v>
      </c>
      <c r="O45" s="13">
        <v>0.4</v>
      </c>
      <c r="P45" s="13">
        <v>0.4</v>
      </c>
      <c r="Q45" s="13">
        <v>5.3</v>
      </c>
      <c r="R45" s="13">
        <v>6.1</v>
      </c>
      <c r="S45" s="13">
        <v>4.5999999999999996</v>
      </c>
    </row>
    <row r="46" spans="1:19" x14ac:dyDescent="0.3">
      <c r="K46" s="81" t="s">
        <v>154</v>
      </c>
      <c r="L46" s="81"/>
      <c r="M46" s="81"/>
      <c r="N46" s="13">
        <v>0.7</v>
      </c>
      <c r="O46" s="13">
        <v>0.8</v>
      </c>
      <c r="P46" s="13">
        <v>0.7</v>
      </c>
      <c r="Q46" s="13">
        <v>9.6</v>
      </c>
      <c r="R46" s="13">
        <v>11.1</v>
      </c>
      <c r="S46" s="13">
        <v>8.1999999999999993</v>
      </c>
    </row>
    <row r="47" spans="1:19" x14ac:dyDescent="0.3">
      <c r="K47" s="81" t="s">
        <v>155</v>
      </c>
      <c r="L47" s="81"/>
      <c r="M47" s="81"/>
      <c r="N47" s="13">
        <v>0.8</v>
      </c>
      <c r="O47" s="13">
        <v>0.9</v>
      </c>
      <c r="P47" s="13">
        <v>0.7</v>
      </c>
      <c r="Q47" s="13">
        <v>15.9</v>
      </c>
      <c r="R47" s="13">
        <v>18.100000000000001</v>
      </c>
      <c r="S47" s="13">
        <v>13.6</v>
      </c>
    </row>
    <row r="48" spans="1:19" x14ac:dyDescent="0.3">
      <c r="K48" s="81" t="s">
        <v>157</v>
      </c>
      <c r="L48" s="81"/>
      <c r="M48" s="81"/>
      <c r="N48" s="13">
        <v>1.4</v>
      </c>
      <c r="O48" s="13">
        <v>1.7</v>
      </c>
      <c r="P48" s="13">
        <v>1.1000000000000001</v>
      </c>
      <c r="Q48" s="13">
        <v>25.4</v>
      </c>
      <c r="R48" s="13">
        <v>30.3</v>
      </c>
      <c r="S48" s="13">
        <v>20.5</v>
      </c>
    </row>
    <row r="49" spans="11:19" x14ac:dyDescent="0.3">
      <c r="K49" s="81" t="s">
        <v>158</v>
      </c>
      <c r="L49" s="81"/>
      <c r="M49" s="81"/>
      <c r="N49" s="13">
        <v>1.6</v>
      </c>
      <c r="O49" s="13">
        <v>1.7</v>
      </c>
      <c r="P49" s="13">
        <v>1.4</v>
      </c>
      <c r="Q49" s="13">
        <v>38.700000000000003</v>
      </c>
      <c r="R49" s="13">
        <v>46.9</v>
      </c>
      <c r="S49" s="13">
        <v>30.7</v>
      </c>
    </row>
    <row r="50" spans="11:19" x14ac:dyDescent="0.3">
      <c r="K50" s="81" t="s">
        <v>159</v>
      </c>
      <c r="L50" s="81"/>
      <c r="M50" s="81"/>
      <c r="N50" s="13">
        <v>1.7</v>
      </c>
      <c r="O50" s="13">
        <v>1.8</v>
      </c>
      <c r="P50" s="13">
        <v>1.7</v>
      </c>
      <c r="Q50" s="13">
        <v>55</v>
      </c>
      <c r="R50" s="13">
        <v>66.900000000000006</v>
      </c>
      <c r="S50" s="13">
        <v>43.6</v>
      </c>
    </row>
    <row r="51" spans="11:19" x14ac:dyDescent="0.3">
      <c r="K51" s="81" t="s">
        <v>160</v>
      </c>
      <c r="L51" s="81"/>
      <c r="M51" s="81"/>
      <c r="N51" s="13">
        <v>2.4</v>
      </c>
      <c r="O51" s="13">
        <v>2.2999999999999998</v>
      </c>
      <c r="P51" s="13">
        <v>2.6</v>
      </c>
      <c r="Q51" s="13">
        <v>77.3</v>
      </c>
      <c r="R51" s="13">
        <v>92</v>
      </c>
      <c r="S51" s="13">
        <v>64</v>
      </c>
    </row>
    <row r="52" spans="11:19" x14ac:dyDescent="0.3">
      <c r="K52" s="81" t="s">
        <v>161</v>
      </c>
      <c r="L52" s="81"/>
      <c r="M52" s="81"/>
      <c r="N52" s="13">
        <v>2.4</v>
      </c>
      <c r="O52" s="13">
        <v>2.4</v>
      </c>
      <c r="P52" s="13">
        <v>2.4</v>
      </c>
      <c r="Q52" s="13">
        <v>98.1</v>
      </c>
      <c r="R52" s="13">
        <v>111.8</v>
      </c>
      <c r="S52" s="13">
        <v>87.1</v>
      </c>
    </row>
    <row r="53" spans="11:19" ht="14.4" customHeight="1" x14ac:dyDescent="0.3">
      <c r="K53" s="81" t="s">
        <v>162</v>
      </c>
      <c r="L53" s="81"/>
      <c r="M53" s="81"/>
      <c r="N53" s="13">
        <v>2.7</v>
      </c>
      <c r="O53" s="13">
        <v>2.5</v>
      </c>
      <c r="P53" s="13">
        <v>2.8</v>
      </c>
      <c r="Q53" s="13">
        <v>131.6</v>
      </c>
      <c r="R53" s="13">
        <v>141.80000000000001</v>
      </c>
      <c r="S53" s="13">
        <v>125.9</v>
      </c>
    </row>
  </sheetData>
  <mergeCells count="54">
    <mergeCell ref="V30:X30"/>
    <mergeCell ref="V19:X19"/>
    <mergeCell ref="V20:X20"/>
    <mergeCell ref="V21:X21"/>
    <mergeCell ref="V22:X22"/>
    <mergeCell ref="V23:X23"/>
    <mergeCell ref="V24:X24"/>
    <mergeCell ref="V25:X25"/>
    <mergeCell ref="V26:X26"/>
    <mergeCell ref="V27:X27"/>
    <mergeCell ref="V28:X28"/>
    <mergeCell ref="V29:X29"/>
    <mergeCell ref="V13:X13"/>
    <mergeCell ref="V14:X14"/>
    <mergeCell ref="V15:X15"/>
    <mergeCell ref="V16:X16"/>
    <mergeCell ref="V17:X17"/>
    <mergeCell ref="V18:X18"/>
    <mergeCell ref="K48:M48"/>
    <mergeCell ref="K49:M49"/>
    <mergeCell ref="K50:M50"/>
    <mergeCell ref="K51:M51"/>
    <mergeCell ref="K36:M36"/>
    <mergeCell ref="K37:M37"/>
    <mergeCell ref="K38:M38"/>
    <mergeCell ref="K39:M39"/>
    <mergeCell ref="K40:M40"/>
    <mergeCell ref="K41:M41"/>
    <mergeCell ref="K25:M25"/>
    <mergeCell ref="K26:M26"/>
    <mergeCell ref="K27:M27"/>
    <mergeCell ref="K28:M28"/>
    <mergeCell ref="K29:M29"/>
    <mergeCell ref="K52:M52"/>
    <mergeCell ref="K53:M53"/>
    <mergeCell ref="K42:M42"/>
    <mergeCell ref="K43:M43"/>
    <mergeCell ref="K44:M44"/>
    <mergeCell ref="K45:M45"/>
    <mergeCell ref="K46:M46"/>
    <mergeCell ref="K47:M47"/>
    <mergeCell ref="K30:M30"/>
    <mergeCell ref="K19:M19"/>
    <mergeCell ref="K20:M20"/>
    <mergeCell ref="K21:M21"/>
    <mergeCell ref="K22:M22"/>
    <mergeCell ref="K23:M23"/>
    <mergeCell ref="K24:M24"/>
    <mergeCell ref="K18:M18"/>
    <mergeCell ref="K13:M13"/>
    <mergeCell ref="K14:M14"/>
    <mergeCell ref="K15:M15"/>
    <mergeCell ref="K16:M16"/>
    <mergeCell ref="K17:M17"/>
  </mergeCells>
  <hyperlinks>
    <hyperlink ref="D2" r:id="rId1" display="https://doi.org/10.1136/oemed-2011-100288" xr:uid="{4CCD81FD-B789-4CAC-B567-CE6B54E4C5F3}"/>
    <hyperlink ref="H6" r:id="rId2" xr:uid="{A955CF16-4D6D-4969-9A8F-98A91428FB0E}"/>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0F7C3-EDBA-4DE2-AE80-33741E55406F}">
  <dimension ref="A1:H9"/>
  <sheetViews>
    <sheetView workbookViewId="0">
      <selection activeCell="B25" sqref="B25"/>
    </sheetView>
  </sheetViews>
  <sheetFormatPr defaultRowHeight="14.4" x14ac:dyDescent="0.3"/>
  <cols>
    <col min="1" max="1" width="25.33203125" customWidth="1"/>
    <col min="2" max="2" width="19.44140625" customWidth="1"/>
    <col min="3" max="4" width="10.5546875" bestFit="1" customWidth="1"/>
    <col min="5" max="5" width="51.33203125" customWidth="1"/>
  </cols>
  <sheetData>
    <row r="1" spans="1:8" x14ac:dyDescent="0.3">
      <c r="A1" t="s">
        <v>236</v>
      </c>
      <c r="C1" t="s">
        <v>237</v>
      </c>
      <c r="D1" t="s">
        <v>238</v>
      </c>
    </row>
    <row r="2" spans="1:8" x14ac:dyDescent="0.3">
      <c r="B2" t="s">
        <v>239</v>
      </c>
      <c r="C2" t="s">
        <v>240</v>
      </c>
      <c r="D2" t="s">
        <v>241</v>
      </c>
    </row>
    <row r="3" spans="1:8" x14ac:dyDescent="0.3">
      <c r="A3" t="s">
        <v>242</v>
      </c>
      <c r="B3">
        <v>420</v>
      </c>
      <c r="C3">
        <v>392</v>
      </c>
      <c r="D3">
        <v>448</v>
      </c>
      <c r="E3" t="s">
        <v>243</v>
      </c>
    </row>
    <row r="4" spans="1:8" x14ac:dyDescent="0.3">
      <c r="A4" t="s">
        <v>244</v>
      </c>
      <c r="B4">
        <v>2</v>
      </c>
      <c r="C4">
        <v>2</v>
      </c>
      <c r="D4">
        <v>2</v>
      </c>
    </row>
    <row r="5" spans="1:8" x14ac:dyDescent="0.3">
      <c r="A5" t="s">
        <v>245</v>
      </c>
      <c r="B5">
        <v>11</v>
      </c>
      <c r="C5">
        <v>9</v>
      </c>
      <c r="D5">
        <v>13</v>
      </c>
    </row>
    <row r="6" spans="1:8" x14ac:dyDescent="0.3">
      <c r="A6" t="s">
        <v>226</v>
      </c>
      <c r="B6">
        <f>SUM(B3:B5)</f>
        <v>433</v>
      </c>
      <c r="C6">
        <f>SUM(C3:C5)</f>
        <v>403</v>
      </c>
      <c r="D6">
        <f>SUM(D3:D5)</f>
        <v>463</v>
      </c>
    </row>
    <row r="7" spans="1:8" x14ac:dyDescent="0.3">
      <c r="A7" t="s">
        <v>246</v>
      </c>
      <c r="B7" s="3">
        <f>B6/$F$7*10^6</f>
        <v>24.716022604029909</v>
      </c>
      <c r="C7" s="3">
        <f t="shared" ref="C7:D7" si="0">C6/$F$7*10^6</f>
        <v>23.003596095667561</v>
      </c>
      <c r="D7" s="3">
        <f t="shared" si="0"/>
        <v>26.428449112392261</v>
      </c>
      <c r="E7" t="s">
        <v>247</v>
      </c>
      <c r="F7">
        <v>17519000</v>
      </c>
      <c r="G7" t="s">
        <v>248</v>
      </c>
      <c r="H7" t="s">
        <v>249</v>
      </c>
    </row>
    <row r="8" spans="1:8" x14ac:dyDescent="0.3">
      <c r="A8" t="s">
        <v>250</v>
      </c>
      <c r="B8" s="3">
        <f>B7*0.2</f>
        <v>4.943204520805982</v>
      </c>
      <c r="C8" s="3">
        <f t="shared" ref="C8:D8" si="1">C7*0.2</f>
        <v>4.600719219133512</v>
      </c>
      <c r="D8" s="3">
        <f t="shared" si="1"/>
        <v>5.285689822478453</v>
      </c>
    </row>
    <row r="9" spans="1:8" x14ac:dyDescent="0.3">
      <c r="A9" t="s">
        <v>251</v>
      </c>
      <c r="B9">
        <v>0</v>
      </c>
      <c r="C9">
        <v>0</v>
      </c>
      <c r="D9" s="3">
        <f>D8</f>
        <v>5.285689822478453</v>
      </c>
      <c r="E9" t="s">
        <v>252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Summary_allEndpoints</vt:lpstr>
      <vt:lpstr>TotalDALYs_perScenario</vt:lpstr>
      <vt:lpstr>OverviewSerumConcentrations</vt:lpstr>
      <vt:lpstr>Kidney cancer</vt:lpstr>
      <vt:lpstr>Testicular cancer</vt:lpstr>
      <vt:lpstr>Hypothyroidism</vt:lpstr>
      <vt:lpstr>Hypothyroidism_PFOS</vt:lpstr>
      <vt:lpstr>Hypertension</vt:lpstr>
      <vt:lpstr>AbrahamEtAlDiseases</vt:lpstr>
      <vt:lpstr>Age distribution NL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Sanne Smith</dc:creator>
  <cp:keywords/>
  <dc:description/>
  <cp:lastModifiedBy>Sanne Smith</cp:lastModifiedBy>
  <cp:revision/>
  <dcterms:created xsi:type="dcterms:W3CDTF">2015-06-05T18:17:20Z</dcterms:created>
  <dcterms:modified xsi:type="dcterms:W3CDTF">2025-03-28T07:47:20Z</dcterms:modified>
  <cp:category/>
  <cp:contentStatus/>
</cp:coreProperties>
</file>