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d.docs.live.net/156a2b608891fd93/!PhD/(STUDY) Mussel ^0 Algae Study/ESWRT/R1/"/>
    </mc:Choice>
  </mc:AlternateContent>
  <xr:revisionPtr revIDLastSave="7" documentId="8_{3A0D3056-2C82-4B73-99B5-C874118B52A6}" xr6:coauthVersionLast="47" xr6:coauthVersionMax="47" xr10:uidLastSave="{2C2E90F5-F262-4DA2-B9B2-EA3968C48000}"/>
  <bookViews>
    <workbookView xWindow="4397" yWindow="4063" windowWidth="20572" windowHeight="12026" firstSheet="6" activeTab="6" xr2:uid="{C72F9B00-4285-4AC3-B51D-A7D0D13F28B0}"/>
  </bookViews>
  <sheets>
    <sheet name="S1 - Target Compounds" sheetId="1" r:id="rId1"/>
    <sheet name="S2 - PNECs" sheetId="2" r:id="rId2"/>
    <sheet name="S3 - Concentrations" sheetId="3" r:id="rId3"/>
    <sheet name="S4 - Removals" sheetId="4" r:id="rId4"/>
    <sheet name="S5 - Risks" sheetId="5" r:id="rId5"/>
    <sheet name="S6 - Statistics" sheetId="6" r:id="rId6"/>
    <sheet name="S7 - Physicochemical Analysis" sheetId="7" r:id="rId7"/>
    <sheet name="S8 - Cultivation Data" sheetId="8" r:id="rId8"/>
    <sheet name="S9 - Ionisation Data" sheetId="9"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9" l="1"/>
  <c r="D12" i="9"/>
  <c r="E12" i="9"/>
  <c r="F12" i="9"/>
  <c r="G12" i="9"/>
  <c r="H12" i="9"/>
  <c r="I12" i="9"/>
  <c r="J12" i="9"/>
  <c r="K12" i="9"/>
  <c r="L12" i="9"/>
  <c r="M12" i="9"/>
  <c r="B12" i="9"/>
  <c r="K7" i="7"/>
  <c r="I3" i="7"/>
  <c r="D11" i="9"/>
  <c r="K5" i="7"/>
  <c r="F5" i="9" l="1"/>
  <c r="L4" i="9"/>
  <c r="L5" i="9"/>
  <c r="L6" i="9"/>
  <c r="L7" i="9"/>
  <c r="L8" i="9"/>
  <c r="L9" i="9"/>
  <c r="L10" i="9"/>
  <c r="L11" i="9"/>
  <c r="L13" i="9"/>
  <c r="L14" i="9"/>
  <c r="L3" i="9"/>
  <c r="K4" i="9"/>
  <c r="K5" i="9"/>
  <c r="K6" i="9"/>
  <c r="K7" i="9"/>
  <c r="K8" i="9"/>
  <c r="K9" i="9"/>
  <c r="K10" i="9"/>
  <c r="K11" i="9"/>
  <c r="K13" i="9"/>
  <c r="K14" i="9"/>
  <c r="K3" i="9"/>
  <c r="G4" i="9"/>
  <c r="G5" i="9"/>
  <c r="G6" i="9"/>
  <c r="G7" i="9"/>
  <c r="G8" i="9"/>
  <c r="G9" i="9"/>
  <c r="G10" i="9"/>
  <c r="G11" i="9"/>
  <c r="G13" i="9"/>
  <c r="G14" i="9"/>
  <c r="G3" i="9"/>
  <c r="I4" i="9"/>
  <c r="I5" i="9"/>
  <c r="I6" i="9"/>
  <c r="I7" i="9"/>
  <c r="I8" i="9"/>
  <c r="I9" i="9"/>
  <c r="I10" i="9"/>
  <c r="I11" i="9"/>
  <c r="I13" i="9"/>
  <c r="I14" i="9"/>
  <c r="I3" i="9"/>
  <c r="M4" i="9"/>
  <c r="M5" i="9"/>
  <c r="M6" i="9"/>
  <c r="M7" i="9"/>
  <c r="M8" i="9"/>
  <c r="M9" i="9"/>
  <c r="M10" i="9"/>
  <c r="M11" i="9"/>
  <c r="M13" i="9"/>
  <c r="M14" i="9"/>
  <c r="M3" i="9"/>
  <c r="D4" i="9"/>
  <c r="D5" i="9"/>
  <c r="D6" i="9"/>
  <c r="D7" i="9"/>
  <c r="D8" i="9"/>
  <c r="D9" i="9"/>
  <c r="D10" i="9"/>
  <c r="D13" i="9"/>
  <c r="D14" i="9"/>
  <c r="D3" i="9"/>
  <c r="J4" i="9"/>
  <c r="J5" i="9"/>
  <c r="J6" i="9"/>
  <c r="J7" i="9"/>
  <c r="J8" i="9"/>
  <c r="J9" i="9"/>
  <c r="J10" i="9"/>
  <c r="J11" i="9"/>
  <c r="J13" i="9"/>
  <c r="J14" i="9"/>
  <c r="J3" i="9"/>
  <c r="H4" i="9"/>
  <c r="H5" i="9"/>
  <c r="H6" i="9"/>
  <c r="H7" i="9"/>
  <c r="H8" i="9"/>
  <c r="H9" i="9"/>
  <c r="H10" i="9"/>
  <c r="H11" i="9"/>
  <c r="H13" i="9"/>
  <c r="H14" i="9"/>
  <c r="H3" i="9"/>
  <c r="C3" i="9" l="1"/>
  <c r="H3" i="7" l="1"/>
  <c r="K3" i="7"/>
  <c r="K13" i="7"/>
  <c r="H4" i="7"/>
  <c r="K4" i="7"/>
  <c r="K12" i="7"/>
  <c r="K8" i="7"/>
  <c r="J3" i="7"/>
  <c r="J4" i="7"/>
  <c r="J5" i="7"/>
  <c r="J6" i="7"/>
  <c r="K6" i="7"/>
  <c r="J7" i="7"/>
  <c r="J8" i="7"/>
  <c r="J9" i="7"/>
  <c r="K9" i="7"/>
  <c r="J10" i="7"/>
  <c r="K10" i="7"/>
  <c r="J11" i="7"/>
  <c r="K11" i="7"/>
  <c r="J12" i="7"/>
  <c r="J13" i="7"/>
  <c r="H12" i="7"/>
  <c r="H11" i="7"/>
  <c r="H10" i="7"/>
  <c r="H9" i="7"/>
  <c r="H8" i="7"/>
  <c r="H7" i="7"/>
  <c r="H6" i="7"/>
  <c r="H5" i="7"/>
  <c r="H13" i="7"/>
  <c r="C4" i="7"/>
  <c r="C5" i="7"/>
  <c r="C6" i="7"/>
  <c r="C7" i="7"/>
  <c r="C8" i="7"/>
  <c r="C9" i="7"/>
  <c r="C10" i="7"/>
  <c r="C11" i="7"/>
  <c r="C12" i="7"/>
  <c r="C13" i="7"/>
  <c r="C3" i="7"/>
  <c r="J17" i="7" l="1"/>
  <c r="K17" i="7"/>
  <c r="I13" i="7"/>
  <c r="I6" i="7"/>
  <c r="I5" i="7"/>
  <c r="I7" i="7"/>
  <c r="I8" i="7"/>
  <c r="I9" i="7"/>
  <c r="I10" i="7"/>
  <c r="J16" i="7"/>
  <c r="J18" i="7" s="1"/>
  <c r="J19" i="7" s="1"/>
  <c r="I11" i="7"/>
  <c r="I12" i="7"/>
  <c r="I4" i="7"/>
  <c r="E4" i="9"/>
  <c r="F4" i="9"/>
  <c r="E5" i="9"/>
  <c r="E6" i="9"/>
  <c r="F6" i="9"/>
  <c r="E7" i="9"/>
  <c r="F7" i="9"/>
  <c r="E8" i="9"/>
  <c r="F8" i="9"/>
  <c r="E9" i="9"/>
  <c r="F9" i="9"/>
  <c r="E10" i="9"/>
  <c r="F10" i="9"/>
  <c r="E11" i="9"/>
  <c r="F11" i="9"/>
  <c r="E13" i="9"/>
  <c r="F13" i="9"/>
  <c r="E14" i="9"/>
  <c r="F14" i="9"/>
  <c r="F3" i="9"/>
  <c r="E3" i="9"/>
  <c r="C4" i="9"/>
  <c r="C5" i="9"/>
  <c r="C6" i="9"/>
  <c r="C7" i="9"/>
  <c r="C8" i="9"/>
  <c r="C9" i="9"/>
  <c r="C10" i="9"/>
  <c r="C11" i="9"/>
  <c r="C13" i="9"/>
  <c r="C14" i="9"/>
  <c r="K16" i="7" l="1"/>
  <c r="K18" i="7" s="1"/>
  <c r="K19" i="7" s="1"/>
  <c r="L5" i="6"/>
  <c r="L6" i="6" l="1"/>
  <c r="L7" i="6" l="1"/>
  <c r="L8" i="6" l="1"/>
  <c r="L9" i="6" l="1"/>
  <c r="K9" i="6" l="1"/>
  <c r="H10" i="6"/>
  <c r="I10" i="6"/>
  <c r="K10" i="6"/>
  <c r="L10" i="6"/>
  <c r="H5" i="6" l="1"/>
  <c r="H3" i="6"/>
  <c r="I3" i="6"/>
  <c r="K3" i="6"/>
  <c r="L3" i="6"/>
  <c r="J3" i="6"/>
  <c r="I9" i="6"/>
  <c r="I7" i="6"/>
  <c r="K7" i="6"/>
  <c r="J7" i="6"/>
  <c r="L4" i="6"/>
  <c r="L11" i="6" s="1"/>
  <c r="U3" i="6" s="1"/>
  <c r="K4" i="6"/>
  <c r="J4" i="6"/>
  <c r="I4" i="6"/>
  <c r="H4" i="6"/>
  <c r="I5" i="6"/>
  <c r="J5" i="6"/>
  <c r="K5" i="6"/>
  <c r="I6" i="6"/>
  <c r="K6" i="6"/>
  <c r="J6" i="6"/>
  <c r="H6" i="6"/>
  <c r="I8" i="6"/>
  <c r="K8" i="6"/>
  <c r="J8" i="6"/>
  <c r="H8" i="6"/>
  <c r="H9" i="6"/>
  <c r="H7" i="6"/>
  <c r="J10" i="6"/>
  <c r="J9" i="6"/>
  <c r="H11" i="6" l="1"/>
  <c r="Q3" i="6" s="1"/>
  <c r="I11" i="6"/>
  <c r="R3" i="6" s="1"/>
  <c r="J11" i="6"/>
  <c r="S3" i="6" s="1"/>
  <c r="K11" i="6"/>
  <c r="T3" i="6" s="1"/>
  <c r="S4" i="6"/>
  <c r="U4" i="6"/>
  <c r="U5" i="6" s="1"/>
  <c r="T4" i="6"/>
  <c r="R4" i="6"/>
  <c r="N3" i="6"/>
  <c r="Q4" i="6"/>
  <c r="Q8" i="6" s="1"/>
  <c r="Q6" i="6" s="1"/>
  <c r="H12" i="6"/>
  <c r="I12" i="6"/>
  <c r="J12" i="6"/>
  <c r="K12" i="6"/>
  <c r="L12" i="6"/>
  <c r="R5" i="6" l="1"/>
  <c r="W6" i="6" s="1"/>
  <c r="Y6" i="6" s="1"/>
  <c r="AA6" i="6" s="1"/>
  <c r="T5" i="6"/>
  <c r="W12" i="6" s="1"/>
  <c r="Y12" i="6" s="1"/>
  <c r="AA12" i="6" s="1"/>
  <c r="S5" i="6"/>
  <c r="Q5" i="6"/>
  <c r="W9" i="6" s="1"/>
  <c r="Y9" i="6" s="1"/>
  <c r="AA9" i="6" s="1"/>
  <c r="Z4" i="6"/>
  <c r="Z5" i="6"/>
  <c r="Z6" i="6"/>
  <c r="Z7" i="6"/>
  <c r="Z8" i="6"/>
  <c r="Z9" i="6"/>
  <c r="Z10" i="6"/>
  <c r="Z11" i="6"/>
  <c r="W11" i="6"/>
  <c r="Y11" i="6" s="1"/>
  <c r="AA11" i="6" s="1"/>
  <c r="N4" i="6"/>
  <c r="N5" i="6" s="1"/>
  <c r="N7" i="6" s="1"/>
  <c r="N9" i="6" s="1"/>
  <c r="Q7" i="6"/>
  <c r="Z12" i="6"/>
  <c r="W8" i="6" l="1"/>
  <c r="Y8" i="6" s="1"/>
  <c r="AA8" i="6" s="1"/>
  <c r="W10" i="6"/>
  <c r="Y10" i="6" s="1"/>
  <c r="AA10" i="6" s="1"/>
  <c r="W7" i="6"/>
  <c r="Y7" i="6" s="1"/>
  <c r="AA7" i="6" s="1"/>
  <c r="W5" i="6"/>
  <c r="Y5" i="6" s="1"/>
  <c r="AA5" i="6" s="1"/>
  <c r="W4" i="6"/>
  <c r="Y4" i="6" s="1"/>
  <c r="AA4" i="6" s="1"/>
  <c r="W3" i="6"/>
  <c r="L16" i="6" l="1"/>
  <c r="Z3" i="6" l="1"/>
  <c r="Y3" i="6"/>
  <c r="AA3" i="6" s="1"/>
  <c r="AB3" i="6" s="1" a="1"/>
  <c r="AB3" i="6" s="1"/>
  <c r="AC3" i="6" s="1"/>
  <c r="L17" i="6"/>
  <c r="AC5" i="6" l="1"/>
  <c r="AC11" i="6"/>
  <c r="AC6" i="6"/>
  <c r="AC7" i="6"/>
  <c r="AC9" i="6"/>
  <c r="AC10" i="6"/>
  <c r="AC8" i="6"/>
  <c r="AC4" i="6"/>
  <c r="AC12" i="6"/>
  <c r="L18" i="6"/>
  <c r="L19" i="6" l="1"/>
  <c r="L20" i="6" l="1"/>
  <c r="H20" i="6" l="1"/>
  <c r="I21" i="6"/>
  <c r="J21" i="6"/>
  <c r="K21" i="6"/>
  <c r="L21" i="6"/>
  <c r="H21" i="6" l="1"/>
  <c r="L14" i="6"/>
  <c r="J14" i="6"/>
  <c r="H15" i="6"/>
  <c r="I14" i="6"/>
  <c r="K14" i="6"/>
  <c r="H14" i="6"/>
  <c r="J15" i="6"/>
  <c r="L15" i="6"/>
  <c r="L22" i="6" s="1"/>
  <c r="U14" i="6" s="1"/>
  <c r="K15" i="6"/>
  <c r="H16" i="6"/>
  <c r="I17" i="6"/>
  <c r="H19" i="6"/>
  <c r="K17" i="6"/>
  <c r="I19" i="6"/>
  <c r="J18" i="6"/>
  <c r="K18" i="6"/>
  <c r="I18" i="6"/>
  <c r="J17" i="6"/>
  <c r="K16" i="6"/>
  <c r="I16" i="6"/>
  <c r="H17" i="6"/>
  <c r="J16" i="6"/>
  <c r="I15" i="6"/>
  <c r="H18" i="6"/>
  <c r="K20" i="6"/>
  <c r="K19" i="6"/>
  <c r="J19" i="6"/>
  <c r="J20" i="6"/>
  <c r="I20" i="6"/>
  <c r="K22" i="6" l="1"/>
  <c r="T14" i="6" s="1"/>
  <c r="J22" i="6"/>
  <c r="S14" i="6" s="1"/>
  <c r="I22" i="6"/>
  <c r="R14" i="6" s="1"/>
  <c r="U15" i="6"/>
  <c r="U16" i="6" s="1"/>
  <c r="N14" i="6"/>
  <c r="Q15" i="6"/>
  <c r="T15" i="6"/>
  <c r="T16" i="6" s="1"/>
  <c r="R15" i="6"/>
  <c r="R16" i="6" s="1"/>
  <c r="H22" i="6"/>
  <c r="Q14" i="6" s="1"/>
  <c r="Q16" i="6" s="1"/>
  <c r="S15" i="6"/>
  <c r="S16" i="6" s="1"/>
  <c r="H23" i="6"/>
  <c r="I23" i="6"/>
  <c r="J23" i="6"/>
  <c r="K23" i="6"/>
  <c r="L23" i="6"/>
  <c r="W19" i="6" l="1"/>
  <c r="Y19" i="6"/>
  <c r="AA19" i="6" s="1"/>
  <c r="W17" i="6"/>
  <c r="Y17" i="6" s="1"/>
  <c r="AA17" i="6" s="1"/>
  <c r="W18" i="6"/>
  <c r="Y18" i="6" s="1"/>
  <c r="AA18" i="6" s="1"/>
  <c r="W20" i="6"/>
  <c r="Y20" i="6" s="1"/>
  <c r="AA20" i="6" s="1"/>
  <c r="W21" i="6"/>
  <c r="Y21" i="6" s="1"/>
  <c r="AA21" i="6" s="1"/>
  <c r="W22" i="6"/>
  <c r="Y22" i="6" s="1"/>
  <c r="AA22" i="6" s="1"/>
  <c r="W23" i="6"/>
  <c r="N15" i="6"/>
  <c r="N16" i="6" s="1"/>
  <c r="N18" i="6" s="1"/>
  <c r="N20" i="6" s="1"/>
  <c r="W14" i="6"/>
  <c r="W15" i="6"/>
  <c r="W16" i="6"/>
  <c r="Q19" i="6"/>
  <c r="Q17" i="6" s="1"/>
  <c r="Z23" i="6" s="1"/>
  <c r="Q18" i="6"/>
  <c r="Y23" i="6"/>
  <c r="AA23" i="6"/>
  <c r="Z16" i="6" l="1"/>
  <c r="Z15" i="6"/>
  <c r="Z14" i="6"/>
  <c r="Y16" i="6"/>
  <c r="AA16" i="6" s="1"/>
  <c r="Y15" i="6"/>
  <c r="AA15" i="6" s="1"/>
  <c r="Y14" i="6"/>
  <c r="AA14" i="6" s="1"/>
  <c r="Z22" i="6"/>
  <c r="Z21" i="6"/>
  <c r="Z20" i="6"/>
  <c r="Z19" i="6"/>
  <c r="Z18" i="6"/>
  <c r="Z17" i="6"/>
  <c r="AB14" i="6" l="1" a="1"/>
  <c r="AC15" i="6" s="1"/>
  <c r="L27" i="6"/>
  <c r="AC16" i="6" l="1"/>
  <c r="AB14" i="6"/>
  <c r="AC14" i="6" s="1"/>
  <c r="AC23" i="6"/>
  <c r="AC22" i="6"/>
  <c r="AC21" i="6"/>
  <c r="AC20" i="6"/>
  <c r="AC18" i="6"/>
  <c r="AC17" i="6"/>
  <c r="AC19" i="6"/>
  <c r="L28" i="6"/>
  <c r="L29" i="6" l="1"/>
  <c r="L30" i="6" l="1"/>
  <c r="Q30" i="6"/>
  <c r="Q28" i="6" s="1"/>
  <c r="L31" i="6" l="1"/>
  <c r="J28" i="6" l="1"/>
  <c r="K32" i="6"/>
  <c r="L32" i="6"/>
  <c r="J31" i="6" l="1"/>
  <c r="I31" i="6"/>
  <c r="K31" i="6"/>
  <c r="H30" i="6"/>
  <c r="K29" i="6"/>
  <c r="J27" i="6"/>
  <c r="I29" i="6"/>
  <c r="I30" i="6"/>
  <c r="J32" i="6"/>
  <c r="I32" i="6"/>
  <c r="H32" i="6"/>
  <c r="K26" i="6"/>
  <c r="J25" i="6"/>
  <c r="K25" i="6"/>
  <c r="L25" i="6"/>
  <c r="J26" i="6"/>
  <c r="L26" i="6"/>
  <c r="I26" i="6"/>
  <c r="I25" i="6"/>
  <c r="H27" i="6"/>
  <c r="H25" i="6"/>
  <c r="H26" i="6"/>
  <c r="J29" i="6"/>
  <c r="K28" i="6"/>
  <c r="I28" i="6"/>
  <c r="H29" i="6"/>
  <c r="H28" i="6"/>
  <c r="I27" i="6"/>
  <c r="K27" i="6"/>
  <c r="J30" i="6"/>
  <c r="K30" i="6"/>
  <c r="H31" i="6"/>
  <c r="N25" i="6" l="1"/>
  <c r="Q26" i="6"/>
  <c r="R26" i="6"/>
  <c r="U26" i="6"/>
  <c r="S26" i="6"/>
  <c r="L33" i="6"/>
  <c r="U25" i="6" s="1"/>
  <c r="U27" i="6" s="1"/>
  <c r="I33" i="6"/>
  <c r="R25" i="6" s="1"/>
  <c r="R27" i="6" s="1"/>
  <c r="H33" i="6"/>
  <c r="Q25" i="6" s="1"/>
  <c r="Q27" i="6" s="1"/>
  <c r="T26" i="6"/>
  <c r="K33" i="6"/>
  <c r="T25" i="6" s="1"/>
  <c r="J33" i="6"/>
  <c r="S25" i="6" s="1"/>
  <c r="S27" i="6" s="1"/>
  <c r="H34" i="6"/>
  <c r="I34" i="6"/>
  <c r="J34" i="6"/>
  <c r="K34" i="6"/>
  <c r="L34" i="6"/>
  <c r="T27" i="6" l="1"/>
  <c r="W34" i="6" s="1"/>
  <c r="W30" i="6"/>
  <c r="Z26" i="6"/>
  <c r="Z27" i="6"/>
  <c r="Z28" i="6"/>
  <c r="Z29" i="6"/>
  <c r="Z30" i="6"/>
  <c r="Z31" i="6"/>
  <c r="Z32" i="6"/>
  <c r="Z33" i="6"/>
  <c r="Y30" i="6"/>
  <c r="AA30" i="6" s="1"/>
  <c r="W28" i="6"/>
  <c r="Y28" i="6" s="1"/>
  <c r="AA28" i="6" s="1"/>
  <c r="W29" i="6"/>
  <c r="Y29" i="6" s="1"/>
  <c r="AA29" i="6" s="1"/>
  <c r="N26" i="6"/>
  <c r="N27" i="6" s="1"/>
  <c r="N29" i="6" s="1"/>
  <c r="N31" i="6" s="1"/>
  <c r="W25" i="6"/>
  <c r="W26" i="6"/>
  <c r="W27" i="6"/>
  <c r="Y27" i="6" s="1"/>
  <c r="AA27" i="6" s="1"/>
  <c r="W31" i="6"/>
  <c r="Y31" i="6" s="1"/>
  <c r="AA31" i="6" s="1"/>
  <c r="W32" i="6"/>
  <c r="Y32" i="6" s="1"/>
  <c r="AA32" i="6" s="1"/>
  <c r="W33" i="6"/>
  <c r="Y33" i="6" s="1"/>
  <c r="AA33" i="6" s="1"/>
  <c r="Q29" i="6"/>
  <c r="Y34" i="6"/>
  <c r="Z34" i="6"/>
  <c r="AA34" i="6"/>
  <c r="Y26" i="6" l="1"/>
  <c r="AA26" i="6" s="1"/>
  <c r="Z25" i="6"/>
  <c r="Y25" i="6" l="1"/>
  <c r="AA25" i="6" s="1"/>
  <c r="AB25" i="6" a="1"/>
  <c r="L38" i="6"/>
  <c r="AB25" i="6" l="1"/>
  <c r="AC25" i="6" s="1"/>
  <c r="AC34" i="6"/>
  <c r="AC32" i="6"/>
  <c r="AC31" i="6"/>
  <c r="AC26" i="6"/>
  <c r="AC29" i="6"/>
  <c r="AC28" i="6"/>
  <c r="AC30" i="6"/>
  <c r="AC33" i="6"/>
  <c r="AC27" i="6"/>
  <c r="L39" i="6"/>
  <c r="L40" i="6" l="1"/>
  <c r="L41" i="6" l="1"/>
  <c r="Q41" i="6"/>
  <c r="Q39" i="6" s="1"/>
  <c r="L42" i="6" l="1"/>
  <c r="K43" i="6" l="1"/>
  <c r="L43" i="6"/>
  <c r="L36" i="6" l="1"/>
  <c r="K36" i="6"/>
  <c r="J36" i="6"/>
  <c r="H36" i="6"/>
  <c r="I36" i="6"/>
  <c r="H37" i="6"/>
  <c r="H38" i="6"/>
  <c r="J38" i="6"/>
  <c r="I39" i="6"/>
  <c r="H42" i="6"/>
  <c r="J42" i="6"/>
  <c r="I42" i="6"/>
  <c r="K42" i="6"/>
  <c r="H41" i="6"/>
  <c r="L37" i="6"/>
  <c r="L44" i="6" s="1"/>
  <c r="U36" i="6" s="1"/>
  <c r="J40" i="6"/>
  <c r="I37" i="6"/>
  <c r="H39" i="6"/>
  <c r="K41" i="6"/>
  <c r="I40" i="6"/>
  <c r="J37" i="6"/>
  <c r="J43" i="6"/>
  <c r="I43" i="6"/>
  <c r="H43" i="6"/>
  <c r="J39" i="6"/>
  <c r="H40" i="6"/>
  <c r="K40" i="6"/>
  <c r="I38" i="6"/>
  <c r="J41" i="6"/>
  <c r="I41" i="6"/>
  <c r="K37" i="6"/>
  <c r="K38" i="6"/>
  <c r="K39" i="6"/>
  <c r="K44" i="6" l="1"/>
  <c r="T36" i="6" s="1"/>
  <c r="H44" i="6"/>
  <c r="Q36" i="6" s="1"/>
  <c r="J44" i="6"/>
  <c r="S36" i="6" s="1"/>
  <c r="I44" i="6"/>
  <c r="R36" i="6" s="1"/>
  <c r="N36" i="6"/>
  <c r="Q37" i="6"/>
  <c r="Q38" i="6" s="1"/>
  <c r="T37" i="6"/>
  <c r="T38" i="6" s="1"/>
  <c r="R37" i="6"/>
  <c r="R38" i="6" s="1"/>
  <c r="S37" i="6"/>
  <c r="S38" i="6" s="1"/>
  <c r="W41" i="6" s="1"/>
  <c r="U37" i="6"/>
  <c r="U38" i="6" s="1"/>
  <c r="H45" i="6"/>
  <c r="I45" i="6"/>
  <c r="J45" i="6"/>
  <c r="K45" i="6"/>
  <c r="L45" i="6"/>
  <c r="Z37" i="6" l="1"/>
  <c r="Z38" i="6"/>
  <c r="Z39" i="6"/>
  <c r="Z40" i="6"/>
  <c r="Z41" i="6"/>
  <c r="Z42" i="6"/>
  <c r="Z43" i="6"/>
  <c r="Z44" i="6"/>
  <c r="W42" i="6"/>
  <c r="Y42" i="6" s="1"/>
  <c r="AA42" i="6" s="1"/>
  <c r="W43" i="6"/>
  <c r="Y43" i="6" s="1"/>
  <c r="AA43" i="6" s="1"/>
  <c r="W44" i="6"/>
  <c r="Y44" i="6" s="1"/>
  <c r="AA44" i="6" s="1"/>
  <c r="W45" i="6"/>
  <c r="Y41" i="6"/>
  <c r="AA41" i="6" s="1"/>
  <c r="W39" i="6"/>
  <c r="Y39" i="6" s="1"/>
  <c r="AA39" i="6" s="1"/>
  <c r="W40" i="6"/>
  <c r="Y40" i="6" s="1"/>
  <c r="AA40" i="6" s="1"/>
  <c r="W36" i="6"/>
  <c r="W37" i="6"/>
  <c r="W38" i="6"/>
  <c r="Y38" i="6" s="1"/>
  <c r="AA38" i="6" s="1"/>
  <c r="N37" i="6"/>
  <c r="N38" i="6" s="1"/>
  <c r="N40" i="6" s="1"/>
  <c r="N42" i="6" s="1"/>
  <c r="Q40" i="6"/>
  <c r="Y45" i="6"/>
  <c r="Z45" i="6"/>
  <c r="AA45" i="6"/>
  <c r="Y37" i="6" l="1"/>
  <c r="AA37" i="6" s="1"/>
  <c r="Z36" i="6"/>
  <c r="Y36" i="6"/>
  <c r="AA36" i="6" s="1"/>
  <c r="AB36" i="6" l="1" a="1"/>
  <c r="L49" i="6"/>
  <c r="AB36" i="6" l="1"/>
  <c r="AC36" i="6" s="1"/>
  <c r="AC45" i="6"/>
  <c r="AC38" i="6"/>
  <c r="AC37" i="6"/>
  <c r="AC40" i="6"/>
  <c r="AC39" i="6"/>
  <c r="AC41" i="6"/>
  <c r="AC44" i="6"/>
  <c r="AC43" i="6"/>
  <c r="AC42" i="6"/>
  <c r="L50" i="6"/>
  <c r="L51" i="6" l="1"/>
  <c r="L52" i="6" l="1"/>
  <c r="Q52" i="6"/>
  <c r="Q50" i="6" s="1"/>
  <c r="L53" i="6" l="1"/>
  <c r="K54" i="6" l="1"/>
  <c r="L54" i="6"/>
  <c r="L47" i="6" l="1"/>
  <c r="J47" i="6"/>
  <c r="K47" i="6"/>
  <c r="I47" i="6"/>
  <c r="H48" i="6"/>
  <c r="H47" i="6"/>
  <c r="J48" i="6"/>
  <c r="I48" i="6"/>
  <c r="I53" i="6"/>
  <c r="K53" i="6"/>
  <c r="H53" i="6"/>
  <c r="J53" i="6"/>
  <c r="I51" i="6"/>
  <c r="K48" i="6"/>
  <c r="H50" i="6"/>
  <c r="J51" i="6"/>
  <c r="I49" i="6"/>
  <c r="K49" i="6"/>
  <c r="K52" i="6"/>
  <c r="J54" i="6"/>
  <c r="I54" i="6"/>
  <c r="H54" i="6"/>
  <c r="H51" i="6"/>
  <c r="K51" i="6"/>
  <c r="J49" i="6"/>
  <c r="I50" i="6"/>
  <c r="J50" i="6"/>
  <c r="K50" i="6"/>
  <c r="H49" i="6"/>
  <c r="L48" i="6"/>
  <c r="L55" i="6" s="1"/>
  <c r="U47" i="6" s="1"/>
  <c r="J52" i="6"/>
  <c r="H52" i="6"/>
  <c r="I52" i="6"/>
  <c r="H55" i="6" l="1"/>
  <c r="Q47" i="6" s="1"/>
  <c r="J55" i="6"/>
  <c r="S47" i="6" s="1"/>
  <c r="K55" i="6"/>
  <c r="T47" i="6" s="1"/>
  <c r="I55" i="6"/>
  <c r="R47" i="6" s="1"/>
  <c r="R48" i="6"/>
  <c r="R49" i="6" s="1"/>
  <c r="S48" i="6"/>
  <c r="S49" i="6" s="1"/>
  <c r="N47" i="6"/>
  <c r="Q48" i="6"/>
  <c r="T48" i="6"/>
  <c r="T49" i="6" s="1"/>
  <c r="U48" i="6"/>
  <c r="U49" i="6" s="1"/>
  <c r="H56" i="6"/>
  <c r="I56" i="6"/>
  <c r="J56" i="6"/>
  <c r="K56" i="6"/>
  <c r="L56" i="6"/>
  <c r="Q49" i="6" l="1"/>
  <c r="Z48" i="6"/>
  <c r="Z49" i="6"/>
  <c r="Z50" i="6"/>
  <c r="Z51" i="6"/>
  <c r="Z52" i="6"/>
  <c r="Z53" i="6"/>
  <c r="Z54" i="6"/>
  <c r="Z55" i="6"/>
  <c r="W47" i="6"/>
  <c r="W48" i="6"/>
  <c r="Y48" i="6" s="1"/>
  <c r="AA48" i="6" s="1"/>
  <c r="W49" i="6"/>
  <c r="Y49" i="6" s="1"/>
  <c r="AA49" i="6" s="1"/>
  <c r="W53" i="6"/>
  <c r="Y53" i="6" s="1"/>
  <c r="AA53" i="6" s="1"/>
  <c r="W54" i="6"/>
  <c r="Y54" i="6" s="1"/>
  <c r="AA54" i="6" s="1"/>
  <c r="W55" i="6"/>
  <c r="Y55" i="6" s="1"/>
  <c r="AA55" i="6" s="1"/>
  <c r="W56" i="6"/>
  <c r="W52" i="6"/>
  <c r="Y52" i="6" s="1"/>
  <c r="AA52" i="6" s="1"/>
  <c r="W50" i="6"/>
  <c r="Y50" i="6" s="1"/>
  <c r="AA50" i="6" s="1"/>
  <c r="W51" i="6"/>
  <c r="Y51" i="6" s="1"/>
  <c r="AA51" i="6" s="1"/>
  <c r="N48" i="6"/>
  <c r="N49" i="6" s="1"/>
  <c r="N51" i="6" s="1"/>
  <c r="N53" i="6" s="1"/>
  <c r="Q51" i="6"/>
  <c r="Y56" i="6"/>
  <c r="AA56" i="6" s="1"/>
  <c r="Z56" i="6"/>
  <c r="Z47" i="6" l="1"/>
  <c r="Y47" i="6"/>
  <c r="AA47" i="6" s="1"/>
  <c r="AB47" i="6" l="1" a="1"/>
  <c r="L60" i="6"/>
  <c r="AB47" i="6" l="1"/>
  <c r="AC47" i="6" s="1"/>
  <c r="AC56" i="6"/>
  <c r="AC50" i="6"/>
  <c r="AC55" i="6"/>
  <c r="AC53" i="6"/>
  <c r="AC48" i="6"/>
  <c r="AC51" i="6"/>
  <c r="AC52" i="6"/>
  <c r="AC54" i="6"/>
  <c r="AC49" i="6"/>
  <c r="L61" i="6"/>
  <c r="L62" i="6" l="1"/>
  <c r="L63" i="6" l="1"/>
  <c r="Q63" i="6"/>
  <c r="Q61" i="6" s="1"/>
  <c r="L64" i="6" l="1"/>
  <c r="K65" i="6" l="1"/>
  <c r="L65" i="6"/>
  <c r="J58" i="6" l="1"/>
  <c r="I58" i="6"/>
  <c r="K58" i="6"/>
  <c r="L58" i="6"/>
  <c r="H59" i="6"/>
  <c r="H58" i="6"/>
  <c r="H65" i="6"/>
  <c r="I64" i="6"/>
  <c r="K64" i="6"/>
  <c r="J62" i="6"/>
  <c r="J64" i="6"/>
  <c r="I62" i="6"/>
  <c r="H61" i="6"/>
  <c r="H60" i="6"/>
  <c r="K61" i="6"/>
  <c r="K60" i="6"/>
  <c r="I61" i="6"/>
  <c r="K59" i="6"/>
  <c r="H62" i="6"/>
  <c r="J63" i="6"/>
  <c r="K63" i="6"/>
  <c r="I63" i="6"/>
  <c r="J65" i="6"/>
  <c r="I65" i="6"/>
  <c r="K62" i="6"/>
  <c r="J59" i="6"/>
  <c r="L59" i="6"/>
  <c r="L66" i="6" s="1"/>
  <c r="U58" i="6" s="1"/>
  <c r="J60" i="6"/>
  <c r="I59" i="6"/>
  <c r="I60" i="6"/>
  <c r="J61" i="6"/>
  <c r="H63" i="6"/>
  <c r="H64" i="6"/>
  <c r="J66" i="6" l="1"/>
  <c r="S58" i="6" s="1"/>
  <c r="H66" i="6"/>
  <c r="Q58" i="6" s="1"/>
  <c r="I66" i="6"/>
  <c r="R58" i="6" s="1"/>
  <c r="K66" i="6"/>
  <c r="T58" i="6" s="1"/>
  <c r="T59" i="6"/>
  <c r="R59" i="6"/>
  <c r="R60" i="6" s="1"/>
  <c r="N58" i="6"/>
  <c r="Q59" i="6"/>
  <c r="Q60" i="6" s="1"/>
  <c r="U59" i="6"/>
  <c r="U60" i="6" s="1"/>
  <c r="S59" i="6"/>
  <c r="S60" i="6" s="1"/>
  <c r="H67" i="6"/>
  <c r="I67" i="6"/>
  <c r="J67" i="6"/>
  <c r="K67" i="6"/>
  <c r="L67" i="6"/>
  <c r="T60" i="6" l="1"/>
  <c r="W63" i="6" s="1"/>
  <c r="Y63" i="6" s="1"/>
  <c r="AA63" i="6" s="1"/>
  <c r="Z59" i="6"/>
  <c r="Z60" i="6"/>
  <c r="Z61" i="6"/>
  <c r="Z62" i="6"/>
  <c r="Z63" i="6"/>
  <c r="Z64" i="6"/>
  <c r="Z65" i="6"/>
  <c r="Z66" i="6"/>
  <c r="W64" i="6"/>
  <c r="Y64" i="6" s="1"/>
  <c r="AA64" i="6" s="1"/>
  <c r="W65" i="6"/>
  <c r="Y65" i="6" s="1"/>
  <c r="AA65" i="6" s="1"/>
  <c r="W66" i="6"/>
  <c r="Y66" i="6" s="1"/>
  <c r="AA66" i="6" s="1"/>
  <c r="W58" i="6"/>
  <c r="W59" i="6"/>
  <c r="W61" i="6"/>
  <c r="Y61" i="6" s="1"/>
  <c r="AA61" i="6" s="1"/>
  <c r="N59" i="6"/>
  <c r="N60" i="6" s="1"/>
  <c r="N62" i="6" s="1"/>
  <c r="N64" i="6" s="1"/>
  <c r="Q62" i="6"/>
  <c r="Z67" i="6"/>
  <c r="W62" i="6" l="1"/>
  <c r="Y62" i="6" s="1"/>
  <c r="AA62" i="6" s="1"/>
  <c r="W60" i="6"/>
  <c r="Y60" i="6" s="1"/>
  <c r="AA60" i="6" s="1"/>
  <c r="Y59" i="6"/>
  <c r="AA59" i="6" s="1"/>
  <c r="W67" i="6"/>
  <c r="Y67" i="6" s="1"/>
  <c r="AA67" i="6" s="1"/>
  <c r="Z58" i="6"/>
  <c r="Y58" i="6"/>
  <c r="AA58" i="6" s="1"/>
  <c r="AB58" i="6" l="1" a="1"/>
  <c r="L71" i="6"/>
  <c r="AB58" i="6" l="1"/>
  <c r="AC58" i="6" s="1"/>
  <c r="AC67" i="6"/>
  <c r="AC59" i="6"/>
  <c r="AC61" i="6"/>
  <c r="AC66" i="6"/>
  <c r="AC64" i="6"/>
  <c r="AC62" i="6"/>
  <c r="AC60" i="6"/>
  <c r="AC63" i="6"/>
  <c r="AC65" i="6"/>
  <c r="L72" i="6"/>
  <c r="L73" i="6" l="1"/>
  <c r="L74" i="6" l="1"/>
  <c r="Q74" i="6"/>
  <c r="Q72" i="6" s="1"/>
  <c r="L75" i="6" l="1"/>
  <c r="I73" i="6" l="1"/>
  <c r="I71" i="6"/>
  <c r="K76" i="6"/>
  <c r="L76" i="6"/>
  <c r="J76" i="6" l="1"/>
  <c r="I76" i="6"/>
  <c r="H76" i="6"/>
  <c r="J72" i="6"/>
  <c r="H73" i="6"/>
  <c r="I74" i="6"/>
  <c r="H74" i="6"/>
  <c r="J69" i="6"/>
  <c r="L69" i="6"/>
  <c r="K69" i="6"/>
  <c r="I69" i="6"/>
  <c r="H69" i="6"/>
  <c r="H71" i="6"/>
  <c r="H70" i="6"/>
  <c r="I72" i="6"/>
  <c r="I70" i="6"/>
  <c r="H75" i="6"/>
  <c r="K75" i="6"/>
  <c r="I75" i="6"/>
  <c r="J75" i="6"/>
  <c r="J70" i="6"/>
  <c r="L70" i="6"/>
  <c r="K74" i="6"/>
  <c r="J74" i="6"/>
  <c r="K70" i="6"/>
  <c r="J73" i="6"/>
  <c r="K73" i="6"/>
  <c r="H72" i="6"/>
  <c r="J71" i="6"/>
  <c r="K72" i="6"/>
  <c r="K71" i="6"/>
  <c r="K77" i="6" l="1"/>
  <c r="T69" i="6" s="1"/>
  <c r="R70" i="6"/>
  <c r="U70" i="6"/>
  <c r="I77" i="6"/>
  <c r="R69" i="6" s="1"/>
  <c r="R71" i="6" s="1"/>
  <c r="N69" i="6"/>
  <c r="Q70" i="6"/>
  <c r="T70" i="6"/>
  <c r="T71" i="6" s="1"/>
  <c r="L77" i="6"/>
  <c r="U69" i="6" s="1"/>
  <c r="U71" i="6" s="1"/>
  <c r="S70" i="6"/>
  <c r="J77" i="6"/>
  <c r="S69" i="6" s="1"/>
  <c r="H77" i="6"/>
  <c r="Q69" i="6" s="1"/>
  <c r="Q71" i="6" s="1"/>
  <c r="H78" i="6"/>
  <c r="I78" i="6"/>
  <c r="J78" i="6"/>
  <c r="K78" i="6"/>
  <c r="L78" i="6"/>
  <c r="S71" i="6" l="1"/>
  <c r="W78" i="6"/>
  <c r="Z70" i="6"/>
  <c r="Z71" i="6"/>
  <c r="Z72" i="6"/>
  <c r="Z73" i="6"/>
  <c r="Z74" i="6"/>
  <c r="Z75" i="6"/>
  <c r="Z76" i="6"/>
  <c r="Z77" i="6"/>
  <c r="N70" i="6"/>
  <c r="N71" i="6" s="1"/>
  <c r="N73" i="6" s="1"/>
  <c r="N75" i="6" s="1"/>
  <c r="W69" i="6"/>
  <c r="W70" i="6"/>
  <c r="Y70" i="6" s="1"/>
  <c r="AA70" i="6" s="1"/>
  <c r="W71" i="6"/>
  <c r="Y71" i="6" s="1"/>
  <c r="AA71" i="6" s="1"/>
  <c r="W74" i="6"/>
  <c r="Y74" i="6" s="1"/>
  <c r="AA74" i="6" s="1"/>
  <c r="W75" i="6"/>
  <c r="Y75" i="6" s="1"/>
  <c r="AA75" i="6" s="1"/>
  <c r="W76" i="6"/>
  <c r="Y76" i="6" s="1"/>
  <c r="AA76" i="6" s="1"/>
  <c r="W77" i="6"/>
  <c r="Y77" i="6" s="1"/>
  <c r="AA77" i="6" s="1"/>
  <c r="Q73" i="6"/>
  <c r="W72" i="6"/>
  <c r="Y72" i="6" s="1"/>
  <c r="AA72" i="6" s="1"/>
  <c r="W73" i="6"/>
  <c r="Y73" i="6" s="1"/>
  <c r="AA73" i="6" s="1"/>
  <c r="Y78" i="6"/>
  <c r="Z78" i="6"/>
  <c r="AA78" i="6"/>
  <c r="Z69" i="6" l="1"/>
  <c r="Y69" i="6" l="1"/>
  <c r="AA69" i="6" s="1"/>
  <c r="AB69" i="6" s="1" a="1"/>
  <c r="L82" i="6"/>
  <c r="AB69" i="6" l="1"/>
  <c r="AC69" i="6" s="1"/>
  <c r="AC78" i="6"/>
  <c r="AC73" i="6"/>
  <c r="AC72" i="6"/>
  <c r="AC76" i="6"/>
  <c r="AC75" i="6"/>
  <c r="AC74" i="6"/>
  <c r="AC71" i="6"/>
  <c r="AC70" i="6"/>
  <c r="AC77" i="6"/>
  <c r="L83" i="6"/>
  <c r="L84" i="6" l="1"/>
  <c r="L85" i="6" l="1"/>
  <c r="Q85" i="6"/>
  <c r="Q83" i="6" s="1"/>
  <c r="L86" i="6" l="1"/>
  <c r="J85" i="6" l="1"/>
  <c r="I85" i="6"/>
  <c r="H87" i="6"/>
  <c r="I87" i="6"/>
  <c r="J87" i="6"/>
  <c r="K87" i="6"/>
  <c r="L87" i="6"/>
  <c r="L80" i="6" l="1"/>
  <c r="K80" i="6"/>
  <c r="J80" i="6"/>
  <c r="H80" i="6"/>
  <c r="J82" i="6"/>
  <c r="J81" i="6"/>
  <c r="I81" i="6"/>
  <c r="H81" i="6"/>
  <c r="I80" i="6"/>
  <c r="H82" i="6"/>
  <c r="J83" i="6"/>
  <c r="H85" i="6"/>
  <c r="I86" i="6"/>
  <c r="J86" i="6"/>
  <c r="H86" i="6"/>
  <c r="K86" i="6"/>
  <c r="J84" i="6"/>
  <c r="K84" i="6"/>
  <c r="I84" i="6"/>
  <c r="H84" i="6"/>
  <c r="I83" i="6"/>
  <c r="I82" i="6"/>
  <c r="L81" i="6"/>
  <c r="L88" i="6" s="1"/>
  <c r="U80" i="6" s="1"/>
  <c r="K82" i="6"/>
  <c r="K81" i="6"/>
  <c r="K83" i="6"/>
  <c r="H83" i="6"/>
  <c r="K85" i="6"/>
  <c r="K88" i="6" l="1"/>
  <c r="T80" i="6" s="1"/>
  <c r="J88" i="6"/>
  <c r="S80" i="6" s="1"/>
  <c r="R81" i="6"/>
  <c r="N80" i="6"/>
  <c r="Q81" i="6"/>
  <c r="I88" i="6"/>
  <c r="R80" i="6" s="1"/>
  <c r="R82" i="6" s="1"/>
  <c r="S81" i="6"/>
  <c r="S82" i="6" s="1"/>
  <c r="H88" i="6"/>
  <c r="Q80" i="6" s="1"/>
  <c r="Q82" i="6" s="1"/>
  <c r="T81" i="6"/>
  <c r="T82" i="6" s="1"/>
  <c r="U81" i="6"/>
  <c r="U82" i="6" s="1"/>
  <c r="H89" i="6"/>
  <c r="I89" i="6"/>
  <c r="J89" i="6"/>
  <c r="K89" i="6"/>
  <c r="L89" i="6"/>
  <c r="Z81" i="6" l="1"/>
  <c r="Z82" i="6"/>
  <c r="Z83" i="6"/>
  <c r="Z84" i="6"/>
  <c r="Z85" i="6"/>
  <c r="Z86" i="6"/>
  <c r="Z87" i="6"/>
  <c r="Z88" i="6"/>
  <c r="W86" i="6"/>
  <c r="Y86" i="6" s="1"/>
  <c r="AA86" i="6" s="1"/>
  <c r="W87" i="6"/>
  <c r="Y87" i="6" s="1"/>
  <c r="AA87" i="6" s="1"/>
  <c r="W88" i="6"/>
  <c r="Y88" i="6" s="1"/>
  <c r="AA88" i="6" s="1"/>
  <c r="W89" i="6"/>
  <c r="W85" i="6"/>
  <c r="Y85" i="6" s="1"/>
  <c r="AA85" i="6" s="1"/>
  <c r="N81" i="6"/>
  <c r="N82" i="6" s="1"/>
  <c r="N84" i="6" s="1"/>
  <c r="N86" i="6" s="1"/>
  <c r="W80" i="6"/>
  <c r="W81" i="6"/>
  <c r="Y81" i="6" s="1"/>
  <c r="AA81" i="6" s="1"/>
  <c r="W82" i="6"/>
  <c r="Y82" i="6" s="1"/>
  <c r="AA82" i="6" s="1"/>
  <c r="W83" i="6"/>
  <c r="Y83" i="6" s="1"/>
  <c r="AA83" i="6" s="1"/>
  <c r="W84" i="6"/>
  <c r="Y84" i="6" s="1"/>
  <c r="AA84" i="6" s="1"/>
  <c r="Q84" i="6"/>
  <c r="Y89" i="6"/>
  <c r="AA89" i="6" s="1"/>
  <c r="Z89" i="6"/>
  <c r="Z80" i="6" l="1"/>
  <c r="Y80" i="6"/>
  <c r="AA80" i="6" s="1"/>
  <c r="AB80" i="6" l="1" a="1"/>
  <c r="L93" i="6"/>
  <c r="AB80" i="6" l="1"/>
  <c r="AC80" i="6" s="1"/>
  <c r="AC89" i="6"/>
  <c r="AC83" i="6"/>
  <c r="AC85" i="6"/>
  <c r="AC88" i="6"/>
  <c r="AC84" i="6"/>
  <c r="AC82" i="6"/>
  <c r="AC81" i="6"/>
  <c r="AC86" i="6"/>
  <c r="AC87" i="6"/>
  <c r="L94" i="6"/>
  <c r="L95" i="6" l="1"/>
  <c r="L96" i="6" l="1"/>
  <c r="Q96" i="6"/>
  <c r="Q94" i="6" s="1"/>
  <c r="L97" i="6" l="1"/>
  <c r="K97" i="6" l="1"/>
  <c r="H98" i="6"/>
  <c r="I93" i="6"/>
  <c r="I98" i="6"/>
  <c r="K98" i="6"/>
  <c r="L98" i="6"/>
  <c r="H94" i="6" l="1"/>
  <c r="K95" i="6"/>
  <c r="I95" i="6"/>
  <c r="K96" i="6"/>
  <c r="K91" i="6"/>
  <c r="I91" i="6"/>
  <c r="L91" i="6"/>
  <c r="J91" i="6"/>
  <c r="J93" i="6"/>
  <c r="H91" i="6"/>
  <c r="H93" i="6"/>
  <c r="J94" i="6"/>
  <c r="K92" i="6"/>
  <c r="K93" i="6"/>
  <c r="I97" i="6"/>
  <c r="L92" i="6"/>
  <c r="K94" i="6"/>
  <c r="H97" i="6"/>
  <c r="H92" i="6"/>
  <c r="I94" i="6"/>
  <c r="I96" i="6"/>
  <c r="H96" i="6"/>
  <c r="J95" i="6"/>
  <c r="J92" i="6"/>
  <c r="J96" i="6"/>
  <c r="I92" i="6"/>
  <c r="H95" i="6"/>
  <c r="J97" i="6"/>
  <c r="J98" i="6"/>
  <c r="H99" i="6" l="1"/>
  <c r="Q91" i="6" s="1"/>
  <c r="K99" i="6"/>
  <c r="T91" i="6" s="1"/>
  <c r="I99" i="6"/>
  <c r="R91" i="6" s="1"/>
  <c r="S92" i="6"/>
  <c r="J99" i="6"/>
  <c r="S91" i="6" s="1"/>
  <c r="S93" i="6" s="1"/>
  <c r="U92" i="6"/>
  <c r="T92" i="6"/>
  <c r="T93" i="6" s="1"/>
  <c r="N91" i="6"/>
  <c r="Q92" i="6"/>
  <c r="Q93" i="6" s="1"/>
  <c r="L99" i="6"/>
  <c r="U91" i="6" s="1"/>
  <c r="U93" i="6" s="1"/>
  <c r="R92" i="6"/>
  <c r="R93" i="6" s="1"/>
  <c r="H100" i="6"/>
  <c r="I100" i="6"/>
  <c r="J100" i="6"/>
  <c r="K100" i="6"/>
  <c r="L100" i="6"/>
  <c r="W100" i="6" l="1"/>
  <c r="Z92" i="6"/>
  <c r="Z93" i="6"/>
  <c r="Z94" i="6"/>
  <c r="Z95" i="6"/>
  <c r="Z96" i="6"/>
  <c r="Z97" i="6"/>
  <c r="Z98" i="6"/>
  <c r="Z99" i="6"/>
  <c r="W94" i="6"/>
  <c r="Y94" i="6" s="1"/>
  <c r="AA94" i="6" s="1"/>
  <c r="W95" i="6"/>
  <c r="Y95" i="6" s="1"/>
  <c r="AA95" i="6" s="1"/>
  <c r="W91" i="6"/>
  <c r="W92" i="6"/>
  <c r="W93" i="6"/>
  <c r="Y93" i="6" s="1"/>
  <c r="AA93" i="6" s="1"/>
  <c r="Q95" i="6"/>
  <c r="W96" i="6"/>
  <c r="Y96" i="6" s="1"/>
  <c r="AA96" i="6" s="1"/>
  <c r="N92" i="6"/>
  <c r="N93" i="6" s="1"/>
  <c r="N95" i="6" s="1"/>
  <c r="N97" i="6" s="1"/>
  <c r="W97" i="6"/>
  <c r="Y97" i="6" s="1"/>
  <c r="AA97" i="6" s="1"/>
  <c r="W98" i="6"/>
  <c r="Y98" i="6" s="1"/>
  <c r="AA98" i="6" s="1"/>
  <c r="W99" i="6"/>
  <c r="Y99" i="6" s="1"/>
  <c r="AA99" i="6" s="1"/>
  <c r="Y100" i="6"/>
  <c r="Z100" i="6"/>
  <c r="AA100" i="6"/>
  <c r="Y92" i="6" l="1"/>
  <c r="AA92" i="6" s="1"/>
  <c r="Z91" i="6"/>
  <c r="Y91" i="6"/>
  <c r="AA91" i="6" s="1"/>
  <c r="AB91" i="6" l="1" a="1"/>
  <c r="L104" i="6"/>
  <c r="AB91" i="6" l="1"/>
  <c r="AC91" i="6" s="1"/>
  <c r="AC100" i="6"/>
  <c r="AC97" i="6"/>
  <c r="AC96" i="6"/>
  <c r="AC95" i="6"/>
  <c r="AC94" i="6"/>
  <c r="AC98" i="6"/>
  <c r="AC93" i="6"/>
  <c r="AC99" i="6"/>
  <c r="AC92" i="6"/>
  <c r="L105" i="6"/>
  <c r="L106" i="6" l="1"/>
  <c r="L107" i="6" l="1"/>
  <c r="Q107" i="6"/>
  <c r="Q105" i="6" s="1"/>
  <c r="L108" i="6" l="1"/>
  <c r="K108" i="6" l="1"/>
  <c r="I109" i="6"/>
  <c r="J109" i="6"/>
  <c r="K109" i="6"/>
  <c r="L109" i="6"/>
  <c r="K102" i="6" l="1"/>
  <c r="L102" i="6"/>
  <c r="J102" i="6"/>
  <c r="I102" i="6"/>
  <c r="H103" i="6"/>
  <c r="H102" i="6"/>
  <c r="K105" i="6"/>
  <c r="J103" i="6"/>
  <c r="I103" i="6"/>
  <c r="K106" i="6"/>
  <c r="H105" i="6"/>
  <c r="H104" i="6"/>
  <c r="I108" i="6"/>
  <c r="K107" i="6"/>
  <c r="J107" i="6"/>
  <c r="I106" i="6"/>
  <c r="J105" i="6"/>
  <c r="K104" i="6"/>
  <c r="I105" i="6"/>
  <c r="L103" i="6"/>
  <c r="L110" i="6" s="1"/>
  <c r="U102" i="6" s="1"/>
  <c r="I107" i="6"/>
  <c r="H109" i="6"/>
  <c r="I104" i="6"/>
  <c r="H106" i="6"/>
  <c r="H107" i="6"/>
  <c r="J106" i="6"/>
  <c r="K103" i="6"/>
  <c r="K110" i="6" s="1"/>
  <c r="T102" i="6" s="1"/>
  <c r="J104" i="6"/>
  <c r="H108" i="6"/>
  <c r="J108" i="6"/>
  <c r="I110" i="6" l="1"/>
  <c r="R102" i="6" s="1"/>
  <c r="J110" i="6"/>
  <c r="S102" i="6" s="1"/>
  <c r="R103" i="6"/>
  <c r="R104" i="6" s="1"/>
  <c r="U103" i="6"/>
  <c r="U104" i="6" s="1"/>
  <c r="N102" i="6"/>
  <c r="Q103" i="6"/>
  <c r="H110" i="6"/>
  <c r="Q102" i="6" s="1"/>
  <c r="Q104" i="6" s="1"/>
  <c r="S103" i="6"/>
  <c r="S104" i="6" s="1"/>
  <c r="T103" i="6"/>
  <c r="T104" i="6" s="1"/>
  <c r="H111" i="6"/>
  <c r="I111" i="6"/>
  <c r="J111" i="6"/>
  <c r="K111" i="6"/>
  <c r="L111" i="6"/>
  <c r="Z103" i="6" l="1"/>
  <c r="Z104" i="6"/>
  <c r="Z105" i="6"/>
  <c r="Z106" i="6"/>
  <c r="Z107" i="6"/>
  <c r="Z108" i="6"/>
  <c r="Z109" i="6"/>
  <c r="Z110" i="6"/>
  <c r="W107" i="6"/>
  <c r="Y107" i="6" s="1"/>
  <c r="AA107" i="6" s="1"/>
  <c r="W108" i="6"/>
  <c r="Y108" i="6" s="1"/>
  <c r="AA108" i="6" s="1"/>
  <c r="W109" i="6"/>
  <c r="Y109" i="6" s="1"/>
  <c r="AA109" i="6" s="1"/>
  <c r="W110" i="6"/>
  <c r="Y110" i="6" s="1"/>
  <c r="AA110" i="6" s="1"/>
  <c r="W111" i="6"/>
  <c r="W105" i="6"/>
  <c r="Y105" i="6" s="1"/>
  <c r="AA105" i="6" s="1"/>
  <c r="W106" i="6"/>
  <c r="Y106" i="6" s="1"/>
  <c r="AA106" i="6" s="1"/>
  <c r="N103" i="6"/>
  <c r="N104" i="6" s="1"/>
  <c r="N106" i="6" s="1"/>
  <c r="N108" i="6" s="1"/>
  <c r="W102" i="6"/>
  <c r="W103" i="6"/>
  <c r="W104" i="6"/>
  <c r="Y104" i="6" s="1"/>
  <c r="AA104" i="6" s="1"/>
  <c r="Q106" i="6"/>
  <c r="Y111" i="6"/>
  <c r="Z111" i="6"/>
  <c r="AA111" i="6"/>
  <c r="Z102" i="6" l="1"/>
  <c r="Y103" i="6"/>
  <c r="AA103" i="6" s="1"/>
  <c r="Y102" i="6"/>
  <c r="AA102" i="6" s="1"/>
  <c r="AB102" i="6" l="1" a="1"/>
  <c r="L115" i="6"/>
  <c r="AB102" i="6" l="1"/>
  <c r="AC102" i="6" s="1"/>
  <c r="AC111" i="6"/>
  <c r="AC104" i="6"/>
  <c r="AC106" i="6"/>
  <c r="AC105" i="6"/>
  <c r="AC110" i="6"/>
  <c r="AC109" i="6"/>
  <c r="AC108" i="6"/>
  <c r="AC107" i="6"/>
  <c r="AC103" i="6"/>
  <c r="L116" i="6"/>
  <c r="L117" i="6" l="1"/>
  <c r="L118" i="6" l="1"/>
  <c r="Q118" i="6"/>
  <c r="Q116" i="6" s="1"/>
  <c r="L119" i="6" l="1"/>
  <c r="K120" i="6" l="1"/>
  <c r="L120" i="6"/>
  <c r="J113" i="6" l="1"/>
  <c r="I113" i="6"/>
  <c r="K113" i="6"/>
  <c r="L113" i="6"/>
  <c r="H114" i="6"/>
  <c r="H113" i="6"/>
  <c r="H115" i="6"/>
  <c r="I114" i="6"/>
  <c r="J114" i="6"/>
  <c r="K114" i="6"/>
  <c r="I116" i="6"/>
  <c r="L114" i="6"/>
  <c r="L121" i="6" s="1"/>
  <c r="U113" i="6" s="1"/>
  <c r="I119" i="6"/>
  <c r="H119" i="6"/>
  <c r="J119" i="6"/>
  <c r="K119" i="6"/>
  <c r="I117" i="6"/>
  <c r="J115" i="6"/>
  <c r="J117" i="6"/>
  <c r="K117" i="6"/>
  <c r="I115" i="6"/>
  <c r="H118" i="6"/>
  <c r="J120" i="6"/>
  <c r="I120" i="6"/>
  <c r="H120" i="6"/>
  <c r="H117" i="6"/>
  <c r="K115" i="6"/>
  <c r="H116" i="6"/>
  <c r="K116" i="6"/>
  <c r="J116" i="6"/>
  <c r="K118" i="6"/>
  <c r="J118" i="6"/>
  <c r="I118" i="6"/>
  <c r="K121" i="6" l="1"/>
  <c r="T113" i="6" s="1"/>
  <c r="I121" i="6"/>
  <c r="R113" i="6" s="1"/>
  <c r="H121" i="6"/>
  <c r="Q113" i="6" s="1"/>
  <c r="J121" i="6"/>
  <c r="S113" i="6" s="1"/>
  <c r="T114" i="6"/>
  <c r="T115" i="6" s="1"/>
  <c r="R114" i="6"/>
  <c r="R115" i="6" s="1"/>
  <c r="N113" i="6"/>
  <c r="Q114" i="6"/>
  <c r="Q115" i="6" s="1"/>
  <c r="U114" i="6"/>
  <c r="U115" i="6" s="1"/>
  <c r="S114" i="6"/>
  <c r="S115" i="6" s="1"/>
  <c r="W118" i="6" s="1"/>
  <c r="H122" i="6"/>
  <c r="I122" i="6"/>
  <c r="J122" i="6"/>
  <c r="K122" i="6"/>
  <c r="L122" i="6"/>
  <c r="Z114" i="6" l="1"/>
  <c r="Z115" i="6"/>
  <c r="Z116" i="6"/>
  <c r="Z117" i="6"/>
  <c r="Z118" i="6"/>
  <c r="Z119" i="6"/>
  <c r="Z120" i="6"/>
  <c r="Z121" i="6"/>
  <c r="W116" i="6"/>
  <c r="Y116" i="6" s="1"/>
  <c r="AA116" i="6" s="1"/>
  <c r="W117" i="6"/>
  <c r="Y117" i="6" s="1"/>
  <c r="AA117" i="6" s="1"/>
  <c r="Y118" i="6"/>
  <c r="AA118" i="6" s="1"/>
  <c r="W119" i="6"/>
  <c r="Y119" i="6" s="1"/>
  <c r="AA119" i="6" s="1"/>
  <c r="W120" i="6"/>
  <c r="Y120" i="6" s="1"/>
  <c r="AA120" i="6" s="1"/>
  <c r="W121" i="6"/>
  <c r="Y121" i="6" s="1"/>
  <c r="AA121" i="6" s="1"/>
  <c r="W122" i="6"/>
  <c r="W113" i="6"/>
  <c r="W114" i="6"/>
  <c r="W115" i="6"/>
  <c r="N114" i="6"/>
  <c r="N115" i="6" s="1"/>
  <c r="N117" i="6" s="1"/>
  <c r="N119" i="6" s="1"/>
  <c r="Q117" i="6"/>
  <c r="Y122" i="6"/>
  <c r="Z122" i="6"/>
  <c r="AA122" i="6"/>
  <c r="Y115" i="6" l="1"/>
  <c r="AA115" i="6" s="1"/>
  <c r="Y114" i="6"/>
  <c r="AA114" i="6" s="1"/>
  <c r="Z113" i="6"/>
  <c r="Y113" i="6"/>
  <c r="AA113" i="6" s="1"/>
  <c r="AB113" i="6" l="1" a="1"/>
  <c r="L126" i="6"/>
  <c r="AB113" i="6" l="1"/>
  <c r="AC113" i="6" s="1"/>
  <c r="AC122" i="6"/>
  <c r="AC115" i="6"/>
  <c r="AC120" i="6"/>
  <c r="AC119" i="6"/>
  <c r="AC118" i="6"/>
  <c r="AC121" i="6"/>
  <c r="AC116" i="6"/>
  <c r="AC114" i="6"/>
  <c r="AC117" i="6"/>
  <c r="L127" i="6"/>
  <c r="L128" i="6" l="1"/>
  <c r="L129" i="6" l="1"/>
  <c r="Q129" i="6"/>
  <c r="Q127" i="6" s="1"/>
  <c r="L130" i="6" l="1"/>
  <c r="I130" i="6" l="1"/>
  <c r="H131" i="6"/>
  <c r="I131" i="6"/>
  <c r="J131" i="6"/>
  <c r="K131" i="6"/>
  <c r="L131" i="6"/>
  <c r="J124" i="6" l="1"/>
  <c r="H124" i="6"/>
  <c r="K124" i="6"/>
  <c r="I124" i="6"/>
  <c r="L124" i="6"/>
  <c r="I126" i="6"/>
  <c r="H125" i="6"/>
  <c r="K127" i="6"/>
  <c r="H126" i="6"/>
  <c r="I128" i="6"/>
  <c r="I127" i="6"/>
  <c r="H128" i="6"/>
  <c r="K125" i="6"/>
  <c r="K129" i="6"/>
  <c r="J128" i="6"/>
  <c r="J127" i="6"/>
  <c r="K130" i="6"/>
  <c r="J129" i="6"/>
  <c r="I125" i="6"/>
  <c r="H130" i="6"/>
  <c r="K126" i="6"/>
  <c r="I129" i="6"/>
  <c r="L125" i="6"/>
  <c r="J125" i="6"/>
  <c r="H129" i="6"/>
  <c r="H127" i="6"/>
  <c r="K128" i="6"/>
  <c r="J130" i="6"/>
  <c r="J126" i="6"/>
  <c r="J132" i="6" l="1"/>
  <c r="S124" i="6" s="1"/>
  <c r="K132" i="6"/>
  <c r="T124" i="6" s="1"/>
  <c r="H132" i="6"/>
  <c r="Q124" i="6" s="1"/>
  <c r="I132" i="6"/>
  <c r="R124" i="6" s="1"/>
  <c r="U125" i="6"/>
  <c r="R125" i="6"/>
  <c r="R126" i="6" s="1"/>
  <c r="N124" i="6"/>
  <c r="Q125" i="6"/>
  <c r="Q126" i="6" s="1"/>
  <c r="L132" i="6"/>
  <c r="U124" i="6" s="1"/>
  <c r="U126" i="6" s="1"/>
  <c r="T125" i="6"/>
  <c r="T126" i="6" s="1"/>
  <c r="S125" i="6"/>
  <c r="S126" i="6" s="1"/>
  <c r="W129" i="6" s="1"/>
  <c r="H133" i="6"/>
  <c r="I133" i="6"/>
  <c r="J133" i="6"/>
  <c r="K133" i="6"/>
  <c r="L133" i="6"/>
  <c r="W133" i="6" l="1"/>
  <c r="N125" i="6"/>
  <c r="N126" i="6" s="1"/>
  <c r="N128" i="6" s="1"/>
  <c r="N130" i="6" s="1"/>
  <c r="Z125" i="6"/>
  <c r="Z126" i="6"/>
  <c r="Z127" i="6"/>
  <c r="Z128" i="6"/>
  <c r="Z129" i="6"/>
  <c r="Z130" i="6"/>
  <c r="Z131" i="6"/>
  <c r="Z132" i="6"/>
  <c r="W124" i="6"/>
  <c r="W125" i="6"/>
  <c r="Y125" i="6" s="1"/>
  <c r="AA125" i="6" s="1"/>
  <c r="W126" i="6"/>
  <c r="Y126" i="6" s="1"/>
  <c r="AA126" i="6" s="1"/>
  <c r="W127" i="6"/>
  <c r="Y127" i="6" s="1"/>
  <c r="AA127" i="6" s="1"/>
  <c r="W128" i="6"/>
  <c r="Y128" i="6" s="1"/>
  <c r="AA128" i="6" s="1"/>
  <c r="W130" i="6"/>
  <c r="Y130" i="6" s="1"/>
  <c r="AA130" i="6" s="1"/>
  <c r="W131" i="6"/>
  <c r="Y131" i="6" s="1"/>
  <c r="AA131" i="6" s="1"/>
  <c r="W132" i="6"/>
  <c r="Y132" i="6" s="1"/>
  <c r="AA132" i="6" s="1"/>
  <c r="Q128" i="6"/>
  <c r="Y133" i="6"/>
  <c r="Z133" i="6"/>
  <c r="AA133" i="6"/>
  <c r="Y129" i="6" l="1"/>
  <c r="AA129" i="6" s="1"/>
  <c r="Z124" i="6"/>
  <c r="Y124" i="6"/>
  <c r="AA124" i="6" s="1"/>
  <c r="AB124" i="6" l="1" a="1"/>
  <c r="AB124" i="6" l="1"/>
  <c r="AC124" i="6" s="1"/>
  <c r="AC133" i="6"/>
  <c r="AC132" i="6"/>
  <c r="AC130" i="6"/>
  <c r="AC128" i="6"/>
  <c r="AC127" i="6"/>
  <c r="AC125" i="6"/>
  <c r="AC129" i="6"/>
  <c r="AC131" i="6"/>
  <c r="AC126" i="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<sst xmlns="http://schemas.openxmlformats.org/spreadsheetml/2006/main" count="2086" uniqueCount="340">
  <si>
    <t>Formula</t>
  </si>
  <si>
    <t>CAS</t>
  </si>
  <si>
    <t>ATC Number</t>
  </si>
  <si>
    <t>Class</t>
  </si>
  <si>
    <t>Acetaminophen/Paracetamol</t>
  </si>
  <si>
    <t>C8H9NO2</t>
  </si>
  <si>
    <t>103-90-2</t>
  </si>
  <si>
    <t>N02BE01</t>
  </si>
  <si>
    <t>Analgesic</t>
  </si>
  <si>
    <t>Amphetamine</t>
  </si>
  <si>
    <t>C9H13N</t>
  </si>
  <si>
    <t>300-62-9</t>
  </si>
  <si>
    <t>N06BA01</t>
  </si>
  <si>
    <t>Stimulants</t>
  </si>
  <si>
    <t>Amitriptyline</t>
  </si>
  <si>
    <t>C20H23N</t>
  </si>
  <si>
    <t>50-48-6</t>
  </si>
  <si>
    <t>N06CA01</t>
  </si>
  <si>
    <t>Psychoanaleptics</t>
  </si>
  <si>
    <t>Aripiprazole</t>
  </si>
  <si>
    <t>C23H27Cl2N3O2</t>
  </si>
  <si>
    <t>129722-12-9</t>
  </si>
  <si>
    <t>N05AX12</t>
  </si>
  <si>
    <t>Psycholeptic</t>
  </si>
  <si>
    <t>Bupropion</t>
  </si>
  <si>
    <t> C13H19BrClNO</t>
  </si>
  <si>
    <t>34911-55-2</t>
  </si>
  <si>
    <t>N06AX12</t>
  </si>
  <si>
    <t>Caffeine</t>
  </si>
  <si>
    <t>C8H10N4O2</t>
  </si>
  <si>
    <t>58-08-2</t>
  </si>
  <si>
    <t>N06BC01</t>
  </si>
  <si>
    <t>Carbamazepine</t>
  </si>
  <si>
    <t>C15H12N2O</t>
  </si>
  <si>
    <t>298-46-4</t>
  </si>
  <si>
    <t>N03AF01</t>
  </si>
  <si>
    <t>Antiepileptic</t>
  </si>
  <si>
    <t>Chlorpromazine</t>
  </si>
  <si>
    <t>C17H19ClN2S</t>
  </si>
  <si>
    <t>50-53-3</t>
  </si>
  <si>
    <t>N05AA01</t>
  </si>
  <si>
    <t>Citalopram</t>
  </si>
  <si>
    <t>C20H21FN2O</t>
  </si>
  <si>
    <t>59729-33-8</t>
  </si>
  <si>
    <t>N06AB04</t>
  </si>
  <si>
    <t>Clonidine</t>
  </si>
  <si>
    <t>C9H9Cl2N3</t>
  </si>
  <si>
    <t>4205-90-7</t>
  </si>
  <si>
    <t>N02CX02</t>
  </si>
  <si>
    <t>Clozapine</t>
  </si>
  <si>
    <t>C18H19ClN4</t>
  </si>
  <si>
    <t>5786-21-0</t>
  </si>
  <si>
    <t>N05AH02</t>
  </si>
  <si>
    <t>Duloxetine</t>
  </si>
  <si>
    <t>C18H19NOS</t>
  </si>
  <si>
    <t>116539-59-4</t>
  </si>
  <si>
    <t>N06AX21</t>
  </si>
  <si>
    <t>Fluoxetine</t>
  </si>
  <si>
    <t>C17H18F3NO</t>
  </si>
  <si>
    <t>54910-89-3</t>
  </si>
  <si>
    <t>N06CA03</t>
  </si>
  <si>
    <t>Fluvoxamine</t>
  </si>
  <si>
    <t>C15H21F3N2O2</t>
  </si>
  <si>
    <t>54739-18-3</t>
  </si>
  <si>
    <t>N06AB08</t>
  </si>
  <si>
    <t>Gabapentin</t>
  </si>
  <si>
    <t>C9H17NO2</t>
  </si>
  <si>
    <t>60142-96-3</t>
  </si>
  <si>
    <t>N03AX12</t>
  </si>
  <si>
    <t>Haloperidol</t>
  </si>
  <si>
    <t>C21H23ClFNO2</t>
  </si>
  <si>
    <t>52-86-8</t>
  </si>
  <si>
    <t>N05AD01</t>
  </si>
  <si>
    <t>Ibuprofen</t>
  </si>
  <si>
    <t>C13H18O2</t>
  </si>
  <si>
    <t>15687-27-1</t>
  </si>
  <si>
    <t>N02AJ19</t>
  </si>
  <si>
    <t>Lamotrigine</t>
  </si>
  <si>
    <t>C9H7Cl2N5</t>
  </si>
  <si>
    <t>84057-84-1</t>
  </si>
  <si>
    <t>N03AX09</t>
  </si>
  <si>
    <t>Levetiracetam</t>
  </si>
  <si>
    <t>C8H14N2O2</t>
  </si>
  <si>
    <t>102767-28-2</t>
  </si>
  <si>
    <t>N03AX14</t>
  </si>
  <si>
    <t>Lidocaine</t>
  </si>
  <si>
    <t>C14H22N2O</t>
  </si>
  <si>
    <t>137-58-6</t>
  </si>
  <si>
    <t>N01BB52</t>
  </si>
  <si>
    <t>Anaesthetic</t>
  </si>
  <si>
    <t>Mianserin</t>
  </si>
  <si>
    <t>C18H20N2</t>
  </si>
  <si>
    <t>24219-97-4</t>
  </si>
  <si>
    <t>N06AX03</t>
  </si>
  <si>
    <t>Paroxetine</t>
  </si>
  <si>
    <t>C19H20FNO3</t>
  </si>
  <si>
    <t>61869-08-7</t>
  </si>
  <si>
    <t>N06AB05</t>
  </si>
  <si>
    <t>Phenacetin</t>
  </si>
  <si>
    <t>C10H13NO2</t>
  </si>
  <si>
    <t>62-44-2</t>
  </si>
  <si>
    <t>N02BE73</t>
  </si>
  <si>
    <t>Phenytoin</t>
  </si>
  <si>
    <t>C15H12N2O2</t>
  </si>
  <si>
    <t>57-41-0</t>
  </si>
  <si>
    <t>N03AB52</t>
  </si>
  <si>
    <t>Pregabalin</t>
  </si>
  <si>
    <t>C8H17NO2</t>
  </si>
  <si>
    <t>148553-50-8</t>
  </si>
  <si>
    <t>N03AX16</t>
  </si>
  <si>
    <t>Quetiapine</t>
  </si>
  <si>
    <t>C21H25N3O2S</t>
  </si>
  <si>
    <t>111974-69-7</t>
  </si>
  <si>
    <t>N05AH04</t>
  </si>
  <si>
    <t>Sertraline</t>
  </si>
  <si>
    <t>C17H17Cl2N</t>
  </si>
  <si>
    <t>79617-96-2</t>
  </si>
  <si>
    <t>N06AB06</t>
  </si>
  <si>
    <t>Topiramate</t>
  </si>
  <si>
    <t>C12H21NO8S</t>
  </si>
  <si>
    <t>97240-79-4</t>
  </si>
  <si>
    <t>N03AX11</t>
  </si>
  <si>
    <t>Tramadol</t>
  </si>
  <si>
    <t>C16H25NO2</t>
  </si>
  <si>
    <t>27203-92-5</t>
  </si>
  <si>
    <t>N02AX02</t>
  </si>
  <si>
    <t>Venlafaxine</t>
  </si>
  <si>
    <t>C17H27NO2</t>
  </si>
  <si>
    <t>93413-69-5</t>
  </si>
  <si>
    <t>N06AX16</t>
  </si>
  <si>
    <t>Labelled Standard Formula</t>
  </si>
  <si>
    <t>C8D4H5NO2</t>
  </si>
  <si>
    <t>C13D10H7NO2</t>
  </si>
  <si>
    <t>C20D3H20N</t>
  </si>
  <si>
    <t>C23D8H19Cl2N3O2</t>
  </si>
  <si>
    <t>C13D6H12ClNO2</t>
  </si>
  <si>
    <t>C5^13C3H10N4O2</t>
  </si>
  <si>
    <t>C15D10H2N2O</t>
  </si>
  <si>
    <t>C17D3H16ClN2S</t>
  </si>
  <si>
    <t>C20D6H15FN2O</t>
  </si>
  <si>
    <t>C9D4H5Cl2N3</t>
  </si>
  <si>
    <t>C18D4H15ClN4</t>
  </si>
  <si>
    <t>C18D3H16NOS</t>
  </si>
  <si>
    <t>C17D6H12F3NO</t>
  </si>
  <si>
    <t>C15D3H18F3N2O2</t>
  </si>
  <si>
    <t>C9D10H7NO2</t>
  </si>
  <si>
    <t>C21D4H19ClFNO2</t>
  </si>
  <si>
    <t>C13D3H15O2</t>
  </si>
  <si>
    <t>C8^13CH7Cl2N^15N4</t>
  </si>
  <si>
    <t>C8D6H8N2O2</t>
  </si>
  <si>
    <t>C14D10H12N2O</t>
  </si>
  <si>
    <t>C18D3H17N2</t>
  </si>
  <si>
    <t>C19D6H14FNO3</t>
  </si>
  <si>
    <t>-</t>
  </si>
  <si>
    <t>C15D10H2N2O2</t>
  </si>
  <si>
    <t>C8D6H11NO2</t>
  </si>
  <si>
    <t>C21D8H17N3O2S</t>
  </si>
  <si>
    <t>C17D3H14Cl2N</t>
  </si>
  <si>
    <t>C12D12H9NO8S</t>
  </si>
  <si>
    <t>C15^13CD3H22NO2</t>
  </si>
  <si>
    <t>C17D6H21NO2</t>
  </si>
  <si>
    <t>Compound</t>
  </si>
  <si>
    <t>Ariprazole</t>
  </si>
  <si>
    <t>Note</t>
  </si>
  <si>
    <t>Semi-Quantified - Labelled is Ritalinic Acid</t>
  </si>
  <si>
    <t>Semi-Quantified - Labelled is Hydroxyuproprion</t>
  </si>
  <si>
    <t>Semi-Quantified - Using Paracetamol IS</t>
  </si>
  <si>
    <t>PNEC (ng/l)</t>
  </si>
  <si>
    <t>Assesment Factor</t>
  </si>
  <si>
    <t>Source</t>
  </si>
  <si>
    <t>Species</t>
  </si>
  <si>
    <t>(Es)citalopram</t>
  </si>
  <si>
    <t>Literature</t>
  </si>
  <si>
    <t>Danio rerio</t>
  </si>
  <si>
    <t>Not Stated</t>
  </si>
  <si>
    <t>Predicted</t>
  </si>
  <si>
    <t>Algae</t>
  </si>
  <si>
    <t>Amphetamine (SQ)</t>
  </si>
  <si>
    <t>Daphnia</t>
  </si>
  <si>
    <t>Bupropion (SQ)</t>
  </si>
  <si>
    <t>Daphnia magna</t>
  </si>
  <si>
    <t>Daphnia pulex</t>
  </si>
  <si>
    <t>Pimephales promelas</t>
  </si>
  <si>
    <t>Ceriodaphnia dubia</t>
  </si>
  <si>
    <t>Phenacetin (SQ)</t>
  </si>
  <si>
    <t>Fish</t>
  </si>
  <si>
    <t>Table S2: PNEC values taken from the NORMAN Database for the 30 compounds used for the risk assesment, along with the assessment factor (used by NORMAN), source type (Modelled or Literature), and species</t>
  </si>
  <si>
    <t>Table S1: List of Target psychopharmaceuticals, formulae, CAS, ATC number, pharmaceutical class, corresponding labelled internal standard formula.</t>
  </si>
  <si>
    <t>ALG</t>
  </si>
  <si>
    <t>CON</t>
  </si>
  <si>
    <t>ama</t>
  </si>
  <si>
    <t>amb</t>
  </si>
  <si>
    <t>amc</t>
  </si>
  <si>
    <t>amd</t>
  </si>
  <si>
    <t>ame</t>
  </si>
  <si>
    <t>amf</t>
  </si>
  <si>
    <t>amg</t>
  </si>
  <si>
    <t>amh</t>
  </si>
  <si>
    <t>aca</t>
  </si>
  <si>
    <t>acb</t>
  </si>
  <si>
    <t>acc</t>
  </si>
  <si>
    <t>acd</t>
  </si>
  <si>
    <t>ace</t>
  </si>
  <si>
    <t>acf</t>
  </si>
  <si>
    <t>acg</t>
  </si>
  <si>
    <t>ach</t>
  </si>
  <si>
    <t>ema</t>
  </si>
  <si>
    <t>emb</t>
  </si>
  <si>
    <t>emc</t>
  </si>
  <si>
    <t>emd</t>
  </si>
  <si>
    <t>eme</t>
  </si>
  <si>
    <t>emf</t>
  </si>
  <si>
    <t>emg</t>
  </si>
  <si>
    <t>emh</t>
  </si>
  <si>
    <t>eca</t>
  </si>
  <si>
    <t>ecb</t>
  </si>
  <si>
    <t>ecc</t>
  </si>
  <si>
    <t>ecd</t>
  </si>
  <si>
    <t>ece</t>
  </si>
  <si>
    <t>ecf</t>
  </si>
  <si>
    <t>ecg</t>
  </si>
  <si>
    <t>ech</t>
  </si>
  <si>
    <t/>
  </si>
  <si>
    <t>Pre-ALG</t>
  </si>
  <si>
    <t>Pre-CON</t>
  </si>
  <si>
    <t>Table S3: Concentrations in the samples for each of the 27 qualifiable compounds displayed as ng/L). 'Pre-' indicates the samples corrisponding to the starting aquaria.</t>
  </si>
  <si>
    <t>Pre-blank</t>
  </si>
  <si>
    <t>am-blank</t>
  </si>
  <si>
    <t>ac-blank</t>
  </si>
  <si>
    <t>em-blank</t>
  </si>
  <si>
    <t>ec-blank</t>
  </si>
  <si>
    <t>± 0.4</t>
  </si>
  <si>
    <t>± 0.3</t>
  </si>
  <si>
    <t>± 0.2</t>
  </si>
  <si>
    <t>± 0.28</t>
  </si>
  <si>
    <t>± 0.47</t>
  </si>
  <si>
    <t>± 0.37</t>
  </si>
  <si>
    <t>± 0.21</t>
  </si>
  <si>
    <t>± 0.11</t>
  </si>
  <si>
    <t>± 0.14</t>
  </si>
  <si>
    <t>± 0.25</t>
  </si>
  <si>
    <t>± 0.29</t>
  </si>
  <si>
    <t>± 0.18</t>
  </si>
  <si>
    <t>± 0.16</t>
  </si>
  <si>
    <t>± 0.19</t>
  </si>
  <si>
    <t>± 0.12</t>
  </si>
  <si>
    <t>± 0.13</t>
  </si>
  <si>
    <t>± 0.34</t>
  </si>
  <si>
    <t>± 0.36</t>
  </si>
  <si>
    <t>± 0.35</t>
  </si>
  <si>
    <t>± 0.22</t>
  </si>
  <si>
    <t>± 0.31</t>
  </si>
  <si>
    <t>± 0.23</t>
  </si>
  <si>
    <t>AM Mean</t>
  </si>
  <si>
    <t>AM SD</t>
  </si>
  <si>
    <t>AC Mean</t>
  </si>
  <si>
    <t>EM Mean</t>
  </si>
  <si>
    <t>AC SD</t>
  </si>
  <si>
    <t>EM SD</t>
  </si>
  <si>
    <t>Table S4: Removals for each of the 3 treatments for the 11 compounds with reported removals. Means and standard deviations are found on the far right of the table.</t>
  </si>
  <si>
    <t>AM</t>
  </si>
  <si>
    <t>AC</t>
  </si>
  <si>
    <t>EM</t>
  </si>
  <si>
    <t>EC</t>
  </si>
  <si>
    <t>Table S5: Risk quotients for each of the treatments for the 12 compounds with reported concentrations. Means are found on the far right of the table.</t>
  </si>
  <si>
    <t>Start</t>
  </si>
  <si>
    <t>Kruskal-Walis</t>
  </si>
  <si>
    <t>Dunn's</t>
  </si>
  <si>
    <t>Groups</t>
  </si>
  <si>
    <t>diff. R-mean</t>
  </si>
  <si>
    <t>std err</t>
  </si>
  <si>
    <t>z-stat</t>
  </si>
  <si>
    <t>R-crit</t>
  </si>
  <si>
    <t>p-value</t>
  </si>
  <si>
    <t>BH P value</t>
  </si>
  <si>
    <t>Sig.</t>
  </si>
  <si>
    <t>Ranks</t>
  </si>
  <si>
    <t>n</t>
  </si>
  <si>
    <t>R-sum</t>
  </si>
  <si>
    <t>AM:AC</t>
  </si>
  <si>
    <t>Sum R^2/n</t>
  </si>
  <si>
    <t>AM:EM</t>
  </si>
  <si>
    <t>NA</t>
  </si>
  <si>
    <t>H</t>
  </si>
  <si>
    <t>R-mean</t>
  </si>
  <si>
    <t>AM:EC</t>
  </si>
  <si>
    <t>df</t>
  </si>
  <si>
    <t>z-crit</t>
  </si>
  <si>
    <t>AC:EM</t>
  </si>
  <si>
    <t>p</t>
  </si>
  <si>
    <t>n-total</t>
  </si>
  <si>
    <t>AC:EC</t>
  </si>
  <si>
    <t>α</t>
  </si>
  <si>
    <t>α*</t>
  </si>
  <si>
    <t>EM:EC</t>
  </si>
  <si>
    <t>ST:AM</t>
  </si>
  <si>
    <t>ST:AC</t>
  </si>
  <si>
    <t>ST:EM</t>
  </si>
  <si>
    <t>R^2/n</t>
  </si>
  <si>
    <t>ST:EC</t>
  </si>
  <si>
    <t>Table S6: Kuskal-walis and Dunn's tests performed on all the quantifiable compounds in the study. Concentrations are on the left for each compound, followed by the first block performing the KW test, and the second block performing the Dunn's test. Formulae are found inside the cells with the exeption for the standard error in the Dunn's test, which requires a ties correction not nativly found in excel. Realstatistics plugin was used for this found here https://real-statistics.com/one-way-analysis-of-variance-anova/kruskal-wallis-test/dunns-test-after-kw/</t>
  </si>
  <si>
    <t>Day</t>
  </si>
  <si>
    <t>Date</t>
  </si>
  <si>
    <t>time</t>
  </si>
  <si>
    <t>Hour</t>
  </si>
  <si>
    <t>Treatment</t>
  </si>
  <si>
    <t>DO</t>
  </si>
  <si>
    <t>pH</t>
  </si>
  <si>
    <t>Cond</t>
  </si>
  <si>
    <t>temp</t>
  </si>
  <si>
    <t>t0</t>
  </si>
  <si>
    <t>Control</t>
  </si>
  <si>
    <t>Alg</t>
  </si>
  <si>
    <t>t1</t>
  </si>
  <si>
    <t>t2</t>
  </si>
  <si>
    <t>t3</t>
  </si>
  <si>
    <t>t4</t>
  </si>
  <si>
    <t>t5</t>
  </si>
  <si>
    <t>t6</t>
  </si>
  <si>
    <t>t7</t>
  </si>
  <si>
    <t>t8</t>
  </si>
  <si>
    <t>t9</t>
  </si>
  <si>
    <t>t10</t>
  </si>
  <si>
    <t>t11</t>
  </si>
  <si>
    <t>Table S8: Additional measurements from the algae cultivation and control aquaria, including Disolved Oxygen, pH, Conductivity, and temperature</t>
  </si>
  <si>
    <t>LogS @pH 7</t>
  </si>
  <si>
    <t>LogS @pH 11</t>
  </si>
  <si>
    <t>LogS Change</t>
  </si>
  <si>
    <t>r</t>
  </si>
  <si>
    <t>t</t>
  </si>
  <si>
    <t>Half-Life</t>
  </si>
  <si>
    <t>Log Half Life</t>
  </si>
  <si>
    <t>pKa (Acidic)</t>
  </si>
  <si>
    <t>pKa (Basic)</t>
  </si>
  <si>
    <t>Log Half-Life * ΔLogS</t>
  </si>
  <si>
    <t>AM Removal</t>
  </si>
  <si>
    <t>AC Removal</t>
  </si>
  <si>
    <t>Pearson Correlation Coefficients</t>
  </si>
  <si>
    <t>Table S7: Physicochemical properties for the 11 compounds with removal efficiencies. Biodegradation half-lives were predicted using Episuite’s BCFBAF module and the logged values are included for the correlations. pKa values where obtained from PubChem (both acidic and basic). Solubility data were calculated at a pH of 7 and 11 using Chemicalize. The change in log solubility and log half life were multiplied together, and correlated with the AC removal and AM removal data in the smaller table below.</t>
  </si>
  <si>
    <t>Table S8: Calculations of ionisation percentage for each compound according to the pH of the algae culture over the 11 days. Day 9 likely had an erronious measuremnt (see s8) and so an average of day 8 and 10 were used instead for this 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</si>
</sst>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400]h:mm:ss\ AM/PM"/>
  </numFmts>
  <fonts count="12" x14ac:knownFonts="1">
    <font>
      <sz val="11"/>
      <color theme="1"/>
      <name val="Aptos Narrow"/>
      <family val="2"/>
      <scheme val="minor"/>
    </font>
    <font>
      <sz val="11"/>
      <color theme="1"/>
      <name val="Aptos Narrow"/>
      <family val="2"/>
      <scheme val="minor"/>
    </font>
    <font>
      <b/>
      <sz val="11"/>
      <color theme="1"/>
      <name val="Aptos Narrow"/>
      <family val="2"/>
      <scheme val="minor"/>
    </font>
    <font>
      <b/>
      <u/>
      <sz val="11"/>
      <color theme="1"/>
      <name val="Aptos Narrow"/>
      <family val="2"/>
      <scheme val="minor"/>
    </font>
    <font>
      <b/>
      <sz val="11"/>
      <name val="Aptos Narrow"/>
      <family val="2"/>
      <scheme val="minor"/>
    </font>
    <font>
      <sz val="11"/>
      <name val="Aptos Narrow"/>
      <family val="2"/>
      <scheme val="minor"/>
    </font>
    <font>
      <i/>
      <sz val="11"/>
      <name val="Aptos Narrow"/>
      <family val="2"/>
      <scheme val="minor"/>
    </font>
    <font>
      <i/>
      <sz val="11"/>
      <color theme="1"/>
      <name val="Aptos Narrow"/>
      <family val="2"/>
      <scheme val="minor"/>
    </font>
    <font>
      <sz val="8"/>
      <name val="Aptos Narrow"/>
      <family val="2"/>
      <scheme val="minor"/>
    </font>
    <font>
      <i/>
      <sz val="10"/>
      <name val="Aptos Narrow"/>
      <family val="2"/>
      <scheme val="minor"/>
    </font>
    <font>
      <b/>
      <i/>
      <u/>
      <sz val="11"/>
      <color theme="1"/>
      <name val="Aptos Narrow"/>
      <family val="2"/>
      <scheme val="minor"/>
    </font>
    <font>
      <sz val="11"/>
      <color rgb="FFC00000"/>
      <name val="Aptos Narrow"/>
      <family val="2"/>
      <scheme val="minor"/>
    </font>
  </fonts>
  <fills count="6">
    <fill>
      <patternFill patternType="none"/>
    </fill>
    <fill>
      <patternFill patternType="gray125"/>
    </fill>
    <fill>
      <patternFill patternType="solid">
        <fgColor theme="1"/>
        <bgColor indexed="64"/>
      </patternFill>
    </fill>
    <fill>
      <patternFill patternType="solid">
        <fgColor theme="0" tint="-0.14999847407452621"/>
        <bgColor theme="0" tint="-0.14999847407452621"/>
      </patternFill>
    </fill>
    <fill>
      <patternFill patternType="solid">
        <fgColor theme="0"/>
        <bgColor indexed="64"/>
      </patternFill>
    </fill>
    <fill>
      <patternFill patternType="solid">
        <fgColor theme="0"/>
        <bgColor theme="0" tint="-0.14999847407452621"/>
      </patternFill>
    </fill>
  </fills>
  <borders count="30">
    <border>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top/>
      <bottom/>
      <diagonal/>
    </border>
    <border>
      <left/>
      <right/>
      <top/>
      <bottom style="thin">
        <color theme="1"/>
      </bottom>
      <diagonal/>
    </border>
  </borders>
  <cellStyleXfs count="2">
    <xf numFmtId="0" fontId="0" fillId="0" borderId="0"/>
    <xf numFmtId="9" fontId="1" fillId="0" borderId="0" applyFont="0" applyFill="0" applyBorder="0" applyAlignment="0" applyProtection="0"/>
  </cellStyleXfs>
  <cellXfs count="60">
    <xf numFmtId="0" fontId="0" fillId="0" borderId="0" xfId="0"/>
    <xf numFmtId="0" fontId="3" fillId="0" borderId="0" xfId="0" applyFont="1"/>
    <xf numFmtId="0" fontId="2" fillId="0" borderId="0" xfId="0" applyFont="1"/>
    <xf numFmtId="0" fontId="4" fillId="0" borderId="0" xfId="0" applyFont="1"/>
    <xf numFmtId="0" fontId="5" fillId="0" borderId="0" xfId="0" applyFont="1"/>
    <xf numFmtId="11" fontId="6" fillId="0" borderId="0" xfId="0" applyNumberFormat="1" applyFont="1"/>
    <xf numFmtId="0" fontId="7" fillId="0" borderId="0" xfId="0" applyFont="1"/>
    <xf numFmtId="0" fontId="0" fillId="0" borderId="1" xfId="0" applyBorder="1"/>
    <xf numFmtId="9" fontId="0" fillId="0" borderId="0" xfId="1" applyFont="1"/>
    <xf numFmtId="9" fontId="0" fillId="0" borderId="1" xfId="1" applyFont="1" applyBorder="1"/>
    <xf numFmtId="0" fontId="7" fillId="0" borderId="2" xfId="0" applyFont="1" applyBorder="1"/>
    <xf numFmtId="0" fontId="7" fillId="0" borderId="8" xfId="0" applyFont="1" applyBorder="1"/>
    <xf numFmtId="0" fontId="7" fillId="0" borderId="9" xfId="0" applyFont="1" applyBorder="1"/>
    <xf numFmtId="0" fontId="7" fillId="0" borderId="11" xfId="0" applyFont="1" applyBorder="1"/>
    <xf numFmtId="0" fontId="7" fillId="0" borderId="13" xfId="0" applyFont="1" applyBorder="1"/>
    <xf numFmtId="0" fontId="7" fillId="0" borderId="17" xfId="0" applyFont="1" applyBorder="1"/>
    <xf numFmtId="0" fontId="7" fillId="0" borderId="24" xfId="0" applyFont="1" applyBorder="1"/>
    <xf numFmtId="0" fontId="7" fillId="0" borderId="25" xfId="0" applyFont="1" applyBorder="1"/>
    <xf numFmtId="0" fontId="0" fillId="3" borderId="0" xfId="0" applyFill="1"/>
    <xf numFmtId="0" fontId="0" fillId="0" borderId="29" xfId="0" applyBorder="1"/>
    <xf numFmtId="0" fontId="2" fillId="0" borderId="0" xfId="0" applyFont="1" applyAlignment="1">
      <alignment horizontal="left" vertical="center"/>
    </xf>
    <xf numFmtId="0" fontId="4" fillId="0" borderId="0" xfId="0" applyFont="1" applyAlignment="1">
      <alignment horizontal="left" vertical="center"/>
    </xf>
    <xf numFmtId="11" fontId="0" fillId="0" borderId="0" xfId="0" applyNumberFormat="1"/>
    <xf numFmtId="0" fontId="9" fillId="0" borderId="0" xfId="0" applyFont="1"/>
    <xf numFmtId="0" fontId="10" fillId="0" borderId="0" xfId="0" applyFont="1" applyAlignment="1">
      <alignment horizontal="left" vertical="center"/>
    </xf>
    <xf numFmtId="0" fontId="0" fillId="0" borderId="21" xfId="0" applyBorder="1"/>
    <xf numFmtId="0" fontId="0" fillId="0" borderId="16" xfId="0" applyBorder="1"/>
    <xf numFmtId="0" fontId="0" fillId="0" borderId="5" xfId="0" applyBorder="1"/>
    <xf numFmtId="0" fontId="0" fillId="0" borderId="27" xfId="0" applyBorder="1"/>
    <xf numFmtId="0" fontId="0" fillId="0" borderId="26" xfId="0" applyBorder="1"/>
    <xf numFmtId="0" fontId="0" fillId="2" borderId="5" xfId="0" applyFill="1" applyBorder="1"/>
    <xf numFmtId="0" fontId="0" fillId="0" borderId="4" xfId="0" applyBorder="1"/>
    <xf numFmtId="0" fontId="0" fillId="0" borderId="6" xfId="0" applyBorder="1"/>
    <xf numFmtId="0" fontId="0" fillId="0" borderId="7" xfId="0" applyBorder="1"/>
    <xf numFmtId="0" fontId="0" fillId="0" borderId="10" xfId="0" applyBorder="1"/>
    <xf numFmtId="0" fontId="0" fillId="2" borderId="0" xfId="0" applyFill="1"/>
    <xf numFmtId="0" fontId="0" fillId="0" borderId="12" xfId="0" applyBorder="1"/>
    <xf numFmtId="0" fontId="0" fillId="2" borderId="28" xfId="0" applyFill="1" applyBorder="1"/>
    <xf numFmtId="0" fontId="0" fillId="0" borderId="9" xfId="0" applyBorder="1"/>
    <xf numFmtId="0" fontId="0" fillId="0" borderId="14" xfId="0" applyBorder="1"/>
    <xf numFmtId="0" fontId="0" fillId="0" borderId="15" xfId="0" applyBorder="1"/>
    <xf numFmtId="0" fontId="0" fillId="0" borderId="18" xfId="0" applyBorder="1"/>
    <xf numFmtId="0" fontId="0" fillId="0" borderId="19" xfId="0" applyBorder="1"/>
    <xf numFmtId="0" fontId="0" fillId="0" borderId="20" xfId="0" applyBorder="1"/>
    <xf numFmtId="0" fontId="0" fillId="0" borderId="22" xfId="0" applyBorder="1"/>
    <xf numFmtId="0" fontId="0" fillId="2" borderId="21" xfId="0" applyFill="1" applyBorder="1"/>
    <xf numFmtId="0" fontId="0" fillId="0" borderId="17" xfId="0" applyBorder="1"/>
    <xf numFmtId="0" fontId="0" fillId="0" borderId="23" xfId="0" applyBorder="1"/>
    <xf numFmtId="0" fontId="0" fillId="0" borderId="3" xfId="0" applyBorder="1"/>
    <xf numFmtId="0" fontId="0" fillId="2" borderId="4" xfId="0" applyFill="1" applyBorder="1"/>
    <xf numFmtId="0" fontId="0" fillId="0" borderId="25" xfId="0" applyBorder="1"/>
    <xf numFmtId="0" fontId="10" fillId="0" borderId="0" xfId="0" applyFont="1"/>
    <xf numFmtId="164" fontId="0" fillId="0" borderId="0" xfId="0" applyNumberFormat="1"/>
    <xf numFmtId="14" fontId="0" fillId="0" borderId="0" xfId="0" applyNumberFormat="1"/>
    <xf numFmtId="0" fontId="11" fillId="0" borderId="0" xfId="0" applyFont="1"/>
    <xf numFmtId="0" fontId="0" fillId="4" borderId="0" xfId="0" applyFill="1"/>
    <xf numFmtId="0" fontId="0" fillId="5" borderId="0" xfId="0" applyFill="1"/>
    <xf numFmtId="0" fontId="0" fillId="5" borderId="29" xfId="0" applyFill="1" applyBorder="1"/>
    <xf numFmtId="0" fontId="0" fillId="0" borderId="0" xfId="1" applyNumberFormat="1" applyFont="1"/>
    <xf numFmtId="9" fontId="5" fillId="0" borderId="0" xfId="1" applyFont="1"/>
  </cellXfs>
  <cellStyles count="2">
    <cellStyle name="Normal" xfId="0" builtinId="0"/>
    <cellStyle name="Percent" xfId="1" builtinId="5"/>
  </cellStyles>
  <dxfs count="182">
    <dxf>
      <font>
        <b val="0"/>
        <i val="0"/>
        <strike val="0"/>
        <condense val="0"/>
        <extend val="0"/>
        <outline val="0"/>
        <shadow val="0"/>
        <u val="none"/>
        <vertAlign val="baseline"/>
        <sz val="11"/>
        <color auto="1"/>
        <name val="Aptos Narrow"/>
        <family val="2"/>
        <scheme val="minor"/>
      </font>
    </dxf>
    <dxf>
      <font>
        <b val="0"/>
        <i val="0"/>
        <strike val="0"/>
        <condense val="0"/>
        <extend val="0"/>
        <outline val="0"/>
        <shadow val="0"/>
        <u val="none"/>
        <vertAlign val="baseline"/>
        <sz val="11"/>
        <color auto="1"/>
        <name val="Aptos Narrow"/>
        <family val="2"/>
        <scheme val="minor"/>
      </font>
    </dxf>
    <dxf>
      <font>
        <b val="0"/>
        <i val="0"/>
        <strike val="0"/>
        <condense val="0"/>
        <extend val="0"/>
        <outline val="0"/>
        <shadow val="0"/>
        <u val="none"/>
        <vertAlign val="baseline"/>
        <sz val="11"/>
        <color auto="1"/>
        <name val="Aptos Narrow"/>
        <family val="2"/>
        <scheme val="minor"/>
      </font>
    </dxf>
    <dxf>
      <font>
        <b val="0"/>
        <i val="0"/>
        <strike val="0"/>
        <condense val="0"/>
        <extend val="0"/>
        <outline val="0"/>
        <shadow val="0"/>
        <u val="none"/>
        <vertAlign val="baseline"/>
        <sz val="11"/>
        <color auto="1"/>
        <name val="Aptos Narrow"/>
        <family val="2"/>
        <scheme val="minor"/>
      </font>
    </dxf>
    <dxf>
      <font>
        <b val="0"/>
        <i val="0"/>
        <strike val="0"/>
        <condense val="0"/>
        <extend val="0"/>
        <outline val="0"/>
        <shadow val="0"/>
        <u val="none"/>
        <vertAlign val="baseline"/>
        <sz val="11"/>
        <color auto="1"/>
        <name val="Aptos Narrow"/>
        <family val="2"/>
        <scheme val="minor"/>
      </font>
    </dxf>
    <dxf>
      <font>
        <b val="0"/>
        <i val="0"/>
        <strike val="0"/>
        <condense val="0"/>
        <extend val="0"/>
        <outline val="0"/>
        <shadow val="0"/>
        <u val="none"/>
        <vertAlign val="baseline"/>
        <sz val="11"/>
        <color auto="1"/>
        <name val="Aptos Narrow"/>
        <family val="2"/>
        <scheme val="minor"/>
      </font>
    </dxf>
    <dxf>
      <font>
        <b val="0"/>
        <i val="0"/>
        <strike val="0"/>
        <condense val="0"/>
        <extend val="0"/>
        <outline val="0"/>
        <shadow val="0"/>
        <u val="none"/>
        <vertAlign val="baseline"/>
        <sz val="11"/>
        <color auto="1"/>
        <name val="Aptos Narrow"/>
        <family val="2"/>
        <scheme val="minor"/>
      </font>
    </dxf>
    <dxf>
      <font>
        <b val="0"/>
        <i val="0"/>
        <strike val="0"/>
        <condense val="0"/>
        <extend val="0"/>
        <outline val="0"/>
        <shadow val="0"/>
        <u val="none"/>
        <vertAlign val="baseline"/>
        <sz val="11"/>
        <color auto="1"/>
        <name val="Aptos Narrow"/>
        <family val="2"/>
        <scheme val="minor"/>
      </font>
    </dxf>
    <dxf>
      <font>
        <b val="0"/>
        <i val="0"/>
        <strike val="0"/>
        <condense val="0"/>
        <extend val="0"/>
        <outline val="0"/>
        <shadow val="0"/>
        <u val="none"/>
        <vertAlign val="baseline"/>
        <sz val="11"/>
        <color auto="1"/>
        <name val="Aptos Narrow"/>
        <family val="2"/>
        <scheme val="minor"/>
      </font>
    </dxf>
    <dxf>
      <font>
        <strike val="0"/>
        <outline val="0"/>
        <shadow val="0"/>
        <u val="none"/>
        <vertAlign val="baseline"/>
        <sz val="11"/>
        <color auto="1"/>
        <name val="Aptos Narrow"/>
        <family val="2"/>
        <scheme val="minor"/>
      </font>
    </dxf>
    <dxf>
      <font>
        <strike val="0"/>
        <outline val="0"/>
        <shadow val="0"/>
        <u val="none"/>
        <vertAlign val="baseline"/>
        <sz val="11"/>
        <color auto="1"/>
        <name val="Aptos Narrow"/>
        <family val="2"/>
        <scheme val="minor"/>
      </font>
    </dxf>
    <dxf>
      <font>
        <b val="0"/>
        <i val="0"/>
        <strike val="0"/>
        <condense val="0"/>
        <extend val="0"/>
        <outline val="0"/>
        <shadow val="0"/>
        <u val="none"/>
        <vertAlign val="baseline"/>
        <sz val="11"/>
        <color auto="1"/>
        <name val="Aptos Narrow"/>
        <family val="2"/>
        <scheme val="minor"/>
      </font>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val="0"/>
        <i val="0"/>
        <strike val="0"/>
        <condense val="0"/>
        <extend val="0"/>
        <outline val="0"/>
        <shadow val="0"/>
        <u val="none"/>
        <vertAlign val="baseline"/>
        <sz val="11"/>
        <color theme="1"/>
        <name val="Aptos Narrow"/>
        <family val="2"/>
        <scheme val="minor"/>
      </font>
    </dxf>
    <dxf>
      <font>
        <b val="0"/>
        <i val="0"/>
        <strike val="0"/>
        <condense val="0"/>
        <extend val="0"/>
        <outline val="0"/>
        <shadow val="0"/>
        <u val="none"/>
        <vertAlign val="baseline"/>
        <sz val="11"/>
        <color theme="1"/>
        <name val="Aptos Narrow"/>
        <family val="2"/>
        <scheme val="minor"/>
      </font>
    </dxf>
    <dxf>
      <font>
        <b val="0"/>
        <i val="0"/>
        <strike val="0"/>
        <condense val="0"/>
        <extend val="0"/>
        <outline val="0"/>
        <shadow val="0"/>
        <u val="none"/>
        <vertAlign val="baseline"/>
        <sz val="11"/>
        <color theme="1"/>
        <name val="Aptos Narrow"/>
        <family val="2"/>
        <scheme val="minor"/>
      </font>
    </dxf>
    <dxf>
      <font>
        <b val="0"/>
        <i val="0"/>
        <strike val="0"/>
        <condense val="0"/>
        <extend val="0"/>
        <outline val="0"/>
        <shadow val="0"/>
        <u val="none"/>
        <vertAlign val="baseline"/>
        <sz val="11"/>
        <color theme="1"/>
        <name val="Aptos Narrow"/>
        <family val="2"/>
        <scheme val="minor"/>
      </font>
    </dxf>
    <dxf>
      <font>
        <b val="0"/>
        <i val="0"/>
        <strike val="0"/>
        <condense val="0"/>
        <extend val="0"/>
        <outline val="0"/>
        <shadow val="0"/>
        <u val="none"/>
        <vertAlign val="baseline"/>
        <sz val="11"/>
        <color theme="1"/>
        <name val="Aptos Narrow"/>
        <family val="2"/>
        <scheme val="minor"/>
      </font>
    </dxf>
    <dxf>
      <font>
        <b val="0"/>
        <i val="0"/>
        <strike val="0"/>
        <condense val="0"/>
        <extend val="0"/>
        <outline val="0"/>
        <shadow val="0"/>
        <u val="none"/>
        <vertAlign val="baseline"/>
        <sz val="11"/>
        <color theme="1"/>
        <name val="Aptos Narrow"/>
        <family val="2"/>
        <scheme val="minor"/>
      </font>
    </dxf>
    <dxf>
      <font>
        <b val="0"/>
        <i val="0"/>
        <strike val="0"/>
        <condense val="0"/>
        <extend val="0"/>
        <outline val="0"/>
        <shadow val="0"/>
        <u val="none"/>
        <vertAlign val="baseline"/>
        <sz val="11"/>
        <color theme="1"/>
        <name val="Aptos Narrow"/>
        <family val="2"/>
        <scheme val="minor"/>
      </font>
    </dxf>
    <dxf>
      <font>
        <b val="0"/>
        <i val="0"/>
        <strike val="0"/>
        <condense val="0"/>
        <extend val="0"/>
        <outline val="0"/>
        <shadow val="0"/>
        <u val="none"/>
        <vertAlign val="baseline"/>
        <sz val="11"/>
        <color theme="1"/>
        <name val="Aptos Narrow"/>
        <family val="2"/>
        <scheme val="minor"/>
      </font>
    </dxf>
    <dxf>
      <font>
        <b val="0"/>
        <i val="0"/>
        <strike val="0"/>
        <condense val="0"/>
        <extend val="0"/>
        <outline val="0"/>
        <shadow val="0"/>
        <u val="none"/>
        <vertAlign val="baseline"/>
        <sz val="11"/>
        <color theme="1"/>
        <name val="Aptos Narrow"/>
        <family val="2"/>
        <scheme val="minor"/>
      </font>
    </dxf>
    <dxf>
      <font>
        <b val="0"/>
        <i val="0"/>
        <strike val="0"/>
        <condense val="0"/>
        <extend val="0"/>
        <outline val="0"/>
        <shadow val="0"/>
        <u val="none"/>
        <vertAlign val="baseline"/>
        <sz val="11"/>
        <color theme="1"/>
        <name val="Aptos Narrow"/>
        <family val="2"/>
        <scheme val="minor"/>
      </font>
    </dxf>
    <dxf>
      <font>
        <b val="0"/>
        <i val="0"/>
        <strike val="0"/>
        <condense val="0"/>
        <extend val="0"/>
        <outline val="0"/>
        <shadow val="0"/>
        <u val="none"/>
        <vertAlign val="baseline"/>
        <sz val="11"/>
        <color theme="1"/>
        <name val="Aptos Narrow"/>
        <family val="2"/>
        <scheme val="minor"/>
      </font>
    </dxf>
    <dxf>
      <font>
        <b val="0"/>
        <i val="0"/>
        <strike val="0"/>
        <condense val="0"/>
        <extend val="0"/>
        <outline val="0"/>
        <shadow val="0"/>
        <u val="none"/>
        <vertAlign val="baseline"/>
        <sz val="11"/>
        <color theme="1"/>
        <name val="Aptos Narrow"/>
        <family val="2"/>
        <scheme val="minor"/>
      </font>
    </dxf>
    <dxf>
      <fill>
        <patternFill patternType="solid">
          <fgColor theme="0" tint="-0.14999847407452621"/>
          <bgColor theme="0"/>
        </patternFill>
      </fill>
    </dxf>
    <dxf>
      <numFmt numFmtId="164" formatCode="[$-F400]h:mm:ss\ AM/PM"/>
    </dxf>
    <dxf>
      <numFmt numFmtId="19" formatCode="dd/mm/yyyy"/>
    </dxf>
    <dxf>
      <font>
        <b val="0"/>
        <i val="0"/>
        <strike val="0"/>
        <condense val="0"/>
        <extend val="0"/>
        <outline val="0"/>
        <shadow val="0"/>
        <u val="none"/>
        <vertAlign val="baseline"/>
        <sz val="11"/>
        <color theme="1"/>
        <name val="Aptos Narrow"/>
        <family val="2"/>
        <scheme val="minor"/>
      </font>
      <numFmt numFmtId="0" formatCode="General"/>
    </dxf>
    <dxf>
      <font>
        <b val="0"/>
        <i val="0"/>
        <strike val="0"/>
        <condense val="0"/>
        <extend val="0"/>
        <outline val="0"/>
        <shadow val="0"/>
        <u val="none"/>
        <vertAlign val="baseline"/>
        <sz val="11"/>
        <color theme="1"/>
        <name val="Aptos Narrow"/>
        <family val="2"/>
        <scheme val="minor"/>
      </font>
      <numFmt numFmtId="0" formatCode="General"/>
    </dxf>
    <dxf>
      <font>
        <b val="0"/>
        <i val="0"/>
        <strike val="0"/>
        <condense val="0"/>
        <extend val="0"/>
        <outline val="0"/>
        <shadow val="0"/>
        <u val="none"/>
        <vertAlign val="baseline"/>
        <sz val="11"/>
        <color theme="1"/>
        <name val="Aptos Narrow"/>
        <family val="2"/>
        <scheme val="minor"/>
      </font>
    </dxf>
    <dxf>
      <font>
        <strike val="0"/>
        <outline val="0"/>
        <shadow val="0"/>
        <u val="none"/>
        <vertAlign val="baseline"/>
        <sz val="11"/>
        <color theme="1"/>
        <name val="Aptos Narrow"/>
        <family val="2"/>
        <scheme val="minor"/>
      </font>
    </dxf>
    <dxf>
      <font>
        <strike val="0"/>
        <outline val="0"/>
        <shadow val="0"/>
        <u val="none"/>
        <vertAlign val="baseline"/>
        <sz val="11"/>
        <color theme="1"/>
        <name val="Aptos Narrow"/>
        <family val="2"/>
        <scheme val="minor"/>
      </font>
    </dxf>
    <dxf>
      <font>
        <strike val="0"/>
        <outline val="0"/>
        <shadow val="0"/>
        <u val="none"/>
        <vertAlign val="baseline"/>
        <sz val="11"/>
        <color theme="1"/>
        <name val="Aptos Narrow"/>
        <family val="2"/>
        <scheme val="minor"/>
      </font>
    </dxf>
    <dxf>
      <font>
        <strike val="0"/>
        <outline val="0"/>
        <shadow val="0"/>
        <u val="none"/>
        <vertAlign val="baseline"/>
        <sz val="11"/>
        <color theme="1"/>
        <name val="Aptos Narrow"/>
        <family val="2"/>
        <scheme val="minor"/>
      </font>
    </dxf>
    <dxf>
      <font>
        <strike val="0"/>
        <outline val="0"/>
        <shadow val="0"/>
        <u val="none"/>
        <vertAlign val="baseline"/>
        <sz val="11"/>
        <color theme="1"/>
        <name val="Aptos Narrow"/>
        <family val="2"/>
        <scheme val="minor"/>
      </font>
      <border diagonalUp="0" diagonalDown="0" outline="0">
        <left/>
        <right style="thin">
          <color indexed="64"/>
        </right>
        <top/>
        <bottom/>
      </border>
    </dxf>
    <dxf>
      <font>
        <strike val="0"/>
        <outline val="0"/>
        <shadow val="0"/>
        <u val="none"/>
        <vertAlign val="baseline"/>
        <sz val="11"/>
        <color theme="1"/>
        <name val="Aptos Narrow"/>
        <family val="2"/>
        <scheme val="minor"/>
      </font>
    </dxf>
    <dxf>
      <font>
        <strike val="0"/>
        <outline val="0"/>
        <shadow val="0"/>
        <u val="none"/>
        <vertAlign val="baseline"/>
        <sz val="11"/>
        <color theme="1"/>
        <name val="Aptos Narrow"/>
        <family val="2"/>
        <scheme val="minor"/>
      </font>
    </dxf>
    <dxf>
      <font>
        <strike val="0"/>
        <outline val="0"/>
        <shadow val="0"/>
        <u val="none"/>
        <vertAlign val="baseline"/>
        <sz val="11"/>
        <color theme="1"/>
        <name val="Aptos Narrow"/>
        <family val="2"/>
        <scheme val="minor"/>
      </font>
    </dxf>
    <dxf>
      <font>
        <strike val="0"/>
        <outline val="0"/>
        <shadow val="0"/>
        <u val="none"/>
        <vertAlign val="baseline"/>
        <sz val="11"/>
        <color theme="1"/>
        <name val="Aptos Narrow"/>
        <family val="2"/>
        <scheme val="minor"/>
      </font>
    </dxf>
    <dxf>
      <font>
        <strike val="0"/>
        <outline val="0"/>
        <shadow val="0"/>
        <u val="none"/>
        <vertAlign val="baseline"/>
        <sz val="11"/>
        <color theme="1"/>
        <name val="Aptos Narrow"/>
        <family val="2"/>
        <scheme val="minor"/>
      </font>
    </dxf>
    <dxf>
      <font>
        <strike val="0"/>
        <outline val="0"/>
        <shadow val="0"/>
        <u val="none"/>
        <vertAlign val="baseline"/>
        <sz val="11"/>
        <color theme="1"/>
        <name val="Aptos Narrow"/>
        <family val="2"/>
        <scheme val="minor"/>
      </font>
    </dxf>
    <dxf>
      <font>
        <strike val="0"/>
        <outline val="0"/>
        <shadow val="0"/>
        <u val="none"/>
        <vertAlign val="baseline"/>
        <sz val="11"/>
        <color theme="1"/>
        <name val="Aptos Narrow"/>
        <family val="2"/>
        <scheme val="minor"/>
      </font>
    </dxf>
    <dxf>
      <font>
        <strike val="0"/>
        <outline val="0"/>
        <shadow val="0"/>
        <u val="none"/>
        <vertAlign val="baseline"/>
        <sz val="11"/>
        <color theme="1"/>
        <name val="Aptos Narrow"/>
        <family val="2"/>
        <scheme val="minor"/>
      </font>
    </dxf>
    <dxf>
      <font>
        <strike val="0"/>
        <outline val="0"/>
        <shadow val="0"/>
        <u val="none"/>
        <vertAlign val="baseline"/>
        <sz val="11"/>
        <color theme="1"/>
        <name val="Aptos Narrow"/>
        <family val="2"/>
        <scheme val="minor"/>
      </font>
    </dxf>
    <dxf>
      <font>
        <strike val="0"/>
        <outline val="0"/>
        <shadow val="0"/>
        <u val="none"/>
        <vertAlign val="baseline"/>
        <sz val="11"/>
        <color theme="1"/>
        <name val="Aptos Narrow"/>
        <family val="2"/>
        <scheme val="minor"/>
      </font>
    </dxf>
    <dxf>
      <font>
        <strike val="0"/>
        <outline val="0"/>
        <shadow val="0"/>
        <u val="none"/>
        <vertAlign val="baseline"/>
        <sz val="11"/>
        <color theme="1"/>
        <name val="Aptos Narrow"/>
        <family val="2"/>
        <scheme val="minor"/>
      </font>
    </dxf>
    <dxf>
      <font>
        <strike val="0"/>
        <outline val="0"/>
        <shadow val="0"/>
        <u val="none"/>
        <vertAlign val="baseline"/>
        <sz val="11"/>
        <color theme="1"/>
        <name val="Aptos Narrow"/>
        <family val="2"/>
        <scheme val="minor"/>
      </font>
    </dxf>
    <dxf>
      <font>
        <strike val="0"/>
        <outline val="0"/>
        <shadow val="0"/>
        <u val="none"/>
        <vertAlign val="baseline"/>
        <sz val="11"/>
        <color theme="1"/>
        <name val="Aptos Narrow"/>
        <family val="2"/>
        <scheme val="minor"/>
      </font>
    </dxf>
    <dxf>
      <font>
        <strike val="0"/>
        <outline val="0"/>
        <shadow val="0"/>
        <u val="none"/>
        <vertAlign val="baseline"/>
        <sz val="11"/>
        <color theme="1"/>
        <name val="Aptos Narrow"/>
        <family val="2"/>
        <scheme val="minor"/>
      </font>
    </dxf>
    <dxf>
      <font>
        <strike val="0"/>
        <outline val="0"/>
        <shadow val="0"/>
        <u val="none"/>
        <vertAlign val="baseline"/>
        <sz val="11"/>
        <color theme="1"/>
        <name val="Aptos Narrow"/>
        <family val="2"/>
        <scheme val="minor"/>
      </font>
    </dxf>
    <dxf>
      <font>
        <strike val="0"/>
        <outline val="0"/>
        <shadow val="0"/>
        <u val="none"/>
        <vertAlign val="baseline"/>
        <sz val="11"/>
        <color theme="1"/>
        <name val="Aptos Narrow"/>
        <family val="2"/>
        <scheme val="minor"/>
      </font>
    </dxf>
    <dxf>
      <font>
        <strike val="0"/>
        <outline val="0"/>
        <shadow val="0"/>
        <u val="none"/>
        <vertAlign val="baseline"/>
        <sz val="11"/>
        <color theme="1"/>
        <name val="Aptos Narrow"/>
        <family val="2"/>
        <scheme val="minor"/>
      </font>
    </dxf>
    <dxf>
      <font>
        <strike val="0"/>
        <outline val="0"/>
        <shadow val="0"/>
        <u val="none"/>
        <vertAlign val="baseline"/>
        <sz val="11"/>
        <color theme="1"/>
        <name val="Aptos Narrow"/>
        <family val="2"/>
        <scheme val="minor"/>
      </font>
    </dxf>
    <dxf>
      <font>
        <strike val="0"/>
        <outline val="0"/>
        <shadow val="0"/>
        <u val="none"/>
        <vertAlign val="baseline"/>
        <sz val="11"/>
        <color theme="1"/>
        <name val="Aptos Narrow"/>
        <family val="2"/>
        <scheme val="minor"/>
      </font>
    </dxf>
    <dxf>
      <font>
        <strike val="0"/>
        <outline val="0"/>
        <shadow val="0"/>
        <u val="none"/>
        <vertAlign val="baseline"/>
        <sz val="11"/>
        <color theme="1"/>
        <name val="Aptos Narrow"/>
        <family val="2"/>
        <scheme val="minor"/>
      </font>
    </dxf>
    <dxf>
      <font>
        <strike val="0"/>
        <outline val="0"/>
        <shadow val="0"/>
        <u val="none"/>
        <vertAlign val="baseline"/>
        <sz val="11"/>
        <color theme="1"/>
        <name val="Aptos Narrow"/>
        <family val="2"/>
        <scheme val="minor"/>
      </font>
    </dxf>
    <dxf>
      <font>
        <strike val="0"/>
        <outline val="0"/>
        <shadow val="0"/>
        <u val="none"/>
        <vertAlign val="baseline"/>
        <sz val="11"/>
        <color theme="1"/>
        <name val="Aptos Narrow"/>
        <family val="2"/>
        <scheme val="minor"/>
      </font>
    </dxf>
    <dxf>
      <font>
        <strike val="0"/>
        <outline val="0"/>
        <shadow val="0"/>
        <u val="none"/>
        <vertAlign val="baseline"/>
        <sz val="11"/>
        <color theme="1"/>
        <name val="Aptos Narrow"/>
        <family val="2"/>
        <scheme val="minor"/>
      </font>
    </dxf>
    <dxf>
      <font>
        <strike val="0"/>
        <outline val="0"/>
        <shadow val="0"/>
        <u val="none"/>
        <vertAlign val="baseline"/>
        <sz val="11"/>
        <color theme="1"/>
        <name val="Aptos Narrow"/>
        <family val="2"/>
        <scheme val="minor"/>
      </font>
    </dxf>
    <dxf>
      <font>
        <strike val="0"/>
        <outline val="0"/>
        <shadow val="0"/>
        <u val="none"/>
        <vertAlign val="baseline"/>
        <sz val="11"/>
        <color theme="1"/>
        <name val="Aptos Narrow"/>
        <family val="2"/>
        <scheme val="minor"/>
      </font>
    </dxf>
    <dxf>
      <font>
        <strike val="0"/>
        <outline val="0"/>
        <shadow val="0"/>
        <u val="none"/>
        <vertAlign val="baseline"/>
        <sz val="11"/>
        <color theme="1"/>
        <name val="Aptos Narrow"/>
        <family val="2"/>
        <scheme val="minor"/>
      </font>
    </dxf>
    <dxf>
      <font>
        <strike val="0"/>
        <outline val="0"/>
        <shadow val="0"/>
        <u val="none"/>
        <vertAlign val="baseline"/>
        <sz val="11"/>
        <color theme="1"/>
        <name val="Aptos Narrow"/>
        <family val="2"/>
        <scheme val="minor"/>
      </font>
    </dxf>
    <dxf>
      <font>
        <strike val="0"/>
        <outline val="0"/>
        <shadow val="0"/>
        <u val="none"/>
        <vertAlign val="baseline"/>
        <sz val="11"/>
        <color theme="1"/>
        <name val="Aptos Narrow"/>
        <family val="2"/>
        <scheme val="minor"/>
      </font>
    </dxf>
    <dxf>
      <font>
        <strike val="0"/>
        <outline val="0"/>
        <shadow val="0"/>
        <u val="none"/>
        <vertAlign val="baseline"/>
        <sz val="11"/>
        <color theme="1"/>
        <name val="Aptos Narrow"/>
        <family val="2"/>
        <scheme val="minor"/>
      </font>
    </dxf>
    <dxf>
      <font>
        <strike val="0"/>
        <outline val="0"/>
        <shadow val="0"/>
        <u val="none"/>
        <vertAlign val="baseline"/>
        <sz val="11"/>
        <color theme="1"/>
        <name val="Aptos Narrow"/>
        <family val="2"/>
        <scheme val="minor"/>
      </font>
    </dxf>
    <dxf>
      <font>
        <strike val="0"/>
        <outline val="0"/>
        <shadow val="0"/>
        <u val="none"/>
        <vertAlign val="baseline"/>
        <sz val="11"/>
        <color theme="1"/>
        <name val="Aptos Narrow"/>
        <family val="2"/>
        <scheme val="minor"/>
      </font>
    </dxf>
    <dxf>
      <font>
        <strike val="0"/>
        <outline val="0"/>
        <shadow val="0"/>
        <u val="none"/>
        <vertAlign val="baseline"/>
        <sz val="11"/>
        <color theme="1"/>
        <name val="Aptos Narrow"/>
        <family val="2"/>
        <scheme val="minor"/>
      </font>
    </dxf>
    <dxf>
      <font>
        <strike val="0"/>
        <outline val="0"/>
        <shadow val="0"/>
        <u val="none"/>
        <vertAlign val="baseline"/>
        <sz val="11"/>
        <color theme="1"/>
        <name val="Aptos Narrow"/>
        <family val="2"/>
        <scheme val="minor"/>
      </font>
    </dxf>
    <dxf>
      <font>
        <strike val="0"/>
        <outline val="0"/>
        <shadow val="0"/>
        <u val="none"/>
        <vertAlign val="baseline"/>
        <sz val="11"/>
        <color theme="1"/>
        <name val="Aptos Narrow"/>
        <family val="2"/>
        <scheme val="minor"/>
      </font>
    </dxf>
    <dxf>
      <font>
        <strike val="0"/>
        <outline val="0"/>
        <shadow val="0"/>
        <u val="none"/>
        <vertAlign val="baseline"/>
        <sz val="11"/>
        <color theme="1"/>
        <name val="Aptos Narrow"/>
        <family val="2"/>
        <scheme val="minor"/>
      </font>
    </dxf>
    <dxf>
      <font>
        <strike val="0"/>
        <outline val="0"/>
        <shadow val="0"/>
        <u val="none"/>
        <vertAlign val="baseline"/>
        <sz val="11"/>
        <color theme="1"/>
        <name val="Aptos Narrow"/>
        <family val="2"/>
        <scheme val="minor"/>
      </font>
    </dxf>
    <dxf>
      <font>
        <strike val="0"/>
        <outline val="0"/>
        <shadow val="0"/>
        <u val="none"/>
        <vertAlign val="baseline"/>
        <sz val="11"/>
        <color theme="1"/>
        <name val="Aptos Narrow"/>
        <family val="2"/>
        <scheme val="minor"/>
      </font>
    </dxf>
    <dxf>
      <font>
        <strike val="0"/>
        <outline val="0"/>
        <shadow val="0"/>
        <u val="none"/>
        <vertAlign val="baseline"/>
        <sz val="11"/>
        <color theme="1"/>
        <name val="Aptos Narrow"/>
        <family val="2"/>
        <scheme val="minor"/>
      </font>
    </dxf>
    <dxf>
      <border diagonalUp="0" diagonalDown="0">
        <left/>
        <right style="thin">
          <color indexed="64"/>
        </right>
        <top/>
        <bottom/>
        <vertical/>
        <horizontal/>
      </border>
    </dxf>
    <dxf>
      <font>
        <strike val="0"/>
        <outline val="0"/>
        <shadow val="0"/>
        <u val="none"/>
        <vertAlign val="baseline"/>
        <sz val="11"/>
        <color theme="1"/>
        <name val="Aptos Narrow"/>
        <family val="2"/>
        <scheme val="minor"/>
      </font>
    </dxf>
    <dxf>
      <font>
        <strike val="0"/>
        <outline val="0"/>
        <shadow val="0"/>
        <u val="none"/>
        <vertAlign val="baseline"/>
        <sz val="11"/>
        <color theme="1"/>
        <name val="Aptos Narrow"/>
        <family val="2"/>
        <scheme val="minor"/>
      </font>
    </dxf>
    <dxf>
      <font>
        <strike val="0"/>
        <outline val="0"/>
        <shadow val="0"/>
        <u val="none"/>
        <vertAlign val="baseline"/>
        <sz val="11"/>
        <color theme="1"/>
        <name val="Aptos Narrow"/>
        <family val="2"/>
        <scheme val="minor"/>
      </font>
    </dxf>
    <dxf>
      <font>
        <strike val="0"/>
        <outline val="0"/>
        <shadow val="0"/>
        <u val="none"/>
        <vertAlign val="baseline"/>
        <sz val="11"/>
        <color theme="1"/>
        <name val="Aptos Narrow"/>
        <family val="2"/>
        <scheme val="minor"/>
      </font>
    </dxf>
    <dxf>
      <font>
        <strike val="0"/>
        <outline val="0"/>
        <shadow val="0"/>
        <u val="none"/>
        <vertAlign val="baseline"/>
        <sz val="11"/>
        <color theme="1"/>
        <name val="Aptos Narrow"/>
        <family val="2"/>
        <scheme val="minor"/>
      </font>
    </dxf>
    <dxf>
      <font>
        <strike val="0"/>
        <outline val="0"/>
        <shadow val="0"/>
        <u val="none"/>
        <vertAlign val="baseline"/>
        <sz val="11"/>
        <color theme="1"/>
        <name val="Aptos Narrow"/>
        <family val="2"/>
        <scheme val="minor"/>
      </font>
    </dxf>
    <dxf>
      <font>
        <strike val="0"/>
        <outline val="0"/>
        <shadow val="0"/>
        <u val="none"/>
        <vertAlign val="baseline"/>
        <sz val="11"/>
        <color theme="1"/>
        <name val="Aptos Narrow"/>
        <family val="2"/>
        <scheme val="minor"/>
      </font>
    </dxf>
    <dxf>
      <font>
        <strike val="0"/>
        <outline val="0"/>
        <shadow val="0"/>
        <u val="none"/>
        <vertAlign val="baseline"/>
        <sz val="11"/>
        <color theme="1"/>
        <name val="Aptos Narrow"/>
        <family val="2"/>
        <scheme val="minor"/>
      </font>
    </dxf>
    <dxf>
      <font>
        <strike val="0"/>
        <outline val="0"/>
        <shadow val="0"/>
        <u val="none"/>
        <vertAlign val="baseline"/>
        <sz val="11"/>
        <color theme="1"/>
        <name val="Aptos Narrow"/>
        <family val="2"/>
        <scheme val="minor"/>
      </font>
    </dxf>
    <dxf>
      <font>
        <strike val="0"/>
        <outline val="0"/>
        <shadow val="0"/>
        <u val="none"/>
        <vertAlign val="baseline"/>
        <sz val="11"/>
        <color theme="1"/>
        <name val="Aptos Narrow"/>
        <family val="2"/>
        <scheme val="minor"/>
      </font>
    </dxf>
    <dxf>
      <font>
        <strike val="0"/>
        <outline val="0"/>
        <shadow val="0"/>
        <u val="none"/>
        <vertAlign val="baseline"/>
        <sz val="11"/>
        <color theme="1"/>
        <name val="Aptos Narrow"/>
        <family val="2"/>
        <scheme val="minor"/>
      </font>
    </dxf>
    <dxf>
      <font>
        <strike val="0"/>
        <outline val="0"/>
        <shadow val="0"/>
        <u val="none"/>
        <vertAlign val="baseline"/>
        <sz val="11"/>
        <color theme="1"/>
        <name val="Aptos Narrow"/>
        <family val="2"/>
        <scheme val="minor"/>
      </font>
    </dxf>
    <dxf>
      <font>
        <strike val="0"/>
        <outline val="0"/>
        <shadow val="0"/>
        <u val="none"/>
        <vertAlign val="baseline"/>
        <sz val="11"/>
        <color theme="1"/>
        <name val="Aptos Narrow"/>
        <family val="2"/>
        <scheme val="minor"/>
      </font>
    </dxf>
    <dxf>
      <font>
        <strike val="0"/>
        <outline val="0"/>
        <shadow val="0"/>
        <u val="none"/>
        <vertAlign val="baseline"/>
        <sz val="11"/>
        <color theme="1"/>
        <name val="Aptos Narrow"/>
        <family val="2"/>
        <scheme val="minor"/>
      </font>
    </dxf>
    <dxf>
      <font>
        <strike val="0"/>
        <outline val="0"/>
        <shadow val="0"/>
        <u val="none"/>
        <vertAlign val="baseline"/>
        <sz val="11"/>
        <color theme="1"/>
        <name val="Aptos Narrow"/>
        <family val="2"/>
        <scheme val="minor"/>
      </font>
    </dxf>
    <dxf>
      <font>
        <strike val="0"/>
        <outline val="0"/>
        <shadow val="0"/>
        <u val="none"/>
        <vertAlign val="baseline"/>
        <sz val="11"/>
        <color theme="1"/>
        <name val="Aptos Narrow"/>
        <family val="2"/>
        <scheme val="minor"/>
      </font>
    </dxf>
    <dxf>
      <font>
        <strike val="0"/>
        <outline val="0"/>
        <shadow val="0"/>
        <u val="none"/>
        <vertAlign val="baseline"/>
        <sz val="11"/>
        <color theme="1"/>
        <name val="Aptos Narrow"/>
        <family val="2"/>
        <scheme val="minor"/>
      </font>
    </dxf>
    <dxf>
      <font>
        <strike val="0"/>
        <outline val="0"/>
        <shadow val="0"/>
        <u val="none"/>
        <vertAlign val="baseline"/>
        <sz val="11"/>
        <color theme="1"/>
        <name val="Aptos Narrow"/>
        <family val="2"/>
        <scheme val="minor"/>
      </font>
    </dxf>
    <dxf>
      <font>
        <strike val="0"/>
        <outline val="0"/>
        <shadow val="0"/>
        <u val="none"/>
        <vertAlign val="baseline"/>
        <sz val="11"/>
        <color theme="1"/>
        <name val="Aptos Narrow"/>
        <family val="2"/>
        <scheme val="minor"/>
      </font>
    </dxf>
    <dxf>
      <font>
        <strike val="0"/>
        <outline val="0"/>
        <shadow val="0"/>
        <u val="none"/>
        <vertAlign val="baseline"/>
        <sz val="11"/>
        <color theme="1"/>
        <name val="Aptos Narrow"/>
        <family val="2"/>
        <scheme val="minor"/>
      </font>
    </dxf>
    <dxf>
      <font>
        <strike val="0"/>
        <outline val="0"/>
        <shadow val="0"/>
        <u val="none"/>
        <vertAlign val="baseline"/>
        <sz val="11"/>
        <color theme="1"/>
        <name val="Aptos Narrow"/>
        <family val="2"/>
        <scheme val="minor"/>
      </font>
    </dxf>
    <dxf>
      <font>
        <strike val="0"/>
        <outline val="0"/>
        <shadow val="0"/>
        <u val="none"/>
        <vertAlign val="baseline"/>
        <sz val="11"/>
        <color theme="1"/>
        <name val="Aptos Narrow"/>
        <family val="2"/>
        <scheme val="minor"/>
      </font>
    </dxf>
    <dxf>
      <font>
        <strike val="0"/>
        <outline val="0"/>
        <shadow val="0"/>
        <u val="none"/>
        <vertAlign val="baseline"/>
        <sz val="11"/>
        <color theme="1"/>
        <name val="Aptos Narrow"/>
        <family val="2"/>
        <scheme val="minor"/>
      </font>
    </dxf>
    <dxf>
      <font>
        <strike val="0"/>
        <outline val="0"/>
        <shadow val="0"/>
        <u val="none"/>
        <vertAlign val="baseline"/>
        <sz val="11"/>
        <color theme="1"/>
        <name val="Aptos Narrow"/>
        <family val="2"/>
        <scheme val="minor"/>
      </font>
    </dxf>
    <dxf>
      <font>
        <strike val="0"/>
        <outline val="0"/>
        <shadow val="0"/>
        <u val="none"/>
        <vertAlign val="baseline"/>
        <sz val="11"/>
        <color theme="1"/>
        <name val="Aptos Narrow"/>
        <family val="2"/>
        <scheme val="minor"/>
      </font>
    </dxf>
    <dxf>
      <font>
        <strike val="0"/>
        <outline val="0"/>
        <shadow val="0"/>
        <u val="none"/>
        <vertAlign val="baseline"/>
        <sz val="11"/>
        <color theme="1"/>
        <name val="Aptos Narrow"/>
        <family val="2"/>
        <scheme val="minor"/>
      </font>
    </dxf>
    <dxf>
      <font>
        <strike val="0"/>
        <outline val="0"/>
        <shadow val="0"/>
        <u val="none"/>
        <vertAlign val="baseline"/>
        <sz val="11"/>
        <color theme="1"/>
        <name val="Aptos Narrow"/>
        <family val="2"/>
        <scheme val="minor"/>
      </font>
    </dxf>
    <dxf>
      <font>
        <strike val="0"/>
        <outline val="0"/>
        <shadow val="0"/>
        <u val="none"/>
        <vertAlign val="baseline"/>
        <sz val="11"/>
        <color theme="1"/>
        <name val="Aptos Narrow"/>
        <family val="2"/>
        <scheme val="minor"/>
      </font>
    </dxf>
    <dxf>
      <font>
        <strike val="0"/>
        <outline val="0"/>
        <shadow val="0"/>
        <u val="none"/>
        <vertAlign val="baseline"/>
        <sz val="11"/>
        <color theme="1"/>
        <name val="Aptos Narrow"/>
        <family val="2"/>
        <scheme val="minor"/>
      </font>
    </dxf>
    <dxf>
      <font>
        <strike val="0"/>
        <outline val="0"/>
        <shadow val="0"/>
        <u val="none"/>
        <vertAlign val="baseline"/>
        <sz val="11"/>
        <color theme="1"/>
        <name val="Aptos Narrow"/>
        <family val="2"/>
        <scheme val="minor"/>
      </font>
    </dxf>
    <dxf>
      <font>
        <strike val="0"/>
        <outline val="0"/>
        <shadow val="0"/>
        <u val="none"/>
        <vertAlign val="baseline"/>
        <sz val="11"/>
        <color theme="1"/>
        <name val="Aptos Narrow"/>
        <family val="2"/>
        <scheme val="minor"/>
      </font>
    </dxf>
    <dxf>
      <font>
        <strike val="0"/>
        <outline val="0"/>
        <shadow val="0"/>
        <u val="none"/>
        <vertAlign val="baseline"/>
        <sz val="11"/>
        <color theme="1"/>
        <name val="Aptos Narrow"/>
        <family val="2"/>
        <scheme val="minor"/>
      </font>
    </dxf>
    <dxf>
      <font>
        <strike val="0"/>
        <outline val="0"/>
        <shadow val="0"/>
        <u val="none"/>
        <vertAlign val="baseline"/>
        <sz val="11"/>
        <color theme="1"/>
        <name val="Aptos Narrow"/>
        <family val="2"/>
        <scheme val="minor"/>
      </font>
    </dxf>
    <dxf>
      <font>
        <strike val="0"/>
        <outline val="0"/>
        <shadow val="0"/>
        <u val="none"/>
        <vertAlign val="baseline"/>
        <sz val="11"/>
        <color theme="1"/>
        <name val="Aptos Narrow"/>
        <family val="2"/>
        <scheme val="minor"/>
      </font>
    </dxf>
    <dxf>
      <font>
        <strike val="0"/>
        <outline val="0"/>
        <shadow val="0"/>
        <u val="none"/>
        <vertAlign val="baseline"/>
        <sz val="11"/>
        <color theme="1"/>
        <name val="Aptos Narrow"/>
        <family val="2"/>
        <scheme val="minor"/>
      </font>
    </dxf>
    <dxf>
      <font>
        <strike val="0"/>
        <outline val="0"/>
        <shadow val="0"/>
        <u val="none"/>
        <vertAlign val="baseline"/>
        <sz val="11"/>
        <color theme="1"/>
        <name val="Aptos Narrow"/>
        <family val="2"/>
        <scheme val="minor"/>
      </font>
    </dxf>
    <dxf>
      <font>
        <strike val="0"/>
        <outline val="0"/>
        <shadow val="0"/>
        <u val="none"/>
        <vertAlign val="baseline"/>
        <sz val="11"/>
        <color theme="1"/>
        <name val="Aptos Narrow"/>
        <family val="2"/>
        <scheme val="minor"/>
      </font>
    </dxf>
    <dxf>
      <font>
        <strike val="0"/>
        <outline val="0"/>
        <shadow val="0"/>
        <u val="none"/>
        <vertAlign val="baseline"/>
        <sz val="11"/>
        <color theme="1"/>
        <name val="Aptos Narrow"/>
        <family val="2"/>
        <scheme val="minor"/>
      </font>
    </dxf>
    <dxf>
      <font>
        <strike val="0"/>
        <outline val="0"/>
        <shadow val="0"/>
        <u val="none"/>
        <vertAlign val="baseline"/>
        <sz val="11"/>
        <color theme="1"/>
        <name val="Aptos Narrow"/>
        <family val="2"/>
        <scheme val="minor"/>
      </font>
    </dxf>
    <dxf>
      <font>
        <strike val="0"/>
        <outline val="0"/>
        <shadow val="0"/>
        <u val="none"/>
        <vertAlign val="baseline"/>
        <sz val="11"/>
        <color theme="1"/>
        <name val="Aptos Narrow"/>
        <family val="2"/>
        <scheme val="minor"/>
      </font>
    </dxf>
    <dxf>
      <font>
        <strike val="0"/>
        <outline val="0"/>
        <shadow val="0"/>
        <u val="none"/>
        <vertAlign val="baseline"/>
        <sz val="11"/>
        <color theme="1"/>
        <name val="Aptos Narrow"/>
        <family val="2"/>
        <scheme val="minor"/>
      </font>
    </dxf>
    <dxf>
      <font>
        <strike val="0"/>
        <outline val="0"/>
        <shadow val="0"/>
        <u val="none"/>
        <vertAlign val="baseline"/>
        <sz val="11"/>
        <color theme="1"/>
        <name val="Aptos Narrow"/>
        <family val="2"/>
        <scheme val="minor"/>
      </font>
    </dxf>
    <dxf>
      <font>
        <strike val="0"/>
        <outline val="0"/>
        <shadow val="0"/>
        <u val="none"/>
        <vertAlign val="baseline"/>
        <sz val="11"/>
        <color theme="1"/>
        <name val="Aptos Narrow"/>
        <family val="2"/>
        <scheme val="minor"/>
      </font>
    </dxf>
    <dxf>
      <font>
        <strike val="0"/>
        <outline val="0"/>
        <shadow val="0"/>
        <u val="none"/>
        <vertAlign val="baseline"/>
        <sz val="11"/>
        <color theme="1"/>
        <name val="Aptos Narrow"/>
        <family val="2"/>
        <scheme val="minor"/>
      </font>
    </dxf>
    <dxf>
      <font>
        <strike val="0"/>
        <outline val="0"/>
        <shadow val="0"/>
        <u val="none"/>
        <vertAlign val="baseline"/>
        <color auto="1"/>
        <name val="Aptos Narrow"/>
        <family val="2"/>
        <scheme val="minor"/>
      </font>
      <numFmt numFmtId="15" formatCode="0.00E+00"/>
    </dxf>
    <dxf>
      <font>
        <strike val="0"/>
        <outline val="0"/>
        <shadow val="0"/>
        <u val="none"/>
        <vertAlign val="baseline"/>
        <name val="Aptos Narrow"/>
        <family val="2"/>
        <scheme val="minor"/>
      </font>
      <numFmt numFmtId="15" formatCode="0.00E+00"/>
    </dxf>
    <dxf>
      <font>
        <strike val="0"/>
        <outline val="0"/>
        <shadow val="0"/>
        <u val="none"/>
        <vertAlign val="baseline"/>
        <name val="Aptos Narrow"/>
        <family val="2"/>
        <scheme val="minor"/>
      </font>
      <numFmt numFmtId="0" formatCode="General"/>
    </dxf>
    <dxf>
      <font>
        <b val="0"/>
        <strike val="0"/>
        <outline val="0"/>
        <shadow val="0"/>
        <u val="none"/>
        <vertAlign val="baseline"/>
        <name val="Aptos Narrow"/>
        <family val="2"/>
        <scheme val="minor"/>
      </font>
      <numFmt numFmtId="15" formatCode="0.00E+00"/>
    </dxf>
    <dxf>
      <font>
        <b val="0"/>
        <strike val="0"/>
        <outline val="0"/>
        <shadow val="0"/>
        <u val="none"/>
        <vertAlign val="baseline"/>
        <name val="Aptos Narrow"/>
        <family val="2"/>
        <scheme val="minor"/>
      </font>
    </dxf>
    <dxf>
      <font>
        <b val="0"/>
        <strike val="0"/>
        <outline val="0"/>
        <shadow val="0"/>
        <u val="none"/>
        <vertAlign val="baseline"/>
        <name val="Aptos Narrow"/>
        <family val="2"/>
        <scheme val="minor"/>
      </font>
    </dxf>
    <dxf>
      <font>
        <strike val="0"/>
        <outline val="0"/>
        <shadow val="0"/>
        <u val="none"/>
        <vertAlign val="baseline"/>
        <name val="Aptos Narrow"/>
        <family val="2"/>
        <scheme val="minor"/>
      </font>
    </dxf>
    <dxf>
      <font>
        <strike val="0"/>
        <outline val="0"/>
        <shadow val="0"/>
        <vertAlign val="baseline"/>
        <sz val="11"/>
        <name val="Aptos Narrow"/>
        <family val="2"/>
        <scheme val="minor"/>
      </font>
      <numFmt numFmtId="0" formatCode="General"/>
    </dxf>
    <dxf>
      <font>
        <strike val="0"/>
        <outline val="0"/>
        <shadow val="0"/>
        <vertAlign val="baseline"/>
        <sz val="11"/>
        <name val="Aptos Narrow"/>
        <family val="2"/>
        <scheme val="minor"/>
      </font>
      <numFmt numFmtId="0" formatCode="General"/>
    </dxf>
    <dxf>
      <font>
        <strike val="0"/>
        <outline val="0"/>
        <shadow val="0"/>
        <vertAlign val="baseline"/>
        <sz val="11"/>
        <name val="Aptos Narrow"/>
        <family val="2"/>
        <scheme val="minor"/>
      </font>
      <numFmt numFmtId="0" formatCode="General"/>
    </dxf>
    <dxf>
      <font>
        <strike val="0"/>
        <outline val="0"/>
        <shadow val="0"/>
        <vertAlign val="baseline"/>
        <sz val="11"/>
        <name val="Aptos Narrow"/>
        <family val="2"/>
        <scheme val="minor"/>
      </font>
      <numFmt numFmtId="0" formatCode="General"/>
    </dxf>
    <dxf>
      <font>
        <strike val="0"/>
        <outline val="0"/>
        <shadow val="0"/>
        <vertAlign val="baseline"/>
        <sz val="11"/>
        <name val="Aptos Narrow"/>
        <family val="2"/>
        <scheme val="minor"/>
      </font>
      <numFmt numFmtId="0" formatCode="General"/>
    </dxf>
    <dxf>
      <font>
        <strike val="0"/>
        <outline val="0"/>
        <shadow val="0"/>
        <vertAlign val="baseline"/>
        <sz val="11"/>
        <name val="Aptos Narrow"/>
        <family val="2"/>
        <scheme val="minor"/>
      </font>
    </dxf>
    <dxf>
      <font>
        <strike val="0"/>
        <outline val="0"/>
        <shadow val="0"/>
        <vertAlign val="baseline"/>
        <sz val="11"/>
        <name val="Aptos Narrow"/>
        <family val="2"/>
        <scheme val="minor"/>
      </font>
    </dxf>
    <dxf>
      <font>
        <strike val="0"/>
        <outline val="0"/>
        <shadow val="0"/>
        <vertAlign val="baseline"/>
        <sz val="11"/>
        <name val="Aptos Narrow"/>
        <family val="2"/>
        <scheme val="minor"/>
      </font>
    </dxf>
    <dxf>
      <font>
        <b/>
        <i val="0"/>
        <strike val="0"/>
        <condense val="0"/>
        <extend val="0"/>
        <outline val="0"/>
        <shadow val="0"/>
        <u val="none"/>
        <vertAlign val="baseline"/>
        <sz val="11"/>
        <color theme="1"/>
        <name val="Aptos Narrow"/>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6B4D5BB-75CF-4CCD-BAE4-82BE5E1822C4}" name="Table14" displayName="Table14" ref="A2:G32" totalsRowShown="0" headerRowDxfId="181" dataDxfId="180">
  <autoFilter ref="A2:G32" xr:uid="{940FEBF6-94F4-4F2E-B98B-9B0C7DDB838B}"/>
  <tableColumns count="7">
    <tableColumn id="1" xr3:uid="{7238E0A5-E53D-42B8-BAE7-6C650742A7BA}" name="Compound" dataDxfId="179"/>
    <tableColumn id="2" xr3:uid="{FBA3F161-3E9C-4756-8192-368BF4755E58}" name="Formula" dataDxfId="178"/>
    <tableColumn id="15" xr3:uid="{8C48F322-96B4-40CB-9389-4212E881448D}" name="CAS" dataDxfId="177"/>
    <tableColumn id="13" xr3:uid="{B899D76B-6DC6-4A49-B44A-D314DBA47EE0}" name="ATC Number" dataDxfId="176"/>
    <tableColumn id="14" xr3:uid="{86341196-5A06-41D4-B861-59C10E69CB71}" name="Class" dataDxfId="175"/>
    <tableColumn id="4" xr3:uid="{53BE3DF0-08B6-4694-9655-8DFE946B3F0E}" name="Labelled Standard Formula" dataDxfId="174"/>
    <tableColumn id="5" xr3:uid="{F4F9F1D6-A4B6-46AB-9D43-5519BFF065DA}" name="Note" dataDxfId="173"/>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07FEC9D-592B-4769-8AE2-2F4A39B02144}" name="Table1" displayName="Table1" ref="A2:E32" totalsRowShown="0" headerRowDxfId="172" dataDxfId="171" headerRowCellStyle="Normal" dataCellStyle="Normal">
  <autoFilter ref="A2:E32" xr:uid="{907FEC9D-592B-4769-8AE2-2F4A39B02144}"/>
  <sortState xmlns:xlrd2="http://schemas.microsoft.com/office/spreadsheetml/2017/richdata2" ref="A3:E32">
    <sortCondition ref="A2:A32"/>
  </sortState>
  <tableColumns count="5">
    <tableColumn id="1" xr3:uid="{6EE8D7E5-547B-498E-83BA-F75738F18DAD}" name="Compound" dataDxfId="170" dataCellStyle="Normal"/>
    <tableColumn id="10" xr3:uid="{AD5F57E5-AFE1-4BD6-BDAB-148FCE50016B}" name="PNEC (ng/l)" dataDxfId="169"/>
    <tableColumn id="14" xr3:uid="{F3BE3DB6-FF9F-4C55-A3B1-722E2512FD8D}" name="Assesment Factor" dataDxfId="168"/>
    <tableColumn id="13" xr3:uid="{8111CEBF-D41B-40AB-9C35-8513E6D34D34}" name="Source" dataDxfId="167"/>
    <tableColumn id="12" xr3:uid="{7C1FD539-71E0-49FA-AE08-A42667C9E3AE}" name="Species" dataDxfId="166"/>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0BEFAC2-10B0-42D6-ADBC-9A6BEBE192D3}" name="Table4" displayName="Table4" ref="A2:AP29" totalsRowShown="0" headerRowDxfId="165" dataDxfId="164">
  <autoFilter ref="A2:AP29" xr:uid="{E0BEFAC2-10B0-42D6-ADBC-9A6BEBE192D3}"/>
  <tableColumns count="42">
    <tableColumn id="1" xr3:uid="{CF7A0479-A68B-4AAA-BB46-7D5758FE8EA9}" name="Compound" dataDxfId="163"/>
    <tableColumn id="2" xr3:uid="{8C612D07-483C-4BD8-BC62-037216B284DD}" name="Pre-ALG" dataDxfId="162"/>
    <tableColumn id="3" xr3:uid="{01D5E509-85BE-4828-A968-561E56A272EF}" name="ALG" dataDxfId="161"/>
    <tableColumn id="4" xr3:uid="{F7F1E046-13E0-4726-BE1D-CC137D3311C7}" name="Pre-CON" dataDxfId="160"/>
    <tableColumn id="5" xr3:uid="{00E03A99-824F-43C4-B117-35A3E7919F63}" name="CON" dataDxfId="159"/>
    <tableColumn id="6" xr3:uid="{853E1279-1EBB-4CD3-A305-4128FDAE9308}" name="ama" dataDxfId="158"/>
    <tableColumn id="7" xr3:uid="{603D3858-024D-4D0F-B9AB-3E0149EF8471}" name="amb" dataDxfId="157"/>
    <tableColumn id="8" xr3:uid="{7FA450E2-EA20-45F2-B84D-F0C7986C011F}" name="amc" dataDxfId="156"/>
    <tableColumn id="9" xr3:uid="{D4505EB3-6D9D-4F42-87A6-F2C0A38A4359}" name="amd" dataDxfId="155"/>
    <tableColumn id="10" xr3:uid="{45D9AF59-D429-46CF-B720-54451B9FA6AD}" name="ame" dataDxfId="154"/>
    <tableColumn id="11" xr3:uid="{21C46EDD-4A62-42A2-A54E-B3E117B60E4D}" name="amf" dataDxfId="153"/>
    <tableColumn id="12" xr3:uid="{56231914-1AE7-4C9F-8326-CADCF0528919}" name="amg" dataDxfId="152"/>
    <tableColumn id="13" xr3:uid="{ED422F5E-1F9D-4DCC-B904-10D120201815}" name="amh" dataDxfId="151"/>
    <tableColumn id="14" xr3:uid="{BCE1E9CF-5AEF-40DA-81F6-F2B71E866BD8}" name="aca" dataDxfId="150"/>
    <tableColumn id="15" xr3:uid="{CD5E7D5B-D141-459A-8198-4027BA82A38E}" name="acb" dataDxfId="149"/>
    <tableColumn id="16" xr3:uid="{9B8B6A0A-6BDD-4439-A52B-79ACD31889B8}" name="acc" dataDxfId="148"/>
    <tableColumn id="17" xr3:uid="{F851C7D5-580F-4A11-B9B7-73329BE53E34}" name="acd" dataDxfId="147"/>
    <tableColumn id="18" xr3:uid="{A0FE817B-018C-4D07-B8DB-AEA939B8251D}" name="ace" dataDxfId="146"/>
    <tableColumn id="19" xr3:uid="{723482EA-009D-484F-B598-1F7EA82F24B0}" name="acf" dataDxfId="145"/>
    <tableColumn id="20" xr3:uid="{0F211458-DA6B-4512-A833-064A12417902}" name="acg" dataDxfId="144"/>
    <tableColumn id="21" xr3:uid="{7146560F-250E-40BE-A7EF-498BAE6FFA3B}" name="ach" dataDxfId="143"/>
    <tableColumn id="22" xr3:uid="{037A8EA2-36DB-4580-9DCF-823AB7E2D45F}" name="ema" dataDxfId="142"/>
    <tableColumn id="23" xr3:uid="{D5A6C04F-D199-46C6-B669-BAD33DA60CCF}" name="emb" dataDxfId="141"/>
    <tableColumn id="24" xr3:uid="{8B56BE30-1128-4553-80FF-F337B409E84A}" name="emc" dataDxfId="140"/>
    <tableColumn id="25" xr3:uid="{7377D186-B749-4C4A-8BC5-22F411C2CA97}" name="emd" dataDxfId="139"/>
    <tableColumn id="26" xr3:uid="{DFB93557-6B97-4ABD-BC5A-FA61B7C04EF2}" name="eme" dataDxfId="138"/>
    <tableColumn id="27" xr3:uid="{D930C199-42F0-48C5-A941-6D80D70F63CE}" name="emf" dataDxfId="137"/>
    <tableColumn id="28" xr3:uid="{C671E0E3-847E-453B-B081-63A475F41265}" name="emg" dataDxfId="136"/>
    <tableColumn id="29" xr3:uid="{E69408ED-E1EF-4D18-AACA-D9CF31C896C0}" name="emh" dataDxfId="135"/>
    <tableColumn id="30" xr3:uid="{8E4EB0DA-CCE0-4EA8-B75E-A7CE1884FC47}" name="eca" dataDxfId="134"/>
    <tableColumn id="31" xr3:uid="{F99B5A51-586A-4343-9538-72EDCA8048C4}" name="ecb" dataDxfId="133"/>
    <tableColumn id="32" xr3:uid="{00F24D36-3B54-463D-A8ED-CE3F13AF1F35}" name="ecc" dataDxfId="132"/>
    <tableColumn id="33" xr3:uid="{F1E68944-82F1-48EE-B2FD-2AD1C1F154AF}" name="ecd" dataDxfId="131"/>
    <tableColumn id="34" xr3:uid="{FFB3A6A6-372B-4D2B-9D43-35B4EA191B2F}" name="ece" dataDxfId="130"/>
    <tableColumn id="35" xr3:uid="{87EC4E12-5BFE-468E-80FB-D11ED39F5B1F}" name="ecf" dataDxfId="129"/>
    <tableColumn id="36" xr3:uid="{EB729DB2-8AE1-4C2A-8D9A-CAF4D0EBC8DE}" name="ecg" dataDxfId="128"/>
    <tableColumn id="37" xr3:uid="{94E040A1-0416-4A09-9F7B-4239104B8A12}" name="ech" dataDxfId="127"/>
    <tableColumn id="38" xr3:uid="{A48D2457-659F-4BF1-926D-4DEA9DE2904D}" name="Pre-blank" dataDxfId="126"/>
    <tableColumn id="39" xr3:uid="{4A71AEBA-50C3-4322-94E4-1DD0B448285E}" name="am-blank" dataDxfId="125"/>
    <tableColumn id="40" xr3:uid="{B6B7D700-6F89-483B-AF57-8381BF7D0A7B}" name="ac-blank" dataDxfId="124"/>
    <tableColumn id="41" xr3:uid="{9500A7FE-3038-460E-A22A-E8004627A6DF}" name="em-blank" dataDxfId="123"/>
    <tableColumn id="42" xr3:uid="{07E0EF5E-4F95-48BE-97A9-528172FCF7CA}" name="ec-blank" dataDxfId="122"/>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0444298-C6EA-453F-A471-A7FBEA9A7829}" name="Table5" displayName="Table5" ref="A2:AB13" totalsRowShown="0">
  <autoFilter ref="A2:AB13" xr:uid="{60444298-C6EA-453F-A471-A7FBEA9A7829}"/>
  <tableColumns count="28">
    <tableColumn id="1" xr3:uid="{D89817E8-3C87-4E26-A061-DCA689C81201}" name="Compound"/>
    <tableColumn id="2" xr3:uid="{C12A81AF-624A-4A20-9937-C624F246629D}" name="ama" dataCellStyle="Percent"/>
    <tableColumn id="3" xr3:uid="{FB8970B7-BBEA-4AF9-8FDE-6028A3A60186}" name="amb" dataCellStyle="Percent"/>
    <tableColumn id="4" xr3:uid="{ACD5A6B3-FCA0-44A4-9832-9AF61302D3BF}" name="amc" dataCellStyle="Percent"/>
    <tableColumn id="5" xr3:uid="{70FFACF0-1BD0-45DE-A84F-73B4C4ED917E}" name="amd" dataCellStyle="Percent"/>
    <tableColumn id="6" xr3:uid="{30D9C934-67CB-43E2-8A75-A8795C8603C5}" name="ame" dataCellStyle="Percent"/>
    <tableColumn id="7" xr3:uid="{5D35860A-C390-4E53-B443-4A9116E5485D}" name="amf" dataCellStyle="Percent"/>
    <tableColumn id="8" xr3:uid="{C066E956-75F8-4038-AD4A-827B79DAA116}" name="amg" dataCellStyle="Percent"/>
    <tableColumn id="9" xr3:uid="{253F5A6F-458D-4DDE-A93B-66F63BF09A98}" name="aca" dataCellStyle="Percent"/>
    <tableColumn id="10" xr3:uid="{B8EA2D96-450F-4EA7-9B6B-25849F82E779}" name="acb" dataCellStyle="Percent"/>
    <tableColumn id="11" xr3:uid="{F090ABC4-6852-436E-89B7-F011C7F6A961}" name="acc" dataCellStyle="Percent"/>
    <tableColumn id="12" xr3:uid="{BDA8E186-B7B0-4A93-AA39-CBFA27F0DD61}" name="acd" dataCellStyle="Percent"/>
    <tableColumn id="13" xr3:uid="{A40194E7-DE0F-457C-9929-4EF9720D52FD}" name="ace" dataCellStyle="Percent"/>
    <tableColumn id="14" xr3:uid="{8DAFAE84-E676-4D5A-9D6E-36797AFA790D}" name="acf" dataCellStyle="Percent"/>
    <tableColumn id="15" xr3:uid="{E4C38422-8677-439E-8E36-508584C708AC}" name="acg" dataCellStyle="Percent"/>
    <tableColumn id="16" xr3:uid="{617BF607-5961-4A53-9C30-EA598A3D86E4}" name="ema" dataCellStyle="Percent"/>
    <tableColumn id="17" xr3:uid="{9F372873-2315-4CB8-AC88-CCFED5982033}" name="emb" dataCellStyle="Percent"/>
    <tableColumn id="18" xr3:uid="{6928C460-E89D-4B13-B204-CB20868AF5D0}" name="emc" dataCellStyle="Percent"/>
    <tableColumn id="19" xr3:uid="{EAD9AB8C-6BF1-4F8B-BB92-E64297E789C5}" name="emd" dataCellStyle="Percent"/>
    <tableColumn id="20" xr3:uid="{6843502F-94A8-4605-BB04-B14420B4BE47}" name="eme" dataCellStyle="Percent"/>
    <tableColumn id="21" xr3:uid="{22EB47A0-FF22-49CC-89CA-44080AC23723}" name="emf" dataCellStyle="Percent"/>
    <tableColumn id="22" xr3:uid="{73F60942-ECFA-4705-B0B2-355D08A53CBD}" name="emg" dataDxfId="121" dataCellStyle="Percent"/>
    <tableColumn id="23" xr3:uid="{DF9B14E6-FF28-438F-80C9-C89E56B27DAB}" name="AM Mean" dataCellStyle="Percent"/>
    <tableColumn id="24" xr3:uid="{A0419B94-5F98-4650-8846-03B0223139DA}" name="AM SD" dataCellStyle="Percent"/>
    <tableColumn id="25" xr3:uid="{DF096AA2-B52B-414D-9A0E-501685F58832}" name="AC Mean" dataCellStyle="Percent"/>
    <tableColumn id="26" xr3:uid="{EDC8EE50-10D7-4D3F-8156-7FDC5BE1901A}" name="AC SD" dataCellStyle="Percent"/>
    <tableColumn id="27" xr3:uid="{85BFF2AA-C3D2-430E-8663-0F5A8823BDBB}" name="EM Mean" dataCellStyle="Percent"/>
    <tableColumn id="28" xr3:uid="{5EB60512-A39B-45C7-8C93-D489C24946D0}" name="EM SD" dataCellStyle="Percent"/>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391AF42-05EA-4437-8208-4FCD489ABEB9}" name="Table6" displayName="Table6" ref="A2:AO14" totalsRowShown="0" headerRowDxfId="120" dataDxfId="119">
  <autoFilter ref="A2:AO14" xr:uid="{1391AF42-05EA-4437-8208-4FCD489ABEB9}"/>
  <tableColumns count="41">
    <tableColumn id="1" xr3:uid="{B37FCA93-E583-41D7-9663-EF0F5A71E460}" name="Compound" dataDxfId="118"/>
    <tableColumn id="3" xr3:uid="{EEF98B19-1DE9-452B-A007-E572E023EAEB}" name="Pre-ALG" dataDxfId="117"/>
    <tableColumn id="4" xr3:uid="{C0757335-C3B0-41DC-871C-7FA3D35C90A4}" name="ALG" dataDxfId="116"/>
    <tableColumn id="5" xr3:uid="{A3CCB27A-2550-42BE-AAFF-0A42D1E154FF}" name="Pre-CON" dataDxfId="115"/>
    <tableColumn id="6" xr3:uid="{5FBB66D2-04C5-4341-83BF-EFCF73D6C734}" name="CON" dataDxfId="114"/>
    <tableColumn id="7" xr3:uid="{731A5A3C-0AEF-47A2-B610-4246D51A1819}" name="ama" dataDxfId="113"/>
    <tableColumn id="8" xr3:uid="{6B038A23-6DF4-49F5-ACEE-CE698BFA5C44}" name="amb" dataDxfId="112"/>
    <tableColumn id="9" xr3:uid="{613D6B05-C59F-461C-A440-15E519E81546}" name="amc" dataDxfId="111"/>
    <tableColumn id="10" xr3:uid="{14A3EA42-4F0A-4465-A000-567F8DBCA132}" name="amd" dataDxfId="110"/>
    <tableColumn id="11" xr3:uid="{BBD6969E-A78D-482B-B542-31DD695250B6}" name="ame" dataDxfId="109"/>
    <tableColumn id="12" xr3:uid="{F4C5722A-1F4D-450D-AC11-45E1002A3106}" name="amf" dataDxfId="108"/>
    <tableColumn id="13" xr3:uid="{B85AB1FC-3C5B-40E5-809D-C78889B4EF80}" name="amg" dataDxfId="107"/>
    <tableColumn id="14" xr3:uid="{BB3DA8F6-F20F-49FD-B63F-3297A60A2E36}" name="amh" dataDxfId="106"/>
    <tableColumn id="15" xr3:uid="{373DE3F3-C88A-4056-A5B6-9F132B0DD13B}" name="aca" dataDxfId="105"/>
    <tableColumn id="16" xr3:uid="{F74A489B-A0C2-44BE-AA3D-8772BC15440E}" name="acb" dataDxfId="104"/>
    <tableColumn id="17" xr3:uid="{D5ED6214-0A15-4DF4-BFC9-EBD7D1B438BB}" name="acc" dataDxfId="103"/>
    <tableColumn id="18" xr3:uid="{B1485EE1-C5AD-410C-9EC5-A5C1B42E6E39}" name="acd" dataDxfId="102"/>
    <tableColumn id="19" xr3:uid="{E825E604-3205-4955-8F97-9D29385F7DB2}" name="ace" dataDxfId="101"/>
    <tableColumn id="20" xr3:uid="{AF6B8BB9-A48D-44D1-85A8-0605E682D744}" name="acf" dataDxfId="100"/>
    <tableColumn id="21" xr3:uid="{8736BF75-3098-4D32-8401-E312F48B30E4}" name="acg" dataDxfId="99"/>
    <tableColumn id="22" xr3:uid="{F6CFA4E0-46D8-4696-9C63-F4353C1B4BD6}" name="ach" dataDxfId="98"/>
    <tableColumn id="23" xr3:uid="{F5AE5BD6-5440-4B31-8215-8BCD303C647F}" name="ema" dataDxfId="97"/>
    <tableColumn id="24" xr3:uid="{EE5DEADB-2301-492A-B418-8FC6E250ABF8}" name="emb" dataDxfId="96"/>
    <tableColumn id="25" xr3:uid="{9CF0A9E8-CD6F-4F42-B2C2-81D0D32B19C9}" name="emc" dataDxfId="95"/>
    <tableColumn id="26" xr3:uid="{2639E7B1-CFC4-4F68-B7FF-EAAE98662FA7}" name="emd" dataDxfId="94"/>
    <tableColumn id="27" xr3:uid="{77CD59B4-3A94-499B-8579-0887A5C7D263}" name="eme" dataDxfId="93"/>
    <tableColumn id="28" xr3:uid="{9C19CB62-8922-4B84-92A7-304890C791CE}" name="emf" dataDxfId="92"/>
    <tableColumn id="29" xr3:uid="{05C2EF77-AB62-4179-8438-288D6C2F35E3}" name="emg" dataDxfId="91"/>
    <tableColumn id="30" xr3:uid="{AC3BC5F0-FE58-4B6E-A4A0-2442A1F8864C}" name="emh" dataDxfId="90"/>
    <tableColumn id="31" xr3:uid="{DD628913-4BCC-4E2E-9983-01B3FB7861A6}" name="eca" dataDxfId="89"/>
    <tableColumn id="32" xr3:uid="{7EC030E8-82C8-4A9C-9297-7E6246E60183}" name="ecb" dataDxfId="88"/>
    <tableColumn id="33" xr3:uid="{7A9D5EDD-140E-4E57-870B-F744F85C673B}" name="ecc" dataDxfId="87"/>
    <tableColumn id="34" xr3:uid="{612B5D24-4506-4BF0-B304-87FACDE061B8}" name="ecd" dataDxfId="86"/>
    <tableColumn id="35" xr3:uid="{3281E04D-42BF-4192-992E-78E1A38476E5}" name="ece" dataDxfId="85"/>
    <tableColumn id="36" xr3:uid="{E34028C9-9BF4-453A-860B-340F48809BAD}" name="ecf" dataDxfId="84"/>
    <tableColumn id="37" xr3:uid="{69B4C394-D5C8-43FF-AA13-5081D57BD5C4}" name="ecg" dataDxfId="83"/>
    <tableColumn id="38" xr3:uid="{623D7E77-BFF6-4E66-8D7A-30957D43458C}" name="ech" dataDxfId="82"/>
    <tableColumn id="39" xr3:uid="{55DEBA8D-D0B3-45A3-8333-FFDB2CF8E518}" name="AM" dataDxfId="81"/>
    <tableColumn id="40" xr3:uid="{370C911B-156D-4A15-A08D-AC5DF164FE6C}" name="AC" dataDxfId="80"/>
    <tableColumn id="41" xr3:uid="{D7BD9C9C-0421-4C17-A160-C542A5DDE5F0}" name="EM" dataDxfId="79"/>
    <tableColumn id="42" xr3:uid="{CACB3E8E-568F-4CE9-B951-A7C55997D528}" name="EC" dataDxfId="78"/>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918A394-A169-4660-BF03-2033996E7DA4}" name="Table3" displayName="Table3" ref="A2:K13" totalsRowShown="0" headerRowDxfId="77" dataDxfId="0">
  <autoFilter ref="A2:K13" xr:uid="{0918A394-A169-4660-BF03-2033996E7DA4}"/>
  <tableColumns count="11">
    <tableColumn id="1" xr3:uid="{7FBBA08D-35BA-422D-842A-FD649223FC08}" name="Compound" dataDxfId="11"/>
    <tableColumn id="14" xr3:uid="{3CB6C14A-CDA6-42BE-AF0D-3101A0C3D5D0}" name="Half-Life" dataDxfId="10"/>
    <tableColumn id="15" xr3:uid="{ACE9412C-48AB-43A7-8167-4CCA5FF463ED}" name="Log Half Life" dataDxfId="9">
      <calculatedColumnFormula>LOG10(Table3[[#This Row],[Half-Life]])</calculatedColumnFormula>
    </tableColumn>
    <tableColumn id="2" xr3:uid="{D6BF232D-7CC7-4DCE-8EDB-F2F40A7BC89D}" name="pKa (Acidic)" dataDxfId="8"/>
    <tableColumn id="3" xr3:uid="{90473FCC-7E8D-4B36-8130-DB698106A873}" name="pKa (Basic)" dataDxfId="7"/>
    <tableColumn id="6" xr3:uid="{D62651F0-A1C9-4638-B60C-DD4707098EFE}" name="LogS @pH 7" dataDxfId="6"/>
    <tableColumn id="7" xr3:uid="{B9DCA684-F84C-4A85-9317-57AEF3DBAF2A}" name="LogS @pH 11" dataDxfId="5"/>
    <tableColumn id="9" xr3:uid="{61B1918B-0FDE-4C93-92A2-993EF575910A}" name="LogS Change" dataDxfId="4">
      <calculatedColumnFormula>Table3[[#This Row],[LogS @pH 11]]-Table3[[#This Row],[LogS @pH 7]]</calculatedColumnFormula>
    </tableColumn>
    <tableColumn id="10" xr3:uid="{5B6B3116-FDA0-43B3-829C-680B1B7E9F83}" name="Log Half-Life * ΔLogS" dataDxfId="3">
      <calculatedColumnFormula>Table3[[#This Row],[LogS Change]]*Table3[[#This Row],[Log Half Life]]</calculatedColumnFormula>
    </tableColumn>
    <tableColumn id="11" xr3:uid="{FD66EE64-0435-4A0D-849F-FADA9B276D47}" name="AC Removal" dataDxfId="2" dataCellStyle="Percent">
      <calculatedColumnFormula>VLOOKUP(Table3[[#This Row],[Compound]],'S4 - Removals'!A:AB,25,FALSE)</calculatedColumnFormula>
    </tableColumn>
    <tableColumn id="13" xr3:uid="{9B416A23-C9C9-4239-8F3A-B55933632AE2}" name="AM Removal" dataDxfId="1" dataCellStyle="Percent">
      <calculatedColumnFormula>VLOOKUP(Table3[[#This Row],[Compound]],'S4 - Removals'!A:AB,23,FALSE)</calculatedColumnFormula>
    </tableColumn>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C84EEA68-38EF-4892-9376-ECE4EDB58ACB}" name="Table10" displayName="Table10" ref="I15:K19" totalsRowShown="0">
  <autoFilter ref="I15:K19" xr:uid="{C84EEA68-38EF-4892-9376-ECE4EDB58ACB}"/>
  <tableColumns count="3">
    <tableColumn id="1" xr3:uid="{C4B5CE0E-0562-4097-AFA9-6CADF722F7E8}" name="Pearson Correlation Coefficients"/>
    <tableColumn id="2" xr3:uid="{DFA805EC-EB5C-4902-8FBD-337166300A7E}" name="AC" dataDxfId="76" dataCellStyle="Percent"/>
    <tableColumn id="3" xr3:uid="{169D021C-931F-489E-BD4C-72FC460870C4}" name="AM" dataDxfId="75" dataCellStyle="Percent"/>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1E55C2F-A3F0-4B86-A00C-EDD50DBD0B7B}" name="Table7" displayName="Table7" ref="A2:I26" totalsRowShown="0">
  <autoFilter ref="A2:I26" xr:uid="{A1E55C2F-A3F0-4B86-A00C-EDD50DBD0B7B}"/>
  <tableColumns count="9">
    <tableColumn id="1" xr3:uid="{2C724F35-E16B-4EDE-9C3C-72B655D98E0D}" name="Day"/>
    <tableColumn id="2" xr3:uid="{B041BC4A-4519-48CC-ACFF-390EBA7611A7}" name="Date" dataDxfId="74"/>
    <tableColumn id="3" xr3:uid="{3E2E43B4-E7F3-4CCA-93E3-BD3182FC4D01}" name="time" dataDxfId="73"/>
    <tableColumn id="4" xr3:uid="{496D3A78-F36A-4F73-92E8-FB224D2C893A}" name="Hour"/>
    <tableColumn id="5" xr3:uid="{0FC52F6C-C763-4C0F-946C-A133033D05A7}" name="Treatment"/>
    <tableColumn id="6" xr3:uid="{6C473859-F29D-41FD-8737-F1B58F5586A7}" name="DO"/>
    <tableColumn id="7" xr3:uid="{46C88D42-AAE2-41B8-913A-3C75414D0491}" name="pH"/>
    <tableColumn id="8" xr3:uid="{02782715-C5F7-4426-8EAD-FBDA58457AC0}" name="Cond"/>
    <tableColumn id="9" xr3:uid="{84E849D3-76B7-42EF-8EA9-C8D2A90DA151}" name="temp"/>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CC6A3A4-BE28-4CDA-AB87-54B1A44C5BB6}" name="Table8" displayName="Table8" ref="A2:M14" totalsRowShown="0" headerRowDxfId="72" dataDxfId="71" dataCellStyle="Percent">
  <autoFilter ref="A2:M14" xr:uid="{2CC6A3A4-BE28-4CDA-AB87-54B1A44C5BB6}"/>
  <tableColumns count="13">
    <tableColumn id="1" xr3:uid="{F6D6E4B2-DB82-4263-A12B-B47090E2271A}" name="Day"/>
    <tableColumn id="2" xr3:uid="{8D4E6DF2-B7CD-40DC-AD69-27EBD5C30561}" name="pH"/>
    <tableColumn id="3" xr3:uid="{47606CD4-B411-449C-9EA2-56D4EEF586CF}" name="Carbamazepine" dataDxfId="70" dataCellStyle="Percent">
      <calculatedColumnFormula>(1/(1+(10^(1*(15.96-B3)))))</calculatedColumnFormula>
    </tableColumn>
    <tableColumn id="4" xr3:uid="{A28FB1FA-A31F-4C68-ADC3-B50BEEA66897}" name="Gabapentin" dataDxfId="69" dataCellStyle="Percent">
      <calculatedColumnFormula>(1/(1+(10^(1*(10.7-B3)))))</calculatedColumnFormula>
    </tableColumn>
    <tableColumn id="5" xr3:uid="{DD2AC510-A4F5-46B9-A21B-FA7D7FDB2201}" name="Pregabalin" dataDxfId="68" dataCellStyle="Percent">
      <calculatedColumnFormula>(1/(1+(10^(1*(10.6-B3)))))</calculatedColumnFormula>
    </tableColumn>
    <tableColumn id="6" xr3:uid="{34AE8556-0346-448D-A049-2CBEBD58C8C4}" name="Ibuprofen" dataDxfId="67" dataCellStyle="Percent">
      <calculatedColumnFormula>(1/(1+(10^(1*(5.2-B3)))))</calculatedColumnFormula>
    </tableColumn>
    <tableColumn id="7" xr3:uid="{7DDD9ACD-77C5-4464-87A1-A799968AF3DD}" name="Venlafaxine" dataDxfId="66" dataCellStyle="Percent">
      <calculatedColumnFormula>(1/(1+(10^(-1*(9.5-B3)))))</calculatedColumnFormula>
    </tableColumn>
    <tableColumn id="8" xr3:uid="{31D0FCB0-0528-45BC-B02B-5E1B8CC0F278}" name="Citalopram" dataDxfId="65" dataCellStyle="Percent">
      <calculatedColumnFormula>(1/(1+(10^(-1*(9.38-B3)))))</calculatedColumnFormula>
    </tableColumn>
    <tableColumn id="9" xr3:uid="{2071CD8D-19EB-4349-AC67-55CAAADED977}" name="Tramadol" dataDxfId="64" dataCellStyle="Percent">
      <calculatedColumnFormula>(1/(1+(10^(-1*(9.23-B3)))))</calculatedColumnFormula>
    </tableColumn>
    <tableColumn id="10" xr3:uid="{07066BC6-EFBC-4A91-96F6-266320BDD073}" name="Fluvoxamine" dataDxfId="63" dataCellStyle="Percent">
      <calculatedColumnFormula>(1/(1+(10^(-1*(8.86-B3)))))</calculatedColumnFormula>
    </tableColumn>
    <tableColumn id="11" xr3:uid="{9ED3899C-2697-4FD5-8229-FC7C0168F54C}" name="Lidocaine" dataDxfId="62" dataCellStyle="Percent">
      <calculatedColumnFormula>(1/(1+(10^(-1*(8.01-B3)))))</calculatedColumnFormula>
    </tableColumn>
    <tableColumn id="12" xr3:uid="{69AF10DE-4F49-4ABE-9994-296F546D1581}" name="Quetiapine" dataDxfId="61" dataCellStyle="Percent">
      <calculatedColumnFormula>(1/(1+(10^(-1*(7.06-B3)))))</calculatedColumnFormula>
    </tableColumn>
    <tableColumn id="13" xr3:uid="{E32B8FED-2F7E-4C22-BDA4-ABC34ED2E67C}" name="Lamotrigine" dataDxfId="60" dataCellStyle="Percent">
      <calculatedColumnFormula>(1/(1+(10^(-1*(5.7-B3)))))</calculatedColumnFormula>
    </tableColumn>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_rels/sheet9.xml.rels><?xml version="1.0" encoding="UTF-8" standalone="yes"?>
<Relationships xmlns="http://schemas.openxmlformats.org/package/2006/relationships"><Relationship Id="rId1"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1CE4B-905F-4869-A8FA-1B69A7281B9D}">
  <dimension ref="A1:G32"/>
  <sheetViews>
    <sheetView zoomScale="80" zoomScaleNormal="80" workbookViewId="0">
      <selection activeCell="C26" sqref="C26"/>
    </sheetView>
  </sheetViews>
  <sheetFormatPr defaultRowHeight="14.6" x14ac:dyDescent="0.4"/>
  <cols>
    <col min="1" max="1" width="24.53515625" bestFit="1" customWidth="1"/>
    <col min="2" max="2" width="14.765625" bestFit="1" customWidth="1"/>
    <col min="3" max="3" width="11.07421875" bestFit="1" customWidth="1"/>
    <col min="4" max="4" width="13.4609375" bestFit="1" customWidth="1"/>
    <col min="5" max="5" width="15.07421875" bestFit="1" customWidth="1"/>
    <col min="6" max="6" width="25.765625" bestFit="1" customWidth="1"/>
    <col min="7" max="7" width="39" bestFit="1" customWidth="1"/>
  </cols>
  <sheetData>
    <row r="1" spans="1:7" s="1" customFormat="1" x14ac:dyDescent="0.4">
      <c r="A1" s="24" t="s">
        <v>187</v>
      </c>
    </row>
    <row r="2" spans="1:7" x14ac:dyDescent="0.4">
      <c r="A2" s="3" t="s">
        <v>161</v>
      </c>
      <c r="B2" s="2" t="s">
        <v>0</v>
      </c>
      <c r="C2" s="2" t="s">
        <v>1</v>
      </c>
      <c r="D2" s="2" t="s">
        <v>2</v>
      </c>
      <c r="E2" s="2" t="s">
        <v>3</v>
      </c>
      <c r="F2" s="2" t="s">
        <v>130</v>
      </c>
      <c r="G2" s="2" t="s">
        <v>163</v>
      </c>
    </row>
    <row r="3" spans="1:7" x14ac:dyDescent="0.4">
      <c r="A3" s="4" t="s">
        <v>4</v>
      </c>
      <c r="B3" t="s">
        <v>5</v>
      </c>
      <c r="C3" t="s">
        <v>6</v>
      </c>
      <c r="D3" t="s">
        <v>7</v>
      </c>
      <c r="E3" t="s">
        <v>8</v>
      </c>
      <c r="F3" t="s">
        <v>131</v>
      </c>
    </row>
    <row r="4" spans="1:7" x14ac:dyDescent="0.4">
      <c r="A4" s="4" t="s">
        <v>14</v>
      </c>
      <c r="B4" t="s">
        <v>15</v>
      </c>
      <c r="C4" t="s">
        <v>16</v>
      </c>
      <c r="D4" t="s">
        <v>17</v>
      </c>
      <c r="E4" t="s">
        <v>18</v>
      </c>
      <c r="F4" t="s">
        <v>133</v>
      </c>
    </row>
    <row r="5" spans="1:7" x14ac:dyDescent="0.4">
      <c r="A5" s="4" t="s">
        <v>9</v>
      </c>
      <c r="B5" t="s">
        <v>10</v>
      </c>
      <c r="C5" t="s">
        <v>11</v>
      </c>
      <c r="D5" t="s">
        <v>12</v>
      </c>
      <c r="E5" t="s">
        <v>13</v>
      </c>
      <c r="F5" t="s">
        <v>132</v>
      </c>
      <c r="G5" t="s">
        <v>164</v>
      </c>
    </row>
    <row r="6" spans="1:7" x14ac:dyDescent="0.4">
      <c r="A6" t="s">
        <v>19</v>
      </c>
      <c r="B6" t="s">
        <v>20</v>
      </c>
      <c r="C6" t="s">
        <v>21</v>
      </c>
      <c r="D6" t="s">
        <v>22</v>
      </c>
      <c r="E6" t="s">
        <v>23</v>
      </c>
      <c r="F6" t="s">
        <v>134</v>
      </c>
    </row>
    <row r="7" spans="1:7" x14ac:dyDescent="0.4">
      <c r="A7" s="4" t="s">
        <v>24</v>
      </c>
      <c r="B7" t="s">
        <v>25</v>
      </c>
      <c r="C7" t="s">
        <v>26</v>
      </c>
      <c r="D7" t="s">
        <v>27</v>
      </c>
      <c r="E7" t="s">
        <v>18</v>
      </c>
      <c r="F7" t="s">
        <v>135</v>
      </c>
      <c r="G7" t="s">
        <v>165</v>
      </c>
    </row>
    <row r="8" spans="1:7" x14ac:dyDescent="0.4">
      <c r="A8" s="4" t="s">
        <v>28</v>
      </c>
      <c r="B8" t="s">
        <v>29</v>
      </c>
      <c r="C8" t="s">
        <v>30</v>
      </c>
      <c r="D8" t="s">
        <v>31</v>
      </c>
      <c r="E8" t="s">
        <v>13</v>
      </c>
      <c r="F8" t="s">
        <v>136</v>
      </c>
    </row>
    <row r="9" spans="1:7" x14ac:dyDescent="0.4">
      <c r="A9" s="4" t="s">
        <v>32</v>
      </c>
      <c r="B9" t="s">
        <v>33</v>
      </c>
      <c r="C9" t="s">
        <v>34</v>
      </c>
      <c r="D9" t="s">
        <v>35</v>
      </c>
      <c r="E9" t="s">
        <v>36</v>
      </c>
      <c r="F9" t="s">
        <v>137</v>
      </c>
    </row>
    <row r="10" spans="1:7" x14ac:dyDescent="0.4">
      <c r="A10" s="4" t="s">
        <v>37</v>
      </c>
      <c r="B10" t="s">
        <v>38</v>
      </c>
      <c r="C10" t="s">
        <v>39</v>
      </c>
      <c r="D10" t="s">
        <v>40</v>
      </c>
      <c r="E10" t="s">
        <v>23</v>
      </c>
      <c r="F10" t="s">
        <v>138</v>
      </c>
    </row>
    <row r="11" spans="1:7" x14ac:dyDescent="0.4">
      <c r="A11" s="4" t="s">
        <v>41</v>
      </c>
      <c r="B11" t="s">
        <v>42</v>
      </c>
      <c r="C11" t="s">
        <v>43</v>
      </c>
      <c r="D11" t="s">
        <v>44</v>
      </c>
      <c r="E11" t="s">
        <v>18</v>
      </c>
      <c r="F11" t="s">
        <v>139</v>
      </c>
    </row>
    <row r="12" spans="1:7" x14ac:dyDescent="0.4">
      <c r="A12" s="4" t="s">
        <v>45</v>
      </c>
      <c r="B12" t="s">
        <v>46</v>
      </c>
      <c r="C12" t="s">
        <v>47</v>
      </c>
      <c r="D12" t="s">
        <v>48</v>
      </c>
      <c r="E12" t="s">
        <v>8</v>
      </c>
      <c r="F12" t="s">
        <v>140</v>
      </c>
    </row>
    <row r="13" spans="1:7" x14ac:dyDescent="0.4">
      <c r="A13" s="4" t="s">
        <v>49</v>
      </c>
      <c r="B13" t="s">
        <v>50</v>
      </c>
      <c r="C13" t="s">
        <v>51</v>
      </c>
      <c r="D13" t="s">
        <v>52</v>
      </c>
      <c r="E13" t="s">
        <v>23</v>
      </c>
      <c r="F13" t="s">
        <v>141</v>
      </c>
    </row>
    <row r="14" spans="1:7" x14ac:dyDescent="0.4">
      <c r="A14" s="4" t="s">
        <v>53</v>
      </c>
      <c r="B14" t="s">
        <v>54</v>
      </c>
      <c r="C14" t="s">
        <v>55</v>
      </c>
      <c r="D14" t="s">
        <v>56</v>
      </c>
      <c r="E14" t="s">
        <v>18</v>
      </c>
      <c r="F14" t="s">
        <v>142</v>
      </c>
    </row>
    <row r="15" spans="1:7" x14ac:dyDescent="0.4">
      <c r="A15" s="4" t="s">
        <v>57</v>
      </c>
      <c r="B15" t="s">
        <v>58</v>
      </c>
      <c r="C15" t="s">
        <v>59</v>
      </c>
      <c r="D15" t="s">
        <v>60</v>
      </c>
      <c r="E15" t="s">
        <v>18</v>
      </c>
      <c r="F15" t="s">
        <v>143</v>
      </c>
    </row>
    <row r="16" spans="1:7" x14ac:dyDescent="0.4">
      <c r="A16" s="4" t="s">
        <v>61</v>
      </c>
      <c r="B16" t="s">
        <v>62</v>
      </c>
      <c r="C16" t="s">
        <v>63</v>
      </c>
      <c r="D16" t="s">
        <v>64</v>
      </c>
      <c r="E16" t="s">
        <v>18</v>
      </c>
      <c r="F16" t="s">
        <v>144</v>
      </c>
    </row>
    <row r="17" spans="1:7" x14ac:dyDescent="0.4">
      <c r="A17" s="4" t="s">
        <v>65</v>
      </c>
      <c r="B17" t="s">
        <v>66</v>
      </c>
      <c r="C17" t="s">
        <v>67</v>
      </c>
      <c r="D17" t="s">
        <v>68</v>
      </c>
      <c r="E17" t="s">
        <v>36</v>
      </c>
      <c r="F17" t="s">
        <v>145</v>
      </c>
    </row>
    <row r="18" spans="1:7" x14ac:dyDescent="0.4">
      <c r="A18" s="4" t="s">
        <v>69</v>
      </c>
      <c r="B18" t="s">
        <v>70</v>
      </c>
      <c r="C18" t="s">
        <v>71</v>
      </c>
      <c r="D18" t="s">
        <v>72</v>
      </c>
      <c r="E18" t="s">
        <v>23</v>
      </c>
      <c r="F18" t="s">
        <v>146</v>
      </c>
    </row>
    <row r="19" spans="1:7" x14ac:dyDescent="0.4">
      <c r="A19" s="4" t="s">
        <v>77</v>
      </c>
      <c r="B19" t="s">
        <v>78</v>
      </c>
      <c r="C19" t="s">
        <v>79</v>
      </c>
      <c r="D19" t="s">
        <v>80</v>
      </c>
      <c r="E19" t="s">
        <v>36</v>
      </c>
      <c r="F19" t="s">
        <v>148</v>
      </c>
    </row>
    <row r="20" spans="1:7" x14ac:dyDescent="0.4">
      <c r="A20" s="4" t="s">
        <v>81</v>
      </c>
      <c r="B20" t="s">
        <v>82</v>
      </c>
      <c r="C20" t="s">
        <v>83</v>
      </c>
      <c r="D20" t="s">
        <v>84</v>
      </c>
      <c r="E20" t="s">
        <v>36</v>
      </c>
      <c r="F20" t="s">
        <v>149</v>
      </c>
    </row>
    <row r="21" spans="1:7" x14ac:dyDescent="0.4">
      <c r="A21" s="4" t="s">
        <v>85</v>
      </c>
      <c r="B21" t="s">
        <v>86</v>
      </c>
      <c r="C21" t="s">
        <v>87</v>
      </c>
      <c r="D21" t="s">
        <v>88</v>
      </c>
      <c r="E21" t="s">
        <v>89</v>
      </c>
      <c r="F21" t="s">
        <v>150</v>
      </c>
    </row>
    <row r="22" spans="1:7" x14ac:dyDescent="0.4">
      <c r="A22" s="4" t="s">
        <v>90</v>
      </c>
      <c r="B22" t="s">
        <v>91</v>
      </c>
      <c r="C22" t="s">
        <v>92</v>
      </c>
      <c r="D22" t="s">
        <v>93</v>
      </c>
      <c r="E22" t="s">
        <v>18</v>
      </c>
      <c r="F22" t="s">
        <v>151</v>
      </c>
    </row>
    <row r="23" spans="1:7" x14ac:dyDescent="0.4">
      <c r="A23" s="4" t="s">
        <v>94</v>
      </c>
      <c r="B23" t="s">
        <v>95</v>
      </c>
      <c r="C23" t="s">
        <v>96</v>
      </c>
      <c r="D23" t="s">
        <v>97</v>
      </c>
      <c r="E23" t="s">
        <v>18</v>
      </c>
      <c r="F23" t="s">
        <v>152</v>
      </c>
    </row>
    <row r="24" spans="1:7" x14ac:dyDescent="0.4">
      <c r="A24" s="4" t="s">
        <v>98</v>
      </c>
      <c r="B24" t="s">
        <v>99</v>
      </c>
      <c r="C24" t="s">
        <v>100</v>
      </c>
      <c r="D24" t="s">
        <v>101</v>
      </c>
      <c r="E24" t="s">
        <v>8</v>
      </c>
      <c r="F24" t="s">
        <v>153</v>
      </c>
      <c r="G24" t="s">
        <v>166</v>
      </c>
    </row>
    <row r="25" spans="1:7" x14ac:dyDescent="0.4">
      <c r="A25" s="4" t="s">
        <v>106</v>
      </c>
      <c r="B25" t="s">
        <v>107</v>
      </c>
      <c r="C25" t="s">
        <v>108</v>
      </c>
      <c r="D25" t="s">
        <v>109</v>
      </c>
      <c r="E25" t="s">
        <v>36</v>
      </c>
      <c r="F25" t="s">
        <v>155</v>
      </c>
    </row>
    <row r="26" spans="1:7" x14ac:dyDescent="0.4">
      <c r="A26" s="4" t="s">
        <v>110</v>
      </c>
      <c r="B26" t="s">
        <v>111</v>
      </c>
      <c r="C26" t="s">
        <v>112</v>
      </c>
      <c r="D26" t="s">
        <v>113</v>
      </c>
      <c r="E26" t="s">
        <v>23</v>
      </c>
      <c r="F26" t="s">
        <v>156</v>
      </c>
    </row>
    <row r="27" spans="1:7" x14ac:dyDescent="0.4">
      <c r="A27" s="4" t="s">
        <v>114</v>
      </c>
      <c r="B27" t="s">
        <v>115</v>
      </c>
      <c r="C27" t="s">
        <v>116</v>
      </c>
      <c r="D27" t="s">
        <v>117</v>
      </c>
      <c r="E27" t="s">
        <v>18</v>
      </c>
      <c r="F27" t="s">
        <v>157</v>
      </c>
    </row>
    <row r="28" spans="1:7" x14ac:dyDescent="0.4">
      <c r="A28" s="4" t="s">
        <v>118</v>
      </c>
      <c r="B28" t="s">
        <v>119</v>
      </c>
      <c r="C28" t="s">
        <v>120</v>
      </c>
      <c r="D28" t="s">
        <v>121</v>
      </c>
      <c r="E28" t="s">
        <v>36</v>
      </c>
      <c r="F28" t="s">
        <v>158</v>
      </c>
    </row>
    <row r="29" spans="1:7" x14ac:dyDescent="0.4">
      <c r="A29" s="4" t="s">
        <v>122</v>
      </c>
      <c r="B29" t="s">
        <v>123</v>
      </c>
      <c r="C29" t="s">
        <v>124</v>
      </c>
      <c r="D29" t="s">
        <v>125</v>
      </c>
      <c r="E29" t="s">
        <v>8</v>
      </c>
      <c r="F29" t="s">
        <v>159</v>
      </c>
    </row>
    <row r="30" spans="1:7" x14ac:dyDescent="0.4">
      <c r="A30" s="4" t="s">
        <v>126</v>
      </c>
      <c r="B30" t="s">
        <v>127</v>
      </c>
      <c r="C30" t="s">
        <v>128</v>
      </c>
      <c r="D30" t="s">
        <v>129</v>
      </c>
      <c r="E30" t="s">
        <v>18</v>
      </c>
      <c r="F30" t="s">
        <v>160</v>
      </c>
    </row>
    <row r="31" spans="1:7" x14ac:dyDescent="0.4">
      <c r="A31" s="4" t="s">
        <v>73</v>
      </c>
      <c r="B31" t="s">
        <v>74</v>
      </c>
      <c r="C31" t="s">
        <v>75</v>
      </c>
      <c r="D31" t="s">
        <v>76</v>
      </c>
      <c r="E31" t="s">
        <v>8</v>
      </c>
      <c r="F31" t="s">
        <v>147</v>
      </c>
    </row>
    <row r="32" spans="1:7" x14ac:dyDescent="0.4">
      <c r="A32" s="4" t="s">
        <v>102</v>
      </c>
      <c r="B32" t="s">
        <v>103</v>
      </c>
      <c r="C32" t="s">
        <v>104</v>
      </c>
      <c r="D32" t="s">
        <v>105</v>
      </c>
      <c r="E32" t="s">
        <v>36</v>
      </c>
      <c r="F32" t="s">
        <v>154</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3E955-B1C3-4106-83F5-AEFF0F2054DB}">
  <dimension ref="A1:E32"/>
  <sheetViews>
    <sheetView zoomScale="80" zoomScaleNormal="80" workbookViewId="0">
      <selection activeCell="A2" sqref="A2:E33"/>
    </sheetView>
  </sheetViews>
  <sheetFormatPr defaultRowHeight="14.6" x14ac:dyDescent="0.4"/>
  <cols>
    <col min="1" max="1" width="24.53515625" bestFit="1" customWidth="1"/>
    <col min="2" max="2" width="12.53515625" bestFit="1" customWidth="1"/>
    <col min="3" max="3" width="18" customWidth="1"/>
    <col min="4" max="4" width="8.921875" bestFit="1" customWidth="1"/>
    <col min="5" max="5" width="16.53515625" style="4" bestFit="1" customWidth="1"/>
  </cols>
  <sheetData>
    <row r="1" spans="1:5" s="2" customFormat="1" x14ac:dyDescent="0.4">
      <c r="A1" s="24" t="s">
        <v>186</v>
      </c>
      <c r="B1" s="20"/>
      <c r="C1" s="20"/>
      <c r="D1" s="20"/>
      <c r="E1" s="21"/>
    </row>
    <row r="2" spans="1:5" x14ac:dyDescent="0.4">
      <c r="A2" t="s">
        <v>161</v>
      </c>
      <c r="B2" t="s">
        <v>167</v>
      </c>
      <c r="C2" t="s">
        <v>168</v>
      </c>
      <c r="D2" t="s">
        <v>169</v>
      </c>
      <c r="E2" s="4" t="s">
        <v>170</v>
      </c>
    </row>
    <row r="3" spans="1:5" x14ac:dyDescent="0.4">
      <c r="A3" t="s">
        <v>171</v>
      </c>
      <c r="B3" s="22">
        <v>2.6800000000000001E-4</v>
      </c>
      <c r="C3">
        <v>10</v>
      </c>
      <c r="D3" s="22" t="s">
        <v>172</v>
      </c>
      <c r="E3" s="23" t="s">
        <v>173</v>
      </c>
    </row>
    <row r="4" spans="1:5" x14ac:dyDescent="0.4">
      <c r="A4" t="s">
        <v>4</v>
      </c>
      <c r="B4" s="22">
        <v>4.5999999999999999E-2</v>
      </c>
      <c r="C4">
        <v>10</v>
      </c>
      <c r="D4" s="22" t="s">
        <v>172</v>
      </c>
      <c r="E4" s="23" t="s">
        <v>174</v>
      </c>
    </row>
    <row r="5" spans="1:5" x14ac:dyDescent="0.4">
      <c r="A5" t="s">
        <v>14</v>
      </c>
      <c r="B5" s="22">
        <v>1.3999999999999999E-4</v>
      </c>
      <c r="C5">
        <v>1000</v>
      </c>
      <c r="D5" s="22" t="s">
        <v>175</v>
      </c>
      <c r="E5" s="5" t="s">
        <v>176</v>
      </c>
    </row>
    <row r="6" spans="1:5" x14ac:dyDescent="0.4">
      <c r="A6" t="s">
        <v>177</v>
      </c>
      <c r="B6" s="22">
        <v>5.8200000000000002E-2</v>
      </c>
      <c r="C6">
        <v>1000</v>
      </c>
      <c r="D6" s="22" t="s">
        <v>175</v>
      </c>
      <c r="E6" s="5" t="s">
        <v>178</v>
      </c>
    </row>
    <row r="7" spans="1:5" x14ac:dyDescent="0.4">
      <c r="A7" t="s">
        <v>19</v>
      </c>
      <c r="B7" s="22">
        <v>2.6000000000000003E-4</v>
      </c>
      <c r="C7">
        <v>10</v>
      </c>
      <c r="D7" s="22" t="s">
        <v>172</v>
      </c>
      <c r="E7" s="5" t="s">
        <v>178</v>
      </c>
    </row>
    <row r="8" spans="1:5" x14ac:dyDescent="0.4">
      <c r="A8" t="s">
        <v>179</v>
      </c>
      <c r="B8" s="22">
        <v>1.1100000000000001E-3</v>
      </c>
      <c r="C8">
        <v>10</v>
      </c>
      <c r="D8" s="22" t="s">
        <v>172</v>
      </c>
      <c r="E8" s="5" t="s">
        <v>176</v>
      </c>
    </row>
    <row r="9" spans="1:5" x14ac:dyDescent="0.4">
      <c r="A9" t="s">
        <v>28</v>
      </c>
      <c r="B9" s="22">
        <v>1.1999999999999999E-3</v>
      </c>
      <c r="C9">
        <v>100</v>
      </c>
      <c r="D9" s="22" t="s">
        <v>172</v>
      </c>
      <c r="E9" s="23" t="s">
        <v>180</v>
      </c>
    </row>
    <row r="10" spans="1:5" x14ac:dyDescent="0.4">
      <c r="A10" t="s">
        <v>32</v>
      </c>
      <c r="B10" s="22">
        <v>2E-3</v>
      </c>
      <c r="C10">
        <v>50</v>
      </c>
      <c r="D10" s="22" t="s">
        <v>172</v>
      </c>
      <c r="E10" s="23" t="s">
        <v>181</v>
      </c>
    </row>
    <row r="11" spans="1:5" x14ac:dyDescent="0.4">
      <c r="A11" t="s">
        <v>37</v>
      </c>
      <c r="B11" s="22">
        <v>6.6000000000000005E-5</v>
      </c>
      <c r="C11">
        <v>1000</v>
      </c>
      <c r="D11" s="22" t="s">
        <v>175</v>
      </c>
      <c r="E11" s="5" t="s">
        <v>176</v>
      </c>
    </row>
    <row r="12" spans="1:5" x14ac:dyDescent="0.4">
      <c r="A12" t="s">
        <v>45</v>
      </c>
      <c r="B12" s="22">
        <v>2.0699999999999998E-3</v>
      </c>
      <c r="C12">
        <v>1000</v>
      </c>
      <c r="D12" s="22" t="s">
        <v>175</v>
      </c>
      <c r="E12" s="5" t="s">
        <v>176</v>
      </c>
    </row>
    <row r="13" spans="1:5" x14ac:dyDescent="0.4">
      <c r="A13" t="s">
        <v>49</v>
      </c>
      <c r="B13" s="22">
        <v>1.8000000000000001E-4</v>
      </c>
      <c r="C13">
        <v>100</v>
      </c>
      <c r="D13" s="22" t="s">
        <v>172</v>
      </c>
      <c r="E13" s="23" t="s">
        <v>182</v>
      </c>
    </row>
    <row r="14" spans="1:5" x14ac:dyDescent="0.4">
      <c r="A14" t="s">
        <v>53</v>
      </c>
      <c r="B14" s="22">
        <v>4.2999999999999999E-4</v>
      </c>
      <c r="C14">
        <v>10</v>
      </c>
      <c r="D14" s="22" t="s">
        <v>172</v>
      </c>
      <c r="E14" s="5" t="s">
        <v>176</v>
      </c>
    </row>
    <row r="15" spans="1:5" x14ac:dyDescent="0.4">
      <c r="A15" t="s">
        <v>57</v>
      </c>
      <c r="B15" s="22">
        <v>1E-4</v>
      </c>
      <c r="C15">
        <v>10</v>
      </c>
      <c r="D15" s="22" t="s">
        <v>172</v>
      </c>
      <c r="E15" s="23" t="s">
        <v>173</v>
      </c>
    </row>
    <row r="16" spans="1:5" x14ac:dyDescent="0.4">
      <c r="A16" t="s">
        <v>61</v>
      </c>
      <c r="B16" s="22">
        <v>2.49E-3</v>
      </c>
      <c r="C16">
        <v>1000</v>
      </c>
      <c r="D16" s="22" t="s">
        <v>175</v>
      </c>
      <c r="E16" s="5" t="s">
        <v>176</v>
      </c>
    </row>
    <row r="17" spans="1:5" x14ac:dyDescent="0.4">
      <c r="A17" t="s">
        <v>65</v>
      </c>
      <c r="B17" s="22">
        <v>1</v>
      </c>
      <c r="C17">
        <v>100</v>
      </c>
      <c r="D17" s="22" t="s">
        <v>172</v>
      </c>
      <c r="E17" s="23" t="s">
        <v>174</v>
      </c>
    </row>
    <row r="18" spans="1:5" x14ac:dyDescent="0.4">
      <c r="A18" t="s">
        <v>69</v>
      </c>
      <c r="B18" s="22">
        <v>3.7000000000000002E-3</v>
      </c>
      <c r="C18">
        <v>100</v>
      </c>
      <c r="D18" s="22" t="s">
        <v>172</v>
      </c>
      <c r="E18" s="5" t="s">
        <v>176</v>
      </c>
    </row>
    <row r="19" spans="1:5" x14ac:dyDescent="0.4">
      <c r="A19" t="s">
        <v>73</v>
      </c>
      <c r="B19" s="22">
        <v>1.1E-5</v>
      </c>
      <c r="C19" t="s">
        <v>153</v>
      </c>
      <c r="D19" s="22" t="s">
        <v>172</v>
      </c>
      <c r="E19" s="23" t="s">
        <v>174</v>
      </c>
    </row>
    <row r="20" spans="1:5" x14ac:dyDescent="0.4">
      <c r="A20" t="s">
        <v>77</v>
      </c>
      <c r="B20" s="22">
        <v>8.0000000000000002E-3</v>
      </c>
      <c r="C20">
        <v>50</v>
      </c>
      <c r="D20" s="22" t="s">
        <v>172</v>
      </c>
      <c r="E20" s="23" t="s">
        <v>174</v>
      </c>
    </row>
    <row r="21" spans="1:5" x14ac:dyDescent="0.4">
      <c r="A21" t="s">
        <v>81</v>
      </c>
      <c r="B21" s="22">
        <v>3.7999999999999999E-2</v>
      </c>
      <c r="C21">
        <v>1000</v>
      </c>
      <c r="D21" s="22" t="s">
        <v>175</v>
      </c>
      <c r="E21" s="5" t="s">
        <v>176</v>
      </c>
    </row>
    <row r="22" spans="1:5" x14ac:dyDescent="0.4">
      <c r="A22" t="s">
        <v>85</v>
      </c>
      <c r="B22" s="22">
        <v>0.6</v>
      </c>
      <c r="C22">
        <v>100</v>
      </c>
      <c r="D22" s="22" t="s">
        <v>172</v>
      </c>
      <c r="E22" s="5" t="s">
        <v>176</v>
      </c>
    </row>
    <row r="23" spans="1:5" x14ac:dyDescent="0.4">
      <c r="A23" t="s">
        <v>90</v>
      </c>
      <c r="B23" s="22">
        <v>3.2000000000000003E-4</v>
      </c>
      <c r="C23">
        <v>1000</v>
      </c>
      <c r="D23" s="22" t="s">
        <v>175</v>
      </c>
      <c r="E23" s="5" t="s">
        <v>176</v>
      </c>
    </row>
    <row r="24" spans="1:5" x14ac:dyDescent="0.4">
      <c r="A24" t="s">
        <v>94</v>
      </c>
      <c r="B24" s="22">
        <v>0.02</v>
      </c>
      <c r="C24">
        <v>100</v>
      </c>
      <c r="D24" s="22" t="s">
        <v>172</v>
      </c>
      <c r="E24" s="23" t="s">
        <v>183</v>
      </c>
    </row>
    <row r="25" spans="1:5" x14ac:dyDescent="0.4">
      <c r="A25" t="s">
        <v>184</v>
      </c>
      <c r="B25" s="22">
        <v>9.83</v>
      </c>
      <c r="C25">
        <v>1000</v>
      </c>
      <c r="D25" s="22" t="s">
        <v>175</v>
      </c>
      <c r="E25" s="5" t="s">
        <v>178</v>
      </c>
    </row>
    <row r="26" spans="1:5" x14ac:dyDescent="0.4">
      <c r="A26" t="s">
        <v>102</v>
      </c>
      <c r="B26" s="22">
        <v>8.7000000000000001E-4</v>
      </c>
      <c r="C26">
        <v>1000</v>
      </c>
      <c r="D26" s="22" t="s">
        <v>175</v>
      </c>
      <c r="E26" s="5" t="s">
        <v>176</v>
      </c>
    </row>
    <row r="27" spans="1:5" x14ac:dyDescent="0.4">
      <c r="A27" t="s">
        <v>106</v>
      </c>
      <c r="B27" s="22">
        <v>0.1</v>
      </c>
      <c r="C27">
        <v>10</v>
      </c>
      <c r="D27" s="22" t="s">
        <v>172</v>
      </c>
      <c r="E27" s="5" t="s">
        <v>185</v>
      </c>
    </row>
    <row r="28" spans="1:5" x14ac:dyDescent="0.4">
      <c r="A28" t="s">
        <v>110</v>
      </c>
      <c r="B28" s="22">
        <v>0.01</v>
      </c>
      <c r="C28">
        <v>10</v>
      </c>
      <c r="D28" s="22" t="s">
        <v>172</v>
      </c>
      <c r="E28" s="5" t="s">
        <v>185</v>
      </c>
    </row>
    <row r="29" spans="1:5" x14ac:dyDescent="0.4">
      <c r="A29" t="s">
        <v>114</v>
      </c>
      <c r="B29" s="22">
        <v>9.3999999999999998E-6</v>
      </c>
      <c r="C29">
        <v>50</v>
      </c>
      <c r="D29" s="22" t="s">
        <v>172</v>
      </c>
      <c r="E29" s="23" t="s">
        <v>174</v>
      </c>
    </row>
    <row r="30" spans="1:5" x14ac:dyDescent="0.4">
      <c r="A30" t="s">
        <v>118</v>
      </c>
      <c r="B30" s="22">
        <v>0.93</v>
      </c>
      <c r="C30">
        <v>100</v>
      </c>
      <c r="D30" s="22" t="s">
        <v>172</v>
      </c>
      <c r="E30" s="5" t="s">
        <v>176</v>
      </c>
    </row>
    <row r="31" spans="1:5" x14ac:dyDescent="0.4">
      <c r="A31" t="s">
        <v>122</v>
      </c>
      <c r="B31" s="22">
        <v>8.6499999999999997E-3</v>
      </c>
      <c r="C31">
        <v>1000</v>
      </c>
      <c r="D31" s="22" t="s">
        <v>175</v>
      </c>
      <c r="E31" s="5" t="s">
        <v>176</v>
      </c>
    </row>
    <row r="32" spans="1:5" x14ac:dyDescent="0.4">
      <c r="A32" t="s">
        <v>126</v>
      </c>
      <c r="B32" s="22">
        <v>8.8000000000000003E-4</v>
      </c>
      <c r="C32" t="s">
        <v>153</v>
      </c>
      <c r="D32" s="22" t="s">
        <v>172</v>
      </c>
      <c r="E32" s="23" t="s">
        <v>174</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0F985-0A63-4FE3-998E-D5D39DFEE5AA}">
  <dimension ref="A1:AP29"/>
  <sheetViews>
    <sheetView zoomScale="80" zoomScaleNormal="80" workbookViewId="0">
      <selection activeCell="E42" sqref="E42"/>
    </sheetView>
  </sheetViews>
  <sheetFormatPr defaultRowHeight="14.6" x14ac:dyDescent="0.4"/>
  <cols>
    <col min="1" max="1" width="24.53515625" bestFit="1" customWidth="1"/>
    <col min="2" max="2" width="9.84375" bestFit="1" customWidth="1"/>
    <col min="3" max="3" width="8.84375" bestFit="1" customWidth="1"/>
    <col min="4" max="4" width="10.3046875" bestFit="1" customWidth="1"/>
    <col min="5" max="10" width="8.84375" bestFit="1" customWidth="1"/>
    <col min="11" max="11" width="7.84375" bestFit="1" customWidth="1"/>
    <col min="12" max="16" width="8.84375" bestFit="1" customWidth="1"/>
    <col min="17" max="17" width="7.84375" bestFit="1" customWidth="1"/>
    <col min="18" max="20" width="8.84375" bestFit="1" customWidth="1"/>
    <col min="21" max="27" width="7.84375" bestFit="1" customWidth="1"/>
    <col min="28" max="29" width="8.84375" bestFit="1" customWidth="1"/>
    <col min="30" max="30" width="7.84375" bestFit="1" customWidth="1"/>
    <col min="31" max="33" width="8.84375" bestFit="1" customWidth="1"/>
    <col min="34" max="36" width="7.84375" bestFit="1" customWidth="1"/>
    <col min="37" max="37" width="6.15234375" bestFit="1" customWidth="1"/>
    <col min="38" max="38" width="11.15234375" bestFit="1" customWidth="1"/>
    <col min="39" max="39" width="11" bestFit="1" customWidth="1"/>
    <col min="40" max="40" width="10.3828125" bestFit="1" customWidth="1"/>
    <col min="41" max="41" width="11" bestFit="1" customWidth="1"/>
    <col min="42" max="42" width="10.3828125" bestFit="1" customWidth="1"/>
  </cols>
  <sheetData>
    <row r="1" spans="1:42" x14ac:dyDescent="0.4">
      <c r="A1" s="51" t="s">
        <v>225</v>
      </c>
    </row>
    <row r="2" spans="1:42" x14ac:dyDescent="0.4">
      <c r="A2" t="s">
        <v>161</v>
      </c>
      <c r="B2" t="s">
        <v>223</v>
      </c>
      <c r="C2" t="s">
        <v>188</v>
      </c>
      <c r="D2" t="s">
        <v>224</v>
      </c>
      <c r="E2" t="s">
        <v>189</v>
      </c>
      <c r="F2" t="s">
        <v>190</v>
      </c>
      <c r="G2" t="s">
        <v>191</v>
      </c>
      <c r="H2" t="s">
        <v>192</v>
      </c>
      <c r="I2" t="s">
        <v>193</v>
      </c>
      <c r="J2" t="s">
        <v>194</v>
      </c>
      <c r="K2" t="s">
        <v>195</v>
      </c>
      <c r="L2" t="s">
        <v>196</v>
      </c>
      <c r="M2" t="s">
        <v>197</v>
      </c>
      <c r="N2" t="s">
        <v>198</v>
      </c>
      <c r="O2" t="s">
        <v>199</v>
      </c>
      <c r="P2" t="s">
        <v>200</v>
      </c>
      <c r="Q2" t="s">
        <v>201</v>
      </c>
      <c r="R2" t="s">
        <v>202</v>
      </c>
      <c r="S2" t="s">
        <v>203</v>
      </c>
      <c r="T2" t="s">
        <v>204</v>
      </c>
      <c r="U2" t="s">
        <v>205</v>
      </c>
      <c r="V2" t="s">
        <v>206</v>
      </c>
      <c r="W2" t="s">
        <v>207</v>
      </c>
      <c r="X2" t="s">
        <v>208</v>
      </c>
      <c r="Y2" t="s">
        <v>209</v>
      </c>
      <c r="Z2" t="s">
        <v>210</v>
      </c>
      <c r="AA2" t="s">
        <v>211</v>
      </c>
      <c r="AB2" t="s">
        <v>212</v>
      </c>
      <c r="AC2" t="s">
        <v>213</v>
      </c>
      <c r="AD2" t="s">
        <v>214</v>
      </c>
      <c r="AE2" t="s">
        <v>215</v>
      </c>
      <c r="AF2" t="s">
        <v>216</v>
      </c>
      <c r="AG2" t="s">
        <v>217</v>
      </c>
      <c r="AH2" t="s">
        <v>218</v>
      </c>
      <c r="AI2" t="s">
        <v>219</v>
      </c>
      <c r="AJ2" t="s">
        <v>220</v>
      </c>
      <c r="AK2" t="s">
        <v>221</v>
      </c>
      <c r="AL2" t="s">
        <v>226</v>
      </c>
      <c r="AM2" t="s">
        <v>227</v>
      </c>
      <c r="AN2" t="s">
        <v>228</v>
      </c>
      <c r="AO2" t="s">
        <v>229</v>
      </c>
      <c r="AP2" t="s">
        <v>230</v>
      </c>
    </row>
    <row r="3" spans="1:42" x14ac:dyDescent="0.4">
      <c r="A3" t="s">
        <v>4</v>
      </c>
      <c r="B3" t="s">
        <v>222</v>
      </c>
      <c r="C3" t="s">
        <v>222</v>
      </c>
      <c r="D3" t="s">
        <v>222</v>
      </c>
      <c r="E3" t="s">
        <v>222</v>
      </c>
      <c r="F3" t="s">
        <v>222</v>
      </c>
      <c r="G3" t="s">
        <v>222</v>
      </c>
      <c r="H3" t="s">
        <v>222</v>
      </c>
      <c r="I3" t="s">
        <v>222</v>
      </c>
      <c r="J3" t="s">
        <v>222</v>
      </c>
      <c r="K3" t="s">
        <v>222</v>
      </c>
      <c r="L3" t="s">
        <v>222</v>
      </c>
      <c r="M3" t="s">
        <v>222</v>
      </c>
      <c r="N3" t="s">
        <v>222</v>
      </c>
      <c r="O3" t="s">
        <v>222</v>
      </c>
      <c r="P3" t="s">
        <v>222</v>
      </c>
      <c r="Q3" t="s">
        <v>222</v>
      </c>
      <c r="R3" t="s">
        <v>222</v>
      </c>
      <c r="S3" t="s">
        <v>222</v>
      </c>
      <c r="T3" t="s">
        <v>222</v>
      </c>
      <c r="U3" t="s">
        <v>222</v>
      </c>
      <c r="V3" t="s">
        <v>222</v>
      </c>
      <c r="W3" t="s">
        <v>222</v>
      </c>
      <c r="X3" t="s">
        <v>222</v>
      </c>
      <c r="Y3" t="s">
        <v>222</v>
      </c>
      <c r="Z3" t="s">
        <v>222</v>
      </c>
      <c r="AA3" t="s">
        <v>222</v>
      </c>
      <c r="AB3" t="s">
        <v>222</v>
      </c>
      <c r="AC3" t="s">
        <v>222</v>
      </c>
      <c r="AD3" t="s">
        <v>222</v>
      </c>
      <c r="AE3" t="s">
        <v>222</v>
      </c>
      <c r="AF3" t="s">
        <v>222</v>
      </c>
      <c r="AG3" t="s">
        <v>222</v>
      </c>
      <c r="AH3" t="s">
        <v>222</v>
      </c>
      <c r="AI3" t="s">
        <v>222</v>
      </c>
      <c r="AJ3" t="s">
        <v>222</v>
      </c>
      <c r="AK3" t="s">
        <v>153</v>
      </c>
      <c r="AL3" t="s">
        <v>222</v>
      </c>
      <c r="AM3" t="s">
        <v>222</v>
      </c>
      <c r="AN3" t="s">
        <v>222</v>
      </c>
      <c r="AO3" t="s">
        <v>222</v>
      </c>
      <c r="AP3" t="s">
        <v>222</v>
      </c>
    </row>
    <row r="4" spans="1:42" x14ac:dyDescent="0.4">
      <c r="A4" t="s">
        <v>14</v>
      </c>
      <c r="B4">
        <v>56.96</v>
      </c>
      <c r="C4" t="s">
        <v>222</v>
      </c>
      <c r="D4">
        <v>113.785</v>
      </c>
      <c r="E4" t="s">
        <v>222</v>
      </c>
      <c r="F4" t="s">
        <v>222</v>
      </c>
      <c r="G4" t="s">
        <v>222</v>
      </c>
      <c r="H4" t="s">
        <v>222</v>
      </c>
      <c r="I4" t="s">
        <v>222</v>
      </c>
      <c r="J4" t="s">
        <v>222</v>
      </c>
      <c r="K4" t="s">
        <v>222</v>
      </c>
      <c r="L4" t="s">
        <v>222</v>
      </c>
      <c r="M4" t="s">
        <v>222</v>
      </c>
      <c r="N4" t="s">
        <v>222</v>
      </c>
      <c r="O4" t="s">
        <v>222</v>
      </c>
      <c r="P4" t="s">
        <v>222</v>
      </c>
      <c r="Q4" t="s">
        <v>222</v>
      </c>
      <c r="R4" t="s">
        <v>222</v>
      </c>
      <c r="S4" t="s">
        <v>222</v>
      </c>
      <c r="T4" t="s">
        <v>222</v>
      </c>
      <c r="U4" t="s">
        <v>222</v>
      </c>
      <c r="V4" t="s">
        <v>222</v>
      </c>
      <c r="W4" t="s">
        <v>222</v>
      </c>
      <c r="X4" t="s">
        <v>222</v>
      </c>
      <c r="Y4" t="s">
        <v>222</v>
      </c>
      <c r="Z4" t="s">
        <v>222</v>
      </c>
      <c r="AA4" t="s">
        <v>222</v>
      </c>
      <c r="AB4" t="s">
        <v>222</v>
      </c>
      <c r="AC4" t="s">
        <v>222</v>
      </c>
      <c r="AD4" t="s">
        <v>222</v>
      </c>
      <c r="AE4" t="s">
        <v>222</v>
      </c>
      <c r="AF4" t="s">
        <v>222</v>
      </c>
      <c r="AG4" t="s">
        <v>222</v>
      </c>
      <c r="AH4" t="s">
        <v>222</v>
      </c>
      <c r="AI4" t="s">
        <v>222</v>
      </c>
      <c r="AJ4" t="s">
        <v>222</v>
      </c>
      <c r="AK4" t="s">
        <v>153</v>
      </c>
      <c r="AL4" t="s">
        <v>222</v>
      </c>
      <c r="AM4" t="s">
        <v>222</v>
      </c>
      <c r="AN4" t="s">
        <v>222</v>
      </c>
      <c r="AO4" t="s">
        <v>222</v>
      </c>
      <c r="AP4" t="s">
        <v>222</v>
      </c>
    </row>
    <row r="5" spans="1:42" x14ac:dyDescent="0.4">
      <c r="A5" t="s">
        <v>9</v>
      </c>
      <c r="B5" t="s">
        <v>222</v>
      </c>
      <c r="C5" t="s">
        <v>222</v>
      </c>
      <c r="D5" t="s">
        <v>222</v>
      </c>
      <c r="E5" t="s">
        <v>222</v>
      </c>
      <c r="F5" t="s">
        <v>222</v>
      </c>
      <c r="G5" t="s">
        <v>222</v>
      </c>
      <c r="H5" t="s">
        <v>222</v>
      </c>
      <c r="I5" t="s">
        <v>222</v>
      </c>
      <c r="J5" t="s">
        <v>222</v>
      </c>
      <c r="K5" t="s">
        <v>222</v>
      </c>
      <c r="L5" t="s">
        <v>222</v>
      </c>
      <c r="M5" t="s">
        <v>222</v>
      </c>
      <c r="N5" t="s">
        <v>222</v>
      </c>
      <c r="O5" t="s">
        <v>222</v>
      </c>
      <c r="P5" t="s">
        <v>222</v>
      </c>
      <c r="Q5" t="s">
        <v>222</v>
      </c>
      <c r="R5" t="s">
        <v>222</v>
      </c>
      <c r="S5" t="s">
        <v>222</v>
      </c>
      <c r="T5" t="s">
        <v>222</v>
      </c>
      <c r="U5" t="s">
        <v>222</v>
      </c>
      <c r="V5" t="s">
        <v>222</v>
      </c>
      <c r="W5" t="s">
        <v>222</v>
      </c>
      <c r="X5" t="s">
        <v>222</v>
      </c>
      <c r="Y5" t="s">
        <v>222</v>
      </c>
      <c r="Z5" t="s">
        <v>222</v>
      </c>
      <c r="AA5" t="s">
        <v>222</v>
      </c>
      <c r="AB5" t="s">
        <v>222</v>
      </c>
      <c r="AC5" t="s">
        <v>222</v>
      </c>
      <c r="AD5" t="s">
        <v>222</v>
      </c>
      <c r="AE5" t="s">
        <v>222</v>
      </c>
      <c r="AF5" t="s">
        <v>222</v>
      </c>
      <c r="AG5" t="s">
        <v>222</v>
      </c>
      <c r="AH5" t="s">
        <v>222</v>
      </c>
      <c r="AI5" t="s">
        <v>222</v>
      </c>
      <c r="AJ5" t="s">
        <v>222</v>
      </c>
      <c r="AK5" t="s">
        <v>153</v>
      </c>
      <c r="AL5" t="s">
        <v>222</v>
      </c>
      <c r="AM5" t="s">
        <v>222</v>
      </c>
      <c r="AN5" t="s">
        <v>222</v>
      </c>
      <c r="AO5" t="s">
        <v>222</v>
      </c>
      <c r="AP5" t="s">
        <v>222</v>
      </c>
    </row>
    <row r="6" spans="1:42" x14ac:dyDescent="0.4">
      <c r="A6" t="s">
        <v>162</v>
      </c>
      <c r="B6" t="s">
        <v>222</v>
      </c>
      <c r="C6" t="s">
        <v>222</v>
      </c>
      <c r="D6" t="s">
        <v>222</v>
      </c>
      <c r="E6" t="s">
        <v>222</v>
      </c>
      <c r="F6" t="s">
        <v>222</v>
      </c>
      <c r="G6" t="s">
        <v>222</v>
      </c>
      <c r="H6" t="s">
        <v>222</v>
      </c>
      <c r="I6" t="s">
        <v>222</v>
      </c>
      <c r="J6" t="s">
        <v>222</v>
      </c>
      <c r="K6" t="s">
        <v>222</v>
      </c>
      <c r="L6" t="s">
        <v>222</v>
      </c>
      <c r="M6" t="s">
        <v>222</v>
      </c>
      <c r="N6" t="s">
        <v>222</v>
      </c>
      <c r="O6" t="s">
        <v>222</v>
      </c>
      <c r="P6" t="s">
        <v>222</v>
      </c>
      <c r="Q6" t="s">
        <v>222</v>
      </c>
      <c r="R6" t="s">
        <v>222</v>
      </c>
      <c r="S6" t="s">
        <v>222</v>
      </c>
      <c r="T6" t="s">
        <v>222</v>
      </c>
      <c r="U6" t="s">
        <v>222</v>
      </c>
      <c r="V6" t="s">
        <v>222</v>
      </c>
      <c r="W6" t="s">
        <v>222</v>
      </c>
      <c r="X6" t="s">
        <v>222</v>
      </c>
      <c r="Y6" t="s">
        <v>222</v>
      </c>
      <c r="Z6" t="s">
        <v>222</v>
      </c>
      <c r="AA6" t="s">
        <v>222</v>
      </c>
      <c r="AB6" t="s">
        <v>222</v>
      </c>
      <c r="AC6" t="s">
        <v>222</v>
      </c>
      <c r="AD6" t="s">
        <v>222</v>
      </c>
      <c r="AE6" t="s">
        <v>222</v>
      </c>
      <c r="AF6" t="s">
        <v>222</v>
      </c>
      <c r="AG6" t="s">
        <v>222</v>
      </c>
      <c r="AH6" t="s">
        <v>222</v>
      </c>
      <c r="AI6" t="s">
        <v>222</v>
      </c>
      <c r="AJ6" t="s">
        <v>222</v>
      </c>
      <c r="AK6" t="s">
        <v>153</v>
      </c>
      <c r="AL6" t="s">
        <v>222</v>
      </c>
      <c r="AM6" t="s">
        <v>222</v>
      </c>
      <c r="AN6" t="s">
        <v>222</v>
      </c>
      <c r="AO6" t="s">
        <v>222</v>
      </c>
      <c r="AP6" t="s">
        <v>222</v>
      </c>
    </row>
    <row r="7" spans="1:42" x14ac:dyDescent="0.4">
      <c r="A7" t="s">
        <v>24</v>
      </c>
      <c r="B7" t="s">
        <v>222</v>
      </c>
      <c r="C7" t="s">
        <v>222</v>
      </c>
      <c r="D7" t="s">
        <v>222</v>
      </c>
      <c r="E7" t="s">
        <v>222</v>
      </c>
      <c r="F7" t="s">
        <v>222</v>
      </c>
      <c r="G7" t="s">
        <v>222</v>
      </c>
      <c r="H7" t="s">
        <v>222</v>
      </c>
      <c r="I7" t="s">
        <v>222</v>
      </c>
      <c r="J7" t="s">
        <v>222</v>
      </c>
      <c r="K7" t="s">
        <v>222</v>
      </c>
      <c r="L7" t="s">
        <v>222</v>
      </c>
      <c r="M7" t="s">
        <v>222</v>
      </c>
      <c r="N7" t="s">
        <v>222</v>
      </c>
      <c r="O7" t="s">
        <v>222</v>
      </c>
      <c r="P7" t="s">
        <v>222</v>
      </c>
      <c r="Q7" t="s">
        <v>222</v>
      </c>
      <c r="R7" t="s">
        <v>222</v>
      </c>
      <c r="S7" t="s">
        <v>222</v>
      </c>
      <c r="T7" t="s">
        <v>222</v>
      </c>
      <c r="U7" t="s">
        <v>222</v>
      </c>
      <c r="V7" t="s">
        <v>222</v>
      </c>
      <c r="W7" t="s">
        <v>222</v>
      </c>
      <c r="X7" t="s">
        <v>222</v>
      </c>
      <c r="Y7" t="s">
        <v>222</v>
      </c>
      <c r="Z7" t="s">
        <v>222</v>
      </c>
      <c r="AA7" t="s">
        <v>222</v>
      </c>
      <c r="AB7" t="s">
        <v>222</v>
      </c>
      <c r="AC7" t="s">
        <v>222</v>
      </c>
      <c r="AD7" t="s">
        <v>222</v>
      </c>
      <c r="AE7" t="s">
        <v>222</v>
      </c>
      <c r="AF7" t="s">
        <v>222</v>
      </c>
      <c r="AG7" t="s">
        <v>222</v>
      </c>
      <c r="AH7" t="s">
        <v>222</v>
      </c>
      <c r="AI7" t="s">
        <v>222</v>
      </c>
      <c r="AJ7" t="s">
        <v>222</v>
      </c>
      <c r="AK7" t="s">
        <v>153</v>
      </c>
      <c r="AL7" t="s">
        <v>222</v>
      </c>
      <c r="AM7" t="s">
        <v>222</v>
      </c>
      <c r="AN7" t="s">
        <v>222</v>
      </c>
      <c r="AO7" t="s">
        <v>222</v>
      </c>
      <c r="AP7" t="s">
        <v>222</v>
      </c>
    </row>
    <row r="8" spans="1:42" x14ac:dyDescent="0.4">
      <c r="A8" t="s">
        <v>32</v>
      </c>
      <c r="B8">
        <v>409.21749999999997</v>
      </c>
      <c r="C8">
        <v>549.89249999999993</v>
      </c>
      <c r="D8">
        <v>352.88499999999999</v>
      </c>
      <c r="E8">
        <v>292.03000000000003</v>
      </c>
      <c r="F8">
        <v>900.09500000000003</v>
      </c>
      <c r="G8">
        <v>851.96</v>
      </c>
      <c r="H8">
        <v>888.43</v>
      </c>
      <c r="I8">
        <v>332.76499999999999</v>
      </c>
      <c r="J8">
        <v>674.47500000000002</v>
      </c>
      <c r="K8">
        <v>694.85500000000002</v>
      </c>
      <c r="L8">
        <v>591.57999999999993</v>
      </c>
      <c r="M8">
        <v>755.28</v>
      </c>
      <c r="N8">
        <v>853.11500000000001</v>
      </c>
      <c r="O8">
        <v>573.92499999999995</v>
      </c>
      <c r="P8">
        <v>544.92499999999995</v>
      </c>
      <c r="Q8">
        <v>275.19</v>
      </c>
      <c r="R8">
        <v>579.5</v>
      </c>
      <c r="S8">
        <v>494.18500000000006</v>
      </c>
      <c r="T8">
        <v>603.03500000000008</v>
      </c>
      <c r="U8">
        <v>636.18000000000006</v>
      </c>
      <c r="V8">
        <v>413.32999999999993</v>
      </c>
      <c r="W8">
        <v>587.6</v>
      </c>
      <c r="X8">
        <v>444.72500000000002</v>
      </c>
      <c r="Y8">
        <v>409.58</v>
      </c>
      <c r="Z8">
        <v>449.90499999999992</v>
      </c>
      <c r="AA8">
        <v>456.7</v>
      </c>
      <c r="AB8">
        <v>550.57999999999993</v>
      </c>
      <c r="AC8">
        <v>412.93</v>
      </c>
      <c r="AD8">
        <v>331.30500000000001</v>
      </c>
      <c r="AE8">
        <v>323.65500000000003</v>
      </c>
      <c r="AF8">
        <v>213.95</v>
      </c>
      <c r="AG8">
        <v>280.815</v>
      </c>
      <c r="AH8">
        <v>372.83000000000004</v>
      </c>
      <c r="AI8">
        <v>286.23500000000001</v>
      </c>
      <c r="AJ8">
        <v>440.48500000000001</v>
      </c>
      <c r="AK8" t="s">
        <v>153</v>
      </c>
      <c r="AL8" t="s">
        <v>222</v>
      </c>
      <c r="AM8" t="s">
        <v>222</v>
      </c>
      <c r="AN8" t="s">
        <v>222</v>
      </c>
      <c r="AO8" t="s">
        <v>222</v>
      </c>
      <c r="AP8" t="s">
        <v>222</v>
      </c>
    </row>
    <row r="9" spans="1:42" x14ac:dyDescent="0.4">
      <c r="A9" t="s">
        <v>37</v>
      </c>
      <c r="B9" t="s">
        <v>222</v>
      </c>
      <c r="C9" t="s">
        <v>222</v>
      </c>
      <c r="D9" t="s">
        <v>222</v>
      </c>
      <c r="E9" t="s">
        <v>222</v>
      </c>
      <c r="F9" t="s">
        <v>222</v>
      </c>
      <c r="G9" t="s">
        <v>222</v>
      </c>
      <c r="H9" t="s">
        <v>222</v>
      </c>
      <c r="I9" t="s">
        <v>222</v>
      </c>
      <c r="J9" t="s">
        <v>222</v>
      </c>
      <c r="K9" t="s">
        <v>222</v>
      </c>
      <c r="L9" t="s">
        <v>222</v>
      </c>
      <c r="M9" t="s">
        <v>222</v>
      </c>
      <c r="N9" t="s">
        <v>222</v>
      </c>
      <c r="O9" t="s">
        <v>222</v>
      </c>
      <c r="P9" t="s">
        <v>222</v>
      </c>
      <c r="Q9" t="s">
        <v>222</v>
      </c>
      <c r="R9" t="s">
        <v>222</v>
      </c>
      <c r="S9" t="s">
        <v>222</v>
      </c>
      <c r="T9" t="s">
        <v>222</v>
      </c>
      <c r="U9" t="s">
        <v>222</v>
      </c>
      <c r="V9" t="s">
        <v>222</v>
      </c>
      <c r="W9" t="s">
        <v>222</v>
      </c>
      <c r="X9" t="s">
        <v>222</v>
      </c>
      <c r="Y9" t="s">
        <v>222</v>
      </c>
      <c r="Z9" t="s">
        <v>222</v>
      </c>
      <c r="AA9" t="s">
        <v>222</v>
      </c>
      <c r="AB9" t="s">
        <v>222</v>
      </c>
      <c r="AC9" t="s">
        <v>222</v>
      </c>
      <c r="AD9" t="s">
        <v>222</v>
      </c>
      <c r="AE9" t="s">
        <v>222</v>
      </c>
      <c r="AF9" t="s">
        <v>222</v>
      </c>
      <c r="AG9" t="s">
        <v>222</v>
      </c>
      <c r="AH9" t="s">
        <v>222</v>
      </c>
      <c r="AI9" t="s">
        <v>222</v>
      </c>
      <c r="AJ9" t="s">
        <v>222</v>
      </c>
      <c r="AK9" t="s">
        <v>153</v>
      </c>
      <c r="AL9" t="s">
        <v>222</v>
      </c>
      <c r="AM9" t="s">
        <v>222</v>
      </c>
      <c r="AN9" t="s">
        <v>222</v>
      </c>
      <c r="AO9" t="s">
        <v>222</v>
      </c>
      <c r="AP9" t="s">
        <v>222</v>
      </c>
    </row>
    <row r="10" spans="1:42" x14ac:dyDescent="0.4">
      <c r="A10" t="s">
        <v>41</v>
      </c>
      <c r="B10">
        <v>196.345</v>
      </c>
      <c r="C10">
        <v>4.9949999999999992</v>
      </c>
      <c r="D10">
        <v>130.14250000000001</v>
      </c>
      <c r="E10">
        <v>91.9</v>
      </c>
      <c r="F10">
        <v>3.35</v>
      </c>
      <c r="G10">
        <v>5.0349999999999993</v>
      </c>
      <c r="H10">
        <v>2.66</v>
      </c>
      <c r="I10">
        <v>2.7149999999999999</v>
      </c>
      <c r="J10">
        <v>4.3600000000000003</v>
      </c>
      <c r="K10">
        <v>2</v>
      </c>
      <c r="L10">
        <v>3.4049999999999998</v>
      </c>
      <c r="M10">
        <v>3.2149999999999999</v>
      </c>
      <c r="N10">
        <v>22.035000000000004</v>
      </c>
      <c r="O10">
        <v>16.255000000000003</v>
      </c>
      <c r="P10">
        <v>17.074999999999999</v>
      </c>
      <c r="Q10">
        <v>4.9000000000000004</v>
      </c>
      <c r="R10">
        <v>8.6900000000000013</v>
      </c>
      <c r="S10">
        <v>14.975</v>
      </c>
      <c r="T10">
        <v>20.475000000000001</v>
      </c>
      <c r="U10">
        <v>21.044999999999998</v>
      </c>
      <c r="V10">
        <v>42.445</v>
      </c>
      <c r="W10">
        <v>47.054999999999993</v>
      </c>
      <c r="X10">
        <v>34.875</v>
      </c>
      <c r="Y10">
        <v>40.894999999999996</v>
      </c>
      <c r="Z10">
        <v>31.53</v>
      </c>
      <c r="AA10">
        <v>44.884999999999998</v>
      </c>
      <c r="AB10">
        <v>41.820000000000007</v>
      </c>
      <c r="AC10">
        <v>31.429999999999996</v>
      </c>
      <c r="AD10">
        <v>66.045000000000002</v>
      </c>
      <c r="AE10">
        <v>71.655000000000001</v>
      </c>
      <c r="AF10">
        <v>78.38</v>
      </c>
      <c r="AG10">
        <v>90.210000000000008</v>
      </c>
      <c r="AH10">
        <v>84.210000000000008</v>
      </c>
      <c r="AI10">
        <v>42.71</v>
      </c>
      <c r="AJ10">
        <v>91.594999999999999</v>
      </c>
      <c r="AK10" t="s">
        <v>153</v>
      </c>
      <c r="AL10">
        <v>8.0050000000000008</v>
      </c>
      <c r="AM10" t="s">
        <v>222</v>
      </c>
      <c r="AN10" t="s">
        <v>222</v>
      </c>
      <c r="AO10" t="s">
        <v>222</v>
      </c>
      <c r="AP10" t="s">
        <v>222</v>
      </c>
    </row>
    <row r="11" spans="1:42" x14ac:dyDescent="0.4">
      <c r="A11" t="s">
        <v>45</v>
      </c>
      <c r="B11" t="s">
        <v>222</v>
      </c>
      <c r="C11" t="s">
        <v>222</v>
      </c>
      <c r="D11" t="s">
        <v>222</v>
      </c>
      <c r="E11" t="s">
        <v>222</v>
      </c>
      <c r="F11" t="s">
        <v>222</v>
      </c>
      <c r="G11" t="s">
        <v>222</v>
      </c>
      <c r="H11" t="s">
        <v>222</v>
      </c>
      <c r="I11" t="s">
        <v>222</v>
      </c>
      <c r="J11" t="s">
        <v>222</v>
      </c>
      <c r="K11" t="s">
        <v>222</v>
      </c>
      <c r="L11" t="s">
        <v>222</v>
      </c>
      <c r="M11" t="s">
        <v>222</v>
      </c>
      <c r="N11" t="s">
        <v>222</v>
      </c>
      <c r="O11" t="s">
        <v>222</v>
      </c>
      <c r="P11" t="s">
        <v>222</v>
      </c>
      <c r="Q11" t="s">
        <v>222</v>
      </c>
      <c r="R11" t="s">
        <v>222</v>
      </c>
      <c r="S11" t="s">
        <v>222</v>
      </c>
      <c r="T11" t="s">
        <v>222</v>
      </c>
      <c r="U11" t="s">
        <v>222</v>
      </c>
      <c r="V11" t="s">
        <v>222</v>
      </c>
      <c r="W11" t="s">
        <v>222</v>
      </c>
      <c r="X11" t="s">
        <v>222</v>
      </c>
      <c r="Y11" t="s">
        <v>222</v>
      </c>
      <c r="Z11" t="s">
        <v>222</v>
      </c>
      <c r="AA11" t="s">
        <v>222</v>
      </c>
      <c r="AB11" t="s">
        <v>222</v>
      </c>
      <c r="AC11" t="s">
        <v>222</v>
      </c>
      <c r="AD11" t="s">
        <v>222</v>
      </c>
      <c r="AE11" t="s">
        <v>222</v>
      </c>
      <c r="AF11" t="s">
        <v>222</v>
      </c>
      <c r="AG11" t="s">
        <v>222</v>
      </c>
      <c r="AH11" t="s">
        <v>222</v>
      </c>
      <c r="AI11" t="s">
        <v>222</v>
      </c>
      <c r="AJ11" t="s">
        <v>222</v>
      </c>
      <c r="AK11" t="s">
        <v>153</v>
      </c>
      <c r="AL11" t="s">
        <v>222</v>
      </c>
      <c r="AM11" t="s">
        <v>222</v>
      </c>
      <c r="AN11" t="s">
        <v>222</v>
      </c>
      <c r="AO11" t="s">
        <v>222</v>
      </c>
      <c r="AP11" t="s">
        <v>222</v>
      </c>
    </row>
    <row r="12" spans="1:42" x14ac:dyDescent="0.4">
      <c r="A12" t="s">
        <v>53</v>
      </c>
      <c r="B12" t="s">
        <v>222</v>
      </c>
      <c r="C12" t="s">
        <v>222</v>
      </c>
      <c r="D12" t="s">
        <v>222</v>
      </c>
      <c r="E12" t="s">
        <v>222</v>
      </c>
      <c r="F12" t="s">
        <v>222</v>
      </c>
      <c r="G12" t="s">
        <v>222</v>
      </c>
      <c r="H12" t="s">
        <v>222</v>
      </c>
      <c r="I12" t="s">
        <v>222</v>
      </c>
      <c r="J12" t="s">
        <v>222</v>
      </c>
      <c r="K12" t="s">
        <v>222</v>
      </c>
      <c r="L12" t="s">
        <v>222</v>
      </c>
      <c r="M12" t="s">
        <v>222</v>
      </c>
      <c r="N12" t="s">
        <v>222</v>
      </c>
      <c r="O12" t="s">
        <v>222</v>
      </c>
      <c r="P12" t="s">
        <v>222</v>
      </c>
      <c r="Q12" t="s">
        <v>222</v>
      </c>
      <c r="R12" t="s">
        <v>222</v>
      </c>
      <c r="S12" t="s">
        <v>222</v>
      </c>
      <c r="T12" t="s">
        <v>222</v>
      </c>
      <c r="U12" t="s">
        <v>222</v>
      </c>
      <c r="V12" t="s">
        <v>222</v>
      </c>
      <c r="W12" t="s">
        <v>222</v>
      </c>
      <c r="X12" t="s">
        <v>222</v>
      </c>
      <c r="Y12" t="s">
        <v>222</v>
      </c>
      <c r="Z12" t="s">
        <v>222</v>
      </c>
      <c r="AA12" t="s">
        <v>222</v>
      </c>
      <c r="AB12" t="s">
        <v>222</v>
      </c>
      <c r="AC12" t="s">
        <v>222</v>
      </c>
      <c r="AD12" t="s">
        <v>222</v>
      </c>
      <c r="AE12" t="s">
        <v>222</v>
      </c>
      <c r="AF12" t="s">
        <v>222</v>
      </c>
      <c r="AG12" t="s">
        <v>222</v>
      </c>
      <c r="AH12" t="s">
        <v>222</v>
      </c>
      <c r="AI12" t="s">
        <v>222</v>
      </c>
      <c r="AJ12" t="s">
        <v>222</v>
      </c>
      <c r="AK12" t="s">
        <v>153</v>
      </c>
      <c r="AL12" t="s">
        <v>222</v>
      </c>
      <c r="AM12" t="s">
        <v>222</v>
      </c>
      <c r="AN12" t="s">
        <v>222</v>
      </c>
      <c r="AO12" t="s">
        <v>222</v>
      </c>
      <c r="AP12" t="s">
        <v>222</v>
      </c>
    </row>
    <row r="13" spans="1:42" x14ac:dyDescent="0.4">
      <c r="A13" t="s">
        <v>57</v>
      </c>
      <c r="B13" t="s">
        <v>222</v>
      </c>
      <c r="C13" t="s">
        <v>222</v>
      </c>
      <c r="D13" t="s">
        <v>222</v>
      </c>
      <c r="E13" t="s">
        <v>222</v>
      </c>
      <c r="F13" t="s">
        <v>222</v>
      </c>
      <c r="G13" t="s">
        <v>222</v>
      </c>
      <c r="H13" t="s">
        <v>222</v>
      </c>
      <c r="I13" t="s">
        <v>222</v>
      </c>
      <c r="J13" t="s">
        <v>222</v>
      </c>
      <c r="K13" t="s">
        <v>222</v>
      </c>
      <c r="L13" t="s">
        <v>222</v>
      </c>
      <c r="M13" t="s">
        <v>222</v>
      </c>
      <c r="N13" t="s">
        <v>222</v>
      </c>
      <c r="O13" t="s">
        <v>222</v>
      </c>
      <c r="P13" t="s">
        <v>222</v>
      </c>
      <c r="Q13" t="s">
        <v>222</v>
      </c>
      <c r="R13" t="s">
        <v>222</v>
      </c>
      <c r="S13" t="s">
        <v>222</v>
      </c>
      <c r="T13" t="s">
        <v>222</v>
      </c>
      <c r="U13" t="s">
        <v>222</v>
      </c>
      <c r="V13" t="s">
        <v>222</v>
      </c>
      <c r="W13" t="s">
        <v>222</v>
      </c>
      <c r="X13" t="s">
        <v>222</v>
      </c>
      <c r="Y13" t="s">
        <v>222</v>
      </c>
      <c r="Z13" t="s">
        <v>222</v>
      </c>
      <c r="AA13" t="s">
        <v>222</v>
      </c>
      <c r="AB13" t="s">
        <v>222</v>
      </c>
      <c r="AC13" t="s">
        <v>222</v>
      </c>
      <c r="AD13" t="s">
        <v>222</v>
      </c>
      <c r="AE13" t="s">
        <v>222</v>
      </c>
      <c r="AF13" t="s">
        <v>222</v>
      </c>
      <c r="AG13" t="s">
        <v>222</v>
      </c>
      <c r="AH13" t="s">
        <v>222</v>
      </c>
      <c r="AI13" t="s">
        <v>222</v>
      </c>
      <c r="AJ13" t="s">
        <v>222</v>
      </c>
      <c r="AK13" t="s">
        <v>153</v>
      </c>
      <c r="AL13" t="s">
        <v>222</v>
      </c>
      <c r="AM13" t="s">
        <v>222</v>
      </c>
      <c r="AN13" t="s">
        <v>222</v>
      </c>
      <c r="AO13" t="s">
        <v>222</v>
      </c>
      <c r="AP13" t="s">
        <v>222</v>
      </c>
    </row>
    <row r="14" spans="1:42" x14ac:dyDescent="0.4">
      <c r="A14" t="s">
        <v>61</v>
      </c>
      <c r="B14">
        <v>51.617499999999993</v>
      </c>
      <c r="C14">
        <v>55.6875</v>
      </c>
      <c r="D14">
        <v>38.459999999999994</v>
      </c>
      <c r="E14">
        <v>61.009999999999991</v>
      </c>
      <c r="F14">
        <v>92.47999999999999</v>
      </c>
      <c r="G14">
        <v>90</v>
      </c>
      <c r="H14">
        <v>106.68000000000002</v>
      </c>
      <c r="I14">
        <v>62.385000000000005</v>
      </c>
      <c r="J14">
        <v>87.640000000000015</v>
      </c>
      <c r="K14">
        <v>85.594999999999999</v>
      </c>
      <c r="L14">
        <v>73.849999999999994</v>
      </c>
      <c r="M14">
        <v>85.929999999999993</v>
      </c>
      <c r="N14" t="s">
        <v>222</v>
      </c>
      <c r="O14">
        <v>73.55</v>
      </c>
      <c r="P14">
        <v>79.099999999999994</v>
      </c>
      <c r="Q14" t="s">
        <v>222</v>
      </c>
      <c r="R14">
        <v>65.695000000000007</v>
      </c>
      <c r="S14" t="s">
        <v>222</v>
      </c>
      <c r="T14">
        <v>63.69</v>
      </c>
      <c r="U14">
        <v>60.484999999999999</v>
      </c>
      <c r="V14">
        <v>69.539999999999992</v>
      </c>
      <c r="W14">
        <v>87.54</v>
      </c>
      <c r="X14">
        <v>90.96</v>
      </c>
      <c r="Y14">
        <v>81.87</v>
      </c>
      <c r="Z14">
        <v>79.265000000000001</v>
      </c>
      <c r="AA14">
        <v>77.114999999999995</v>
      </c>
      <c r="AB14">
        <v>94.10499999999999</v>
      </c>
      <c r="AC14">
        <v>88.31</v>
      </c>
      <c r="AD14">
        <v>68.179999999999993</v>
      </c>
      <c r="AE14">
        <v>72.61</v>
      </c>
      <c r="AF14">
        <v>61.195000000000007</v>
      </c>
      <c r="AG14">
        <v>64.89500000000001</v>
      </c>
      <c r="AH14">
        <v>68.915000000000006</v>
      </c>
      <c r="AI14">
        <v>66.004999999999995</v>
      </c>
      <c r="AJ14">
        <v>85.66</v>
      </c>
      <c r="AK14" t="s">
        <v>153</v>
      </c>
      <c r="AL14" t="s">
        <v>222</v>
      </c>
      <c r="AM14" t="s">
        <v>222</v>
      </c>
      <c r="AN14" t="s">
        <v>222</v>
      </c>
      <c r="AO14" t="s">
        <v>222</v>
      </c>
      <c r="AP14" t="s">
        <v>222</v>
      </c>
    </row>
    <row r="15" spans="1:42" x14ac:dyDescent="0.4">
      <c r="A15" t="s">
        <v>65</v>
      </c>
      <c r="B15">
        <v>720.40500000000009</v>
      </c>
      <c r="C15">
        <v>407.78999999999996</v>
      </c>
      <c r="D15">
        <v>731.78249999999991</v>
      </c>
      <c r="E15">
        <v>196.5025</v>
      </c>
      <c r="F15">
        <v>1514.9749999999999</v>
      </c>
      <c r="G15">
        <v>1532.35</v>
      </c>
      <c r="H15">
        <v>1636.845</v>
      </c>
      <c r="I15">
        <v>791.41499999999996</v>
      </c>
      <c r="J15">
        <v>1435.3700000000001</v>
      </c>
      <c r="K15">
        <v>1209.98</v>
      </c>
      <c r="L15">
        <v>1187.335</v>
      </c>
      <c r="M15">
        <v>1404.31</v>
      </c>
      <c r="N15">
        <v>1910.56</v>
      </c>
      <c r="O15">
        <v>1676.0150000000001</v>
      </c>
      <c r="P15">
        <v>1423.6849999999999</v>
      </c>
      <c r="Q15">
        <v>634.99</v>
      </c>
      <c r="R15">
        <v>1311.65</v>
      </c>
      <c r="S15">
        <v>1501.585</v>
      </c>
      <c r="T15">
        <v>1851.9150000000002</v>
      </c>
      <c r="U15">
        <v>1559.3700000000001</v>
      </c>
      <c r="V15">
        <v>705.82999999999993</v>
      </c>
      <c r="W15">
        <v>824.15499999999997</v>
      </c>
      <c r="X15">
        <v>708.755</v>
      </c>
      <c r="Y15">
        <v>698.8</v>
      </c>
      <c r="Z15">
        <v>997.66500000000019</v>
      </c>
      <c r="AA15">
        <v>790.47500000000002</v>
      </c>
      <c r="AB15">
        <v>924.64</v>
      </c>
      <c r="AC15">
        <v>694.12999999999988</v>
      </c>
      <c r="AD15">
        <v>196.64500000000001</v>
      </c>
      <c r="AE15">
        <v>196.80500000000001</v>
      </c>
      <c r="AF15">
        <v>229.27500000000001</v>
      </c>
      <c r="AG15">
        <v>147.41500000000002</v>
      </c>
      <c r="AH15">
        <v>218.2</v>
      </c>
      <c r="AI15">
        <v>209.67</v>
      </c>
      <c r="AJ15" t="s">
        <v>222</v>
      </c>
      <c r="AK15" t="s">
        <v>153</v>
      </c>
      <c r="AL15" t="s">
        <v>222</v>
      </c>
      <c r="AM15" t="s">
        <v>222</v>
      </c>
      <c r="AN15" t="s">
        <v>222</v>
      </c>
      <c r="AO15" t="s">
        <v>222</v>
      </c>
      <c r="AP15" t="s">
        <v>222</v>
      </c>
    </row>
    <row r="16" spans="1:42" x14ac:dyDescent="0.4">
      <c r="A16" t="s">
        <v>69</v>
      </c>
      <c r="B16" t="s">
        <v>222</v>
      </c>
      <c r="C16" t="s">
        <v>222</v>
      </c>
      <c r="D16" t="s">
        <v>222</v>
      </c>
      <c r="E16" t="s">
        <v>222</v>
      </c>
      <c r="F16" t="s">
        <v>222</v>
      </c>
      <c r="G16" t="s">
        <v>222</v>
      </c>
      <c r="H16" t="s">
        <v>222</v>
      </c>
      <c r="I16" t="s">
        <v>222</v>
      </c>
      <c r="J16" t="s">
        <v>222</v>
      </c>
      <c r="K16" t="s">
        <v>222</v>
      </c>
      <c r="L16" t="s">
        <v>222</v>
      </c>
      <c r="M16" t="s">
        <v>222</v>
      </c>
      <c r="N16" t="s">
        <v>222</v>
      </c>
      <c r="O16" t="s">
        <v>222</v>
      </c>
      <c r="P16" t="s">
        <v>222</v>
      </c>
      <c r="Q16" t="s">
        <v>222</v>
      </c>
      <c r="R16" t="s">
        <v>222</v>
      </c>
      <c r="S16" t="s">
        <v>222</v>
      </c>
      <c r="T16" t="s">
        <v>222</v>
      </c>
      <c r="U16" t="s">
        <v>222</v>
      </c>
      <c r="V16" t="s">
        <v>222</v>
      </c>
      <c r="W16" t="s">
        <v>222</v>
      </c>
      <c r="X16" t="s">
        <v>222</v>
      </c>
      <c r="Y16" t="s">
        <v>222</v>
      </c>
      <c r="Z16" t="s">
        <v>222</v>
      </c>
      <c r="AA16" t="s">
        <v>222</v>
      </c>
      <c r="AB16" t="s">
        <v>222</v>
      </c>
      <c r="AC16" t="s">
        <v>222</v>
      </c>
      <c r="AD16" t="s">
        <v>222</v>
      </c>
      <c r="AE16" t="s">
        <v>222</v>
      </c>
      <c r="AF16" t="s">
        <v>222</v>
      </c>
      <c r="AG16" t="s">
        <v>222</v>
      </c>
      <c r="AH16" t="s">
        <v>222</v>
      </c>
      <c r="AI16" t="s">
        <v>222</v>
      </c>
      <c r="AJ16" t="s">
        <v>222</v>
      </c>
      <c r="AK16" t="s">
        <v>153</v>
      </c>
      <c r="AL16" t="s">
        <v>222</v>
      </c>
      <c r="AM16" t="s">
        <v>222</v>
      </c>
      <c r="AN16" t="s">
        <v>222</v>
      </c>
      <c r="AO16" t="s">
        <v>222</v>
      </c>
      <c r="AP16" t="s">
        <v>222</v>
      </c>
    </row>
    <row r="17" spans="1:42" x14ac:dyDescent="0.4">
      <c r="A17" t="s">
        <v>77</v>
      </c>
      <c r="B17">
        <v>412.88500000000005</v>
      </c>
      <c r="C17">
        <v>776.29250000000002</v>
      </c>
      <c r="D17">
        <v>341.20250000000004</v>
      </c>
      <c r="E17">
        <v>348.78750000000002</v>
      </c>
      <c r="F17">
        <v>241.04499999999999</v>
      </c>
      <c r="G17">
        <v>199.63499999999999</v>
      </c>
      <c r="H17">
        <v>291.44499999999999</v>
      </c>
      <c r="I17">
        <v>143.70500000000001</v>
      </c>
      <c r="J17">
        <v>248.54499999999999</v>
      </c>
      <c r="K17">
        <v>192.34499999999997</v>
      </c>
      <c r="L17">
        <v>240.52500000000001</v>
      </c>
      <c r="M17">
        <v>257.65500000000003</v>
      </c>
      <c r="N17">
        <v>113.91999999999999</v>
      </c>
      <c r="O17">
        <v>73.415000000000006</v>
      </c>
      <c r="P17">
        <v>78.004999999999995</v>
      </c>
      <c r="Q17">
        <v>59.385000000000005</v>
      </c>
      <c r="R17">
        <v>100.00999999999999</v>
      </c>
      <c r="S17">
        <v>88.334999999999994</v>
      </c>
      <c r="T17">
        <v>94.640000000000015</v>
      </c>
      <c r="U17">
        <v>98.75</v>
      </c>
      <c r="V17">
        <v>493.1450000000001</v>
      </c>
      <c r="W17">
        <v>625.02499999999998</v>
      </c>
      <c r="X17">
        <v>513.47500000000002</v>
      </c>
      <c r="Y17">
        <v>457.47500000000002</v>
      </c>
      <c r="Z17">
        <v>528.49</v>
      </c>
      <c r="AA17">
        <v>542.11</v>
      </c>
      <c r="AB17">
        <v>565.28500000000008</v>
      </c>
      <c r="AC17">
        <v>437.52499999999998</v>
      </c>
      <c r="AD17">
        <v>424.95</v>
      </c>
      <c r="AE17">
        <v>417.71000000000004</v>
      </c>
      <c r="AF17">
        <v>295.89</v>
      </c>
      <c r="AG17">
        <v>333.57499999999999</v>
      </c>
      <c r="AH17">
        <v>401.27</v>
      </c>
      <c r="AI17">
        <v>331.76</v>
      </c>
      <c r="AJ17">
        <v>516.57500000000005</v>
      </c>
      <c r="AK17" t="s">
        <v>153</v>
      </c>
      <c r="AL17" t="s">
        <v>222</v>
      </c>
      <c r="AM17" t="s">
        <v>222</v>
      </c>
      <c r="AN17" t="s">
        <v>222</v>
      </c>
      <c r="AO17" t="s">
        <v>222</v>
      </c>
      <c r="AP17" t="s">
        <v>222</v>
      </c>
    </row>
    <row r="18" spans="1:42" x14ac:dyDescent="0.4">
      <c r="A18" t="s">
        <v>81</v>
      </c>
      <c r="B18" t="s">
        <v>222</v>
      </c>
      <c r="C18" t="s">
        <v>222</v>
      </c>
      <c r="D18" t="s">
        <v>222</v>
      </c>
      <c r="E18" t="s">
        <v>222</v>
      </c>
      <c r="F18" t="s">
        <v>222</v>
      </c>
      <c r="G18" t="s">
        <v>222</v>
      </c>
      <c r="H18" t="s">
        <v>222</v>
      </c>
      <c r="I18" t="s">
        <v>222</v>
      </c>
      <c r="J18" t="s">
        <v>222</v>
      </c>
      <c r="K18" t="s">
        <v>222</v>
      </c>
      <c r="L18" t="s">
        <v>222</v>
      </c>
      <c r="M18" t="s">
        <v>222</v>
      </c>
      <c r="N18" t="s">
        <v>222</v>
      </c>
      <c r="O18" t="s">
        <v>222</v>
      </c>
      <c r="P18" t="s">
        <v>222</v>
      </c>
      <c r="Q18" t="s">
        <v>222</v>
      </c>
      <c r="R18" t="s">
        <v>222</v>
      </c>
      <c r="S18" t="s">
        <v>222</v>
      </c>
      <c r="T18" t="s">
        <v>222</v>
      </c>
      <c r="U18" t="s">
        <v>222</v>
      </c>
      <c r="V18" t="s">
        <v>222</v>
      </c>
      <c r="W18" t="s">
        <v>222</v>
      </c>
      <c r="X18" t="s">
        <v>222</v>
      </c>
      <c r="Y18" t="s">
        <v>222</v>
      </c>
      <c r="Z18" t="s">
        <v>222</v>
      </c>
      <c r="AA18" t="s">
        <v>222</v>
      </c>
      <c r="AB18" t="s">
        <v>222</v>
      </c>
      <c r="AC18" t="s">
        <v>222</v>
      </c>
      <c r="AD18" t="s">
        <v>222</v>
      </c>
      <c r="AE18" t="s">
        <v>222</v>
      </c>
      <c r="AF18" t="s">
        <v>222</v>
      </c>
      <c r="AG18" t="s">
        <v>222</v>
      </c>
      <c r="AH18" t="s">
        <v>222</v>
      </c>
      <c r="AI18" t="s">
        <v>222</v>
      </c>
      <c r="AJ18" t="s">
        <v>222</v>
      </c>
      <c r="AK18" t="s">
        <v>153</v>
      </c>
      <c r="AL18" t="s">
        <v>222</v>
      </c>
      <c r="AM18" t="s">
        <v>222</v>
      </c>
      <c r="AN18" t="s">
        <v>222</v>
      </c>
      <c r="AO18" t="s">
        <v>222</v>
      </c>
      <c r="AP18" t="s">
        <v>222</v>
      </c>
    </row>
    <row r="19" spans="1:42" x14ac:dyDescent="0.4">
      <c r="A19" t="s">
        <v>85</v>
      </c>
      <c r="B19">
        <v>115.37</v>
      </c>
      <c r="C19">
        <v>104.34499999999998</v>
      </c>
      <c r="D19">
        <v>103.93999999999998</v>
      </c>
      <c r="E19">
        <v>89.762500000000003</v>
      </c>
      <c r="F19">
        <v>97.015000000000001</v>
      </c>
      <c r="G19">
        <v>88.804999999999993</v>
      </c>
      <c r="H19">
        <v>98.935000000000002</v>
      </c>
      <c r="I19">
        <v>63.029999999999994</v>
      </c>
      <c r="J19">
        <v>94.35</v>
      </c>
      <c r="K19">
        <v>82.070000000000007</v>
      </c>
      <c r="L19">
        <v>81.684999999999988</v>
      </c>
      <c r="M19">
        <v>90.564999999999998</v>
      </c>
      <c r="N19">
        <v>108.30500000000002</v>
      </c>
      <c r="O19">
        <v>86.25</v>
      </c>
      <c r="P19">
        <v>91.724999999999994</v>
      </c>
      <c r="Q19">
        <v>71.679999999999993</v>
      </c>
      <c r="R19">
        <v>93.704999999999998</v>
      </c>
      <c r="S19">
        <v>91.454999999999998</v>
      </c>
      <c r="T19">
        <v>97.960000000000008</v>
      </c>
      <c r="U19">
        <v>89.435000000000002</v>
      </c>
      <c r="V19">
        <v>86.704999999999998</v>
      </c>
      <c r="W19">
        <v>108.77500000000001</v>
      </c>
      <c r="X19">
        <v>89.69</v>
      </c>
      <c r="Y19">
        <v>90.35</v>
      </c>
      <c r="Z19">
        <v>88.385000000000005</v>
      </c>
      <c r="AA19">
        <v>95.58</v>
      </c>
      <c r="AB19">
        <v>99.885000000000005</v>
      </c>
      <c r="AC19">
        <v>90.365000000000009</v>
      </c>
      <c r="AD19">
        <v>101.08</v>
      </c>
      <c r="AE19">
        <v>87.525000000000006</v>
      </c>
      <c r="AF19">
        <v>72.015000000000001</v>
      </c>
      <c r="AG19">
        <v>84</v>
      </c>
      <c r="AH19">
        <v>90.745000000000005</v>
      </c>
      <c r="AI19">
        <v>79.435000000000002</v>
      </c>
      <c r="AJ19">
        <v>100</v>
      </c>
      <c r="AK19" t="s">
        <v>153</v>
      </c>
      <c r="AL19" t="s">
        <v>222</v>
      </c>
      <c r="AM19" t="s">
        <v>222</v>
      </c>
      <c r="AN19" t="s">
        <v>222</v>
      </c>
      <c r="AO19" t="s">
        <v>222</v>
      </c>
      <c r="AP19" t="s">
        <v>222</v>
      </c>
    </row>
    <row r="20" spans="1:42" x14ac:dyDescent="0.4">
      <c r="A20" t="s">
        <v>90</v>
      </c>
      <c r="B20" t="s">
        <v>222</v>
      </c>
      <c r="C20" t="s">
        <v>222</v>
      </c>
      <c r="D20" t="s">
        <v>222</v>
      </c>
      <c r="E20" t="s">
        <v>222</v>
      </c>
      <c r="F20" t="s">
        <v>222</v>
      </c>
      <c r="G20" t="s">
        <v>222</v>
      </c>
      <c r="H20" t="s">
        <v>222</v>
      </c>
      <c r="I20" t="s">
        <v>222</v>
      </c>
      <c r="J20" t="s">
        <v>222</v>
      </c>
      <c r="K20" t="s">
        <v>222</v>
      </c>
      <c r="L20" t="s">
        <v>222</v>
      </c>
      <c r="M20" t="s">
        <v>222</v>
      </c>
      <c r="N20" t="s">
        <v>222</v>
      </c>
      <c r="O20" t="s">
        <v>222</v>
      </c>
      <c r="P20" t="s">
        <v>222</v>
      </c>
      <c r="Q20" t="s">
        <v>222</v>
      </c>
      <c r="R20" t="s">
        <v>222</v>
      </c>
      <c r="S20" t="s">
        <v>222</v>
      </c>
      <c r="T20" t="s">
        <v>222</v>
      </c>
      <c r="U20" t="s">
        <v>222</v>
      </c>
      <c r="V20" t="s">
        <v>222</v>
      </c>
      <c r="W20" t="s">
        <v>222</v>
      </c>
      <c r="X20" t="s">
        <v>222</v>
      </c>
      <c r="Y20" t="s">
        <v>222</v>
      </c>
      <c r="Z20" t="s">
        <v>222</v>
      </c>
      <c r="AA20" t="s">
        <v>222</v>
      </c>
      <c r="AB20" t="s">
        <v>222</v>
      </c>
      <c r="AC20" t="s">
        <v>222</v>
      </c>
      <c r="AD20" t="s">
        <v>222</v>
      </c>
      <c r="AE20" t="s">
        <v>222</v>
      </c>
      <c r="AF20" t="s">
        <v>222</v>
      </c>
      <c r="AG20" t="s">
        <v>222</v>
      </c>
      <c r="AH20" t="s">
        <v>222</v>
      </c>
      <c r="AI20" t="s">
        <v>222</v>
      </c>
      <c r="AJ20" t="s">
        <v>222</v>
      </c>
      <c r="AK20" t="s">
        <v>153</v>
      </c>
      <c r="AL20" t="s">
        <v>222</v>
      </c>
      <c r="AM20" t="s">
        <v>222</v>
      </c>
      <c r="AN20" t="s">
        <v>222</v>
      </c>
      <c r="AO20" t="s">
        <v>222</v>
      </c>
      <c r="AP20" t="s">
        <v>222</v>
      </c>
    </row>
    <row r="21" spans="1:42" x14ac:dyDescent="0.4">
      <c r="A21" t="s">
        <v>94</v>
      </c>
      <c r="B21" t="s">
        <v>222</v>
      </c>
      <c r="C21" t="s">
        <v>222</v>
      </c>
      <c r="D21" t="s">
        <v>222</v>
      </c>
      <c r="E21" t="s">
        <v>222</v>
      </c>
      <c r="F21" t="s">
        <v>222</v>
      </c>
      <c r="G21" t="s">
        <v>222</v>
      </c>
      <c r="H21" t="s">
        <v>222</v>
      </c>
      <c r="I21" t="s">
        <v>222</v>
      </c>
      <c r="J21" t="s">
        <v>222</v>
      </c>
      <c r="K21" t="s">
        <v>222</v>
      </c>
      <c r="L21" t="s">
        <v>222</v>
      </c>
      <c r="M21" t="s">
        <v>222</v>
      </c>
      <c r="N21" t="s">
        <v>222</v>
      </c>
      <c r="O21" t="s">
        <v>222</v>
      </c>
      <c r="P21" t="s">
        <v>222</v>
      </c>
      <c r="Q21" t="s">
        <v>222</v>
      </c>
      <c r="R21" t="s">
        <v>222</v>
      </c>
      <c r="S21" t="s">
        <v>222</v>
      </c>
      <c r="T21" t="s">
        <v>222</v>
      </c>
      <c r="U21" t="s">
        <v>222</v>
      </c>
      <c r="V21" t="s">
        <v>222</v>
      </c>
      <c r="W21" t="s">
        <v>222</v>
      </c>
      <c r="X21" t="s">
        <v>222</v>
      </c>
      <c r="Y21" t="s">
        <v>222</v>
      </c>
      <c r="Z21" t="s">
        <v>222</v>
      </c>
      <c r="AA21" t="s">
        <v>222</v>
      </c>
      <c r="AB21" t="s">
        <v>222</v>
      </c>
      <c r="AC21" t="s">
        <v>222</v>
      </c>
      <c r="AD21" t="s">
        <v>222</v>
      </c>
      <c r="AE21" t="s">
        <v>222</v>
      </c>
      <c r="AF21" t="s">
        <v>222</v>
      </c>
      <c r="AG21" t="s">
        <v>222</v>
      </c>
      <c r="AH21" t="s">
        <v>222</v>
      </c>
      <c r="AI21" t="s">
        <v>222</v>
      </c>
      <c r="AJ21" t="s">
        <v>222</v>
      </c>
      <c r="AK21" t="s">
        <v>153</v>
      </c>
      <c r="AL21" t="s">
        <v>222</v>
      </c>
      <c r="AM21" t="s">
        <v>222</v>
      </c>
      <c r="AN21" t="s">
        <v>222</v>
      </c>
      <c r="AO21" t="s">
        <v>222</v>
      </c>
      <c r="AP21" t="s">
        <v>222</v>
      </c>
    </row>
    <row r="22" spans="1:42" x14ac:dyDescent="0.4">
      <c r="A22" t="s">
        <v>106</v>
      </c>
      <c r="B22">
        <v>48.424999999999997</v>
      </c>
      <c r="C22">
        <v>49.424999999999997</v>
      </c>
      <c r="D22">
        <v>56.522499999999994</v>
      </c>
      <c r="E22">
        <v>14.02</v>
      </c>
      <c r="F22">
        <v>159.66500000000002</v>
      </c>
      <c r="G22">
        <v>174.54500000000002</v>
      </c>
      <c r="H22">
        <v>192.4</v>
      </c>
      <c r="I22">
        <v>75.45</v>
      </c>
      <c r="J22">
        <v>163.79500000000002</v>
      </c>
      <c r="K22">
        <v>118.88499999999999</v>
      </c>
      <c r="L22">
        <v>115.6</v>
      </c>
      <c r="M22">
        <v>145.95499999999998</v>
      </c>
      <c r="N22">
        <v>220.26499999999996</v>
      </c>
      <c r="O22">
        <v>161.66500000000002</v>
      </c>
      <c r="P22">
        <v>159.5</v>
      </c>
      <c r="Q22">
        <v>65.844999999999999</v>
      </c>
      <c r="R22">
        <v>135.62</v>
      </c>
      <c r="S22">
        <v>138.155</v>
      </c>
      <c r="T22">
        <v>209.64000000000001</v>
      </c>
      <c r="U22">
        <v>199.57</v>
      </c>
      <c r="V22">
        <v>80.760000000000005</v>
      </c>
      <c r="W22">
        <v>83.14500000000001</v>
      </c>
      <c r="X22">
        <v>92.39</v>
      </c>
      <c r="Y22">
        <v>60.15</v>
      </c>
      <c r="Z22">
        <v>85.065000000000012</v>
      </c>
      <c r="AA22">
        <v>92.135000000000005</v>
      </c>
      <c r="AB22">
        <v>79.625</v>
      </c>
      <c r="AC22">
        <v>60.929999999999993</v>
      </c>
      <c r="AD22">
        <v>25.085000000000001</v>
      </c>
      <c r="AE22">
        <v>23.064999999999998</v>
      </c>
      <c r="AF22">
        <v>34.214999999999996</v>
      </c>
      <c r="AG22">
        <v>15.9</v>
      </c>
      <c r="AH22">
        <v>27.04</v>
      </c>
      <c r="AI22">
        <v>17.934999999999999</v>
      </c>
      <c r="AJ22">
        <v>81.804999999999993</v>
      </c>
      <c r="AK22" t="s">
        <v>153</v>
      </c>
      <c r="AL22" t="s">
        <v>222</v>
      </c>
      <c r="AM22" t="s">
        <v>222</v>
      </c>
      <c r="AN22" t="s">
        <v>222</v>
      </c>
      <c r="AO22" t="s">
        <v>222</v>
      </c>
      <c r="AP22" t="s">
        <v>222</v>
      </c>
    </row>
    <row r="23" spans="1:42" x14ac:dyDescent="0.4">
      <c r="A23" t="s">
        <v>110</v>
      </c>
      <c r="B23">
        <v>101.97</v>
      </c>
      <c r="C23">
        <v>20.149999999999999</v>
      </c>
      <c r="D23">
        <v>17.272500000000001</v>
      </c>
      <c r="E23">
        <v>9.6849999999999987</v>
      </c>
      <c r="F23">
        <v>4.0649999999999995</v>
      </c>
      <c r="G23">
        <v>3.94</v>
      </c>
      <c r="H23">
        <v>5.0849999999999991</v>
      </c>
      <c r="I23" t="s">
        <v>222</v>
      </c>
      <c r="J23">
        <v>3.7399999999999998</v>
      </c>
      <c r="K23">
        <v>4.62</v>
      </c>
      <c r="L23">
        <v>5.2850000000000001</v>
      </c>
      <c r="M23" t="s">
        <v>222</v>
      </c>
      <c r="N23">
        <v>5.2450000000000001</v>
      </c>
      <c r="O23">
        <v>7.4150000000000009</v>
      </c>
      <c r="P23" t="s">
        <v>222</v>
      </c>
      <c r="Q23">
        <v>5.65</v>
      </c>
      <c r="R23">
        <v>5.9450000000000003</v>
      </c>
      <c r="S23">
        <v>6.7150000000000007</v>
      </c>
      <c r="T23">
        <v>7.6800000000000015</v>
      </c>
      <c r="U23">
        <v>6.8049999999999997</v>
      </c>
      <c r="V23">
        <v>5.9799999999999995</v>
      </c>
      <c r="W23">
        <v>6.1749999999999998</v>
      </c>
      <c r="X23">
        <v>4.5200000000000005</v>
      </c>
      <c r="Y23" t="s">
        <v>222</v>
      </c>
      <c r="Z23">
        <v>5.2750000000000004</v>
      </c>
      <c r="AA23">
        <v>3.6</v>
      </c>
      <c r="AB23">
        <v>6.62</v>
      </c>
      <c r="AC23">
        <v>4.0649999999999995</v>
      </c>
      <c r="AD23">
        <v>4.1899999999999995</v>
      </c>
      <c r="AE23">
        <v>4.8900000000000006</v>
      </c>
      <c r="AF23">
        <v>4.415</v>
      </c>
      <c r="AG23">
        <v>4.74</v>
      </c>
      <c r="AH23">
        <v>7.37</v>
      </c>
      <c r="AI23">
        <v>5.3950000000000005</v>
      </c>
      <c r="AJ23">
        <v>3.6850000000000001</v>
      </c>
      <c r="AK23" t="s">
        <v>153</v>
      </c>
      <c r="AL23" t="s">
        <v>222</v>
      </c>
      <c r="AM23" t="s">
        <v>222</v>
      </c>
      <c r="AN23" t="s">
        <v>222</v>
      </c>
      <c r="AO23" t="s">
        <v>222</v>
      </c>
      <c r="AP23" t="s">
        <v>222</v>
      </c>
    </row>
    <row r="24" spans="1:42" x14ac:dyDescent="0.4">
      <c r="A24" t="s">
        <v>114</v>
      </c>
      <c r="B24" t="s">
        <v>222</v>
      </c>
      <c r="C24" t="s">
        <v>222</v>
      </c>
      <c r="D24" t="s">
        <v>222</v>
      </c>
      <c r="E24" t="s">
        <v>222</v>
      </c>
      <c r="F24" t="s">
        <v>222</v>
      </c>
      <c r="G24" t="s">
        <v>222</v>
      </c>
      <c r="H24" t="s">
        <v>222</v>
      </c>
      <c r="I24" t="s">
        <v>222</v>
      </c>
      <c r="J24" t="s">
        <v>222</v>
      </c>
      <c r="K24" t="s">
        <v>222</v>
      </c>
      <c r="L24" t="s">
        <v>222</v>
      </c>
      <c r="M24" t="s">
        <v>222</v>
      </c>
      <c r="N24" t="s">
        <v>222</v>
      </c>
      <c r="O24" t="s">
        <v>222</v>
      </c>
      <c r="P24" t="s">
        <v>222</v>
      </c>
      <c r="Q24" t="s">
        <v>222</v>
      </c>
      <c r="R24" t="s">
        <v>222</v>
      </c>
      <c r="S24" t="s">
        <v>222</v>
      </c>
      <c r="T24" t="s">
        <v>222</v>
      </c>
      <c r="U24" t="s">
        <v>222</v>
      </c>
      <c r="V24" t="s">
        <v>222</v>
      </c>
      <c r="W24" t="s">
        <v>222</v>
      </c>
      <c r="X24" t="s">
        <v>222</v>
      </c>
      <c r="Y24" t="s">
        <v>222</v>
      </c>
      <c r="Z24" t="s">
        <v>222</v>
      </c>
      <c r="AA24" t="s">
        <v>222</v>
      </c>
      <c r="AB24" t="s">
        <v>222</v>
      </c>
      <c r="AC24" t="s">
        <v>222</v>
      </c>
      <c r="AD24" t="s">
        <v>222</v>
      </c>
      <c r="AE24" t="s">
        <v>222</v>
      </c>
      <c r="AF24" t="s">
        <v>222</v>
      </c>
      <c r="AG24" t="s">
        <v>222</v>
      </c>
      <c r="AH24" t="s">
        <v>222</v>
      </c>
      <c r="AI24" t="s">
        <v>222</v>
      </c>
      <c r="AJ24" t="s">
        <v>222</v>
      </c>
      <c r="AK24" t="s">
        <v>153</v>
      </c>
      <c r="AL24" t="s">
        <v>222</v>
      </c>
      <c r="AM24" t="s">
        <v>222</v>
      </c>
      <c r="AN24" t="s">
        <v>222</v>
      </c>
      <c r="AO24" t="s">
        <v>222</v>
      </c>
      <c r="AP24" t="s">
        <v>222</v>
      </c>
    </row>
    <row r="25" spans="1:42" x14ac:dyDescent="0.4">
      <c r="A25" t="s">
        <v>118</v>
      </c>
      <c r="B25" t="s">
        <v>222</v>
      </c>
      <c r="C25" t="s">
        <v>222</v>
      </c>
      <c r="D25" t="s">
        <v>222</v>
      </c>
      <c r="E25" t="s">
        <v>222</v>
      </c>
      <c r="F25" t="s">
        <v>222</v>
      </c>
      <c r="G25" t="s">
        <v>222</v>
      </c>
      <c r="H25" t="s">
        <v>222</v>
      </c>
      <c r="I25" t="s">
        <v>222</v>
      </c>
      <c r="J25" t="s">
        <v>222</v>
      </c>
      <c r="K25" t="s">
        <v>222</v>
      </c>
      <c r="L25" t="s">
        <v>222</v>
      </c>
      <c r="M25" t="s">
        <v>222</v>
      </c>
      <c r="N25" t="s">
        <v>222</v>
      </c>
      <c r="O25" t="s">
        <v>222</v>
      </c>
      <c r="P25" t="s">
        <v>222</v>
      </c>
      <c r="Q25" t="s">
        <v>222</v>
      </c>
      <c r="R25" t="s">
        <v>222</v>
      </c>
      <c r="S25" t="s">
        <v>222</v>
      </c>
      <c r="T25" t="s">
        <v>222</v>
      </c>
      <c r="U25" t="s">
        <v>222</v>
      </c>
      <c r="V25" t="s">
        <v>222</v>
      </c>
      <c r="W25" t="s">
        <v>222</v>
      </c>
      <c r="X25" t="s">
        <v>222</v>
      </c>
      <c r="Y25" t="s">
        <v>222</v>
      </c>
      <c r="Z25" t="s">
        <v>222</v>
      </c>
      <c r="AA25" t="s">
        <v>222</v>
      </c>
      <c r="AB25" t="s">
        <v>222</v>
      </c>
      <c r="AC25" t="s">
        <v>222</v>
      </c>
      <c r="AD25" t="s">
        <v>222</v>
      </c>
      <c r="AE25" t="s">
        <v>222</v>
      </c>
      <c r="AF25" t="s">
        <v>222</v>
      </c>
      <c r="AG25" t="s">
        <v>222</v>
      </c>
      <c r="AH25" t="s">
        <v>222</v>
      </c>
      <c r="AI25" t="s">
        <v>222</v>
      </c>
      <c r="AJ25" t="s">
        <v>222</v>
      </c>
      <c r="AK25" t="s">
        <v>153</v>
      </c>
      <c r="AL25" t="s">
        <v>222</v>
      </c>
      <c r="AM25" t="s">
        <v>222</v>
      </c>
      <c r="AN25" t="s">
        <v>222</v>
      </c>
      <c r="AO25" t="s">
        <v>222</v>
      </c>
      <c r="AP25" t="s">
        <v>222</v>
      </c>
    </row>
    <row r="26" spans="1:42" x14ac:dyDescent="0.4">
      <c r="A26" t="s">
        <v>122</v>
      </c>
      <c r="B26">
        <v>565.81749999999988</v>
      </c>
      <c r="C26">
        <v>292.29500000000002</v>
      </c>
      <c r="D26">
        <v>392.96999999999997</v>
      </c>
      <c r="E26">
        <v>294.28249999999997</v>
      </c>
      <c r="F26">
        <v>283.47500000000002</v>
      </c>
      <c r="G26">
        <v>234.39</v>
      </c>
      <c r="H26">
        <v>290.69499999999999</v>
      </c>
      <c r="I26">
        <v>123.22499999999999</v>
      </c>
      <c r="J26">
        <v>279.52</v>
      </c>
      <c r="K26">
        <v>211.12</v>
      </c>
      <c r="L26">
        <v>213.595</v>
      </c>
      <c r="M26">
        <v>238.33499999999998</v>
      </c>
      <c r="N26">
        <v>341.06499999999994</v>
      </c>
      <c r="O26">
        <v>260.10499999999996</v>
      </c>
      <c r="P26">
        <v>275.81</v>
      </c>
      <c r="Q26">
        <v>159.45500000000001</v>
      </c>
      <c r="R26">
        <v>243.245</v>
      </c>
      <c r="S26">
        <v>264.245</v>
      </c>
      <c r="T26">
        <v>305</v>
      </c>
      <c r="U26">
        <v>273.79499999999996</v>
      </c>
      <c r="V26">
        <v>281.47999999999996</v>
      </c>
      <c r="W26">
        <v>390.19500000000005</v>
      </c>
      <c r="X26">
        <v>307.88499999999999</v>
      </c>
      <c r="Y26">
        <v>305.65499999999997</v>
      </c>
      <c r="Z26">
        <v>319.63499999999999</v>
      </c>
      <c r="AA26">
        <v>324.86500000000001</v>
      </c>
      <c r="AB26">
        <v>367.04500000000002</v>
      </c>
      <c r="AC26">
        <v>326.2</v>
      </c>
      <c r="AD26">
        <v>354.84500000000003</v>
      </c>
      <c r="AE26">
        <v>299.09500000000003</v>
      </c>
      <c r="AF26">
        <v>208.48499999999999</v>
      </c>
      <c r="AG26">
        <v>276.07</v>
      </c>
      <c r="AH26">
        <v>317.46500000000003</v>
      </c>
      <c r="AI26">
        <v>250.82999999999998</v>
      </c>
      <c r="AJ26">
        <v>396.44500000000005</v>
      </c>
      <c r="AK26" t="s">
        <v>153</v>
      </c>
      <c r="AL26">
        <v>2.02</v>
      </c>
      <c r="AM26">
        <v>2.13</v>
      </c>
      <c r="AN26">
        <v>2.9799999999999995</v>
      </c>
      <c r="AO26">
        <v>1.94</v>
      </c>
      <c r="AP26">
        <v>2.09</v>
      </c>
    </row>
    <row r="27" spans="1:42" x14ac:dyDescent="0.4">
      <c r="A27" t="s">
        <v>126</v>
      </c>
      <c r="B27">
        <v>283.91750000000002</v>
      </c>
      <c r="C27">
        <v>98.212500000000006</v>
      </c>
      <c r="D27">
        <v>179.4725</v>
      </c>
      <c r="E27">
        <v>153.5925</v>
      </c>
      <c r="F27">
        <v>113.32000000000001</v>
      </c>
      <c r="G27">
        <v>99.135000000000005</v>
      </c>
      <c r="H27">
        <v>115.59</v>
      </c>
      <c r="I27" t="s">
        <v>222</v>
      </c>
      <c r="J27">
        <v>104.08499999999999</v>
      </c>
      <c r="K27">
        <v>80.445000000000007</v>
      </c>
      <c r="L27">
        <v>81.94</v>
      </c>
      <c r="M27">
        <v>100.255</v>
      </c>
      <c r="N27" t="s">
        <v>222</v>
      </c>
      <c r="O27">
        <v>90.465000000000003</v>
      </c>
      <c r="P27">
        <v>106.59499999999998</v>
      </c>
      <c r="Q27">
        <v>77.684999999999988</v>
      </c>
      <c r="R27">
        <v>97.295000000000002</v>
      </c>
      <c r="S27">
        <v>109.3</v>
      </c>
      <c r="T27">
        <v>117.14499999999998</v>
      </c>
      <c r="U27">
        <v>113.97</v>
      </c>
      <c r="V27">
        <v>131.98499999999999</v>
      </c>
      <c r="W27">
        <v>162.83499999999998</v>
      </c>
      <c r="X27">
        <v>137.80500000000001</v>
      </c>
      <c r="Y27">
        <v>154.25500000000002</v>
      </c>
      <c r="Z27">
        <v>135.005</v>
      </c>
      <c r="AA27">
        <v>154.255</v>
      </c>
      <c r="AB27">
        <v>154.59499999999997</v>
      </c>
      <c r="AC27">
        <v>133.82999999999998</v>
      </c>
      <c r="AD27">
        <v>159.97499999999999</v>
      </c>
      <c r="AE27">
        <v>134.64499999999998</v>
      </c>
      <c r="AF27">
        <v>102.035</v>
      </c>
      <c r="AG27">
        <v>131.10999999999999</v>
      </c>
      <c r="AH27">
        <v>149.64500000000001</v>
      </c>
      <c r="AI27">
        <v>124.63499999999999</v>
      </c>
      <c r="AJ27">
        <v>186.07499999999999</v>
      </c>
      <c r="AK27" t="s">
        <v>153</v>
      </c>
      <c r="AL27" t="s">
        <v>222</v>
      </c>
      <c r="AM27" t="s">
        <v>222</v>
      </c>
      <c r="AN27" t="s">
        <v>222</v>
      </c>
      <c r="AO27" t="s">
        <v>222</v>
      </c>
      <c r="AP27" t="s">
        <v>222</v>
      </c>
    </row>
    <row r="28" spans="1:42" x14ac:dyDescent="0.4">
      <c r="A28" t="s">
        <v>73</v>
      </c>
      <c r="B28">
        <v>1431.2474999999999</v>
      </c>
      <c r="C28">
        <v>1271.4899999999998</v>
      </c>
      <c r="D28">
        <v>1616.2049999999999</v>
      </c>
      <c r="E28">
        <v>1674.395</v>
      </c>
      <c r="F28">
        <v>2512.34</v>
      </c>
      <c r="G28">
        <v>2642.0149999999999</v>
      </c>
      <c r="H28">
        <v>2360.0250000000001</v>
      </c>
      <c r="I28">
        <v>1279.0349999999999</v>
      </c>
      <c r="J28">
        <v>2200.5349999999999</v>
      </c>
      <c r="K28">
        <v>2014.0300000000002</v>
      </c>
      <c r="L28">
        <v>1906.2199999999996</v>
      </c>
      <c r="M28">
        <v>2214.9849999999997</v>
      </c>
      <c r="N28">
        <v>1719.915</v>
      </c>
      <c r="O28">
        <v>2217.5649999999996</v>
      </c>
      <c r="P28">
        <v>3213.4399999999996</v>
      </c>
      <c r="Q28">
        <v>2601.4399999999996</v>
      </c>
      <c r="R28">
        <v>2676.5450000000001</v>
      </c>
      <c r="S28">
        <v>1478.0900000000001</v>
      </c>
      <c r="T28">
        <v>2410.0149999999999</v>
      </c>
      <c r="U28">
        <v>2147.8200000000002</v>
      </c>
      <c r="V28">
        <v>2473.85</v>
      </c>
      <c r="W28">
        <v>2465.4999999999995</v>
      </c>
      <c r="X28">
        <v>1500.19</v>
      </c>
      <c r="Y28">
        <v>2274.17</v>
      </c>
      <c r="Z28">
        <v>1730.03</v>
      </c>
      <c r="AA28">
        <v>1584.15</v>
      </c>
      <c r="AB28">
        <v>1997.595</v>
      </c>
      <c r="AC28">
        <v>1795.3849999999998</v>
      </c>
      <c r="AD28">
        <v>2129.34</v>
      </c>
      <c r="AE28">
        <v>1672.0549999999998</v>
      </c>
      <c r="AF28">
        <v>2342.2550000000001</v>
      </c>
      <c r="AG28">
        <v>2289.6949999999997</v>
      </c>
      <c r="AH28">
        <v>2557.6</v>
      </c>
      <c r="AI28">
        <v>2258.6400000000003</v>
      </c>
      <c r="AJ28">
        <v>2486.4299999999998</v>
      </c>
      <c r="AK28" t="s">
        <v>153</v>
      </c>
      <c r="AL28">
        <v>23.419999999999998</v>
      </c>
      <c r="AM28">
        <v>21.774999999999999</v>
      </c>
      <c r="AN28">
        <v>19.195</v>
      </c>
      <c r="AO28">
        <v>16.919999999999998</v>
      </c>
      <c r="AP28" t="s">
        <v>222</v>
      </c>
    </row>
    <row r="29" spans="1:42" x14ac:dyDescent="0.4">
      <c r="A29" t="s">
        <v>102</v>
      </c>
      <c r="B29" t="s">
        <v>222</v>
      </c>
      <c r="C29" t="s">
        <v>222</v>
      </c>
      <c r="D29" t="s">
        <v>222</v>
      </c>
      <c r="E29" t="s">
        <v>222</v>
      </c>
      <c r="F29" t="s">
        <v>222</v>
      </c>
      <c r="G29" t="s">
        <v>222</v>
      </c>
      <c r="H29" t="s">
        <v>222</v>
      </c>
      <c r="I29" t="s">
        <v>222</v>
      </c>
      <c r="J29" t="s">
        <v>222</v>
      </c>
      <c r="K29" t="s">
        <v>222</v>
      </c>
      <c r="L29" t="s">
        <v>222</v>
      </c>
      <c r="M29" t="s">
        <v>222</v>
      </c>
      <c r="N29" t="s">
        <v>222</v>
      </c>
      <c r="O29" t="s">
        <v>222</v>
      </c>
      <c r="P29" t="s">
        <v>222</v>
      </c>
      <c r="Q29" t="s">
        <v>222</v>
      </c>
      <c r="R29" t="s">
        <v>222</v>
      </c>
      <c r="S29" t="s">
        <v>222</v>
      </c>
      <c r="T29" t="s">
        <v>222</v>
      </c>
      <c r="U29" t="s">
        <v>222</v>
      </c>
      <c r="V29" t="s">
        <v>222</v>
      </c>
      <c r="W29" t="s">
        <v>222</v>
      </c>
      <c r="X29" t="s">
        <v>222</v>
      </c>
      <c r="Y29" t="s">
        <v>222</v>
      </c>
      <c r="Z29" t="s">
        <v>222</v>
      </c>
      <c r="AA29" t="s">
        <v>222</v>
      </c>
      <c r="AB29" t="s">
        <v>222</v>
      </c>
      <c r="AC29" t="s">
        <v>222</v>
      </c>
      <c r="AD29" t="s">
        <v>222</v>
      </c>
      <c r="AE29" t="s">
        <v>222</v>
      </c>
      <c r="AF29" t="s">
        <v>222</v>
      </c>
      <c r="AG29" t="s">
        <v>222</v>
      </c>
      <c r="AH29" t="s">
        <v>222</v>
      </c>
      <c r="AI29" t="s">
        <v>222</v>
      </c>
      <c r="AJ29" t="s">
        <v>222</v>
      </c>
      <c r="AK29" t="s">
        <v>153</v>
      </c>
      <c r="AL29" t="s">
        <v>222</v>
      </c>
      <c r="AM29" t="s">
        <v>222</v>
      </c>
      <c r="AN29" t="s">
        <v>222</v>
      </c>
      <c r="AO29" t="s">
        <v>222</v>
      </c>
      <c r="AP29" t="s">
        <v>222</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17702-407F-49BE-A281-50D38DBA731F}">
  <dimension ref="A1:AB13"/>
  <sheetViews>
    <sheetView zoomScale="80" zoomScaleNormal="80" workbookViewId="0">
      <selection activeCell="W3" sqref="W3"/>
    </sheetView>
  </sheetViews>
  <sheetFormatPr defaultRowHeight="14.6" x14ac:dyDescent="0.4"/>
  <cols>
    <col min="1" max="1" width="13.53515625" bestFit="1" customWidth="1"/>
    <col min="2" max="2" width="6.69140625" bestFit="1" customWidth="1"/>
    <col min="3" max="3" width="6.765625" bestFit="1" customWidth="1"/>
    <col min="4" max="4" width="6.69140625" bestFit="1" customWidth="1"/>
    <col min="5" max="5" width="6.765625" bestFit="1" customWidth="1"/>
    <col min="6" max="6" width="6.69140625" bestFit="1" customWidth="1"/>
    <col min="7" max="7" width="6.3046875" bestFit="1" customWidth="1"/>
    <col min="8" max="8" width="6.61328125" bestFit="1" customWidth="1"/>
    <col min="9" max="9" width="6.07421875" bestFit="1" customWidth="1"/>
    <col min="10" max="10" width="6.15234375" bestFit="1" customWidth="1"/>
    <col min="11" max="11" width="6.07421875" bestFit="1" customWidth="1"/>
    <col min="12" max="12" width="6.15234375" bestFit="1" customWidth="1"/>
    <col min="13" max="13" width="6.07421875" bestFit="1" customWidth="1"/>
    <col min="14" max="14" width="5.69140625" bestFit="1" customWidth="1"/>
    <col min="15" max="15" width="6" bestFit="1" customWidth="1"/>
    <col min="16" max="16" width="6.69140625" bestFit="1" customWidth="1"/>
    <col min="17" max="17" width="6.765625" bestFit="1" customWidth="1"/>
    <col min="18" max="18" width="6.69140625" bestFit="1" customWidth="1"/>
    <col min="19" max="19" width="6.765625" bestFit="1" customWidth="1"/>
    <col min="20" max="20" width="6.69140625" bestFit="1" customWidth="1"/>
    <col min="21" max="21" width="6.3046875" bestFit="1" customWidth="1"/>
    <col min="22" max="22" width="6.61328125" bestFit="1" customWidth="1"/>
    <col min="23" max="23" width="10.53515625" bestFit="1" customWidth="1"/>
    <col min="24" max="24" width="8.3046875" bestFit="1" customWidth="1"/>
    <col min="25" max="25" width="10.3046875" bestFit="1" customWidth="1"/>
    <col min="26" max="26" width="8.07421875" bestFit="1" customWidth="1"/>
    <col min="27" max="27" width="10.4609375" bestFit="1" customWidth="1"/>
    <col min="28" max="28" width="8.23046875" bestFit="1" customWidth="1"/>
  </cols>
  <sheetData>
    <row r="1" spans="1:28" x14ac:dyDescent="0.4">
      <c r="A1" s="51" t="s">
        <v>259</v>
      </c>
    </row>
    <row r="2" spans="1:28" x14ac:dyDescent="0.4">
      <c r="A2" t="s">
        <v>161</v>
      </c>
      <c r="B2" t="s">
        <v>190</v>
      </c>
      <c r="C2" t="s">
        <v>191</v>
      </c>
      <c r="D2" t="s">
        <v>192</v>
      </c>
      <c r="E2" t="s">
        <v>193</v>
      </c>
      <c r="F2" t="s">
        <v>194</v>
      </c>
      <c r="G2" t="s">
        <v>195</v>
      </c>
      <c r="H2" t="s">
        <v>196</v>
      </c>
      <c r="I2" t="s">
        <v>198</v>
      </c>
      <c r="J2" t="s">
        <v>199</v>
      </c>
      <c r="K2" t="s">
        <v>200</v>
      </c>
      <c r="L2" t="s">
        <v>201</v>
      </c>
      <c r="M2" t="s">
        <v>202</v>
      </c>
      <c r="N2" t="s">
        <v>203</v>
      </c>
      <c r="O2" t="s">
        <v>204</v>
      </c>
      <c r="P2" t="s">
        <v>206</v>
      </c>
      <c r="Q2" t="s">
        <v>207</v>
      </c>
      <c r="R2" t="s">
        <v>208</v>
      </c>
      <c r="S2" t="s">
        <v>209</v>
      </c>
      <c r="T2" t="s">
        <v>210</v>
      </c>
      <c r="U2" t="s">
        <v>211</v>
      </c>
      <c r="V2" s="7" t="s">
        <v>212</v>
      </c>
      <c r="W2" t="s">
        <v>253</v>
      </c>
      <c r="X2" t="s">
        <v>254</v>
      </c>
      <c r="Y2" t="s">
        <v>255</v>
      </c>
      <c r="Z2" t="s">
        <v>257</v>
      </c>
      <c r="AA2" t="s">
        <v>256</v>
      </c>
      <c r="AB2" t="s">
        <v>258</v>
      </c>
    </row>
    <row r="3" spans="1:28" x14ac:dyDescent="0.4">
      <c r="A3" t="s">
        <v>32</v>
      </c>
      <c r="B3" s="8">
        <v>2.7168168304130633</v>
      </c>
      <c r="C3" s="8">
        <v>2.6323090945605658</v>
      </c>
      <c r="D3" s="8">
        <v>4.1525122692217806</v>
      </c>
      <c r="E3" s="8">
        <v>1.1849972401759166</v>
      </c>
      <c r="F3" s="8">
        <v>1.8090684762492288</v>
      </c>
      <c r="G3" s="8">
        <v>2.4275682568518873</v>
      </c>
      <c r="H3" s="8">
        <v>1.3430196260939644</v>
      </c>
      <c r="I3" s="8">
        <v>2.5750139599462729</v>
      </c>
      <c r="J3" s="8">
        <v>1.773261652067788</v>
      </c>
      <c r="K3" s="8">
        <v>2.5469735919607386</v>
      </c>
      <c r="L3" s="8">
        <v>0.97996901874899844</v>
      </c>
      <c r="M3" s="8">
        <v>1.5543277096800148</v>
      </c>
      <c r="N3" s="8">
        <v>1.7265009520149528</v>
      </c>
      <c r="O3" s="8">
        <v>1.369025051931394</v>
      </c>
      <c r="P3" s="8">
        <v>1.2475815336321514</v>
      </c>
      <c r="Q3" s="8">
        <v>1.8155134325130153</v>
      </c>
      <c r="R3" s="8">
        <v>2.0786398691283012</v>
      </c>
      <c r="S3" s="8">
        <v>1.4585403201395937</v>
      </c>
      <c r="T3" s="8">
        <v>1.2067296086688299</v>
      </c>
      <c r="U3" s="8">
        <v>1.5955421244781385</v>
      </c>
      <c r="V3" s="9">
        <v>1.2499404065972732</v>
      </c>
      <c r="W3" s="8">
        <v>-1.3237559705094899</v>
      </c>
      <c r="X3" s="8" t="s">
        <v>231</v>
      </c>
      <c r="Y3" s="8">
        <v>-0.78929599090716551</v>
      </c>
      <c r="Z3" s="8" t="s">
        <v>232</v>
      </c>
      <c r="AA3" s="8">
        <v>-0.52178389930818625</v>
      </c>
      <c r="AB3" s="8" t="s">
        <v>233</v>
      </c>
    </row>
    <row r="4" spans="1:28" x14ac:dyDescent="0.4">
      <c r="A4" t="s">
        <v>41</v>
      </c>
      <c r="B4" s="8">
        <v>5.0722991899462486E-2</v>
      </c>
      <c r="C4" s="8">
        <v>7.0267252808596734E-2</v>
      </c>
      <c r="D4" s="8">
        <v>3.3937228884919624E-2</v>
      </c>
      <c r="E4" s="8">
        <v>3.0096441636182237E-2</v>
      </c>
      <c r="F4" s="8">
        <v>5.1775323595772471E-2</v>
      </c>
      <c r="G4" s="8">
        <v>4.682744088035589E-2</v>
      </c>
      <c r="H4" s="8">
        <v>3.7174518259730331E-2</v>
      </c>
      <c r="I4" s="8">
        <v>0.33363615716556899</v>
      </c>
      <c r="J4" s="8">
        <v>0.2268508827018352</v>
      </c>
      <c r="K4" s="8">
        <v>0.21784894105639194</v>
      </c>
      <c r="L4" s="8">
        <v>5.4317703137124487E-2</v>
      </c>
      <c r="M4" s="8">
        <v>0.10319439496496853</v>
      </c>
      <c r="N4" s="8">
        <v>0.35062046359166471</v>
      </c>
      <c r="O4" s="8">
        <v>0.2235384027512419</v>
      </c>
      <c r="P4" s="8">
        <v>0.64266787796199565</v>
      </c>
      <c r="Q4" s="8">
        <v>0.65668829809503859</v>
      </c>
      <c r="R4" s="8">
        <v>0.44494769073743307</v>
      </c>
      <c r="S4" s="8">
        <v>0.45333111628422562</v>
      </c>
      <c r="T4" s="8">
        <v>0.37442109013181329</v>
      </c>
      <c r="U4" s="8">
        <v>1.0509248419573869</v>
      </c>
      <c r="V4" s="9">
        <v>0.45657514056444137</v>
      </c>
      <c r="W4" s="8">
        <v>0.95417125743356901</v>
      </c>
      <c r="X4" s="8" t="s">
        <v>234</v>
      </c>
      <c r="Y4" s="8">
        <v>0.78428472209017208</v>
      </c>
      <c r="Z4" s="8" t="s">
        <v>235</v>
      </c>
      <c r="AA4" s="8">
        <v>0.41720627775252361</v>
      </c>
      <c r="AB4" s="8" t="s">
        <v>236</v>
      </c>
    </row>
    <row r="5" spans="1:28" x14ac:dyDescent="0.4">
      <c r="A5" t="s">
        <v>61</v>
      </c>
      <c r="B5" s="8">
        <v>1.3564095042534468</v>
      </c>
      <c r="C5" s="8">
        <v>1.2394986916402699</v>
      </c>
      <c r="D5" s="8">
        <v>1.7432796797123948</v>
      </c>
      <c r="E5" s="8">
        <v>0.96132213575776249</v>
      </c>
      <c r="F5" s="8">
        <v>1.2717115286947691</v>
      </c>
      <c r="G5" s="8">
        <v>1.2967956972956596</v>
      </c>
      <c r="H5" s="8">
        <v>0.86212934858743873</v>
      </c>
      <c r="I5" s="8" t="s">
        <v>222</v>
      </c>
      <c r="J5" s="8">
        <v>1.0129458752237983</v>
      </c>
      <c r="K5" s="8">
        <v>1.292589263828744</v>
      </c>
      <c r="L5" s="8" t="s">
        <v>222</v>
      </c>
      <c r="M5" s="8">
        <v>0.95327577450482481</v>
      </c>
      <c r="N5" s="8" t="s">
        <v>222</v>
      </c>
      <c r="O5" s="8">
        <v>0.74352089656782627</v>
      </c>
      <c r="P5" s="8">
        <v>1.0199471985919624</v>
      </c>
      <c r="Q5" s="8">
        <v>1.205619060735436</v>
      </c>
      <c r="R5" s="8">
        <v>1.4863959473813217</v>
      </c>
      <c r="S5" s="8">
        <v>1.2615763926342551</v>
      </c>
      <c r="T5" s="8">
        <v>1.1501850105202061</v>
      </c>
      <c r="U5" s="8">
        <v>1.168320581774108</v>
      </c>
      <c r="V5" s="9">
        <v>1.0985874387111836</v>
      </c>
      <c r="W5" s="8">
        <v>-0.24730665513453501</v>
      </c>
      <c r="X5" s="8" t="s">
        <v>237</v>
      </c>
      <c r="Y5" s="8">
        <v>-5.8295253129836411E-4</v>
      </c>
      <c r="Z5" s="8" t="s">
        <v>233</v>
      </c>
      <c r="AA5" s="8">
        <v>-0.19866166147835296</v>
      </c>
      <c r="AB5" s="8" t="s">
        <v>238</v>
      </c>
    </row>
    <row r="6" spans="1:28" x14ac:dyDescent="0.4">
      <c r="A6" t="s">
        <v>65</v>
      </c>
      <c r="B6" s="8">
        <v>7.7041114699077005</v>
      </c>
      <c r="C6" s="8">
        <v>7.786133482381036</v>
      </c>
      <c r="D6" s="8">
        <v>7.1392214589466798</v>
      </c>
      <c r="E6" s="8">
        <v>5.3686192042872154</v>
      </c>
      <c r="F6" s="8">
        <v>6.5782309807516048</v>
      </c>
      <c r="G6" s="8">
        <v>5.7708780464539515</v>
      </c>
      <c r="H6" s="8" t="s">
        <v>222</v>
      </c>
      <c r="I6" s="8">
        <v>9.7157822471967243</v>
      </c>
      <c r="J6" s="8">
        <v>8.5161200172759841</v>
      </c>
      <c r="K6" s="8">
        <v>6.2095082324719222</v>
      </c>
      <c r="L6" s="8">
        <v>4.3074992368483525</v>
      </c>
      <c r="M6" s="8">
        <v>6.0112282309807528</v>
      </c>
      <c r="N6" s="8">
        <v>7.1616587971574388</v>
      </c>
      <c r="O6" s="8" t="s">
        <v>222</v>
      </c>
      <c r="P6" s="8">
        <v>3.5893615398306586</v>
      </c>
      <c r="Q6" s="8">
        <v>4.1876730774116506</v>
      </c>
      <c r="R6" s="8">
        <v>3.0912877548795112</v>
      </c>
      <c r="S6" s="8">
        <v>4.740358850863208</v>
      </c>
      <c r="T6" s="8">
        <v>4.5722502291475724</v>
      </c>
      <c r="U6" s="8">
        <v>3.7700910955310731</v>
      </c>
      <c r="V6" s="9" t="s">
        <v>222</v>
      </c>
      <c r="W6" s="8">
        <v>-5.7245324404546984</v>
      </c>
      <c r="X6" s="8" t="s">
        <v>239</v>
      </c>
      <c r="Y6" s="8">
        <v>-5.9869661269885297</v>
      </c>
      <c r="Z6" s="8" t="s">
        <v>240</v>
      </c>
      <c r="AA6" s="8">
        <v>-2.9918370912772789</v>
      </c>
      <c r="AB6" s="8" t="s">
        <v>239</v>
      </c>
    </row>
    <row r="7" spans="1:28" x14ac:dyDescent="0.4">
      <c r="A7" t="s">
        <v>77</v>
      </c>
      <c r="B7" s="8">
        <v>0.56723143899282269</v>
      </c>
      <c r="C7" s="8">
        <v>0.47792727011563041</v>
      </c>
      <c r="D7" s="8">
        <v>0.98497752543174832</v>
      </c>
      <c r="E7" s="8">
        <v>0.43080266806565243</v>
      </c>
      <c r="F7" s="8">
        <v>0.61939591796047544</v>
      </c>
      <c r="G7" s="8">
        <v>0.57977152158186629</v>
      </c>
      <c r="H7" s="8">
        <v>0.46561486715384987</v>
      </c>
      <c r="I7" s="8">
        <v>0.2680785974820567</v>
      </c>
      <c r="J7" s="8">
        <v>0.1757559072083503</v>
      </c>
      <c r="K7" s="8">
        <v>0.26362837540978068</v>
      </c>
      <c r="L7" s="8">
        <v>0.17802593119988011</v>
      </c>
      <c r="M7" s="8">
        <v>0.24923368305629626</v>
      </c>
      <c r="N7" s="8">
        <v>0.26626175548589343</v>
      </c>
      <c r="O7" s="8">
        <v>0.18320669796254174</v>
      </c>
      <c r="P7" s="8">
        <v>1.1604777032592073</v>
      </c>
      <c r="Q7" s="8">
        <v>1.4963132316679033</v>
      </c>
      <c r="R7" s="8">
        <v>1.7353577342931497</v>
      </c>
      <c r="S7" s="8">
        <v>1.3714307127332686</v>
      </c>
      <c r="T7" s="8">
        <v>1.3170433872454956</v>
      </c>
      <c r="U7" s="8">
        <v>1.6340426814564746</v>
      </c>
      <c r="V7" s="9">
        <v>1.0942941489619127</v>
      </c>
      <c r="W7" s="8">
        <v>0.41061125581399399</v>
      </c>
      <c r="X7" s="8" t="s">
        <v>241</v>
      </c>
      <c r="Y7" s="8">
        <v>0.77368700745645724</v>
      </c>
      <c r="Z7" s="8" t="s">
        <v>242</v>
      </c>
      <c r="AA7" s="8">
        <v>-0.40127994280248735</v>
      </c>
      <c r="AB7" s="8" t="s">
        <v>243</v>
      </c>
    </row>
    <row r="8" spans="1:28" x14ac:dyDescent="0.4">
      <c r="A8" t="s">
        <v>85</v>
      </c>
      <c r="B8" s="8">
        <v>0.95978432924416301</v>
      </c>
      <c r="C8" s="8">
        <v>1.0146243930305625</v>
      </c>
      <c r="D8" s="8">
        <v>1.3738110115948066</v>
      </c>
      <c r="E8" s="8">
        <v>0.75035714285714283</v>
      </c>
      <c r="F8" s="8">
        <v>1.0397267067056035</v>
      </c>
      <c r="G8" s="8">
        <v>1.0331717756656387</v>
      </c>
      <c r="H8" s="8">
        <v>0.81684999999999985</v>
      </c>
      <c r="I8" s="8">
        <v>1.0714780371982591</v>
      </c>
      <c r="J8" s="8">
        <v>0.98543273350471283</v>
      </c>
      <c r="K8" s="8">
        <v>1.2736929806290356</v>
      </c>
      <c r="L8" s="8">
        <v>0.85333333333333328</v>
      </c>
      <c r="M8" s="8">
        <v>1.0326188770731168</v>
      </c>
      <c r="N8" s="8">
        <v>1.1513186882356643</v>
      </c>
      <c r="O8" s="8">
        <v>0.97960000000000003</v>
      </c>
      <c r="P8" s="8">
        <v>0.85778591214879307</v>
      </c>
      <c r="Q8" s="8">
        <v>1.2427877749214511</v>
      </c>
      <c r="R8" s="8">
        <v>1.2454349788238561</v>
      </c>
      <c r="S8" s="8">
        <v>1.075595238095238</v>
      </c>
      <c r="T8" s="8">
        <v>0.9739930574687311</v>
      </c>
      <c r="U8" s="8">
        <v>1.2032479385661232</v>
      </c>
      <c r="V8" s="9">
        <v>0.99885000000000002</v>
      </c>
      <c r="W8" s="8">
        <v>1.66780584315485E-3</v>
      </c>
      <c r="X8" s="8" t="s">
        <v>244</v>
      </c>
      <c r="Y8" s="8">
        <v>-4.9639235710588592E-2</v>
      </c>
      <c r="Z8" s="8" t="s">
        <v>245</v>
      </c>
      <c r="AA8" s="8">
        <v>-8.5384985717741779E-2</v>
      </c>
      <c r="AB8" s="8" t="s">
        <v>246</v>
      </c>
    </row>
    <row r="9" spans="1:28" x14ac:dyDescent="0.4">
      <c r="A9" t="s">
        <v>106</v>
      </c>
      <c r="B9" s="8">
        <v>6.364959138927647</v>
      </c>
      <c r="C9" s="8">
        <v>7.5675265553869515</v>
      </c>
      <c r="D9" s="8">
        <v>5.6232646500073074</v>
      </c>
      <c r="E9" s="8">
        <v>4.7452830188679247</v>
      </c>
      <c r="F9" s="8">
        <v>6.0575073964497053</v>
      </c>
      <c r="G9" s="8">
        <v>6.6286590465570114</v>
      </c>
      <c r="H9" s="8">
        <v>1.4131165576676243</v>
      </c>
      <c r="I9" s="8">
        <v>8.7807454654175778</v>
      </c>
      <c r="J9" s="8">
        <v>7.0091047040971182</v>
      </c>
      <c r="K9" s="8">
        <v>4.6616980856349564</v>
      </c>
      <c r="L9" s="8">
        <v>4.1411949685534593</v>
      </c>
      <c r="M9" s="8">
        <v>5.0155325443786989</v>
      </c>
      <c r="N9" s="8">
        <v>7.7030945079453588</v>
      </c>
      <c r="O9" s="8">
        <v>2.5626795428152316</v>
      </c>
      <c r="P9" s="8">
        <v>3.2194538568865858</v>
      </c>
      <c r="Q9" s="8">
        <v>3.6048124864513338</v>
      </c>
      <c r="R9" s="8">
        <v>2.7002776559988311</v>
      </c>
      <c r="S9" s="8">
        <v>3.783018867924528</v>
      </c>
      <c r="T9" s="8">
        <v>3.1458949704142016</v>
      </c>
      <c r="U9" s="8">
        <v>5.1371619737942575</v>
      </c>
      <c r="V9" s="9">
        <v>0.97335126214779055</v>
      </c>
      <c r="W9" s="8">
        <v>-4.4857594805520202</v>
      </c>
      <c r="X9" s="8" t="s">
        <v>247</v>
      </c>
      <c r="Y9" s="8">
        <v>-4.6962928312632002</v>
      </c>
      <c r="Z9" s="8" t="s">
        <v>248</v>
      </c>
      <c r="AA9" s="8">
        <v>-2.2234244390882183</v>
      </c>
      <c r="AB9" s="8" t="s">
        <v>248</v>
      </c>
    </row>
    <row r="10" spans="1:28" x14ac:dyDescent="0.4">
      <c r="A10" t="s">
        <v>110</v>
      </c>
      <c r="B10" s="8">
        <v>0.9701670644391408</v>
      </c>
      <c r="C10" s="8">
        <v>0.80572597137014301</v>
      </c>
      <c r="D10" s="8">
        <v>1.1517553793884483</v>
      </c>
      <c r="E10" s="8" t="s">
        <v>222</v>
      </c>
      <c r="F10" s="8">
        <v>0.50746268656716409</v>
      </c>
      <c r="G10" s="8">
        <v>0.85634847080630205</v>
      </c>
      <c r="H10" s="8">
        <v>1.4341926729986432</v>
      </c>
      <c r="I10" s="8">
        <v>1.2517899761336517</v>
      </c>
      <c r="J10" s="8">
        <v>1.5163599182004091</v>
      </c>
      <c r="K10" s="8" t="s">
        <v>222</v>
      </c>
      <c r="L10" s="8">
        <v>1.1919831223628692</v>
      </c>
      <c r="M10" s="8">
        <v>0.80664857530529177</v>
      </c>
      <c r="N10" s="8">
        <v>1.2446709916589436</v>
      </c>
      <c r="O10" s="8">
        <v>2.0841248303934874</v>
      </c>
      <c r="P10" s="8">
        <v>1.4272076372315037</v>
      </c>
      <c r="Q10" s="8">
        <v>1.2627811860940694</v>
      </c>
      <c r="R10" s="8">
        <v>1.0237825594563987</v>
      </c>
      <c r="S10" s="8" t="s">
        <v>222</v>
      </c>
      <c r="T10" s="8">
        <v>0.71573948439620083</v>
      </c>
      <c r="U10" s="8">
        <v>0.66728452270620942</v>
      </c>
      <c r="V10" s="9">
        <v>1.7964721845318861</v>
      </c>
      <c r="W10" s="8">
        <v>4.5724625738359802E-2</v>
      </c>
      <c r="X10" s="8" t="s">
        <v>232</v>
      </c>
      <c r="Y10" s="8">
        <v>-0.34926290234244206</v>
      </c>
      <c r="Z10" s="8" t="s">
        <v>241</v>
      </c>
      <c r="AA10" s="8">
        <v>-0.14887792906937802</v>
      </c>
      <c r="AB10" s="8" t="s">
        <v>249</v>
      </c>
    </row>
    <row r="11" spans="1:28" x14ac:dyDescent="0.4">
      <c r="A11" t="s">
        <v>122</v>
      </c>
      <c r="B11" s="8">
        <v>0.79886992912398369</v>
      </c>
      <c r="C11" s="8">
        <v>0.78366405322723542</v>
      </c>
      <c r="D11" s="8">
        <v>1.3943209343597862</v>
      </c>
      <c r="E11" s="8">
        <v>0.44635418553265477</v>
      </c>
      <c r="F11" s="8">
        <v>0.88047501299355824</v>
      </c>
      <c r="G11" s="8">
        <v>0.84168560379539936</v>
      </c>
      <c r="H11" s="8">
        <v>0.53877587054950871</v>
      </c>
      <c r="I11" s="8">
        <v>0.96116614296382907</v>
      </c>
      <c r="J11" s="8">
        <v>0.86964008091074718</v>
      </c>
      <c r="K11" s="8">
        <v>1.322924910665036</v>
      </c>
      <c r="L11" s="8">
        <v>0.57758901727822665</v>
      </c>
      <c r="M11" s="8">
        <v>0.76621044839588615</v>
      </c>
      <c r="N11" s="8">
        <v>1.053482438304828</v>
      </c>
      <c r="O11" s="8">
        <v>0.76933748691495663</v>
      </c>
      <c r="P11" s="8">
        <v>0.79324775606250597</v>
      </c>
      <c r="Q11" s="8">
        <v>1.3045854995904311</v>
      </c>
      <c r="R11" s="8">
        <v>1.4767729093220137</v>
      </c>
      <c r="S11" s="8">
        <v>1.1071648494946933</v>
      </c>
      <c r="T11" s="8">
        <v>1.006835399177862</v>
      </c>
      <c r="U11" s="8">
        <v>1.2951600685723399</v>
      </c>
      <c r="V11" s="9">
        <v>0.92584091109737787</v>
      </c>
      <c r="W11" s="8">
        <v>0.18797920148826799</v>
      </c>
      <c r="X11" s="8" t="s">
        <v>249</v>
      </c>
      <c r="Y11" s="8">
        <v>9.7092782080927309E-2</v>
      </c>
      <c r="Z11" s="8" t="s">
        <v>240</v>
      </c>
      <c r="AA11" s="8">
        <v>-0.12994391333103206</v>
      </c>
      <c r="AB11" s="8" t="s">
        <v>233</v>
      </c>
    </row>
    <row r="12" spans="1:28" x14ac:dyDescent="0.4">
      <c r="A12" t="s">
        <v>126</v>
      </c>
      <c r="B12" s="8">
        <v>0.70836068135646202</v>
      </c>
      <c r="C12" s="8">
        <v>0.73626944929258431</v>
      </c>
      <c r="D12" s="8">
        <v>1.1328465722546186</v>
      </c>
      <c r="E12" s="8" t="s">
        <v>222</v>
      </c>
      <c r="F12" s="8">
        <v>0.69554612583113362</v>
      </c>
      <c r="G12" s="8">
        <v>0.64544469851967756</v>
      </c>
      <c r="H12" s="8">
        <v>0.44036006986430204</v>
      </c>
      <c r="I12" s="8" t="s">
        <v>222</v>
      </c>
      <c r="J12" s="8">
        <v>0.67187790114746193</v>
      </c>
      <c r="K12" s="8">
        <v>1.0446905473611994</v>
      </c>
      <c r="L12" s="8">
        <v>0.59251773320112877</v>
      </c>
      <c r="M12" s="8">
        <v>0.65017207390824949</v>
      </c>
      <c r="N12" s="8">
        <v>0.87696072531792835</v>
      </c>
      <c r="O12" s="8">
        <v>0.62955797393524116</v>
      </c>
      <c r="P12" s="8">
        <v>0.82503516174402247</v>
      </c>
      <c r="Q12" s="8">
        <v>1.2093653681904266</v>
      </c>
      <c r="R12" s="8">
        <v>1.350565982260989</v>
      </c>
      <c r="S12" s="8">
        <v>1.176531157043704</v>
      </c>
      <c r="T12" s="8">
        <v>0.90216846536803763</v>
      </c>
      <c r="U12" s="8">
        <v>1.2376539495326353</v>
      </c>
      <c r="V12" s="9">
        <v>0.8308209055488377</v>
      </c>
      <c r="W12" s="8">
        <v>0.27352873381353698</v>
      </c>
      <c r="X12" s="8" t="s">
        <v>234</v>
      </c>
      <c r="Y12" s="8">
        <v>0.25570384085479836</v>
      </c>
      <c r="Z12" s="8" t="s">
        <v>250</v>
      </c>
      <c r="AA12" s="8">
        <v>-7.6020141384093298E-2</v>
      </c>
      <c r="AB12" s="8" t="s">
        <v>244</v>
      </c>
    </row>
    <row r="13" spans="1:28" x14ac:dyDescent="0.4">
      <c r="A13" t="s">
        <v>73</v>
      </c>
      <c r="B13" s="8">
        <v>1.1798679403007504</v>
      </c>
      <c r="C13" s="8">
        <v>1.5801005349704407</v>
      </c>
      <c r="D13" s="8">
        <v>1.0075867059735171</v>
      </c>
      <c r="E13" s="8">
        <v>0.5586049670370945</v>
      </c>
      <c r="F13" s="8">
        <v>0.86039060056302785</v>
      </c>
      <c r="G13" s="8">
        <v>0.89170031523394611</v>
      </c>
      <c r="H13" s="8">
        <v>0.76664937279553402</v>
      </c>
      <c r="I13" s="8">
        <v>0.80772211107667158</v>
      </c>
      <c r="J13" s="8">
        <v>1.32625122977414</v>
      </c>
      <c r="K13" s="8">
        <v>1.3719428499458852</v>
      </c>
      <c r="L13" s="8">
        <v>1.1361513214642125</v>
      </c>
      <c r="M13" s="8">
        <v>1.046506490459806</v>
      </c>
      <c r="N13" s="8">
        <v>0.65441593171111812</v>
      </c>
      <c r="O13" s="8">
        <v>0.96926718226533626</v>
      </c>
      <c r="P13" s="8">
        <v>1.1617919167441553</v>
      </c>
      <c r="Q13" s="8">
        <v>1.4745328353433349</v>
      </c>
      <c r="R13" s="8">
        <v>0.64048961364155477</v>
      </c>
      <c r="S13" s="8">
        <v>0.99321962095388261</v>
      </c>
      <c r="T13" s="8">
        <v>0.67642711917422582</v>
      </c>
      <c r="U13" s="8">
        <v>0.70137339283816802</v>
      </c>
      <c r="V13" s="9">
        <v>0.80339884895211211</v>
      </c>
      <c r="W13" s="8">
        <v>2.2157080446527099E-2</v>
      </c>
      <c r="X13" s="8" t="s">
        <v>251</v>
      </c>
      <c r="Y13" s="8">
        <v>-4.4608159528167102E-2</v>
      </c>
      <c r="Z13" s="8" t="s">
        <v>252</v>
      </c>
      <c r="AA13" s="8">
        <v>7.839523605036669E-2</v>
      </c>
      <c r="AB13" s="8" t="s">
        <v>251</v>
      </c>
    </row>
  </sheetData>
  <phoneticPr fontId="8" type="noConversion"/>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F3C85-5132-4960-9A56-A896C3CD6F4E}">
  <dimension ref="A1:AO14"/>
  <sheetViews>
    <sheetView zoomScale="80" zoomScaleNormal="80" workbookViewId="0">
      <selection activeCell="I34" sqref="I34"/>
    </sheetView>
  </sheetViews>
  <sheetFormatPr defaultRowHeight="14.6" x14ac:dyDescent="0.4"/>
  <cols>
    <col min="1" max="1" width="13.53515625" bestFit="1" customWidth="1"/>
    <col min="2" max="36" width="11.84375" bestFit="1" customWidth="1"/>
    <col min="37" max="37" width="6.15234375" bestFit="1" customWidth="1"/>
    <col min="38" max="41" width="11.84375" bestFit="1" customWidth="1"/>
  </cols>
  <sheetData>
    <row r="1" spans="1:41" x14ac:dyDescent="0.4">
      <c r="A1" s="51" t="s">
        <v>264</v>
      </c>
    </row>
    <row r="2" spans="1:41" x14ac:dyDescent="0.4">
      <c r="A2" t="s">
        <v>161</v>
      </c>
      <c r="B2" t="s">
        <v>223</v>
      </c>
      <c r="C2" t="s">
        <v>188</v>
      </c>
      <c r="D2" t="s">
        <v>224</v>
      </c>
      <c r="E2" t="s">
        <v>189</v>
      </c>
      <c r="F2" t="s">
        <v>190</v>
      </c>
      <c r="G2" t="s">
        <v>191</v>
      </c>
      <c r="H2" t="s">
        <v>192</v>
      </c>
      <c r="I2" t="s">
        <v>193</v>
      </c>
      <c r="J2" t="s">
        <v>194</v>
      </c>
      <c r="K2" t="s">
        <v>195</v>
      </c>
      <c r="L2" t="s">
        <v>196</v>
      </c>
      <c r="M2" t="s">
        <v>197</v>
      </c>
      <c r="N2" t="s">
        <v>198</v>
      </c>
      <c r="O2" t="s">
        <v>199</v>
      </c>
      <c r="P2" t="s">
        <v>200</v>
      </c>
      <c r="Q2" t="s">
        <v>201</v>
      </c>
      <c r="R2" t="s">
        <v>202</v>
      </c>
      <c r="S2" t="s">
        <v>203</v>
      </c>
      <c r="T2" t="s">
        <v>204</v>
      </c>
      <c r="U2" t="s">
        <v>205</v>
      </c>
      <c r="V2" t="s">
        <v>206</v>
      </c>
      <c r="W2" t="s">
        <v>207</v>
      </c>
      <c r="X2" t="s">
        <v>208</v>
      </c>
      <c r="Y2" t="s">
        <v>209</v>
      </c>
      <c r="Z2" t="s">
        <v>210</v>
      </c>
      <c r="AA2" t="s">
        <v>211</v>
      </c>
      <c r="AB2" t="s">
        <v>212</v>
      </c>
      <c r="AC2" t="s">
        <v>213</v>
      </c>
      <c r="AD2" t="s">
        <v>214</v>
      </c>
      <c r="AE2" t="s">
        <v>215</v>
      </c>
      <c r="AF2" t="s">
        <v>216</v>
      </c>
      <c r="AG2" t="s">
        <v>217</v>
      </c>
      <c r="AH2" t="s">
        <v>218</v>
      </c>
      <c r="AI2" t="s">
        <v>219</v>
      </c>
      <c r="AJ2" t="s">
        <v>220</v>
      </c>
      <c r="AK2" s="7" t="s">
        <v>221</v>
      </c>
      <c r="AL2" t="s">
        <v>260</v>
      </c>
      <c r="AM2" t="s">
        <v>261</v>
      </c>
      <c r="AN2" t="s">
        <v>262</v>
      </c>
      <c r="AO2" t="s">
        <v>263</v>
      </c>
    </row>
    <row r="3" spans="1:41" x14ac:dyDescent="0.4">
      <c r="A3" t="s">
        <v>14</v>
      </c>
      <c r="B3">
        <v>0.40685714285714286</v>
      </c>
      <c r="C3" t="s">
        <v>222</v>
      </c>
      <c r="D3">
        <v>0.81274999999999997</v>
      </c>
      <c r="E3" t="s">
        <v>222</v>
      </c>
      <c r="F3" t="s">
        <v>222</v>
      </c>
      <c r="G3" t="s">
        <v>222</v>
      </c>
      <c r="H3" t="s">
        <v>222</v>
      </c>
      <c r="I3" t="s">
        <v>222</v>
      </c>
      <c r="J3" t="s">
        <v>222</v>
      </c>
      <c r="K3" t="s">
        <v>222</v>
      </c>
      <c r="L3" t="s">
        <v>222</v>
      </c>
      <c r="M3" t="s">
        <v>222</v>
      </c>
      <c r="N3" t="s">
        <v>222</v>
      </c>
      <c r="O3" t="s">
        <v>222</v>
      </c>
      <c r="P3" t="s">
        <v>222</v>
      </c>
      <c r="Q3" t="s">
        <v>222</v>
      </c>
      <c r="R3" t="s">
        <v>222</v>
      </c>
      <c r="S3" t="s">
        <v>222</v>
      </c>
      <c r="T3" t="s">
        <v>222</v>
      </c>
      <c r="U3" t="s">
        <v>222</v>
      </c>
      <c r="V3" t="s">
        <v>222</v>
      </c>
      <c r="W3" t="s">
        <v>222</v>
      </c>
      <c r="X3" t="s">
        <v>222</v>
      </c>
      <c r="Y3" t="s">
        <v>222</v>
      </c>
      <c r="Z3" t="s">
        <v>222</v>
      </c>
      <c r="AA3" t="s">
        <v>222</v>
      </c>
      <c r="AB3" t="s">
        <v>222</v>
      </c>
      <c r="AC3" t="s">
        <v>222</v>
      </c>
      <c r="AD3" t="s">
        <v>222</v>
      </c>
      <c r="AE3" t="s">
        <v>222</v>
      </c>
      <c r="AF3" t="s">
        <v>222</v>
      </c>
      <c r="AG3" t="s">
        <v>222</v>
      </c>
      <c r="AH3" t="s">
        <v>222</v>
      </c>
      <c r="AI3" t="s">
        <v>222</v>
      </c>
      <c r="AJ3" t="s">
        <v>222</v>
      </c>
      <c r="AK3" s="7"/>
      <c r="AL3" t="s">
        <v>222</v>
      </c>
      <c r="AM3" t="s">
        <v>222</v>
      </c>
      <c r="AN3" t="s">
        <v>222</v>
      </c>
      <c r="AO3" t="s">
        <v>222</v>
      </c>
    </row>
    <row r="4" spans="1:41" x14ac:dyDescent="0.4">
      <c r="A4" t="s">
        <v>32</v>
      </c>
      <c r="B4">
        <v>0.20460874999999998</v>
      </c>
      <c r="C4">
        <v>0.27494624999999995</v>
      </c>
      <c r="D4">
        <v>0.1764425</v>
      </c>
      <c r="E4">
        <v>0.14601500000000001</v>
      </c>
      <c r="F4">
        <v>0.45004749999999999</v>
      </c>
      <c r="G4">
        <v>0.42598000000000003</v>
      </c>
      <c r="H4">
        <v>0.44421499999999997</v>
      </c>
      <c r="I4">
        <v>0.16638249999999999</v>
      </c>
      <c r="J4">
        <v>0.33723750000000002</v>
      </c>
      <c r="K4">
        <v>0.3474275</v>
      </c>
      <c r="L4">
        <v>0.29578999999999994</v>
      </c>
      <c r="M4">
        <v>0.37763999999999998</v>
      </c>
      <c r="N4">
        <v>0.42655749999999998</v>
      </c>
      <c r="O4">
        <v>0.28696249999999995</v>
      </c>
      <c r="P4">
        <v>0.2724625</v>
      </c>
      <c r="Q4">
        <v>0.137595</v>
      </c>
      <c r="R4">
        <v>0.28975000000000001</v>
      </c>
      <c r="S4">
        <v>0.24709250000000002</v>
      </c>
      <c r="T4">
        <v>0.30151750000000005</v>
      </c>
      <c r="U4">
        <v>0.31809000000000004</v>
      </c>
      <c r="V4">
        <v>0.20666499999999996</v>
      </c>
      <c r="W4">
        <v>0.29380000000000001</v>
      </c>
      <c r="X4">
        <v>0.22236250000000002</v>
      </c>
      <c r="Y4">
        <v>0.20479</v>
      </c>
      <c r="Z4">
        <v>0.22495249999999994</v>
      </c>
      <c r="AA4">
        <v>0.22835</v>
      </c>
      <c r="AB4">
        <v>0.27528999999999998</v>
      </c>
      <c r="AC4">
        <v>0.20646500000000001</v>
      </c>
      <c r="AD4">
        <v>0.16565250000000001</v>
      </c>
      <c r="AE4">
        <v>0.16182750000000001</v>
      </c>
      <c r="AF4">
        <v>0.106975</v>
      </c>
      <c r="AG4">
        <v>0.14040749999999999</v>
      </c>
      <c r="AH4">
        <v>0.18641500000000003</v>
      </c>
      <c r="AI4">
        <v>0.14311750000000001</v>
      </c>
      <c r="AJ4">
        <v>0.22024250000000001</v>
      </c>
      <c r="AK4" s="7" t="s">
        <v>153</v>
      </c>
      <c r="AL4">
        <v>0.35558999999999996</v>
      </c>
      <c r="AM4">
        <v>0.28500343750000001</v>
      </c>
      <c r="AN4">
        <v>0.23283437499999998</v>
      </c>
      <c r="AO4">
        <v>0.16066249999999999</v>
      </c>
    </row>
    <row r="5" spans="1:41" x14ac:dyDescent="0.4">
      <c r="A5" t="s">
        <v>41</v>
      </c>
      <c r="B5">
        <v>7.3263059701492536E-2</v>
      </c>
      <c r="C5">
        <v>1.8638059701492535E-3</v>
      </c>
      <c r="D5">
        <v>4.8560634328358214E-2</v>
      </c>
      <c r="E5">
        <v>3.4291044776119405E-2</v>
      </c>
      <c r="F5">
        <v>1.25E-3</v>
      </c>
      <c r="G5">
        <v>1.8787313432835817E-3</v>
      </c>
      <c r="H5">
        <v>9.9253731343283583E-4</v>
      </c>
      <c r="I5">
        <v>1.0130597014925372E-3</v>
      </c>
      <c r="J5">
        <v>1.6268656716417911E-3</v>
      </c>
      <c r="K5">
        <v>7.4626865671641792E-4</v>
      </c>
      <c r="L5">
        <v>1.2705223880597014E-3</v>
      </c>
      <c r="M5">
        <v>1.1996268656716417E-3</v>
      </c>
      <c r="N5">
        <v>8.2220149253731355E-3</v>
      </c>
      <c r="O5">
        <v>6.0652985074626875E-3</v>
      </c>
      <c r="P5">
        <v>6.3712686567164176E-3</v>
      </c>
      <c r="Q5">
        <v>1.828358208955224E-3</v>
      </c>
      <c r="R5">
        <v>3.2425373134328363E-3</v>
      </c>
      <c r="S5">
        <v>5.587686567164179E-3</v>
      </c>
      <c r="T5">
        <v>7.6399253731343287E-3</v>
      </c>
      <c r="U5">
        <v>7.8526119402985064E-3</v>
      </c>
      <c r="V5">
        <v>1.583768656716418E-2</v>
      </c>
      <c r="W5">
        <v>1.7557835820895519E-2</v>
      </c>
      <c r="X5">
        <v>1.3013059701492538E-2</v>
      </c>
      <c r="Y5">
        <v>1.5259328358208953E-2</v>
      </c>
      <c r="Z5">
        <v>1.1764925373134328E-2</v>
      </c>
      <c r="AA5">
        <v>1.6748134328358207E-2</v>
      </c>
      <c r="AB5">
        <v>1.5604477611940301E-2</v>
      </c>
      <c r="AC5">
        <v>1.1727611940298506E-2</v>
      </c>
      <c r="AD5">
        <v>2.4643656716417911E-2</v>
      </c>
      <c r="AE5">
        <v>2.6736940298507463E-2</v>
      </c>
      <c r="AF5">
        <v>2.9246268656716416E-2</v>
      </c>
      <c r="AG5">
        <v>3.3660447761194034E-2</v>
      </c>
      <c r="AH5">
        <v>3.1421641791044778E-2</v>
      </c>
      <c r="AI5">
        <v>1.5936567164179107E-2</v>
      </c>
      <c r="AJ5">
        <v>3.417723880597015E-2</v>
      </c>
      <c r="AK5" s="7" t="s">
        <v>153</v>
      </c>
      <c r="AL5">
        <v>1.2472014925373133E-3</v>
      </c>
      <c r="AM5">
        <v>5.851212686567164E-3</v>
      </c>
      <c r="AN5">
        <v>1.4689132462686565E-2</v>
      </c>
      <c r="AO5">
        <v>2.7974680170575694E-2</v>
      </c>
    </row>
    <row r="6" spans="1:41" x14ac:dyDescent="0.4">
      <c r="A6" t="s">
        <v>61</v>
      </c>
      <c r="B6">
        <v>2.0729919678714858E-2</v>
      </c>
      <c r="C6">
        <v>2.2364457831325301E-2</v>
      </c>
      <c r="D6">
        <v>1.5445783132530118E-2</v>
      </c>
      <c r="E6">
        <v>2.450200803212851E-2</v>
      </c>
      <c r="F6">
        <v>3.7140562248995979E-2</v>
      </c>
      <c r="G6">
        <v>3.614457831325301E-2</v>
      </c>
      <c r="H6">
        <v>4.2843373493975913E-2</v>
      </c>
      <c r="I6">
        <v>2.5054216867469881E-2</v>
      </c>
      <c r="J6">
        <v>3.519678714859438E-2</v>
      </c>
      <c r="K6">
        <v>3.4375502008032126E-2</v>
      </c>
      <c r="L6">
        <v>2.9658634538152609E-2</v>
      </c>
      <c r="M6">
        <v>3.4510040160642567E-2</v>
      </c>
      <c r="N6" t="s">
        <v>222</v>
      </c>
      <c r="O6">
        <v>2.9538152610441765E-2</v>
      </c>
      <c r="P6">
        <v>3.1767068273092371E-2</v>
      </c>
      <c r="Q6" t="s">
        <v>222</v>
      </c>
      <c r="R6">
        <v>2.6383534136546188E-2</v>
      </c>
      <c r="S6" t="s">
        <v>222</v>
      </c>
      <c r="T6">
        <v>2.5578313253012047E-2</v>
      </c>
      <c r="U6">
        <v>2.4291164658634536E-2</v>
      </c>
      <c r="V6">
        <v>2.7927710843373491E-2</v>
      </c>
      <c r="W6">
        <v>3.5156626506024101E-2</v>
      </c>
      <c r="X6">
        <v>3.6530120481927705E-2</v>
      </c>
      <c r="Y6">
        <v>3.2879518072289157E-2</v>
      </c>
      <c r="Z6">
        <v>3.1833333333333332E-2</v>
      </c>
      <c r="AA6">
        <v>3.0969879518072289E-2</v>
      </c>
      <c r="AB6">
        <v>3.7793172690763051E-2</v>
      </c>
      <c r="AC6">
        <v>3.5465863453815263E-2</v>
      </c>
      <c r="AD6">
        <v>2.7381526104417669E-2</v>
      </c>
      <c r="AE6">
        <v>2.9160642570281125E-2</v>
      </c>
      <c r="AF6">
        <v>2.4576305220883537E-2</v>
      </c>
      <c r="AG6">
        <v>2.6062248995983941E-2</v>
      </c>
      <c r="AH6">
        <v>2.7676706827309241E-2</v>
      </c>
      <c r="AI6">
        <v>2.6508032128514054E-2</v>
      </c>
      <c r="AJ6">
        <v>3.4401606425702808E-2</v>
      </c>
      <c r="AK6" s="7" t="s">
        <v>153</v>
      </c>
      <c r="AL6">
        <v>3.4365461847389561E-2</v>
      </c>
      <c r="AM6">
        <v>2.7511646586345379E-2</v>
      </c>
      <c r="AN6">
        <v>3.3569528112449794E-2</v>
      </c>
      <c r="AO6">
        <v>2.7966724039013197E-2</v>
      </c>
    </row>
    <row r="7" spans="1:41" x14ac:dyDescent="0.4">
      <c r="A7" t="s">
        <v>65</v>
      </c>
      <c r="B7">
        <v>7.2040500000000013E-4</v>
      </c>
      <c r="C7">
        <v>4.0778999999999994E-4</v>
      </c>
      <c r="D7">
        <v>7.3178249999999989E-4</v>
      </c>
      <c r="E7">
        <v>1.9650249999999999E-4</v>
      </c>
      <c r="F7">
        <v>1.514975E-3</v>
      </c>
      <c r="G7">
        <v>1.5323499999999998E-3</v>
      </c>
      <c r="H7">
        <v>1.6368450000000001E-3</v>
      </c>
      <c r="I7">
        <v>7.9141499999999996E-4</v>
      </c>
      <c r="J7">
        <v>1.43537E-3</v>
      </c>
      <c r="K7">
        <v>1.20998E-3</v>
      </c>
      <c r="L7">
        <v>1.1873350000000001E-3</v>
      </c>
      <c r="M7">
        <v>1.40431E-3</v>
      </c>
      <c r="N7">
        <v>1.9105599999999999E-3</v>
      </c>
      <c r="O7">
        <v>1.6760150000000001E-3</v>
      </c>
      <c r="P7">
        <v>1.4236849999999998E-3</v>
      </c>
      <c r="Q7">
        <v>6.3498999999999999E-4</v>
      </c>
      <c r="R7">
        <v>1.3116500000000001E-3</v>
      </c>
      <c r="S7">
        <v>1.5015849999999999E-3</v>
      </c>
      <c r="T7">
        <v>1.8519150000000002E-3</v>
      </c>
      <c r="U7">
        <v>1.55937E-3</v>
      </c>
      <c r="V7">
        <v>7.0582999999999996E-4</v>
      </c>
      <c r="W7">
        <v>8.2415500000000003E-4</v>
      </c>
      <c r="X7">
        <v>7.0875500000000004E-4</v>
      </c>
      <c r="Y7">
        <v>6.9879999999999996E-4</v>
      </c>
      <c r="Z7">
        <v>9.9766500000000023E-4</v>
      </c>
      <c r="AA7">
        <v>7.9047500000000001E-4</v>
      </c>
      <c r="AB7">
        <v>9.2464000000000001E-4</v>
      </c>
      <c r="AC7">
        <v>6.9412999999999983E-4</v>
      </c>
      <c r="AD7">
        <v>1.9664500000000001E-4</v>
      </c>
      <c r="AE7">
        <v>1.9680500000000001E-4</v>
      </c>
      <c r="AF7">
        <v>2.29275E-4</v>
      </c>
      <c r="AG7">
        <v>1.4741500000000002E-4</v>
      </c>
      <c r="AH7">
        <v>2.1819999999999999E-4</v>
      </c>
      <c r="AI7">
        <v>2.0966999999999999E-4</v>
      </c>
      <c r="AJ7" t="s">
        <v>222</v>
      </c>
      <c r="AK7" s="7" t="s">
        <v>153</v>
      </c>
      <c r="AL7">
        <v>1.3390724999999999E-3</v>
      </c>
      <c r="AM7">
        <v>1.4837212500000002E-3</v>
      </c>
      <c r="AN7">
        <v>7.9305624999999997E-4</v>
      </c>
      <c r="AO7">
        <v>1.9966833333333333E-4</v>
      </c>
    </row>
    <row r="8" spans="1:41" x14ac:dyDescent="0.4">
      <c r="A8" t="s">
        <v>77</v>
      </c>
      <c r="B8">
        <v>5.1610625000000007E-2</v>
      </c>
      <c r="C8">
        <v>9.7036562500000006E-2</v>
      </c>
      <c r="D8">
        <v>4.2650312500000002E-2</v>
      </c>
      <c r="E8">
        <v>4.3598437500000004E-2</v>
      </c>
      <c r="F8">
        <v>3.0130624999999998E-2</v>
      </c>
      <c r="G8">
        <v>2.4954374999999997E-2</v>
      </c>
      <c r="H8">
        <v>3.6430625000000001E-2</v>
      </c>
      <c r="I8">
        <v>1.7963125E-2</v>
      </c>
      <c r="J8">
        <v>3.1068124999999999E-2</v>
      </c>
      <c r="K8">
        <v>2.4043124999999995E-2</v>
      </c>
      <c r="L8">
        <v>3.0065625000000002E-2</v>
      </c>
      <c r="M8">
        <v>3.2206875000000003E-2</v>
      </c>
      <c r="N8">
        <v>1.4239999999999999E-2</v>
      </c>
      <c r="O8">
        <v>9.176875000000001E-3</v>
      </c>
      <c r="P8">
        <v>9.7506249999999989E-3</v>
      </c>
      <c r="Q8">
        <v>7.4231250000000009E-3</v>
      </c>
      <c r="R8">
        <v>1.2501249999999998E-2</v>
      </c>
      <c r="S8">
        <v>1.1041875E-2</v>
      </c>
      <c r="T8">
        <v>1.1830000000000002E-2</v>
      </c>
      <c r="U8">
        <v>1.2343750000000001E-2</v>
      </c>
      <c r="V8">
        <v>6.1643125000000014E-2</v>
      </c>
      <c r="W8">
        <v>7.8128124999999993E-2</v>
      </c>
      <c r="X8">
        <v>6.4184375000000002E-2</v>
      </c>
      <c r="Y8">
        <v>5.7184375000000003E-2</v>
      </c>
      <c r="Z8">
        <v>6.6061250000000002E-2</v>
      </c>
      <c r="AA8">
        <v>6.7763749999999998E-2</v>
      </c>
      <c r="AB8">
        <v>7.0660625000000005E-2</v>
      </c>
      <c r="AC8">
        <v>5.4690625E-2</v>
      </c>
      <c r="AD8">
        <v>5.3118749999999999E-2</v>
      </c>
      <c r="AE8">
        <v>5.2213750000000003E-2</v>
      </c>
      <c r="AF8">
        <v>3.6986249999999998E-2</v>
      </c>
      <c r="AG8">
        <v>4.1696875000000001E-2</v>
      </c>
      <c r="AH8">
        <v>5.0158749999999995E-2</v>
      </c>
      <c r="AI8">
        <v>4.147E-2</v>
      </c>
      <c r="AJ8">
        <v>6.4571875000000001E-2</v>
      </c>
      <c r="AK8" s="7" t="s">
        <v>153</v>
      </c>
      <c r="AL8">
        <v>2.8357812499999999E-2</v>
      </c>
      <c r="AM8">
        <v>1.1038437500000001E-2</v>
      </c>
      <c r="AN8">
        <v>6.5039531250000004E-2</v>
      </c>
      <c r="AO8">
        <v>4.8602321428571425E-2</v>
      </c>
    </row>
    <row r="9" spans="1:41" x14ac:dyDescent="0.4">
      <c r="A9" t="s">
        <v>85</v>
      </c>
      <c r="B9">
        <v>1.9228333333333334E-4</v>
      </c>
      <c r="C9">
        <v>1.7390833333333331E-4</v>
      </c>
      <c r="D9">
        <v>1.7323333333333331E-4</v>
      </c>
      <c r="E9">
        <v>1.4960416666666667E-4</v>
      </c>
      <c r="F9">
        <v>1.6169166666666666E-4</v>
      </c>
      <c r="G9">
        <v>1.4800833333333333E-4</v>
      </c>
      <c r="H9">
        <v>1.6489166666666666E-4</v>
      </c>
      <c r="I9">
        <v>1.0504999999999999E-4</v>
      </c>
      <c r="J9">
        <v>1.5725E-4</v>
      </c>
      <c r="K9">
        <v>1.3678333333333334E-4</v>
      </c>
      <c r="L9">
        <v>1.3614166666666664E-4</v>
      </c>
      <c r="M9">
        <v>1.5094166666666667E-4</v>
      </c>
      <c r="N9">
        <v>1.8050833333333336E-4</v>
      </c>
      <c r="O9">
        <v>1.4375E-4</v>
      </c>
      <c r="P9">
        <v>1.5287499999999999E-4</v>
      </c>
      <c r="Q9">
        <v>1.1946666666666665E-4</v>
      </c>
      <c r="R9">
        <v>1.5617499999999999E-4</v>
      </c>
      <c r="S9">
        <v>1.5242500000000001E-4</v>
      </c>
      <c r="T9">
        <v>1.6326666666666669E-4</v>
      </c>
      <c r="U9">
        <v>1.4905833333333333E-4</v>
      </c>
      <c r="V9">
        <v>1.4450833333333333E-4</v>
      </c>
      <c r="W9">
        <v>1.8129166666666668E-4</v>
      </c>
      <c r="X9">
        <v>1.4948333333333333E-4</v>
      </c>
      <c r="Y9">
        <v>1.5058333333333333E-4</v>
      </c>
      <c r="Z9">
        <v>1.4730833333333334E-4</v>
      </c>
      <c r="AA9">
        <v>1.593E-4</v>
      </c>
      <c r="AB9">
        <v>1.6647500000000002E-4</v>
      </c>
      <c r="AC9">
        <v>1.5060833333333334E-4</v>
      </c>
      <c r="AD9">
        <v>1.6846666666666665E-4</v>
      </c>
      <c r="AE9">
        <v>1.4587500000000001E-4</v>
      </c>
      <c r="AF9">
        <v>1.20025E-4</v>
      </c>
      <c r="AG9">
        <v>1.3999999999999999E-4</v>
      </c>
      <c r="AH9">
        <v>1.5124166666666668E-4</v>
      </c>
      <c r="AI9">
        <v>1.3239166666666668E-4</v>
      </c>
      <c r="AJ9">
        <v>1.6666666666666666E-4</v>
      </c>
      <c r="AK9" s="7" t="s">
        <v>153</v>
      </c>
      <c r="AL9">
        <v>1.4509479166666665E-4</v>
      </c>
      <c r="AM9">
        <v>1.5219062499999999E-4</v>
      </c>
      <c r="AN9">
        <v>1.5619479166666667E-4</v>
      </c>
      <c r="AO9">
        <v>1.4638095238095239E-4</v>
      </c>
    </row>
    <row r="10" spans="1:41" x14ac:dyDescent="0.4">
      <c r="A10" t="s">
        <v>106</v>
      </c>
      <c r="B10">
        <v>4.8424999999999998E-4</v>
      </c>
      <c r="C10">
        <v>4.9425000000000001E-4</v>
      </c>
      <c r="D10">
        <v>5.6522499999999993E-4</v>
      </c>
      <c r="E10">
        <v>1.4019999999999999E-4</v>
      </c>
      <c r="F10">
        <v>1.5966500000000002E-3</v>
      </c>
      <c r="G10">
        <v>1.7454500000000002E-3</v>
      </c>
      <c r="H10">
        <v>1.9240000000000001E-3</v>
      </c>
      <c r="I10">
        <v>7.5450000000000007E-4</v>
      </c>
      <c r="J10">
        <v>1.6379500000000002E-3</v>
      </c>
      <c r="K10">
        <v>1.18885E-3</v>
      </c>
      <c r="L10">
        <v>1.1559999999999999E-3</v>
      </c>
      <c r="M10">
        <v>1.4595499999999998E-3</v>
      </c>
      <c r="N10">
        <v>2.2026499999999996E-3</v>
      </c>
      <c r="O10">
        <v>1.6166500000000003E-3</v>
      </c>
      <c r="P10">
        <v>1.5950000000000001E-3</v>
      </c>
      <c r="Q10">
        <v>6.5844999999999999E-4</v>
      </c>
      <c r="R10">
        <v>1.3562000000000001E-3</v>
      </c>
      <c r="S10">
        <v>1.3815500000000001E-3</v>
      </c>
      <c r="T10">
        <v>2.0964E-3</v>
      </c>
      <c r="U10">
        <v>1.9957E-3</v>
      </c>
      <c r="V10">
        <v>8.0760000000000001E-4</v>
      </c>
      <c r="W10">
        <v>8.3145000000000007E-4</v>
      </c>
      <c r="X10">
        <v>9.2389999999999996E-4</v>
      </c>
      <c r="Y10">
        <v>6.0150000000000004E-4</v>
      </c>
      <c r="Z10">
        <v>8.506500000000001E-4</v>
      </c>
      <c r="AA10">
        <v>9.2135000000000003E-4</v>
      </c>
      <c r="AB10">
        <v>7.9624999999999997E-4</v>
      </c>
      <c r="AC10">
        <v>6.092999999999999E-4</v>
      </c>
      <c r="AD10">
        <v>2.5085E-4</v>
      </c>
      <c r="AE10">
        <v>2.3064999999999997E-4</v>
      </c>
      <c r="AF10">
        <v>3.4214999999999994E-4</v>
      </c>
      <c r="AG10">
        <v>1.5900000000000002E-4</v>
      </c>
      <c r="AH10">
        <v>2.7040000000000001E-4</v>
      </c>
      <c r="AI10">
        <v>1.7935E-4</v>
      </c>
      <c r="AJ10">
        <v>8.1804999999999996E-4</v>
      </c>
      <c r="AK10" s="7" t="s">
        <v>153</v>
      </c>
      <c r="AL10">
        <v>1.4328687500000004E-3</v>
      </c>
      <c r="AM10">
        <v>1.612825E-3</v>
      </c>
      <c r="AN10">
        <v>7.9275000000000005E-4</v>
      </c>
      <c r="AO10">
        <v>3.2149285714285712E-4</v>
      </c>
    </row>
    <row r="11" spans="1:41" x14ac:dyDescent="0.4">
      <c r="A11" t="s">
        <v>110</v>
      </c>
      <c r="B11">
        <v>1.0196999999999999E-2</v>
      </c>
      <c r="C11">
        <v>2.0149999999999999E-3</v>
      </c>
      <c r="D11">
        <v>1.7272500000000001E-3</v>
      </c>
      <c r="E11">
        <v>9.6849999999999985E-4</v>
      </c>
      <c r="F11">
        <v>4.0649999999999996E-4</v>
      </c>
      <c r="G11">
        <v>3.9399999999999998E-4</v>
      </c>
      <c r="H11">
        <v>5.0849999999999995E-4</v>
      </c>
      <c r="I11" t="s">
        <v>222</v>
      </c>
      <c r="J11">
        <v>3.7399999999999998E-4</v>
      </c>
      <c r="K11">
        <v>4.6200000000000001E-4</v>
      </c>
      <c r="L11">
        <v>5.285E-4</v>
      </c>
      <c r="M11" t="s">
        <v>222</v>
      </c>
      <c r="N11">
        <v>5.2450000000000001E-4</v>
      </c>
      <c r="O11">
        <v>7.4150000000000008E-4</v>
      </c>
      <c r="P11" t="s">
        <v>222</v>
      </c>
      <c r="Q11">
        <v>5.6500000000000007E-4</v>
      </c>
      <c r="R11">
        <v>5.9449999999999998E-4</v>
      </c>
      <c r="S11">
        <v>6.7150000000000011E-4</v>
      </c>
      <c r="T11">
        <v>7.6800000000000013E-4</v>
      </c>
      <c r="U11">
        <v>6.8050000000000001E-4</v>
      </c>
      <c r="V11">
        <v>5.9800000000000001E-4</v>
      </c>
      <c r="W11">
        <v>6.1749999999999999E-4</v>
      </c>
      <c r="X11">
        <v>4.5200000000000004E-4</v>
      </c>
      <c r="Y11" t="s">
        <v>222</v>
      </c>
      <c r="Z11">
        <v>5.2750000000000008E-4</v>
      </c>
      <c r="AA11">
        <v>3.6000000000000002E-4</v>
      </c>
      <c r="AB11">
        <v>6.6200000000000005E-4</v>
      </c>
      <c r="AC11">
        <v>4.0649999999999996E-4</v>
      </c>
      <c r="AD11">
        <v>4.1899999999999994E-4</v>
      </c>
      <c r="AE11">
        <v>4.8900000000000007E-4</v>
      </c>
      <c r="AF11">
        <v>4.415E-4</v>
      </c>
      <c r="AG11">
        <v>4.7400000000000003E-4</v>
      </c>
      <c r="AH11">
        <v>7.3700000000000002E-4</v>
      </c>
      <c r="AI11">
        <v>5.3950000000000005E-4</v>
      </c>
      <c r="AJ11">
        <v>3.6850000000000001E-4</v>
      </c>
      <c r="AK11" s="7" t="s">
        <v>153</v>
      </c>
      <c r="AL11">
        <v>4.4558333333333326E-4</v>
      </c>
      <c r="AM11">
        <v>6.4935714285714282E-4</v>
      </c>
      <c r="AN11">
        <v>5.1764285714285714E-4</v>
      </c>
      <c r="AO11">
        <v>4.9550000000000006E-4</v>
      </c>
    </row>
    <row r="12" spans="1:41" x14ac:dyDescent="0.4">
      <c r="A12" t="s">
        <v>122</v>
      </c>
      <c r="B12">
        <v>6.541242774566472E-2</v>
      </c>
      <c r="C12">
        <v>3.3791329479768789E-2</v>
      </c>
      <c r="D12">
        <v>4.5430057803468205E-2</v>
      </c>
      <c r="E12">
        <v>3.4021098265895951E-2</v>
      </c>
      <c r="F12">
        <v>3.2771676300578034E-2</v>
      </c>
      <c r="G12">
        <v>2.7097109826589593E-2</v>
      </c>
      <c r="H12">
        <v>3.3606358381502888E-2</v>
      </c>
      <c r="I12">
        <v>1.4245664739884393E-2</v>
      </c>
      <c r="J12">
        <v>3.2314450867052022E-2</v>
      </c>
      <c r="K12">
        <v>2.4406936416184973E-2</v>
      </c>
      <c r="L12">
        <v>2.4693063583815029E-2</v>
      </c>
      <c r="M12">
        <v>2.7553179190751443E-2</v>
      </c>
      <c r="N12">
        <v>3.9429479768786121E-2</v>
      </c>
      <c r="O12">
        <v>3.0069942196531786E-2</v>
      </c>
      <c r="P12">
        <v>3.1885549132947978E-2</v>
      </c>
      <c r="Q12">
        <v>1.8434104046242777E-2</v>
      </c>
      <c r="R12">
        <v>2.8120809248554913E-2</v>
      </c>
      <c r="S12">
        <v>3.0548554913294799E-2</v>
      </c>
      <c r="T12">
        <v>3.5260115606936419E-2</v>
      </c>
      <c r="U12">
        <v>3.1652601156069361E-2</v>
      </c>
      <c r="V12">
        <v>3.2541040462427742E-2</v>
      </c>
      <c r="W12">
        <v>4.51092485549133E-2</v>
      </c>
      <c r="X12">
        <v>3.559364161849711E-2</v>
      </c>
      <c r="Y12">
        <v>3.5335838150289012E-2</v>
      </c>
      <c r="Z12">
        <v>3.6952023121387283E-2</v>
      </c>
      <c r="AA12">
        <v>3.7556647398843929E-2</v>
      </c>
      <c r="AB12">
        <v>4.2432947976878611E-2</v>
      </c>
      <c r="AC12">
        <v>3.7710982658959537E-2</v>
      </c>
      <c r="AD12">
        <v>4.1022543352601158E-2</v>
      </c>
      <c r="AE12">
        <v>3.4577456647398849E-2</v>
      </c>
      <c r="AF12">
        <v>2.4102312138728321E-2</v>
      </c>
      <c r="AG12">
        <v>3.1915606936416187E-2</v>
      </c>
      <c r="AH12">
        <v>3.6701156069364166E-2</v>
      </c>
      <c r="AI12">
        <v>2.8997687861271673E-2</v>
      </c>
      <c r="AJ12">
        <v>4.5831791907514456E-2</v>
      </c>
      <c r="AK12" s="7" t="s">
        <v>153</v>
      </c>
      <c r="AL12">
        <v>2.7086054913294799E-2</v>
      </c>
      <c r="AM12">
        <v>3.067514450867052E-2</v>
      </c>
      <c r="AN12">
        <v>3.7904046242774568E-2</v>
      </c>
      <c r="AO12">
        <v>3.4735507844756396E-2</v>
      </c>
    </row>
    <row r="13" spans="1:41" x14ac:dyDescent="0.4">
      <c r="A13" t="s">
        <v>126</v>
      </c>
      <c r="B13">
        <v>3.9932137834036568E-2</v>
      </c>
      <c r="C13">
        <v>1.3813291139240506E-2</v>
      </c>
      <c r="D13">
        <v>2.5242264416315049E-2</v>
      </c>
      <c r="E13">
        <v>2.1602320675105487E-2</v>
      </c>
      <c r="F13">
        <v>1.5938115330520395E-2</v>
      </c>
      <c r="G13">
        <v>1.3943037974683546E-2</v>
      </c>
      <c r="H13">
        <v>1.6257383966244727E-2</v>
      </c>
      <c r="I13" t="s">
        <v>222</v>
      </c>
      <c r="J13">
        <v>1.4639240506329114E-2</v>
      </c>
      <c r="K13">
        <v>1.1314345991561182E-2</v>
      </c>
      <c r="L13">
        <v>1.1524613220815752E-2</v>
      </c>
      <c r="M13">
        <v>1.4100562587904359E-2</v>
      </c>
      <c r="N13" t="s">
        <v>222</v>
      </c>
      <c r="O13">
        <v>1.2723628691983123E-2</v>
      </c>
      <c r="P13">
        <v>1.4992264416315047E-2</v>
      </c>
      <c r="Q13">
        <v>1.0926160337552742E-2</v>
      </c>
      <c r="R13">
        <v>1.3684247538677918E-2</v>
      </c>
      <c r="S13">
        <v>1.5372714486638538E-2</v>
      </c>
      <c r="T13">
        <v>1.6476090014064696E-2</v>
      </c>
      <c r="U13">
        <v>1.6029535864978902E-2</v>
      </c>
      <c r="V13">
        <v>1.8563291139240504E-2</v>
      </c>
      <c r="W13">
        <v>2.2902250351617439E-2</v>
      </c>
      <c r="X13">
        <v>1.938185654008439E-2</v>
      </c>
      <c r="Y13">
        <v>2.1695499296765123E-2</v>
      </c>
      <c r="Z13">
        <v>1.8988045007032349E-2</v>
      </c>
      <c r="AA13">
        <v>2.1695499296765119E-2</v>
      </c>
      <c r="AB13">
        <v>2.1743319268635722E-2</v>
      </c>
      <c r="AC13">
        <v>1.8822784810126579E-2</v>
      </c>
      <c r="AD13">
        <v>2.2499999999999999E-2</v>
      </c>
      <c r="AE13">
        <v>1.8937412095639941E-2</v>
      </c>
      <c r="AF13">
        <v>1.4350914205344584E-2</v>
      </c>
      <c r="AG13">
        <v>1.8440225035161743E-2</v>
      </c>
      <c r="AH13">
        <v>2.1047116736990158E-2</v>
      </c>
      <c r="AI13">
        <v>1.7529535864978903E-2</v>
      </c>
      <c r="AJ13">
        <v>2.6170886075949366E-2</v>
      </c>
      <c r="AK13" s="7" t="s">
        <v>153</v>
      </c>
      <c r="AL13">
        <v>1.3959614225437011E-2</v>
      </c>
      <c r="AM13">
        <v>1.4314948764315851E-2</v>
      </c>
      <c r="AN13">
        <v>2.0474068213783402E-2</v>
      </c>
      <c r="AO13">
        <v>1.9853727144866384E-2</v>
      </c>
    </row>
    <row r="14" spans="1:41" x14ac:dyDescent="0.4">
      <c r="A14" t="s">
        <v>73</v>
      </c>
      <c r="B14">
        <v>130.11340909090907</v>
      </c>
      <c r="C14">
        <v>115.58999999999997</v>
      </c>
      <c r="D14">
        <v>146.92772727272725</v>
      </c>
      <c r="E14">
        <v>152.21772727272727</v>
      </c>
      <c r="F14">
        <v>228.39454545454547</v>
      </c>
      <c r="G14">
        <v>240.18318181818179</v>
      </c>
      <c r="H14">
        <v>214.54772727272729</v>
      </c>
      <c r="I14">
        <v>116.27590909090908</v>
      </c>
      <c r="J14">
        <v>200.04863636363635</v>
      </c>
      <c r="K14">
        <v>183.09363636363639</v>
      </c>
      <c r="L14">
        <v>173.29272727272723</v>
      </c>
      <c r="M14">
        <v>201.36227272727271</v>
      </c>
      <c r="N14">
        <v>156.35590909090908</v>
      </c>
      <c r="O14">
        <v>201.59681818181815</v>
      </c>
      <c r="P14">
        <v>292.13090909090903</v>
      </c>
      <c r="Q14">
        <v>236.49454545454543</v>
      </c>
      <c r="R14">
        <v>243.32227272727275</v>
      </c>
      <c r="S14">
        <v>134.37181818181818</v>
      </c>
      <c r="T14">
        <v>219.09227272727273</v>
      </c>
      <c r="U14">
        <v>195.25636363636366</v>
      </c>
      <c r="V14">
        <v>224.89545454545453</v>
      </c>
      <c r="W14">
        <v>224.1363636363636</v>
      </c>
      <c r="X14">
        <v>136.38090909090909</v>
      </c>
      <c r="Y14">
        <v>206.74272727272728</v>
      </c>
      <c r="Z14">
        <v>157.27545454545455</v>
      </c>
      <c r="AA14">
        <v>144.01363636363638</v>
      </c>
      <c r="AB14">
        <v>181.59954545454545</v>
      </c>
      <c r="AC14">
        <v>163.21681818181816</v>
      </c>
      <c r="AD14">
        <v>193.57636363636365</v>
      </c>
      <c r="AE14">
        <v>152.005</v>
      </c>
      <c r="AF14">
        <v>212.93227272727273</v>
      </c>
      <c r="AG14">
        <v>208.15409090909088</v>
      </c>
      <c r="AH14">
        <v>232.5090909090909</v>
      </c>
      <c r="AI14">
        <v>205.33090909090913</v>
      </c>
      <c r="AJ14">
        <v>226.0390909090909</v>
      </c>
      <c r="AK14" s="7" t="s">
        <v>153</v>
      </c>
      <c r="AL14">
        <v>194.64982954545454</v>
      </c>
      <c r="AM14">
        <v>209.82761363636362</v>
      </c>
      <c r="AN14">
        <v>179.78261363636364</v>
      </c>
      <c r="AO14">
        <v>204.36383116883115</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71B0D-7EE5-4CAE-B8D4-F968BF7FF822}">
  <dimension ref="A1:AC133"/>
  <sheetViews>
    <sheetView zoomScale="80" zoomScaleNormal="80" workbookViewId="0">
      <selection activeCell="AH4" sqref="AH4"/>
    </sheetView>
  </sheetViews>
  <sheetFormatPr defaultRowHeight="14.6" x14ac:dyDescent="0.4"/>
  <cols>
    <col min="15" max="15" width="1.15234375" customWidth="1"/>
  </cols>
  <sheetData>
    <row r="1" spans="1:29" ht="15" thickBot="1" x14ac:dyDescent="0.45">
      <c r="A1" s="51" t="s">
        <v>300</v>
      </c>
      <c r="G1" s="25"/>
      <c r="H1" s="25"/>
      <c r="I1" s="25"/>
      <c r="J1" s="25"/>
      <c r="K1" s="25"/>
      <c r="L1" s="25"/>
      <c r="M1" s="25"/>
      <c r="N1" s="25"/>
      <c r="O1" s="25"/>
      <c r="P1" s="25"/>
      <c r="Q1" s="25"/>
      <c r="R1" s="25"/>
      <c r="S1" s="25"/>
      <c r="T1" s="25"/>
      <c r="U1" s="25"/>
      <c r="V1" s="25"/>
    </row>
    <row r="2" spans="1:29" ht="15" thickBot="1" x14ac:dyDescent="0.45">
      <c r="A2" s="4" t="s">
        <v>14</v>
      </c>
      <c r="B2" t="s">
        <v>260</v>
      </c>
      <c r="C2" t="s">
        <v>261</v>
      </c>
      <c r="D2" t="s">
        <v>262</v>
      </c>
      <c r="E2" t="s">
        <v>263</v>
      </c>
      <c r="F2" s="7" t="s">
        <v>265</v>
      </c>
      <c r="G2" s="14" t="s">
        <v>266</v>
      </c>
      <c r="H2" s="26" t="s">
        <v>260</v>
      </c>
      <c r="I2" s="27" t="s">
        <v>261</v>
      </c>
      <c r="J2" s="27" t="s">
        <v>262</v>
      </c>
      <c r="K2" s="27" t="s">
        <v>263</v>
      </c>
      <c r="L2" s="28" t="s">
        <v>265</v>
      </c>
      <c r="M2" s="27"/>
      <c r="N2" s="29"/>
      <c r="O2" s="30"/>
      <c r="P2" s="14" t="s">
        <v>267</v>
      </c>
      <c r="Q2" s="27" t="s">
        <v>260</v>
      </c>
      <c r="R2" s="27" t="s">
        <v>261</v>
      </c>
      <c r="S2" s="27" t="s">
        <v>262</v>
      </c>
      <c r="T2" s="27" t="s">
        <v>263</v>
      </c>
      <c r="U2" s="28" t="s">
        <v>265</v>
      </c>
      <c r="V2" s="17" t="s">
        <v>268</v>
      </c>
      <c r="W2" s="31" t="s">
        <v>269</v>
      </c>
      <c r="X2" s="31" t="s">
        <v>270</v>
      </c>
      <c r="Y2" s="31" t="s">
        <v>271</v>
      </c>
      <c r="Z2" s="31" t="s">
        <v>272</v>
      </c>
      <c r="AA2" s="32" t="s">
        <v>273</v>
      </c>
      <c r="AB2" s="31" t="s">
        <v>274</v>
      </c>
      <c r="AC2" s="33" t="s">
        <v>275</v>
      </c>
    </row>
    <row r="3" spans="1:29" ht="15" thickBot="1" x14ac:dyDescent="0.45">
      <c r="A3" s="4"/>
      <c r="B3">
        <v>0</v>
      </c>
      <c r="C3">
        <v>0</v>
      </c>
      <c r="D3">
        <v>0</v>
      </c>
      <c r="E3">
        <v>0</v>
      </c>
      <c r="F3">
        <v>56.96</v>
      </c>
      <c r="G3" s="12" t="s">
        <v>276</v>
      </c>
      <c r="H3">
        <f>IFERROR(_xlfn.RANK.AVG(B3,B3:F10,1),"")</f>
        <v>16</v>
      </c>
      <c r="I3">
        <f>IFERROR(_xlfn.RANK.AVG(C3,B3:F10,1),"")</f>
        <v>16</v>
      </c>
      <c r="J3">
        <f>IFERROR(_xlfn.RANK.AVG(D3,B3:F10,1),"")</f>
        <v>16</v>
      </c>
      <c r="K3">
        <f>IFERROR(_xlfn.RANK.AVG(E3,B3:F10,1),"")</f>
        <v>16</v>
      </c>
      <c r="L3" s="7">
        <f>IFERROR(_xlfn.RANK.AVG(F3,B3:F10,1),"")</f>
        <v>32</v>
      </c>
      <c r="M3" s="6" t="s">
        <v>277</v>
      </c>
      <c r="N3" s="34">
        <f>COUNT(H3:L10)</f>
        <v>33</v>
      </c>
      <c r="O3" s="35"/>
      <c r="P3" s="12" t="s">
        <v>278</v>
      </c>
      <c r="Q3">
        <f>H11</f>
        <v>128</v>
      </c>
      <c r="R3">
        <f>I11</f>
        <v>128</v>
      </c>
      <c r="S3">
        <f>J11</f>
        <v>128</v>
      </c>
      <c r="T3">
        <f>K11</f>
        <v>112</v>
      </c>
      <c r="U3" s="7">
        <f>L11</f>
        <v>65</v>
      </c>
      <c r="V3" s="13" t="s">
        <v>279</v>
      </c>
      <c r="W3">
        <f>ABS(Q5-R5)</f>
        <v>0</v>
      </c>
      <c r="X3">
        <v>25.364837866621581</v>
      </c>
      <c r="Y3">
        <f t="shared" ref="Y3:Y12" si="0">W3/X3</f>
        <v>0</v>
      </c>
      <c r="Z3">
        <f>X3/Q6</f>
        <v>9.0361712611626999</v>
      </c>
      <c r="AA3" s="7">
        <f>2*(1-_xlfn.NORM.S.DIST(Y3,TRUE))</f>
        <v>1</v>
      </c>
      <c r="AB3" cm="1">
        <f t="array" ref="AB3:AB12">RANK(AA3:AA12,AA3:AA12,1)*Q8</f>
        <v>2.5000000000000001E-2</v>
      </c>
      <c r="AC3" s="36" t="str">
        <f>IF(AA3&lt;AB3,"YES","NO")</f>
        <v>NO</v>
      </c>
    </row>
    <row r="4" spans="1:29" ht="15" thickBot="1" x14ac:dyDescent="0.45">
      <c r="A4" s="4"/>
      <c r="B4">
        <v>0</v>
      </c>
      <c r="C4">
        <v>0</v>
      </c>
      <c r="D4">
        <v>0</v>
      </c>
      <c r="E4">
        <v>0</v>
      </c>
      <c r="F4">
        <v>113.785</v>
      </c>
      <c r="G4" s="12"/>
      <c r="H4">
        <f>IFERROR(_xlfn.RANK.AVG(B4,B3:F10,1),"")</f>
        <v>16</v>
      </c>
      <c r="I4">
        <f>IFERROR(_xlfn.RANK.AVG(C4,B3:F10,1),"")</f>
        <v>16</v>
      </c>
      <c r="J4">
        <f>IFERROR(_xlfn.RANK.AVG(D4,B3:F10,1),"")</f>
        <v>16</v>
      </c>
      <c r="K4">
        <f>IFERROR(_xlfn.RANK.AVG(E4,B3:F10,1),"")</f>
        <v>16</v>
      </c>
      <c r="L4" s="7">
        <f>IFERROR(_xlfn.RANK.AVG(F4,B3:F10,1),"")</f>
        <v>33</v>
      </c>
      <c r="M4" s="6" t="s">
        <v>280</v>
      </c>
      <c r="N4" s="34">
        <f>SUM(H12:L12)</f>
        <v>10048.5</v>
      </c>
      <c r="O4" s="35"/>
      <c r="P4" s="12" t="s">
        <v>277</v>
      </c>
      <c r="Q4">
        <f>COUNT(H3:H10)</f>
        <v>8</v>
      </c>
      <c r="R4">
        <f>COUNT(I3:I10)</f>
        <v>8</v>
      </c>
      <c r="S4">
        <f>COUNT(J3:J10)</f>
        <v>8</v>
      </c>
      <c r="T4">
        <f>COUNT(K3:K10)</f>
        <v>7</v>
      </c>
      <c r="U4" s="7">
        <f>COUNT(L3:L10)</f>
        <v>2</v>
      </c>
      <c r="V4" s="13" t="s">
        <v>281</v>
      </c>
      <c r="W4">
        <f>ABS(Q5-S5)</f>
        <v>0</v>
      </c>
      <c r="X4">
        <v>2</v>
      </c>
      <c r="Y4">
        <f t="shared" si="0"/>
        <v>0</v>
      </c>
      <c r="Z4">
        <f>X4/Q6</f>
        <v>0.71249588179340917</v>
      </c>
      <c r="AA4" s="7">
        <f t="shared" ref="AA4:AA12" si="1">2*(1-_xlfn.NORM.S.DIST(Y4,TRUE))</f>
        <v>1</v>
      </c>
      <c r="AB4">
        <v>2.5000000000000001E-2</v>
      </c>
      <c r="AC4" s="36" t="str">
        <f t="shared" ref="AC4:AC12" si="2">IF(AA4&lt;AB4,"YES","NO")</f>
        <v>NO</v>
      </c>
    </row>
    <row r="5" spans="1:29" ht="15" thickBot="1" x14ac:dyDescent="0.45">
      <c r="A5" s="4"/>
      <c r="B5">
        <v>0</v>
      </c>
      <c r="C5">
        <v>0</v>
      </c>
      <c r="D5">
        <v>0</v>
      </c>
      <c r="E5">
        <v>0</v>
      </c>
      <c r="F5" t="s">
        <v>282</v>
      </c>
      <c r="G5" s="12"/>
      <c r="H5">
        <f>IFERROR(_xlfn.RANK.AVG(B5,B3:F10,1),"")</f>
        <v>16</v>
      </c>
      <c r="I5">
        <f>IFERROR(_xlfn.RANK.AVG(C5,B3:F10,1),"")</f>
        <v>16</v>
      </c>
      <c r="J5">
        <f>IFERROR(_xlfn.RANK.AVG(D5,B3:F10,1),"")</f>
        <v>16</v>
      </c>
      <c r="K5">
        <f>IFERROR(_xlfn.RANK.AVG(E5,B3:F10,1),"")</f>
        <v>16</v>
      </c>
      <c r="L5" s="7" t="str">
        <f>IFERROR(_xlfn.RANK.AVG(F5,B3:F10,1),"")</f>
        <v/>
      </c>
      <c r="M5" s="6" t="s">
        <v>283</v>
      </c>
      <c r="N5" s="34">
        <f>12*N4/(N3*(N3+1))-3*(N3+1)</f>
        <v>5.470588235294116</v>
      </c>
      <c r="O5" s="35"/>
      <c r="P5" s="14" t="s">
        <v>284</v>
      </c>
      <c r="Q5" s="27">
        <f>Q3/Q4</f>
        <v>16</v>
      </c>
      <c r="R5" s="27">
        <f>R3/R4</f>
        <v>16</v>
      </c>
      <c r="S5" s="27">
        <f>S3/S4</f>
        <v>16</v>
      </c>
      <c r="T5" s="27">
        <f>T3/T4</f>
        <v>16</v>
      </c>
      <c r="U5" s="27">
        <f>U3/U4</f>
        <v>32.5</v>
      </c>
      <c r="V5" s="13" t="s">
        <v>285</v>
      </c>
      <c r="W5">
        <f>ABS(Q5-T5)</f>
        <v>0</v>
      </c>
      <c r="X5">
        <v>2.0701966780270626</v>
      </c>
      <c r="Y5">
        <f t="shared" si="0"/>
        <v>0</v>
      </c>
      <c r="Z5">
        <f>X5/Q6</f>
        <v>0.73750330379833917</v>
      </c>
      <c r="AA5" s="7">
        <f t="shared" si="1"/>
        <v>1</v>
      </c>
      <c r="AB5">
        <v>2.5000000000000001E-2</v>
      </c>
      <c r="AC5" s="36" t="str">
        <f t="shared" si="2"/>
        <v>NO</v>
      </c>
    </row>
    <row r="6" spans="1:29" ht="15" thickBot="1" x14ac:dyDescent="0.45">
      <c r="A6" s="4"/>
      <c r="B6">
        <v>0</v>
      </c>
      <c r="C6">
        <v>0</v>
      </c>
      <c r="D6">
        <v>0</v>
      </c>
      <c r="E6">
        <v>0</v>
      </c>
      <c r="F6" t="s">
        <v>282</v>
      </c>
      <c r="G6" s="12"/>
      <c r="H6">
        <f>IFERROR(_xlfn.RANK.AVG(B6,B3:F10,1),"")</f>
        <v>16</v>
      </c>
      <c r="I6">
        <f>IFERROR(_xlfn.RANK.AVG(C6,B3:F10,1),"")</f>
        <v>16</v>
      </c>
      <c r="J6">
        <f>IFERROR(_xlfn.RANK.AVG(D6,B3:F10,1),"")</f>
        <v>16</v>
      </c>
      <c r="K6">
        <f>IFERROR(_xlfn.RANK.AVG(E6,B3:F10,1),"")</f>
        <v>16</v>
      </c>
      <c r="L6" s="7" t="str">
        <f>IFERROR(_xlfn.RANK.AVG(F6,B3:F10,1),"")</f>
        <v/>
      </c>
      <c r="M6" s="6" t="s">
        <v>286</v>
      </c>
      <c r="N6" s="34">
        <v>5</v>
      </c>
      <c r="O6" s="35"/>
      <c r="P6" s="12" t="s">
        <v>287</v>
      </c>
      <c r="Q6">
        <f>_xlfn.NORM.S.INV(1-Q8/2)</f>
        <v>2.8070337683438114</v>
      </c>
      <c r="U6" s="7"/>
      <c r="V6" s="13" t="s">
        <v>288</v>
      </c>
      <c r="W6">
        <f>ABS(R5-S5)</f>
        <v>0</v>
      </c>
      <c r="X6">
        <v>2</v>
      </c>
      <c r="Y6">
        <f t="shared" si="0"/>
        <v>0</v>
      </c>
      <c r="Z6">
        <f>X6/Q6</f>
        <v>0.71249588179340917</v>
      </c>
      <c r="AA6" s="7">
        <f t="shared" si="1"/>
        <v>1</v>
      </c>
      <c r="AB6">
        <v>2.5000000000000001E-2</v>
      </c>
      <c r="AC6" s="36" t="str">
        <f t="shared" si="2"/>
        <v>NO</v>
      </c>
    </row>
    <row r="7" spans="1:29" ht="15" thickBot="1" x14ac:dyDescent="0.45">
      <c r="A7" s="4"/>
      <c r="B7">
        <v>0</v>
      </c>
      <c r="C7">
        <v>0</v>
      </c>
      <c r="D7">
        <v>0</v>
      </c>
      <c r="E7">
        <v>0</v>
      </c>
      <c r="F7" t="s">
        <v>282</v>
      </c>
      <c r="G7" s="12"/>
      <c r="H7">
        <f>IFERROR(_xlfn.RANK.AVG(B7,B3:F10,1),"")</f>
        <v>16</v>
      </c>
      <c r="I7">
        <f>IFERROR(_xlfn.RANK.AVG(C7,B3:F10,1),"")</f>
        <v>16</v>
      </c>
      <c r="J7">
        <f>IFERROR(_xlfn.RANK.AVG(D7,B3:F10,1),"")</f>
        <v>16</v>
      </c>
      <c r="K7">
        <f>IFERROR(_xlfn.RANK.AVG(E7,B3:F10,1),"")</f>
        <v>16</v>
      </c>
      <c r="L7" s="7" t="str">
        <f>IFERROR(_xlfn.RANK.AVG(F7,B3:F10,1),"")</f>
        <v/>
      </c>
      <c r="M7" s="6" t="s">
        <v>289</v>
      </c>
      <c r="N7" s="34">
        <f>_xlfn.CHISQ.DIST.RT(N5,N6)</f>
        <v>0.36118176758995468</v>
      </c>
      <c r="O7" s="35"/>
      <c r="P7" s="12" t="s">
        <v>290</v>
      </c>
      <c r="Q7">
        <f>N3</f>
        <v>33</v>
      </c>
      <c r="U7" s="7"/>
      <c r="V7" s="13" t="s">
        <v>291</v>
      </c>
      <c r="W7">
        <f>ABS(R5-T5)</f>
        <v>0</v>
      </c>
      <c r="X7">
        <v>2.0701966780270626</v>
      </c>
      <c r="Y7">
        <f t="shared" si="0"/>
        <v>0</v>
      </c>
      <c r="Z7">
        <f>X7/Q6</f>
        <v>0.73750330379833917</v>
      </c>
      <c r="AA7" s="7">
        <f t="shared" si="1"/>
        <v>1</v>
      </c>
      <c r="AB7">
        <v>2.5000000000000001E-2</v>
      </c>
      <c r="AC7" s="36" t="str">
        <f t="shared" si="2"/>
        <v>NO</v>
      </c>
    </row>
    <row r="8" spans="1:29" ht="15" thickBot="1" x14ac:dyDescent="0.45">
      <c r="A8" s="4"/>
      <c r="B8">
        <v>0</v>
      </c>
      <c r="C8">
        <v>0</v>
      </c>
      <c r="D8">
        <v>0</v>
      </c>
      <c r="E8">
        <v>0</v>
      </c>
      <c r="F8" t="s">
        <v>282</v>
      </c>
      <c r="G8" s="12"/>
      <c r="H8">
        <f>IFERROR(_xlfn.RANK.AVG(B8,B3:F10,1),"")</f>
        <v>16</v>
      </c>
      <c r="I8">
        <f>IFERROR(_xlfn.RANK.AVG(C8,B3:F10,1),"")</f>
        <v>16</v>
      </c>
      <c r="J8">
        <f>IFERROR(_xlfn.RANK.AVG(D8,B3:F10,1),"")</f>
        <v>16</v>
      </c>
      <c r="K8">
        <f>IFERROR(_xlfn.RANK.AVG(E8,B3:F10,1),"")</f>
        <v>16</v>
      </c>
      <c r="L8" s="7" t="str">
        <f>IFERROR(_xlfn.RANK.AVG(F8,B3:F10,1),"")</f>
        <v/>
      </c>
      <c r="M8" s="6" t="s">
        <v>292</v>
      </c>
      <c r="N8" s="34">
        <v>0.05</v>
      </c>
      <c r="O8" s="35"/>
      <c r="P8" s="12" t="s">
        <v>293</v>
      </c>
      <c r="Q8">
        <f>N8/(COUNT(Q4:U4)*(COUNT(Q4:U4)-1)/2)</f>
        <v>5.0000000000000001E-3</v>
      </c>
      <c r="U8" s="7"/>
      <c r="V8" s="13" t="s">
        <v>294</v>
      </c>
      <c r="W8">
        <f>ABS(S5-T5)</f>
        <v>0</v>
      </c>
      <c r="X8">
        <v>2.0701966780270626</v>
      </c>
      <c r="Y8">
        <f t="shared" si="0"/>
        <v>0</v>
      </c>
      <c r="Z8">
        <f>X8/Q6</f>
        <v>0.73750330379833917</v>
      </c>
      <c r="AA8" s="7">
        <f t="shared" si="1"/>
        <v>1</v>
      </c>
      <c r="AB8">
        <v>2.5000000000000001E-2</v>
      </c>
      <c r="AC8" s="36" t="str">
        <f t="shared" si="2"/>
        <v>NO</v>
      </c>
    </row>
    <row r="9" spans="1:29" ht="15" thickBot="1" x14ac:dyDescent="0.45">
      <c r="A9" s="4"/>
      <c r="B9">
        <v>0</v>
      </c>
      <c r="C9">
        <v>0</v>
      </c>
      <c r="D9">
        <v>0</v>
      </c>
      <c r="E9">
        <v>0</v>
      </c>
      <c r="F9" t="s">
        <v>282</v>
      </c>
      <c r="G9" s="12"/>
      <c r="H9">
        <f>IFERROR(_xlfn.RANK.AVG(B9,B3:F10,1),"")</f>
        <v>16</v>
      </c>
      <c r="I9">
        <f>IFERROR(_xlfn.RANK.AVG(C9,B3:F10,1),"")</f>
        <v>16</v>
      </c>
      <c r="J9">
        <f>IFERROR(_xlfn.RANK.AVG(D9,B3:F10,1),"")</f>
        <v>16</v>
      </c>
      <c r="K9">
        <f>IFERROR(_xlfn.RANK.AVG(E9,B3:F10,1),"")</f>
        <v>16</v>
      </c>
      <c r="L9" s="7" t="str">
        <f>IFERROR(_xlfn.RANK.AVG(F9,B3:F10,1),"")</f>
        <v/>
      </c>
      <c r="M9" s="6" t="s">
        <v>275</v>
      </c>
      <c r="N9" s="36" t="str">
        <f>IF(N7&lt;N8,"YES","NO")</f>
        <v>NO</v>
      </c>
      <c r="O9" s="37"/>
      <c r="P9" s="12"/>
      <c r="U9" s="7"/>
      <c r="V9" s="13" t="s">
        <v>295</v>
      </c>
      <c r="W9">
        <f>ABS(U5-Q5)</f>
        <v>16.5</v>
      </c>
      <c r="X9">
        <v>3.1622776601683795</v>
      </c>
      <c r="Y9">
        <f t="shared" si="0"/>
        <v>5.2177581392778256</v>
      </c>
      <c r="Z9">
        <f>X9/Q6</f>
        <v>1.1265549049786341</v>
      </c>
      <c r="AA9" s="7">
        <f t="shared" si="1"/>
        <v>1.81101728724542E-7</v>
      </c>
      <c r="AB9">
        <v>5.0000000000000001E-3</v>
      </c>
      <c r="AC9" s="36" t="str">
        <f t="shared" si="2"/>
        <v>YES</v>
      </c>
    </row>
    <row r="10" spans="1:29" ht="15" thickBot="1" x14ac:dyDescent="0.45">
      <c r="A10" s="4"/>
      <c r="B10">
        <v>0</v>
      </c>
      <c r="C10">
        <v>0</v>
      </c>
      <c r="D10">
        <v>0</v>
      </c>
      <c r="E10" t="s">
        <v>282</v>
      </c>
      <c r="F10" t="s">
        <v>282</v>
      </c>
      <c r="G10" s="12"/>
      <c r="H10">
        <f>IFERROR(_xlfn.RANK.AVG(B10,B3:F10,1),"")</f>
        <v>16</v>
      </c>
      <c r="I10">
        <f>IFERROR(_xlfn.RANK.AVG(C10,B3:F10,1),"")</f>
        <v>16</v>
      </c>
      <c r="J10">
        <f>IFERROR(_xlfn.RANK.AVG(D10,B3:F10,1),"")</f>
        <v>16</v>
      </c>
      <c r="K10" s="27" t="str">
        <f>IFERROR(_xlfn.RANK.AVG(E10,B3:F10,1),"")</f>
        <v/>
      </c>
      <c r="L10" s="7" t="str">
        <f>IFERROR(_xlfn.RANK.AVG(F10,B3:F10,1),"")</f>
        <v/>
      </c>
      <c r="N10" s="34"/>
      <c r="O10" s="35"/>
      <c r="P10" s="38"/>
      <c r="U10" s="7"/>
      <c r="V10" s="13" t="s">
        <v>296</v>
      </c>
      <c r="W10">
        <f>ABS(U5-R5)</f>
        <v>16.5</v>
      </c>
      <c r="X10">
        <v>3.1622776601683795</v>
      </c>
      <c r="Y10">
        <f t="shared" si="0"/>
        <v>5.2177581392778256</v>
      </c>
      <c r="Z10">
        <f>X10/Q6</f>
        <v>1.1265549049786341</v>
      </c>
      <c r="AA10" s="7">
        <f t="shared" si="1"/>
        <v>1.81101728724542E-7</v>
      </c>
      <c r="AB10">
        <v>5.0000000000000001E-3</v>
      </c>
      <c r="AC10" s="36" t="str">
        <f t="shared" si="2"/>
        <v>YES</v>
      </c>
    </row>
    <row r="11" spans="1:29" ht="15" thickBot="1" x14ac:dyDescent="0.45">
      <c r="A11" s="4"/>
      <c r="F11" s="7"/>
      <c r="G11" s="12" t="s">
        <v>278</v>
      </c>
      <c r="H11" s="39">
        <f>SUM(H3:H10)</f>
        <v>128</v>
      </c>
      <c r="I11" s="40">
        <f>SUM(I3:I10)</f>
        <v>128</v>
      </c>
      <c r="J11" s="40">
        <f>SUM(J3:J10)</f>
        <v>128</v>
      </c>
      <c r="K11" s="26">
        <f>SUM(K3:K10)</f>
        <v>112</v>
      </c>
      <c r="L11" s="40">
        <f>SUM(L3:L10)</f>
        <v>65</v>
      </c>
      <c r="N11" s="34"/>
      <c r="O11" s="35"/>
      <c r="P11" s="38"/>
      <c r="U11" s="7"/>
      <c r="V11" s="13" t="s">
        <v>297</v>
      </c>
      <c r="W11">
        <f>ABS(U5-S5)</f>
        <v>16.5</v>
      </c>
      <c r="X11">
        <v>3.1622776601683795</v>
      </c>
      <c r="Y11">
        <f t="shared" si="0"/>
        <v>5.2177581392778256</v>
      </c>
      <c r="Z11">
        <f>X11/Q6</f>
        <v>1.1265549049786341</v>
      </c>
      <c r="AA11" s="7">
        <f t="shared" si="1"/>
        <v>1.81101728724542E-7</v>
      </c>
      <c r="AB11">
        <v>5.0000000000000001E-3</v>
      </c>
      <c r="AC11" s="36" t="str">
        <f t="shared" si="2"/>
        <v>YES</v>
      </c>
    </row>
    <row r="12" spans="1:29" ht="15" thickBot="1" x14ac:dyDescent="0.45">
      <c r="A12" s="4"/>
      <c r="F12" s="7"/>
      <c r="G12" s="15" t="s">
        <v>298</v>
      </c>
      <c r="H12" s="41">
        <f>IFERROR(((SUM(H3:H10))^2)/COUNT(H3:H10),"")</f>
        <v>2048</v>
      </c>
      <c r="I12" s="42">
        <f>IFERROR(((SUM(I3:I10))^2)/COUNT(I3:I10),"")</f>
        <v>2048</v>
      </c>
      <c r="J12" s="42">
        <f>IFERROR(((SUM(J3:J10))^2)/COUNT(J3:J10),"")</f>
        <v>2048</v>
      </c>
      <c r="K12" s="43">
        <f>IFERROR(((SUM(K3:K10))^2)/COUNT(K3:K10),"")</f>
        <v>1792</v>
      </c>
      <c r="L12" s="42">
        <f>IFERROR(((SUM(L3:L10))^2)/COUNT(L3:L10),"")</f>
        <v>2112.5</v>
      </c>
      <c r="M12" s="25"/>
      <c r="N12" s="44"/>
      <c r="O12" s="45"/>
      <c r="P12" s="46"/>
      <c r="Q12" s="25"/>
      <c r="R12" s="25"/>
      <c r="S12" s="25"/>
      <c r="T12" s="25"/>
      <c r="U12" s="47"/>
      <c r="V12" s="16" t="s">
        <v>299</v>
      </c>
      <c r="W12" s="25">
        <f>ABS(U5-T5)</f>
        <v>16.5</v>
      </c>
      <c r="X12" s="25">
        <v>3.2071349029490923</v>
      </c>
      <c r="Y12">
        <f t="shared" si="0"/>
        <v>5.14477890681417</v>
      </c>
      <c r="Z12">
        <f>X12/Q6</f>
        <v>1.1425352053535667</v>
      </c>
      <c r="AA12" s="7">
        <f t="shared" si="1"/>
        <v>2.6783605888702766E-7</v>
      </c>
      <c r="AB12" s="25">
        <v>0.02</v>
      </c>
      <c r="AC12" s="36" t="str">
        <f t="shared" si="2"/>
        <v>YES</v>
      </c>
    </row>
    <row r="13" spans="1:29" ht="15" thickBot="1" x14ac:dyDescent="0.45">
      <c r="A13" s="4" t="s">
        <v>32</v>
      </c>
      <c r="B13" t="s">
        <v>260</v>
      </c>
      <c r="C13" t="s">
        <v>261</v>
      </c>
      <c r="D13" t="s">
        <v>262</v>
      </c>
      <c r="E13" t="s">
        <v>263</v>
      </c>
      <c r="F13" s="7" t="s">
        <v>265</v>
      </c>
      <c r="G13" s="10" t="s">
        <v>266</v>
      </c>
      <c r="H13" s="48" t="s">
        <v>260</v>
      </c>
      <c r="I13" s="31" t="s">
        <v>261</v>
      </c>
      <c r="J13" s="31" t="s">
        <v>262</v>
      </c>
      <c r="K13" s="27" t="s">
        <v>263</v>
      </c>
      <c r="L13" s="32" t="s">
        <v>265</v>
      </c>
      <c r="M13" s="31"/>
      <c r="N13" s="33"/>
      <c r="O13" s="49"/>
      <c r="P13" s="10" t="s">
        <v>267</v>
      </c>
      <c r="Q13" s="31" t="s">
        <v>260</v>
      </c>
      <c r="R13" s="31" t="s">
        <v>261</v>
      </c>
      <c r="S13" s="31" t="s">
        <v>262</v>
      </c>
      <c r="T13" s="27" t="s">
        <v>263</v>
      </c>
      <c r="U13" s="32" t="s">
        <v>265</v>
      </c>
      <c r="V13" s="11" t="s">
        <v>268</v>
      </c>
      <c r="W13" s="31" t="s">
        <v>269</v>
      </c>
      <c r="X13" s="31" t="s">
        <v>270</v>
      </c>
      <c r="Y13" s="31" t="s">
        <v>271</v>
      </c>
      <c r="Z13" s="31" t="s">
        <v>272</v>
      </c>
      <c r="AA13" s="32" t="s">
        <v>273</v>
      </c>
      <c r="AB13" s="31" t="s">
        <v>274</v>
      </c>
      <c r="AC13" s="33" t="s">
        <v>275</v>
      </c>
    </row>
    <row r="14" spans="1:29" ht="15" thickBot="1" x14ac:dyDescent="0.45">
      <c r="A14" s="4"/>
      <c r="B14">
        <v>900.09500000000003</v>
      </c>
      <c r="C14">
        <v>853.11500000000001</v>
      </c>
      <c r="D14">
        <v>413.32999999999993</v>
      </c>
      <c r="E14">
        <v>331.30500000000001</v>
      </c>
      <c r="F14">
        <v>409.21749999999997</v>
      </c>
      <c r="G14" s="12" t="s">
        <v>276</v>
      </c>
      <c r="H14">
        <f>IFERROR(_xlfn.RANK.AVG(B14,B14:F21,1),"")</f>
        <v>33</v>
      </c>
      <c r="I14">
        <f>IFERROR(_xlfn.RANK.AVG(C14,B14:F21,1),"")</f>
        <v>31</v>
      </c>
      <c r="J14">
        <f>IFERROR(_xlfn.RANK.AVG(D14,B14:F21,1),"")</f>
        <v>13</v>
      </c>
      <c r="K14">
        <f>IFERROR(_xlfn.RANK.AVG(E14,B14:F21,1),"")</f>
        <v>6</v>
      </c>
      <c r="L14" s="7">
        <f>IFERROR(_xlfn.RANK.AVG(F14,B14:F21,1),"")</f>
        <v>10</v>
      </c>
      <c r="M14" s="6" t="s">
        <v>277</v>
      </c>
      <c r="N14" s="34">
        <f>COUNT(H14:L21)</f>
        <v>33</v>
      </c>
      <c r="O14" s="35"/>
      <c r="P14" s="12" t="s">
        <v>278</v>
      </c>
      <c r="Q14">
        <f>H22</f>
        <v>210</v>
      </c>
      <c r="R14">
        <f>I22</f>
        <v>164</v>
      </c>
      <c r="S14">
        <f>J22</f>
        <v>127</v>
      </c>
      <c r="T14">
        <f>K22</f>
        <v>42</v>
      </c>
      <c r="U14" s="7">
        <f>L22</f>
        <v>18</v>
      </c>
      <c r="V14" s="13" t="s">
        <v>279</v>
      </c>
      <c r="W14">
        <f>ABS(Q16-R16)</f>
        <v>5.75</v>
      </c>
      <c r="X14">
        <v>4.8347699014534289</v>
      </c>
      <c r="Y14">
        <f t="shared" ref="Y14:Y23" si="3">W14/X14</f>
        <v>1.189301686988544</v>
      </c>
      <c r="Z14">
        <f>X14/Q17</f>
        <v>1.7223768221021474</v>
      </c>
      <c r="AA14" s="7">
        <f t="shared" ref="AA14:AA23" si="4">2*(1-_xlfn.NORM.S.DIST(Y14,TRUE))</f>
        <v>0.23432097173768152</v>
      </c>
      <c r="AB14" cm="1">
        <f t="array" ref="AB14:AB23">RANK(AA14:AA23,AA14:AA23,1)*Q19</f>
        <v>3.5000000000000003E-2</v>
      </c>
      <c r="AC14" s="36" t="str">
        <f t="shared" ref="AC14:AC23" si="5">IF(AA14&lt;AB14,"YES","NO")</f>
        <v>NO</v>
      </c>
    </row>
    <row r="15" spans="1:29" ht="15" thickBot="1" x14ac:dyDescent="0.45">
      <c r="A15" s="4"/>
      <c r="B15">
        <v>851.96</v>
      </c>
      <c r="C15">
        <v>573.92499999999995</v>
      </c>
      <c r="D15">
        <v>587.6</v>
      </c>
      <c r="E15">
        <v>323.65500000000003</v>
      </c>
      <c r="F15">
        <v>352.88499999999999</v>
      </c>
      <c r="G15" s="12"/>
      <c r="H15">
        <f>IFERROR(_xlfn.RANK.AVG(B15,B14:F21,1),"")</f>
        <v>30</v>
      </c>
      <c r="I15">
        <f>IFERROR(_xlfn.RANK.AVG(C15,B14:F21,1),"")</f>
        <v>21</v>
      </c>
      <c r="J15">
        <f>IFERROR(_xlfn.RANK.AVG(D15,B14:F21,1),"")</f>
        <v>23</v>
      </c>
      <c r="K15">
        <f>IFERROR(_xlfn.RANK.AVG(E15,B14:F21,1),"")</f>
        <v>5</v>
      </c>
      <c r="L15" s="7">
        <f>IFERROR(_xlfn.RANK.AVG(F15,B14:F21,1),"")</f>
        <v>8</v>
      </c>
      <c r="M15" s="6" t="s">
        <v>280</v>
      </c>
      <c r="N15" s="34">
        <f>SUM(H23:L23)</f>
        <v>11304.625</v>
      </c>
      <c r="O15" s="35"/>
      <c r="P15" s="12" t="s">
        <v>277</v>
      </c>
      <c r="Q15">
        <f>COUNT(H14:H21)</f>
        <v>8</v>
      </c>
      <c r="R15">
        <f>COUNT(I14:I21)</f>
        <v>8</v>
      </c>
      <c r="S15">
        <f>COUNT(J14:J21)</f>
        <v>8</v>
      </c>
      <c r="T15">
        <f>COUNT(K14:K21)</f>
        <v>7</v>
      </c>
      <c r="U15" s="7">
        <f>COUNT(L14:L21)</f>
        <v>2</v>
      </c>
      <c r="V15" s="13" t="s">
        <v>281</v>
      </c>
      <c r="W15">
        <f>ABS(Q16-S16)</f>
        <v>10.375</v>
      </c>
      <c r="X15">
        <v>4.8347699014534289</v>
      </c>
      <c r="Y15">
        <f t="shared" si="3"/>
        <v>2.1459139134793297</v>
      </c>
      <c r="Z15">
        <f>X15/Q17</f>
        <v>1.7223768221021474</v>
      </c>
      <c r="AA15" s="7">
        <f t="shared" si="4"/>
        <v>3.1879847539962425E-2</v>
      </c>
      <c r="AB15">
        <v>0.02</v>
      </c>
      <c r="AC15" s="36" t="str">
        <f t="shared" si="5"/>
        <v>NO</v>
      </c>
    </row>
    <row r="16" spans="1:29" ht="15" thickBot="1" x14ac:dyDescent="0.45">
      <c r="A16" s="4"/>
      <c r="B16">
        <v>888.43</v>
      </c>
      <c r="C16">
        <v>544.92499999999995</v>
      </c>
      <c r="D16">
        <v>444.72500000000002</v>
      </c>
      <c r="E16">
        <v>213.95</v>
      </c>
      <c r="F16" t="s">
        <v>282</v>
      </c>
      <c r="G16" s="12"/>
      <c r="H16">
        <f>IFERROR(_xlfn.RANK.AVG(B16,B14:F21,1),"")</f>
        <v>32</v>
      </c>
      <c r="I16">
        <f>IFERROR(_xlfn.RANK.AVG(C16,B14:F21,1),"")</f>
        <v>19</v>
      </c>
      <c r="J16">
        <f>IFERROR(_xlfn.RANK.AVG(D16,B14:F21,1),"")</f>
        <v>15</v>
      </c>
      <c r="K16">
        <f>IFERROR(_xlfn.RANK.AVG(E16,B14:F21,1),"")</f>
        <v>1</v>
      </c>
      <c r="L16" s="7" t="str">
        <f>IFERROR(_xlfn.RANK.AVG(F16,B14:F21,1),"")</f>
        <v/>
      </c>
      <c r="M16" s="6" t="s">
        <v>283</v>
      </c>
      <c r="N16" s="34">
        <f>12*N15/(N14*(N14+1))-3*(N14+1)</f>
        <v>18.905080213903744</v>
      </c>
      <c r="O16" s="35"/>
      <c r="P16" s="14" t="s">
        <v>284</v>
      </c>
      <c r="Q16" s="27">
        <f>Q14/Q15</f>
        <v>26.25</v>
      </c>
      <c r="R16" s="27">
        <f>R14/R15</f>
        <v>20.5</v>
      </c>
      <c r="S16" s="27">
        <f>S14/S15</f>
        <v>15.875</v>
      </c>
      <c r="T16" s="27">
        <f>T14/T15</f>
        <v>6</v>
      </c>
      <c r="U16" s="27">
        <f>U14/U15</f>
        <v>9</v>
      </c>
      <c r="V16" s="13" t="s">
        <v>285</v>
      </c>
      <c r="W16">
        <f>ABS(Q16-T16)</f>
        <v>20.25</v>
      </c>
      <c r="X16">
        <v>5.0044622945070589</v>
      </c>
      <c r="Y16">
        <f t="shared" si="3"/>
        <v>4.046388764328702</v>
      </c>
      <c r="Z16">
        <f>X16/Q17</f>
        <v>1.7828293877133372</v>
      </c>
      <c r="AA16" s="7">
        <f t="shared" si="4"/>
        <v>5.2013823619301292E-5</v>
      </c>
      <c r="AB16">
        <v>5.0000000000000001E-3</v>
      </c>
      <c r="AC16" s="36" t="str">
        <f t="shared" si="5"/>
        <v>YES</v>
      </c>
    </row>
    <row r="17" spans="1:29" ht="15" thickBot="1" x14ac:dyDescent="0.45">
      <c r="A17" s="4"/>
      <c r="B17">
        <v>332.76499999999999</v>
      </c>
      <c r="C17">
        <v>275.19</v>
      </c>
      <c r="D17">
        <v>409.58</v>
      </c>
      <c r="E17">
        <v>280.815</v>
      </c>
      <c r="F17" t="s">
        <v>282</v>
      </c>
      <c r="G17" s="12"/>
      <c r="H17">
        <f>IFERROR(_xlfn.RANK.AVG(B17,B14:F21,1),"")</f>
        <v>7</v>
      </c>
      <c r="I17">
        <f>IFERROR(_xlfn.RANK.AVG(C17,B14:F21,1),"")</f>
        <v>2</v>
      </c>
      <c r="J17">
        <f>IFERROR(_xlfn.RANK.AVG(D17,B14:F21,1),"")</f>
        <v>11</v>
      </c>
      <c r="K17">
        <f>IFERROR(_xlfn.RANK.AVG(E17,B14:F21,1),"")</f>
        <v>3</v>
      </c>
      <c r="L17" s="7" t="str">
        <f>IFERROR(_xlfn.RANK.AVG(F17,B14:F21,1),"")</f>
        <v/>
      </c>
      <c r="M17" s="6" t="s">
        <v>286</v>
      </c>
      <c r="N17" s="34">
        <v>5</v>
      </c>
      <c r="O17" s="35"/>
      <c r="P17" s="12" t="s">
        <v>287</v>
      </c>
      <c r="Q17">
        <f>_xlfn.NORM.S.INV(1-Q19/2)</f>
        <v>2.8070337683438114</v>
      </c>
      <c r="U17" s="7"/>
      <c r="V17" s="13" t="s">
        <v>288</v>
      </c>
      <c r="W17">
        <f>ABS(R16-S16)</f>
        <v>4.625</v>
      </c>
      <c r="X17">
        <v>4.8347699014534289</v>
      </c>
      <c r="Y17">
        <f t="shared" si="3"/>
        <v>0.95661222649078548</v>
      </c>
      <c r="Z17">
        <f>X17/Q17</f>
        <v>1.7223768221021474</v>
      </c>
      <c r="AA17" s="7">
        <f t="shared" si="4"/>
        <v>0.33876301533697362</v>
      </c>
      <c r="AB17">
        <v>0.04</v>
      </c>
      <c r="AC17" s="36" t="str">
        <f t="shared" si="5"/>
        <v>NO</v>
      </c>
    </row>
    <row r="18" spans="1:29" ht="15" thickBot="1" x14ac:dyDescent="0.45">
      <c r="A18" s="4"/>
      <c r="B18">
        <v>674.47500000000002</v>
      </c>
      <c r="C18">
        <v>579.5</v>
      </c>
      <c r="D18">
        <v>449.90499999999992</v>
      </c>
      <c r="E18">
        <v>372.83000000000004</v>
      </c>
      <c r="F18" t="s">
        <v>282</v>
      </c>
      <c r="G18" s="12"/>
      <c r="H18">
        <f>IFERROR(_xlfn.RANK.AVG(B18,B14:F21,1),"")</f>
        <v>27</v>
      </c>
      <c r="I18">
        <f>IFERROR(_xlfn.RANK.AVG(C18,B14:F21,1),"")</f>
        <v>22</v>
      </c>
      <c r="J18">
        <f>IFERROR(_xlfn.RANK.AVG(D18,B14:F21,1),"")</f>
        <v>16</v>
      </c>
      <c r="K18">
        <f>IFERROR(_xlfn.RANK.AVG(E18,B14:F21,1),"")</f>
        <v>9</v>
      </c>
      <c r="L18" s="7" t="str">
        <f>IFERROR(_xlfn.RANK.AVG(F18,B14:F21,1),"")</f>
        <v/>
      </c>
      <c r="M18" s="6" t="s">
        <v>289</v>
      </c>
      <c r="N18" s="34">
        <f>_xlfn.CHISQ.DIST.RT(N16,N17)</f>
        <v>2.0019699406552088E-3</v>
      </c>
      <c r="O18" s="35"/>
      <c r="P18" s="12" t="s">
        <v>290</v>
      </c>
      <c r="Q18">
        <f>N14</f>
        <v>33</v>
      </c>
      <c r="U18" s="7"/>
      <c r="V18" s="13" t="s">
        <v>291</v>
      </c>
      <c r="W18">
        <f>ABS(R16-T16)</f>
        <v>14.5</v>
      </c>
      <c r="X18">
        <v>5.0044622945070589</v>
      </c>
      <c r="Y18">
        <f t="shared" si="3"/>
        <v>2.8974141769267252</v>
      </c>
      <c r="Z18">
        <f>X18/Q17</f>
        <v>1.7828293877133372</v>
      </c>
      <c r="AA18" s="7">
        <f t="shared" si="4"/>
        <v>3.7625266710135108E-3</v>
      </c>
      <c r="AB18">
        <v>0.01</v>
      </c>
      <c r="AC18" s="36" t="str">
        <f t="shared" si="5"/>
        <v>YES</v>
      </c>
    </row>
    <row r="19" spans="1:29" ht="15" thickBot="1" x14ac:dyDescent="0.45">
      <c r="A19" s="4"/>
      <c r="B19">
        <v>694.85500000000002</v>
      </c>
      <c r="C19">
        <v>494.18500000000006</v>
      </c>
      <c r="D19">
        <v>456.7</v>
      </c>
      <c r="E19">
        <v>286.23500000000001</v>
      </c>
      <c r="F19" t="s">
        <v>282</v>
      </c>
      <c r="G19" s="12"/>
      <c r="H19">
        <f>IFERROR(_xlfn.RANK.AVG(B19,B14:F21,1),"")</f>
        <v>28</v>
      </c>
      <c r="I19">
        <f>IFERROR(_xlfn.RANK.AVG(C19,B14:F21,1),"")</f>
        <v>18</v>
      </c>
      <c r="J19">
        <f>IFERROR(_xlfn.RANK.AVG(D19,B14:F21,1),"")</f>
        <v>17</v>
      </c>
      <c r="K19">
        <f>IFERROR(_xlfn.RANK.AVG(E19,B14:F21,1),"")</f>
        <v>4</v>
      </c>
      <c r="L19" s="7" t="str">
        <f>IFERROR(_xlfn.RANK.AVG(F19,B14:F21,1),"")</f>
        <v/>
      </c>
      <c r="M19" s="6" t="s">
        <v>292</v>
      </c>
      <c r="N19" s="34">
        <v>0.05</v>
      </c>
      <c r="O19" s="35"/>
      <c r="P19" s="12" t="s">
        <v>293</v>
      </c>
      <c r="Q19">
        <f>N19/(COUNT(Q15:U15)*(COUNT(Q15:U15)-1)/2)</f>
        <v>5.0000000000000001E-3</v>
      </c>
      <c r="U19" s="7"/>
      <c r="V19" s="13" t="s">
        <v>294</v>
      </c>
      <c r="W19">
        <f>ABS(S16-T16)</f>
        <v>9.875</v>
      </c>
      <c r="X19">
        <v>5.0044622945070589</v>
      </c>
      <c r="Y19">
        <f t="shared" si="3"/>
        <v>1.9732389653207869</v>
      </c>
      <c r="Z19">
        <f>X19/Q17</f>
        <v>1.7828293877133372</v>
      </c>
      <c r="AA19" s="7">
        <f t="shared" si="4"/>
        <v>4.8468343022557869E-2</v>
      </c>
      <c r="AB19">
        <v>2.5000000000000001E-2</v>
      </c>
      <c r="AC19" s="36" t="str">
        <f t="shared" si="5"/>
        <v>NO</v>
      </c>
    </row>
    <row r="20" spans="1:29" ht="15" thickBot="1" x14ac:dyDescent="0.45">
      <c r="A20" s="4"/>
      <c r="B20">
        <v>591.57999999999993</v>
      </c>
      <c r="C20">
        <v>603.03500000000008</v>
      </c>
      <c r="D20">
        <v>550.57999999999993</v>
      </c>
      <c r="E20">
        <v>440.48500000000001</v>
      </c>
      <c r="F20" t="s">
        <v>282</v>
      </c>
      <c r="G20" s="12"/>
      <c r="H20">
        <f>IFERROR(_xlfn.RANK.AVG(B20,B14:F21,1),"")</f>
        <v>24</v>
      </c>
      <c r="I20">
        <f>IFERROR(_xlfn.RANK.AVG(C20,B14:F21,1),"")</f>
        <v>25</v>
      </c>
      <c r="J20">
        <f>IFERROR(_xlfn.RANK.AVG(D20,B14:F21,1),"")</f>
        <v>20</v>
      </c>
      <c r="K20">
        <f>IFERROR(_xlfn.RANK.AVG(E20,B14:F21,1),"")</f>
        <v>14</v>
      </c>
      <c r="L20" s="7" t="str">
        <f>IFERROR(_xlfn.RANK.AVG(F20,B14:F21,1),"")</f>
        <v/>
      </c>
      <c r="M20" s="6" t="s">
        <v>275</v>
      </c>
      <c r="N20" s="36" t="str">
        <f>IF(N18&lt;N19,"YES","NO")</f>
        <v>YES</v>
      </c>
      <c r="O20" s="37"/>
      <c r="P20" s="12"/>
      <c r="U20" s="7"/>
      <c r="V20" s="13" t="s">
        <v>295</v>
      </c>
      <c r="W20">
        <f>ABS(U16-Q16)</f>
        <v>17.25</v>
      </c>
      <c r="X20">
        <v>7.6444424257103281</v>
      </c>
      <c r="Y20">
        <f t="shared" si="3"/>
        <v>2.2565412935786635</v>
      </c>
      <c r="Z20">
        <f>X20/Q17</f>
        <v>2.7233168734627138</v>
      </c>
      <c r="AA20" s="7">
        <f t="shared" si="4"/>
        <v>2.4036752249858129E-2</v>
      </c>
      <c r="AB20">
        <v>1.4999999999999999E-2</v>
      </c>
      <c r="AC20" s="36" t="str">
        <f t="shared" si="5"/>
        <v>NO</v>
      </c>
    </row>
    <row r="21" spans="1:29" ht="15" thickBot="1" x14ac:dyDescent="0.45">
      <c r="A21" s="4"/>
      <c r="B21">
        <v>755.28</v>
      </c>
      <c r="C21">
        <v>636.18000000000006</v>
      </c>
      <c r="D21">
        <v>412.93</v>
      </c>
      <c r="E21" t="s">
        <v>282</v>
      </c>
      <c r="F21" t="s">
        <v>282</v>
      </c>
      <c r="G21" s="12"/>
      <c r="H21">
        <f>IFERROR(_xlfn.RANK.AVG(B21,B14:F21,1),"")</f>
        <v>29</v>
      </c>
      <c r="I21">
        <f>IFERROR(_xlfn.RANK.AVG(C21,B14:F21,1),"")</f>
        <v>26</v>
      </c>
      <c r="J21">
        <f>IFERROR(_xlfn.RANK.AVG(D21,B14:F21,1),"")</f>
        <v>12</v>
      </c>
      <c r="K21" s="27" t="str">
        <f>IFERROR(_xlfn.RANK.AVG(E21,B14:F21,1),"")</f>
        <v/>
      </c>
      <c r="L21" s="7" t="str">
        <f>IFERROR(_xlfn.RANK.AVG(F21,B14:F21,1),"")</f>
        <v/>
      </c>
      <c r="N21" s="34"/>
      <c r="O21" s="35"/>
      <c r="P21" s="38"/>
      <c r="U21" s="7"/>
      <c r="V21" s="13" t="s">
        <v>296</v>
      </c>
      <c r="W21">
        <f>ABS(U16-R16)</f>
        <v>11.5</v>
      </c>
      <c r="X21">
        <v>7.6444424257103281</v>
      </c>
      <c r="Y21">
        <f t="shared" si="3"/>
        <v>1.5043608623857756</v>
      </c>
      <c r="Z21">
        <f>X21/Q17</f>
        <v>2.7233168734627138</v>
      </c>
      <c r="AA21" s="7">
        <f t="shared" si="4"/>
        <v>0.13248847581307688</v>
      </c>
      <c r="AB21">
        <v>0.03</v>
      </c>
      <c r="AC21" s="36" t="str">
        <f t="shared" si="5"/>
        <v>NO</v>
      </c>
    </row>
    <row r="22" spans="1:29" ht="15" thickBot="1" x14ac:dyDescent="0.45">
      <c r="A22" s="4"/>
      <c r="F22" s="7"/>
      <c r="G22" s="12" t="s">
        <v>278</v>
      </c>
      <c r="H22" s="39">
        <f>SUM(H14:H21)</f>
        <v>210</v>
      </c>
      <c r="I22" s="40">
        <f>SUM(I14:I21)</f>
        <v>164</v>
      </c>
      <c r="J22" s="40">
        <f>SUM(J14:J21)</f>
        <v>127</v>
      </c>
      <c r="K22" s="50">
        <f>SUM(K14:K21)</f>
        <v>42</v>
      </c>
      <c r="L22" s="40">
        <f>SUM(L14:L21)</f>
        <v>18</v>
      </c>
      <c r="N22" s="34"/>
      <c r="O22" s="35"/>
      <c r="P22" s="38"/>
      <c r="U22" s="7"/>
      <c r="V22" s="13" t="s">
        <v>297</v>
      </c>
      <c r="W22">
        <f>ABS(U16-S16)</f>
        <v>6.875</v>
      </c>
      <c r="X22">
        <v>7.6444424257103281</v>
      </c>
      <c r="Y22">
        <f t="shared" si="3"/>
        <v>0.89934616773062681</v>
      </c>
      <c r="Z22">
        <f>X22/Q17</f>
        <v>2.7233168734627138</v>
      </c>
      <c r="AA22" s="7">
        <f t="shared" si="4"/>
        <v>0.36846830330987101</v>
      </c>
      <c r="AB22">
        <v>4.4999999999999998E-2</v>
      </c>
      <c r="AC22" s="36" t="str">
        <f t="shared" si="5"/>
        <v>NO</v>
      </c>
    </row>
    <row r="23" spans="1:29" ht="15" thickBot="1" x14ac:dyDescent="0.45">
      <c r="A23" s="4"/>
      <c r="F23" s="7"/>
      <c r="G23" s="15" t="s">
        <v>298</v>
      </c>
      <c r="H23" s="41">
        <f>IFERROR(((SUM(H14:H21))^2)/COUNT(H14:H21),"")</f>
        <v>5512.5</v>
      </c>
      <c r="I23" s="42">
        <f>IFERROR(((SUM(I14:I21))^2)/COUNT(I14:I21),"")</f>
        <v>3362</v>
      </c>
      <c r="J23" s="42">
        <f>IFERROR(((SUM(J14:J21))^2)/COUNT(J14:J21),"")</f>
        <v>2016.125</v>
      </c>
      <c r="K23" s="42">
        <f>IFERROR(((SUM(K14:K21))^2)/COUNT(K14:K21),"")</f>
        <v>252</v>
      </c>
      <c r="L23" s="42">
        <f>IFERROR(((SUM(L14:L21))^2)/COUNT(L14:L21),"")</f>
        <v>162</v>
      </c>
      <c r="M23" s="25"/>
      <c r="N23" s="44"/>
      <c r="O23" s="45"/>
      <c r="P23" s="46"/>
      <c r="Q23" s="25"/>
      <c r="R23" s="25"/>
      <c r="S23" s="25"/>
      <c r="T23" s="25"/>
      <c r="U23" s="47"/>
      <c r="V23" s="16" t="s">
        <v>299</v>
      </c>
      <c r="W23" s="25">
        <f>ABS(U16-T16)</f>
        <v>3</v>
      </c>
      <c r="X23" s="25">
        <v>7.7528796493395182</v>
      </c>
      <c r="Y23">
        <f t="shared" si="3"/>
        <v>0.38695299497594748</v>
      </c>
      <c r="Z23">
        <f>X23/Q17</f>
        <v>2.7619474110971685</v>
      </c>
      <c r="AA23" s="7">
        <f t="shared" si="4"/>
        <v>0.69879100692074814</v>
      </c>
      <c r="AB23" s="25">
        <v>0.05</v>
      </c>
      <c r="AC23" s="36" t="str">
        <f t="shared" si="5"/>
        <v>NO</v>
      </c>
    </row>
    <row r="24" spans="1:29" ht="15" thickBot="1" x14ac:dyDescent="0.45">
      <c r="A24" s="4" t="s">
        <v>41</v>
      </c>
      <c r="B24" t="s">
        <v>260</v>
      </c>
      <c r="C24" t="s">
        <v>261</v>
      </c>
      <c r="D24" t="s">
        <v>262</v>
      </c>
      <c r="E24" t="s">
        <v>263</v>
      </c>
      <c r="F24" s="7" t="s">
        <v>265</v>
      </c>
      <c r="G24" s="10" t="s">
        <v>266</v>
      </c>
      <c r="H24" s="48" t="s">
        <v>260</v>
      </c>
      <c r="I24" s="31" t="s">
        <v>261</v>
      </c>
      <c r="J24" s="31" t="s">
        <v>262</v>
      </c>
      <c r="K24" s="27" t="s">
        <v>263</v>
      </c>
      <c r="L24" s="32" t="s">
        <v>265</v>
      </c>
      <c r="M24" s="31"/>
      <c r="N24" s="33"/>
      <c r="O24" s="49"/>
      <c r="P24" s="10" t="s">
        <v>267</v>
      </c>
      <c r="Q24" s="31" t="s">
        <v>260</v>
      </c>
      <c r="R24" s="31" t="s">
        <v>261</v>
      </c>
      <c r="S24" s="31" t="s">
        <v>262</v>
      </c>
      <c r="T24" s="27" t="s">
        <v>263</v>
      </c>
      <c r="U24" s="32" t="s">
        <v>265</v>
      </c>
      <c r="V24" s="11" t="s">
        <v>268</v>
      </c>
      <c r="W24" s="31" t="s">
        <v>269</v>
      </c>
      <c r="X24" s="31" t="s">
        <v>270</v>
      </c>
      <c r="Y24" s="31" t="s">
        <v>271</v>
      </c>
      <c r="Z24" s="31" t="s">
        <v>272</v>
      </c>
      <c r="AA24" s="32" t="s">
        <v>273</v>
      </c>
      <c r="AB24" s="31" t="s">
        <v>274</v>
      </c>
      <c r="AC24" s="33" t="s">
        <v>275</v>
      </c>
    </row>
    <row r="25" spans="1:29" ht="15" thickBot="1" x14ac:dyDescent="0.45">
      <c r="A25" s="4"/>
      <c r="B25">
        <v>3.35</v>
      </c>
      <c r="C25">
        <v>22.035000000000004</v>
      </c>
      <c r="D25">
        <v>42.445</v>
      </c>
      <c r="E25">
        <v>66.045000000000002</v>
      </c>
      <c r="F25">
        <v>196.345</v>
      </c>
      <c r="G25" s="12" t="s">
        <v>276</v>
      </c>
      <c r="H25">
        <f>IFERROR(_xlfn.RANK.AVG(B25,B25:F32,1),"")</f>
        <v>5</v>
      </c>
      <c r="I25">
        <f>IFERROR(_xlfn.RANK.AVG(C25,B25:F32,1),"")</f>
        <v>16</v>
      </c>
      <c r="J25">
        <f>IFERROR(_xlfn.RANK.AVG(D25,B25:F32,1),"")</f>
        <v>22</v>
      </c>
      <c r="K25">
        <f>IFERROR(_xlfn.RANK.AVG(E25,B25:F32,1),"")</f>
        <v>26</v>
      </c>
      <c r="L25" s="7">
        <f>IFERROR(_xlfn.RANK.AVG(F25,B25:F32,1),"")</f>
        <v>33</v>
      </c>
      <c r="M25" s="6" t="s">
        <v>277</v>
      </c>
      <c r="N25" s="34">
        <f>COUNT(H25:L32)</f>
        <v>33</v>
      </c>
      <c r="O25" s="35"/>
      <c r="P25" s="12" t="s">
        <v>278</v>
      </c>
      <c r="Q25">
        <f>H33</f>
        <v>37</v>
      </c>
      <c r="R25">
        <f>I33</f>
        <v>99</v>
      </c>
      <c r="S25">
        <f>J33</f>
        <v>166</v>
      </c>
      <c r="T25">
        <f>K33</f>
        <v>194</v>
      </c>
      <c r="U25" s="7">
        <f>L33</f>
        <v>65</v>
      </c>
      <c r="V25" s="13" t="s">
        <v>279</v>
      </c>
      <c r="W25">
        <f>ABS(Q27-R27)</f>
        <v>7.75</v>
      </c>
      <c r="X25">
        <v>4.8347699014534289</v>
      </c>
      <c r="Y25">
        <f t="shared" ref="Y25:Y34" si="6">W25/X25</f>
        <v>1.6029718389845593</v>
      </c>
      <c r="Z25">
        <f>X25/Q28</f>
        <v>1.7223768221021474</v>
      </c>
      <c r="AA25" s="7">
        <f t="shared" ref="AA25:AA34" si="7">2*(1-_xlfn.NORM.S.DIST(Y25,TRUE))</f>
        <v>0.10894087157711474</v>
      </c>
      <c r="AB25" cm="1">
        <f t="array" ref="AB25:AB34">RANK(AA25:AA34,AA25:AA34,1)*Q30</f>
        <v>3.5000000000000003E-2</v>
      </c>
      <c r="AC25" s="36" t="str">
        <f t="shared" ref="AC25:AC34" si="8">IF(AA25&lt;AB25,"YES","NO")</f>
        <v>NO</v>
      </c>
    </row>
    <row r="26" spans="1:29" ht="15" thickBot="1" x14ac:dyDescent="0.45">
      <c r="A26" s="4"/>
      <c r="B26">
        <v>5.0349999999999993</v>
      </c>
      <c r="C26">
        <v>16.255000000000003</v>
      </c>
      <c r="D26">
        <v>47.054999999999993</v>
      </c>
      <c r="E26">
        <v>71.655000000000001</v>
      </c>
      <c r="F26">
        <v>130.14250000000001</v>
      </c>
      <c r="G26" s="12"/>
      <c r="H26">
        <f>IFERROR(_xlfn.RANK.AVG(B26,B25:F32,1),"")</f>
        <v>9</v>
      </c>
      <c r="I26">
        <f>IFERROR(_xlfn.RANK.AVG(C26,B25:F32,1),"")</f>
        <v>12</v>
      </c>
      <c r="J26">
        <f>IFERROR(_xlfn.RANK.AVG(D26,B25:F32,1),"")</f>
        <v>25</v>
      </c>
      <c r="K26">
        <f>IFERROR(_xlfn.RANK.AVG(E26,B25:F32,1),"")</f>
        <v>27</v>
      </c>
      <c r="L26" s="7">
        <f>IFERROR(_xlfn.RANK.AVG(F26,B25:F32,1),"")</f>
        <v>32</v>
      </c>
      <c r="M26" s="6" t="s">
        <v>280</v>
      </c>
      <c r="N26" s="34">
        <f>SUM(H34:L34)</f>
        <v>12329.821428571428</v>
      </c>
      <c r="O26" s="35"/>
      <c r="P26" s="12" t="s">
        <v>277</v>
      </c>
      <c r="Q26">
        <f>COUNT(H25:H32)</f>
        <v>8</v>
      </c>
      <c r="R26">
        <f>COUNT(I25:I32)</f>
        <v>8</v>
      </c>
      <c r="S26">
        <f>COUNT(J25:J32)</f>
        <v>8</v>
      </c>
      <c r="T26">
        <f>COUNT(K25:K32)</f>
        <v>7</v>
      </c>
      <c r="U26" s="7">
        <f>COUNT(L25:L32)</f>
        <v>2</v>
      </c>
      <c r="V26" s="13" t="s">
        <v>281</v>
      </c>
      <c r="W26">
        <f>ABS(Q27-S27)</f>
        <v>16.125</v>
      </c>
      <c r="X26">
        <v>4.8347699014534289</v>
      </c>
      <c r="Y26">
        <f t="shared" si="6"/>
        <v>3.3352156004678735</v>
      </c>
      <c r="Z26">
        <f>X26/Q28</f>
        <v>1.7223768221021474</v>
      </c>
      <c r="AA26" s="7">
        <f t="shared" si="7"/>
        <v>8.5233288359165549E-4</v>
      </c>
      <c r="AB26">
        <v>1.4999999999999999E-2</v>
      </c>
      <c r="AC26" s="36" t="str">
        <f t="shared" si="8"/>
        <v>YES</v>
      </c>
    </row>
    <row r="27" spans="1:29" ht="15" thickBot="1" x14ac:dyDescent="0.45">
      <c r="A27" s="4"/>
      <c r="B27">
        <v>2.66</v>
      </c>
      <c r="C27">
        <v>17.074999999999999</v>
      </c>
      <c r="D27">
        <v>34.875</v>
      </c>
      <c r="E27">
        <v>78.38</v>
      </c>
      <c r="F27" t="s">
        <v>282</v>
      </c>
      <c r="G27" s="12"/>
      <c r="H27">
        <f>IFERROR(_xlfn.RANK.AVG(B27,B25:F32,1),"")</f>
        <v>2</v>
      </c>
      <c r="I27">
        <f>IFERROR(_xlfn.RANK.AVG(C27,B25:F32,1),"")</f>
        <v>13</v>
      </c>
      <c r="J27">
        <f>IFERROR(_xlfn.RANK.AVG(D27,B25:F32,1),"")</f>
        <v>19</v>
      </c>
      <c r="K27">
        <f>IFERROR(_xlfn.RANK.AVG(E27,B25:F32,1),"")</f>
        <v>28</v>
      </c>
      <c r="L27" s="7" t="str">
        <f>IFERROR(_xlfn.RANK.AVG(F27,B25:F32,1),"")</f>
        <v/>
      </c>
      <c r="M27" s="6" t="s">
        <v>283</v>
      </c>
      <c r="N27" s="34">
        <f>12*N26/(N25*(N25+1))-3*(N25+1)</f>
        <v>29.869747899159648</v>
      </c>
      <c r="O27" s="35"/>
      <c r="P27" s="14" t="s">
        <v>284</v>
      </c>
      <c r="Q27" s="27">
        <f>Q25/Q26</f>
        <v>4.625</v>
      </c>
      <c r="R27" s="27">
        <f>R25/R26</f>
        <v>12.375</v>
      </c>
      <c r="S27" s="27">
        <f>S25/S26</f>
        <v>20.75</v>
      </c>
      <c r="T27" s="27">
        <f>T25/T26</f>
        <v>27.714285714285715</v>
      </c>
      <c r="U27" s="27">
        <f>U25/U26</f>
        <v>32.5</v>
      </c>
      <c r="V27" s="13" t="s">
        <v>285</v>
      </c>
      <c r="W27">
        <f>ABS(Q27-T27)</f>
        <v>23.089285714285715</v>
      </c>
      <c r="X27">
        <v>5.0044622945070589</v>
      </c>
      <c r="Y27">
        <f t="shared" si="6"/>
        <v>4.6137395699091819</v>
      </c>
      <c r="Z27">
        <f>X27/Q28</f>
        <v>1.7828293877133372</v>
      </c>
      <c r="AA27" s="7">
        <f t="shared" si="7"/>
        <v>3.9548792483135031E-6</v>
      </c>
      <c r="AB27">
        <v>5.0000000000000001E-3</v>
      </c>
      <c r="AC27" s="36" t="str">
        <f t="shared" si="8"/>
        <v>YES</v>
      </c>
    </row>
    <row r="28" spans="1:29" ht="15" thickBot="1" x14ac:dyDescent="0.45">
      <c r="A28" s="4"/>
      <c r="B28">
        <v>2.7149999999999999</v>
      </c>
      <c r="C28">
        <v>4.9000000000000004</v>
      </c>
      <c r="D28">
        <v>40.894999999999996</v>
      </c>
      <c r="E28">
        <v>90.210000000000008</v>
      </c>
      <c r="F28" t="s">
        <v>282</v>
      </c>
      <c r="G28" s="12"/>
      <c r="H28">
        <f>IFERROR(_xlfn.RANK.AVG(B28,B25:F32,1),"")</f>
        <v>3</v>
      </c>
      <c r="I28">
        <f>IFERROR(_xlfn.RANK.AVG(C28,B25:F32,1),"")</f>
        <v>8</v>
      </c>
      <c r="J28">
        <f>IFERROR(_xlfn.RANK.AVG(D28,B25:F32,1),"")</f>
        <v>20</v>
      </c>
      <c r="K28">
        <f>IFERROR(_xlfn.RANK.AVG(E28,B25:F32,1),"")</f>
        <v>30</v>
      </c>
      <c r="L28" s="7" t="str">
        <f>IFERROR(_xlfn.RANK.AVG(F28,B25:F32,1),"")</f>
        <v/>
      </c>
      <c r="M28" s="6" t="s">
        <v>286</v>
      </c>
      <c r="N28" s="34">
        <v>5</v>
      </c>
      <c r="O28" s="35"/>
      <c r="P28" s="12" t="s">
        <v>287</v>
      </c>
      <c r="Q28">
        <f>_xlfn.NORM.S.INV(1-Q30/2)</f>
        <v>2.8070337683438114</v>
      </c>
      <c r="U28" s="7"/>
      <c r="V28" s="13" t="s">
        <v>288</v>
      </c>
      <c r="W28">
        <f>ABS(R27-S27)</f>
        <v>8.375</v>
      </c>
      <c r="X28">
        <v>4.8347699014534289</v>
      </c>
      <c r="Y28">
        <f t="shared" si="6"/>
        <v>1.7322437614833142</v>
      </c>
      <c r="Z28">
        <f>X28/Q28</f>
        <v>1.7223768221021474</v>
      </c>
      <c r="AA28" s="7">
        <f t="shared" si="7"/>
        <v>8.323017041095726E-2</v>
      </c>
      <c r="AB28">
        <v>0.03</v>
      </c>
      <c r="AC28" s="36" t="str">
        <f t="shared" si="8"/>
        <v>NO</v>
      </c>
    </row>
    <row r="29" spans="1:29" ht="15" thickBot="1" x14ac:dyDescent="0.45">
      <c r="A29" s="4"/>
      <c r="B29">
        <v>4.3600000000000003</v>
      </c>
      <c r="C29">
        <v>8.6900000000000013</v>
      </c>
      <c r="D29">
        <v>31.53</v>
      </c>
      <c r="E29">
        <v>84.210000000000008</v>
      </c>
      <c r="F29" t="s">
        <v>282</v>
      </c>
      <c r="G29" s="12"/>
      <c r="H29">
        <f>IFERROR(_xlfn.RANK.AVG(B29,B25:F32,1),"")</f>
        <v>7</v>
      </c>
      <c r="I29">
        <f>IFERROR(_xlfn.RANK.AVG(C29,B25:F32,1),"")</f>
        <v>10</v>
      </c>
      <c r="J29">
        <f>IFERROR(_xlfn.RANK.AVG(D29,B25:F32,1),"")</f>
        <v>18</v>
      </c>
      <c r="K29">
        <f>IFERROR(_xlfn.RANK.AVG(E29,B25:F32,1),"")</f>
        <v>29</v>
      </c>
      <c r="L29" s="7" t="str">
        <f>IFERROR(_xlfn.RANK.AVG(F29,B25:F32,1),"")</f>
        <v/>
      </c>
      <c r="M29" s="6" t="s">
        <v>289</v>
      </c>
      <c r="N29" s="34">
        <f>_xlfn.CHISQ.DIST.RT(N27,N28)</f>
        <v>1.5645237400756568E-5</v>
      </c>
      <c r="O29" s="35"/>
      <c r="P29" s="12" t="s">
        <v>290</v>
      </c>
      <c r="Q29">
        <f>N25</f>
        <v>33</v>
      </c>
      <c r="U29" s="7"/>
      <c r="V29" s="13" t="s">
        <v>291</v>
      </c>
      <c r="W29">
        <f>ABS(R27-T27)</f>
        <v>15.339285714285715</v>
      </c>
      <c r="X29">
        <v>5.0044622945070589</v>
      </c>
      <c r="Y29">
        <f t="shared" si="6"/>
        <v>3.0651216477586907</v>
      </c>
      <c r="Z29">
        <f>X29/Q28</f>
        <v>1.7828293877133372</v>
      </c>
      <c r="AA29" s="7">
        <f t="shared" si="7"/>
        <v>2.1758147880839296E-3</v>
      </c>
      <c r="AB29">
        <v>0.02</v>
      </c>
      <c r="AC29" s="36" t="str">
        <f t="shared" si="8"/>
        <v>YES</v>
      </c>
    </row>
    <row r="30" spans="1:29" ht="15" thickBot="1" x14ac:dyDescent="0.45">
      <c r="A30" s="4"/>
      <c r="B30">
        <v>2</v>
      </c>
      <c r="C30">
        <v>14.975</v>
      </c>
      <c r="D30">
        <v>44.884999999999998</v>
      </c>
      <c r="E30">
        <v>42.71</v>
      </c>
      <c r="F30" t="s">
        <v>282</v>
      </c>
      <c r="G30" s="12"/>
      <c r="H30">
        <f>IFERROR(_xlfn.RANK.AVG(B30,B25:F32,1),"")</f>
        <v>1</v>
      </c>
      <c r="I30">
        <f>IFERROR(_xlfn.RANK.AVG(C30,B25:F32,1),"")</f>
        <v>11</v>
      </c>
      <c r="J30">
        <f>IFERROR(_xlfn.RANK.AVG(D30,B25:F32,1),"")</f>
        <v>24</v>
      </c>
      <c r="K30">
        <f>IFERROR(_xlfn.RANK.AVG(E30,B25:F32,1),"")</f>
        <v>23</v>
      </c>
      <c r="L30" s="7" t="str">
        <f>IFERROR(_xlfn.RANK.AVG(F30,B25:F32,1),"")</f>
        <v/>
      </c>
      <c r="M30" s="6" t="s">
        <v>292</v>
      </c>
      <c r="N30" s="34">
        <v>0.05</v>
      </c>
      <c r="O30" s="35"/>
      <c r="P30" s="12" t="s">
        <v>293</v>
      </c>
      <c r="Q30">
        <f>N19/(COUNT(Q15:U15)*(COUNT(Q15:U15)-1)/2)</f>
        <v>5.0000000000000001E-3</v>
      </c>
      <c r="U30" s="7"/>
      <c r="V30" s="13" t="s">
        <v>294</v>
      </c>
      <c r="W30">
        <f>ABS(S27-T27)</f>
        <v>6.9642857142857153</v>
      </c>
      <c r="X30">
        <v>5.0044622945070589</v>
      </c>
      <c r="Y30">
        <f t="shared" si="6"/>
        <v>1.3916151834992894</v>
      </c>
      <c r="Z30">
        <f>X30/Q28</f>
        <v>1.7828293877133372</v>
      </c>
      <c r="AA30" s="7">
        <f t="shared" si="7"/>
        <v>0.16403895852679939</v>
      </c>
      <c r="AB30">
        <v>4.4999999999999998E-2</v>
      </c>
      <c r="AC30" s="36" t="str">
        <f t="shared" si="8"/>
        <v>NO</v>
      </c>
    </row>
    <row r="31" spans="1:29" ht="15" thickBot="1" x14ac:dyDescent="0.45">
      <c r="A31" s="4"/>
      <c r="B31">
        <v>3.4049999999999998</v>
      </c>
      <c r="C31">
        <v>20.475000000000001</v>
      </c>
      <c r="D31">
        <v>41.820000000000007</v>
      </c>
      <c r="E31">
        <v>91.594999999999999</v>
      </c>
      <c r="F31" t="s">
        <v>282</v>
      </c>
      <c r="G31" s="12"/>
      <c r="H31">
        <f>IFERROR(_xlfn.RANK.AVG(B31,B25:F32,1),"")</f>
        <v>6</v>
      </c>
      <c r="I31">
        <f>IFERROR(_xlfn.RANK.AVG(C31,B25:F32,1),"")</f>
        <v>14</v>
      </c>
      <c r="J31">
        <f>IFERROR(_xlfn.RANK.AVG(D31,B25:F32,1),"")</f>
        <v>21</v>
      </c>
      <c r="K31">
        <f>IFERROR(_xlfn.RANK.AVG(E31,B25:F32,1),"")</f>
        <v>31</v>
      </c>
      <c r="L31" s="7" t="str">
        <f>IFERROR(_xlfn.RANK.AVG(F31,B25:F32,1),"")</f>
        <v/>
      </c>
      <c r="M31" s="6" t="s">
        <v>275</v>
      </c>
      <c r="N31" s="36" t="str">
        <f>IF(N29&lt;N30,"YES","NO")</f>
        <v>YES</v>
      </c>
      <c r="O31" s="37"/>
      <c r="P31" s="12"/>
      <c r="U31" s="7"/>
      <c r="V31" s="13" t="s">
        <v>295</v>
      </c>
      <c r="W31">
        <f>ABS(U27-Q27)</f>
        <v>27.875</v>
      </c>
      <c r="X31">
        <v>7.6444424257103281</v>
      </c>
      <c r="Y31">
        <f t="shared" si="6"/>
        <v>3.6464399164350865</v>
      </c>
      <c r="Z31">
        <f>X31/Q28</f>
        <v>2.7233168734627138</v>
      </c>
      <c r="AA31" s="7">
        <f t="shared" si="7"/>
        <v>2.6589861416148608E-4</v>
      </c>
      <c r="AB31">
        <v>0.01</v>
      </c>
      <c r="AC31" s="36" t="str">
        <f t="shared" si="8"/>
        <v>YES</v>
      </c>
    </row>
    <row r="32" spans="1:29" ht="15" thickBot="1" x14ac:dyDescent="0.45">
      <c r="A32" s="4"/>
      <c r="B32">
        <v>3.2149999999999999</v>
      </c>
      <c r="C32">
        <v>21.044999999999998</v>
      </c>
      <c r="D32">
        <v>31.429999999999996</v>
      </c>
      <c r="E32" t="s">
        <v>282</v>
      </c>
      <c r="F32" t="s">
        <v>282</v>
      </c>
      <c r="G32" s="12"/>
      <c r="H32">
        <f>IFERROR(_xlfn.RANK.AVG(B32,B25:F32,1),"")</f>
        <v>4</v>
      </c>
      <c r="I32">
        <f>IFERROR(_xlfn.RANK.AVG(C32,B25:F32,1),"")</f>
        <v>15</v>
      </c>
      <c r="J32">
        <f>IFERROR(_xlfn.RANK.AVG(D32,B25:F32,1),"")</f>
        <v>17</v>
      </c>
      <c r="K32" s="27" t="str">
        <f>IFERROR(_xlfn.RANK.AVG(E32,B25:F32,1),"")</f>
        <v/>
      </c>
      <c r="L32" s="7" t="str">
        <f>IFERROR(_xlfn.RANK.AVG(F32,B25:F32,1),"")</f>
        <v/>
      </c>
      <c r="N32" s="34"/>
      <c r="O32" s="35"/>
      <c r="P32" s="38"/>
      <c r="U32" s="7"/>
      <c r="V32" s="13" t="s">
        <v>296</v>
      </c>
      <c r="W32">
        <f>ABS(U27-R27)</f>
        <v>20.125</v>
      </c>
      <c r="X32">
        <v>7.6444424257103281</v>
      </c>
      <c r="Y32">
        <f t="shared" si="6"/>
        <v>2.6326315091751074</v>
      </c>
      <c r="Z32">
        <f>X32/Q28</f>
        <v>2.7233168734627138</v>
      </c>
      <c r="AA32" s="7">
        <f t="shared" si="7"/>
        <v>8.4726215115655812E-3</v>
      </c>
      <c r="AB32">
        <v>2.5000000000000001E-2</v>
      </c>
      <c r="AC32" s="36" t="str">
        <f t="shared" si="8"/>
        <v>YES</v>
      </c>
    </row>
    <row r="33" spans="1:29" ht="15" thickBot="1" x14ac:dyDescent="0.45">
      <c r="A33" s="4"/>
      <c r="F33" s="7"/>
      <c r="G33" s="12" t="s">
        <v>278</v>
      </c>
      <c r="H33" s="39">
        <f>SUM(H25:H32)</f>
        <v>37</v>
      </c>
      <c r="I33" s="40">
        <f>SUM(I25:I32)</f>
        <v>99</v>
      </c>
      <c r="J33" s="40">
        <f>SUM(J25:J32)</f>
        <v>166</v>
      </c>
      <c r="K33" s="50">
        <f>SUM(K25:K32)</f>
        <v>194</v>
      </c>
      <c r="L33" s="40">
        <f>SUM(L25:L32)</f>
        <v>65</v>
      </c>
      <c r="N33" s="34"/>
      <c r="O33" s="35"/>
      <c r="P33" s="38"/>
      <c r="U33" s="7"/>
      <c r="V33" s="13" t="s">
        <v>297</v>
      </c>
      <c r="W33">
        <f>ABS(U27-S27)</f>
        <v>11.75</v>
      </c>
      <c r="X33">
        <v>7.6444424257103281</v>
      </c>
      <c r="Y33">
        <f t="shared" si="6"/>
        <v>1.5370643593941622</v>
      </c>
      <c r="Z33">
        <f>X33/Q28</f>
        <v>2.7233168734627138</v>
      </c>
      <c r="AA33" s="7">
        <f t="shared" si="7"/>
        <v>0.12427754964780768</v>
      </c>
      <c r="AB33">
        <v>0.04</v>
      </c>
      <c r="AC33" s="36" t="str">
        <f t="shared" si="8"/>
        <v>NO</v>
      </c>
    </row>
    <row r="34" spans="1:29" ht="15" thickBot="1" x14ac:dyDescent="0.45">
      <c r="A34" s="4"/>
      <c r="F34" s="7"/>
      <c r="G34" s="15" t="s">
        <v>298</v>
      </c>
      <c r="H34" s="41">
        <f>IFERROR(((SUM(H25:H32))^2)/COUNT(H25:H32),"")</f>
        <v>171.125</v>
      </c>
      <c r="I34" s="42">
        <f>IFERROR(((SUM(I25:I32))^2)/COUNT(I25:I32),"")</f>
        <v>1225.125</v>
      </c>
      <c r="J34" s="42">
        <f>IFERROR(((SUM(J25:J32))^2)/COUNT(J25:J32),"")</f>
        <v>3444.5</v>
      </c>
      <c r="K34" s="42">
        <f>IFERROR(((SUM(K25:K32))^2)/COUNT(K25:K32),"")</f>
        <v>5376.5714285714284</v>
      </c>
      <c r="L34" s="42">
        <f>IFERROR(((SUM(L25:L32))^2)/COUNT(L25:L32),"")</f>
        <v>2112.5</v>
      </c>
      <c r="M34" s="25"/>
      <c r="N34" s="44"/>
      <c r="O34" s="45"/>
      <c r="P34" s="46"/>
      <c r="Q34" s="25"/>
      <c r="R34" s="25"/>
      <c r="S34" s="25"/>
      <c r="T34" s="25"/>
      <c r="U34" s="47"/>
      <c r="V34" s="16" t="s">
        <v>299</v>
      </c>
      <c r="W34" s="25">
        <f>ABS(U27-T27)</f>
        <v>4.7857142857142847</v>
      </c>
      <c r="X34" s="25">
        <v>7.7528796493395182</v>
      </c>
      <c r="Y34">
        <f t="shared" si="6"/>
        <v>0.61728215865210656</v>
      </c>
      <c r="Z34">
        <f>X34/Q28</f>
        <v>2.7619474110971685</v>
      </c>
      <c r="AA34" s="7">
        <f t="shared" si="7"/>
        <v>0.53704863271246439</v>
      </c>
      <c r="AB34" s="25">
        <v>0.05</v>
      </c>
      <c r="AC34" s="36" t="str">
        <f t="shared" si="8"/>
        <v>NO</v>
      </c>
    </row>
    <row r="35" spans="1:29" ht="15" thickBot="1" x14ac:dyDescent="0.45">
      <c r="A35" s="4" t="s">
        <v>61</v>
      </c>
      <c r="B35" t="s">
        <v>260</v>
      </c>
      <c r="C35" t="s">
        <v>261</v>
      </c>
      <c r="D35" t="s">
        <v>262</v>
      </c>
      <c r="E35" t="s">
        <v>263</v>
      </c>
      <c r="F35" s="7" t="s">
        <v>265</v>
      </c>
      <c r="G35" s="10" t="s">
        <v>266</v>
      </c>
      <c r="H35" s="48" t="s">
        <v>260</v>
      </c>
      <c r="I35" s="31" t="s">
        <v>261</v>
      </c>
      <c r="J35" s="31" t="s">
        <v>262</v>
      </c>
      <c r="K35" s="27" t="s">
        <v>263</v>
      </c>
      <c r="L35" s="32" t="s">
        <v>265</v>
      </c>
      <c r="M35" s="31"/>
      <c r="N35" s="33"/>
      <c r="O35" s="49"/>
      <c r="P35" s="10" t="s">
        <v>267</v>
      </c>
      <c r="Q35" s="31" t="s">
        <v>260</v>
      </c>
      <c r="R35" s="31" t="s">
        <v>261</v>
      </c>
      <c r="S35" s="31" t="s">
        <v>262</v>
      </c>
      <c r="T35" s="27" t="s">
        <v>263</v>
      </c>
      <c r="U35" s="32" t="s">
        <v>265</v>
      </c>
      <c r="V35" s="11" t="s">
        <v>268</v>
      </c>
      <c r="W35" s="31" t="s">
        <v>269</v>
      </c>
      <c r="X35" s="31" t="s">
        <v>270</v>
      </c>
      <c r="Y35" s="31" t="s">
        <v>271</v>
      </c>
      <c r="Z35" s="31" t="s">
        <v>272</v>
      </c>
      <c r="AA35" s="32" t="s">
        <v>273</v>
      </c>
      <c r="AB35" s="31" t="s">
        <v>274</v>
      </c>
      <c r="AC35" s="33" t="s">
        <v>275</v>
      </c>
    </row>
    <row r="36" spans="1:29" ht="15" thickBot="1" x14ac:dyDescent="0.45">
      <c r="A36" s="4"/>
      <c r="B36">
        <v>92.47999999999999</v>
      </c>
      <c r="C36">
        <v>0</v>
      </c>
      <c r="D36">
        <v>69.539999999999992</v>
      </c>
      <c r="E36">
        <v>68.179999999999993</v>
      </c>
      <c r="F36">
        <v>51.617499999999993</v>
      </c>
      <c r="G36" s="12" t="s">
        <v>276</v>
      </c>
      <c r="H36">
        <f>IFERROR(_xlfn.RANK.AVG(B36,B36:F43,1),"")</f>
        <v>31</v>
      </c>
      <c r="I36">
        <f>IFERROR(_xlfn.RANK.AVG(C36,B36:F43,1),"")</f>
        <v>2</v>
      </c>
      <c r="J36">
        <f>IFERROR(_xlfn.RANK.AVG(D36,B36:F43,1),"")</f>
        <v>15</v>
      </c>
      <c r="K36">
        <f>IFERROR(_xlfn.RANK.AVG(E36,B36:F43,1),"")</f>
        <v>13</v>
      </c>
      <c r="L36" s="7">
        <f>IFERROR(_xlfn.RANK.AVG(F36,B36:F43,1),"")</f>
        <v>5</v>
      </c>
      <c r="M36" s="6" t="s">
        <v>277</v>
      </c>
      <c r="N36" s="34">
        <f>COUNT(H36:L43)</f>
        <v>33</v>
      </c>
      <c r="O36" s="35"/>
      <c r="P36" s="12" t="s">
        <v>278</v>
      </c>
      <c r="Q36">
        <f>H44</f>
        <v>194</v>
      </c>
      <c r="R36">
        <f>I44</f>
        <v>69</v>
      </c>
      <c r="S36">
        <f>J44</f>
        <v>193</v>
      </c>
      <c r="T36">
        <f>K44</f>
        <v>96</v>
      </c>
      <c r="U36" s="7">
        <f>L44</f>
        <v>9</v>
      </c>
      <c r="V36" s="13" t="s">
        <v>279</v>
      </c>
      <c r="W36">
        <f>ABS(Q38-R38)</f>
        <v>15.625</v>
      </c>
      <c r="X36">
        <v>4.8312329653838848</v>
      </c>
      <c r="Y36">
        <f t="shared" ref="Y36:Y45" si="9">W36/X36</f>
        <v>3.2341640554190194</v>
      </c>
      <c r="Z36">
        <f>X36/Q39</f>
        <v>1.7211167959102889</v>
      </c>
      <c r="AA36" s="7">
        <f t="shared" ref="AA36:AA45" si="10">2*(1-_xlfn.NORM.S.DIST(Y36,TRUE))</f>
        <v>1.2199935440702081E-3</v>
      </c>
      <c r="AB36" cm="1">
        <f t="array" ref="AB36:AB45">RANK(AA36:AA45,AA36:AA45,1)*Q41</f>
        <v>5.0000000000000001E-3</v>
      </c>
      <c r="AC36" s="36" t="str">
        <f t="shared" ref="AC36:AC45" si="11">IF(AA36&lt;AB36,"YES","NO")</f>
        <v>YES</v>
      </c>
    </row>
    <row r="37" spans="1:29" ht="15" thickBot="1" x14ac:dyDescent="0.45">
      <c r="A37" s="4"/>
      <c r="B37">
        <v>90</v>
      </c>
      <c r="C37">
        <v>73.55</v>
      </c>
      <c r="D37">
        <v>87.54</v>
      </c>
      <c r="E37">
        <v>72.61</v>
      </c>
      <c r="F37">
        <v>38.459999999999994</v>
      </c>
      <c r="G37" s="12"/>
      <c r="H37">
        <f>IFERROR(_xlfn.RANK.AVG(B37,B36:F43,1),"")</f>
        <v>29</v>
      </c>
      <c r="I37">
        <f>IFERROR(_xlfn.RANK.AVG(C37,B36:F43,1),"")</f>
        <v>17</v>
      </c>
      <c r="J37">
        <f>IFERROR(_xlfn.RANK.AVG(D37,B36:F43,1),"")</f>
        <v>26</v>
      </c>
      <c r="K37">
        <f>IFERROR(_xlfn.RANK.AVG(E37,B36:F43,1),"")</f>
        <v>16</v>
      </c>
      <c r="L37" s="7">
        <f>IFERROR(_xlfn.RANK.AVG(F37,B36:F43,1),"")</f>
        <v>4</v>
      </c>
      <c r="M37" s="6" t="s">
        <v>280</v>
      </c>
      <c r="N37" s="34">
        <f>SUM(H45:L45)</f>
        <v>11312.821428571429</v>
      </c>
      <c r="O37" s="35"/>
      <c r="P37" s="12" t="s">
        <v>277</v>
      </c>
      <c r="Q37">
        <f>COUNT(H36:H43)</f>
        <v>8</v>
      </c>
      <c r="R37">
        <f>COUNT(I36:I43)</f>
        <v>8</v>
      </c>
      <c r="S37">
        <f>COUNT(J36:J43)</f>
        <v>8</v>
      </c>
      <c r="T37">
        <f>COUNT(K36:K43)</f>
        <v>7</v>
      </c>
      <c r="U37" s="7">
        <f>COUNT(L36:L43)</f>
        <v>2</v>
      </c>
      <c r="V37" s="13" t="s">
        <v>281</v>
      </c>
      <c r="W37">
        <f>ABS(Q38-S38)</f>
        <v>0.125</v>
      </c>
      <c r="X37">
        <v>4.8331537322953011</v>
      </c>
      <c r="Y37">
        <f t="shared" si="9"/>
        <v>2.5863030005593587E-2</v>
      </c>
      <c r="Z37">
        <f>X37/Q39</f>
        <v>1.7218010651674236</v>
      </c>
      <c r="AA37" s="7">
        <f t="shared" si="10"/>
        <v>0.9793665879574962</v>
      </c>
      <c r="AB37">
        <v>0.05</v>
      </c>
      <c r="AC37" s="36" t="str">
        <f t="shared" si="11"/>
        <v>NO</v>
      </c>
    </row>
    <row r="38" spans="1:29" ht="15" thickBot="1" x14ac:dyDescent="0.45">
      <c r="A38" s="4"/>
      <c r="B38">
        <v>106.68000000000002</v>
      </c>
      <c r="C38">
        <v>79.099999999999994</v>
      </c>
      <c r="D38">
        <v>90.96</v>
      </c>
      <c r="E38">
        <v>61.195000000000007</v>
      </c>
      <c r="F38" t="s">
        <v>282</v>
      </c>
      <c r="G38" s="12"/>
      <c r="H38">
        <f>IFERROR(_xlfn.RANK.AVG(B38,B36:F43,1),"")</f>
        <v>33</v>
      </c>
      <c r="I38">
        <f>IFERROR(_xlfn.RANK.AVG(C38,B36:F43,1),"")</f>
        <v>20</v>
      </c>
      <c r="J38">
        <f>IFERROR(_xlfn.RANK.AVG(D38,B36:F43,1),"")</f>
        <v>30</v>
      </c>
      <c r="K38">
        <f>IFERROR(_xlfn.RANK.AVG(E38,B36:F43,1),"")</f>
        <v>7</v>
      </c>
      <c r="L38" s="7" t="str">
        <f>IFERROR(_xlfn.RANK.AVG(F38,B36:F43,1),"")</f>
        <v/>
      </c>
      <c r="M38" s="6" t="s">
        <v>283</v>
      </c>
      <c r="N38" s="34">
        <f>12*N37/(N36*(N36+1))-3*(N36+1)</f>
        <v>18.992742551566096</v>
      </c>
      <c r="O38" s="35"/>
      <c r="P38" s="14" t="s">
        <v>284</v>
      </c>
      <c r="Q38" s="27">
        <f>Q36/Q37</f>
        <v>24.25</v>
      </c>
      <c r="R38" s="27">
        <f>R36/R37</f>
        <v>8.625</v>
      </c>
      <c r="S38" s="27">
        <f>S36/S37</f>
        <v>24.125</v>
      </c>
      <c r="T38" s="27">
        <f>T36/T37</f>
        <v>13.714285714285714</v>
      </c>
      <c r="U38" s="27">
        <f>U36/U37</f>
        <v>4.5</v>
      </c>
      <c r="V38" s="13" t="s">
        <v>285</v>
      </c>
      <c r="W38">
        <f>ABS(Q38-T38)</f>
        <v>10.535714285714286</v>
      </c>
      <c r="X38">
        <v>5.0027894004959155</v>
      </c>
      <c r="Y38">
        <f t="shared" si="9"/>
        <v>2.1059679795175676</v>
      </c>
      <c r="Z38">
        <f>X38/Q39</f>
        <v>1.7822334226665291</v>
      </c>
      <c r="AA38" s="7">
        <f t="shared" si="10"/>
        <v>3.5207133876186569E-2</v>
      </c>
      <c r="AB38">
        <v>2.5000000000000001E-2</v>
      </c>
      <c r="AC38" s="36" t="str">
        <f t="shared" si="11"/>
        <v>NO</v>
      </c>
    </row>
    <row r="39" spans="1:29" ht="15" thickBot="1" x14ac:dyDescent="0.45">
      <c r="A39" s="4"/>
      <c r="B39">
        <v>62.385000000000005</v>
      </c>
      <c r="C39">
        <v>0</v>
      </c>
      <c r="D39">
        <v>81.87</v>
      </c>
      <c r="E39">
        <v>64.89500000000001</v>
      </c>
      <c r="F39" t="s">
        <v>282</v>
      </c>
      <c r="G39" s="12"/>
      <c r="H39">
        <f>IFERROR(_xlfn.RANK.AVG(B39,B36:F43,1),"")</f>
        <v>8</v>
      </c>
      <c r="I39">
        <f>IFERROR(_xlfn.RANK.AVG(C39,B36:F43,1),"")</f>
        <v>2</v>
      </c>
      <c r="J39">
        <f>IFERROR(_xlfn.RANK.AVG(D39,B36:F43,1),"")</f>
        <v>22</v>
      </c>
      <c r="K39">
        <f>IFERROR(_xlfn.RANK.AVG(E39,B36:F43,1),"")</f>
        <v>10</v>
      </c>
      <c r="L39" s="7" t="str">
        <f>IFERROR(_xlfn.RANK.AVG(F39,B36:F43,1),"")</f>
        <v/>
      </c>
      <c r="M39" s="6" t="s">
        <v>286</v>
      </c>
      <c r="N39" s="34">
        <v>5</v>
      </c>
      <c r="O39" s="35"/>
      <c r="P39" s="12" t="s">
        <v>287</v>
      </c>
      <c r="Q39">
        <f>_xlfn.NORM.S.INV(1-Q41/2)</f>
        <v>2.8070337683438114</v>
      </c>
      <c r="U39" s="7"/>
      <c r="V39" s="13" t="s">
        <v>288</v>
      </c>
      <c r="W39">
        <f>ABS(R38-S38)</f>
        <v>15.5</v>
      </c>
      <c r="X39">
        <v>4.8331537322953011</v>
      </c>
      <c r="Y39">
        <f t="shared" si="9"/>
        <v>3.2070157206936045</v>
      </c>
      <c r="Z39">
        <f>X39/Q39</f>
        <v>1.7218010651674236</v>
      </c>
      <c r="AA39" s="7">
        <f t="shared" si="10"/>
        <v>1.3411966634351291E-3</v>
      </c>
      <c r="AB39">
        <v>0.01</v>
      </c>
      <c r="AC39" s="36" t="str">
        <f t="shared" si="11"/>
        <v>YES</v>
      </c>
    </row>
    <row r="40" spans="1:29" ht="15" thickBot="1" x14ac:dyDescent="0.45">
      <c r="A40" s="4"/>
      <c r="B40">
        <v>87.640000000000015</v>
      </c>
      <c r="C40">
        <v>65.695000000000007</v>
      </c>
      <c r="D40">
        <v>79.265000000000001</v>
      </c>
      <c r="E40">
        <v>68.915000000000006</v>
      </c>
      <c r="F40" t="s">
        <v>282</v>
      </c>
      <c r="G40" s="12"/>
      <c r="H40">
        <f>IFERROR(_xlfn.RANK.AVG(B40,B36:F43,1),"")</f>
        <v>27</v>
      </c>
      <c r="I40">
        <f>IFERROR(_xlfn.RANK.AVG(C40,B36:F43,1),"")</f>
        <v>11</v>
      </c>
      <c r="J40">
        <f>IFERROR(_xlfn.RANK.AVG(D40,B36:F43,1),"")</f>
        <v>21</v>
      </c>
      <c r="K40">
        <f>IFERROR(_xlfn.RANK.AVG(E40,B36:F43,1),"")</f>
        <v>14</v>
      </c>
      <c r="L40" s="7" t="str">
        <f>IFERROR(_xlfn.RANK.AVG(F40,B36:F43,1),"")</f>
        <v/>
      </c>
      <c r="M40" s="6" t="s">
        <v>289</v>
      </c>
      <c r="N40" s="34">
        <f>_xlfn.CHISQ.DIST.RT(N38,N39)</f>
        <v>1.9281287863558948E-3</v>
      </c>
      <c r="O40" s="35"/>
      <c r="P40" s="12" t="s">
        <v>290</v>
      </c>
      <c r="Q40">
        <f>N36</f>
        <v>33</v>
      </c>
      <c r="U40" s="7"/>
      <c r="V40" s="13" t="s">
        <v>291</v>
      </c>
      <c r="W40">
        <f>ABS(R38-T38)</f>
        <v>5.0892857142857135</v>
      </c>
      <c r="X40">
        <v>5.0027894004959155</v>
      </c>
      <c r="Y40">
        <f t="shared" si="9"/>
        <v>1.0172896172245876</v>
      </c>
      <c r="Z40">
        <f>X40/Q39</f>
        <v>1.7822334226665291</v>
      </c>
      <c r="AA40" s="7">
        <f t="shared" si="10"/>
        <v>0.30901567437644939</v>
      </c>
      <c r="AB40">
        <v>0.04</v>
      </c>
      <c r="AC40" s="36" t="str">
        <f t="shared" si="11"/>
        <v>NO</v>
      </c>
    </row>
    <row r="41" spans="1:29" ht="15" thickBot="1" x14ac:dyDescent="0.45">
      <c r="A41" s="4"/>
      <c r="B41">
        <v>85.594999999999999</v>
      </c>
      <c r="C41">
        <v>0</v>
      </c>
      <c r="D41">
        <v>77.114999999999995</v>
      </c>
      <c r="E41">
        <v>66.004999999999995</v>
      </c>
      <c r="F41" t="s">
        <v>282</v>
      </c>
      <c r="G41" s="12"/>
      <c r="H41">
        <f>IFERROR(_xlfn.RANK.AVG(B41,B36:F43,1),"")</f>
        <v>23</v>
      </c>
      <c r="I41">
        <f>IFERROR(_xlfn.RANK.AVG(C41,B36:F43,1),"")</f>
        <v>2</v>
      </c>
      <c r="J41">
        <f>IFERROR(_xlfn.RANK.AVG(D41,B36:F43,1),"")</f>
        <v>19</v>
      </c>
      <c r="K41">
        <f>IFERROR(_xlfn.RANK.AVG(E41,B36:F43,1),"")</f>
        <v>12</v>
      </c>
      <c r="L41" s="7" t="str">
        <f>IFERROR(_xlfn.RANK.AVG(F41,B36:F43,1),"")</f>
        <v/>
      </c>
      <c r="M41" s="6" t="s">
        <v>292</v>
      </c>
      <c r="N41" s="34">
        <v>0.05</v>
      </c>
      <c r="O41" s="35"/>
      <c r="P41" s="12" t="s">
        <v>293</v>
      </c>
      <c r="Q41">
        <f>N30/(COUNT(Q26:U26)*(COUNT(Q26:U26)-1)/2)</f>
        <v>5.0000000000000001E-3</v>
      </c>
      <c r="U41" s="7"/>
      <c r="V41" s="13" t="s">
        <v>294</v>
      </c>
      <c r="W41">
        <f>ABS(S38-T38)</f>
        <v>10.410714285714286</v>
      </c>
      <c r="X41">
        <v>5.0027894004959155</v>
      </c>
      <c r="Y41">
        <f t="shared" si="9"/>
        <v>2.0809819187436305</v>
      </c>
      <c r="Z41">
        <f>X41/Q39</f>
        <v>1.7822334226665291</v>
      </c>
      <c r="AA41" s="7">
        <f t="shared" si="10"/>
        <v>3.7435561093601466E-2</v>
      </c>
      <c r="AB41">
        <v>0.03</v>
      </c>
      <c r="AC41" s="36" t="str">
        <f t="shared" si="11"/>
        <v>NO</v>
      </c>
    </row>
    <row r="42" spans="1:29" ht="15" thickBot="1" x14ac:dyDescent="0.45">
      <c r="A42" s="4"/>
      <c r="B42">
        <v>73.849999999999994</v>
      </c>
      <c r="C42">
        <v>63.69</v>
      </c>
      <c r="D42">
        <v>94.10499999999999</v>
      </c>
      <c r="E42">
        <v>85.66</v>
      </c>
      <c r="F42" t="s">
        <v>282</v>
      </c>
      <c r="G42" s="12"/>
      <c r="H42">
        <f>IFERROR(_xlfn.RANK.AVG(B42,B36:F43,1),"")</f>
        <v>18</v>
      </c>
      <c r="I42">
        <f>IFERROR(_xlfn.RANK.AVG(C42,B36:F43,1),"")</f>
        <v>9</v>
      </c>
      <c r="J42">
        <f>IFERROR(_xlfn.RANK.AVG(D42,B36:F43,1),"")</f>
        <v>32</v>
      </c>
      <c r="K42">
        <f>IFERROR(_xlfn.RANK.AVG(E42,B36:F43,1),"")</f>
        <v>24</v>
      </c>
      <c r="L42" s="7" t="str">
        <f>IFERROR(_xlfn.RANK.AVG(F42,B36:F43,1),"")</f>
        <v/>
      </c>
      <c r="M42" s="6" t="s">
        <v>275</v>
      </c>
      <c r="N42" s="36" t="str">
        <f>IF(N40&lt;N41,"YES","NO")</f>
        <v>YES</v>
      </c>
      <c r="O42" s="37"/>
      <c r="P42" s="12"/>
      <c r="U42" s="7"/>
      <c r="V42" s="13" t="s">
        <v>295</v>
      </c>
      <c r="W42">
        <f>ABS(U38-Q38)</f>
        <v>19.75</v>
      </c>
      <c r="X42">
        <v>7.6418870378984272</v>
      </c>
      <c r="Y42">
        <f t="shared" si="9"/>
        <v>2.584440191546117</v>
      </c>
      <c r="Z42">
        <f>X42/Q39</f>
        <v>2.7224065218165316</v>
      </c>
      <c r="AA42" s="7">
        <f t="shared" si="10"/>
        <v>9.7537219469461256E-3</v>
      </c>
      <c r="AB42">
        <v>1.4999999999999999E-2</v>
      </c>
      <c r="AC42" s="36" t="str">
        <f t="shared" si="11"/>
        <v>YES</v>
      </c>
    </row>
    <row r="43" spans="1:29" ht="15" thickBot="1" x14ac:dyDescent="0.45">
      <c r="A43" s="4"/>
      <c r="B43">
        <v>85.929999999999993</v>
      </c>
      <c r="C43">
        <v>60.484999999999999</v>
      </c>
      <c r="D43">
        <v>88.31</v>
      </c>
      <c r="E43" t="s">
        <v>282</v>
      </c>
      <c r="F43" t="s">
        <v>282</v>
      </c>
      <c r="G43" s="12"/>
      <c r="H43">
        <f>IFERROR(_xlfn.RANK.AVG(B43,B36:F43,1),"")</f>
        <v>25</v>
      </c>
      <c r="I43">
        <f>IFERROR(_xlfn.RANK.AVG(C43,B36:F43,1),"")</f>
        <v>6</v>
      </c>
      <c r="J43">
        <f>IFERROR(_xlfn.RANK.AVG(D43,B36:F43,1),"")</f>
        <v>28</v>
      </c>
      <c r="K43" s="27" t="str">
        <f>IFERROR(_xlfn.RANK.AVG(E43,B36:F43,1),"")</f>
        <v/>
      </c>
      <c r="L43" s="7" t="str">
        <f>IFERROR(_xlfn.RANK.AVG(F43,B36:F43,1),"")</f>
        <v/>
      </c>
      <c r="N43" s="34"/>
      <c r="O43" s="35"/>
      <c r="P43" s="38"/>
      <c r="U43" s="7"/>
      <c r="V43" s="13" t="s">
        <v>296</v>
      </c>
      <c r="W43">
        <f>ABS(U38-R38)</f>
        <v>4.125</v>
      </c>
      <c r="X43">
        <v>7.6418870378984272</v>
      </c>
      <c r="Y43">
        <f t="shared" si="9"/>
        <v>0.53978814127229024</v>
      </c>
      <c r="Z43">
        <f>X43/Q39</f>
        <v>2.7224065218165316</v>
      </c>
      <c r="AA43" s="7">
        <f t="shared" si="10"/>
        <v>0.58934314619427486</v>
      </c>
      <c r="AB43">
        <v>4.4999999999999998E-2</v>
      </c>
      <c r="AC43" s="36" t="str">
        <f t="shared" si="11"/>
        <v>NO</v>
      </c>
    </row>
    <row r="44" spans="1:29" ht="15" thickBot="1" x14ac:dyDescent="0.45">
      <c r="A44" s="4"/>
      <c r="F44" s="7"/>
      <c r="G44" s="12" t="s">
        <v>278</v>
      </c>
      <c r="H44" s="39">
        <f>SUM(H36:H43)</f>
        <v>194</v>
      </c>
      <c r="I44" s="40">
        <f>SUM(I36:I43)</f>
        <v>69</v>
      </c>
      <c r="J44" s="40">
        <f>SUM(J36:J43)</f>
        <v>193</v>
      </c>
      <c r="K44" s="50">
        <f>SUM(K36:K43)</f>
        <v>96</v>
      </c>
      <c r="L44" s="40">
        <f>SUM(L36:L43)</f>
        <v>9</v>
      </c>
      <c r="N44" s="34"/>
      <c r="O44" s="35"/>
      <c r="P44" s="38"/>
      <c r="U44" s="7"/>
      <c r="V44" s="13" t="s">
        <v>297</v>
      </c>
      <c r="W44">
        <f>ABS(U38-S38)</f>
        <v>19.625</v>
      </c>
      <c r="X44">
        <v>7.6418870378984272</v>
      </c>
      <c r="Y44">
        <f t="shared" si="9"/>
        <v>2.5680829751439265</v>
      </c>
      <c r="Z44">
        <f>X44/Q39</f>
        <v>2.7224065218165316</v>
      </c>
      <c r="AA44" s="7">
        <f t="shared" si="10"/>
        <v>1.0226267459917837E-2</v>
      </c>
      <c r="AB44">
        <v>0.02</v>
      </c>
      <c r="AC44" s="36" t="str">
        <f t="shared" si="11"/>
        <v>YES</v>
      </c>
    </row>
    <row r="45" spans="1:29" ht="15" thickBot="1" x14ac:dyDescent="0.45">
      <c r="A45" s="4"/>
      <c r="F45" s="7"/>
      <c r="G45" s="15" t="s">
        <v>298</v>
      </c>
      <c r="H45" s="41">
        <f>IFERROR(((SUM(H36:H43))^2)/COUNT(H36:H43),"")</f>
        <v>4704.5</v>
      </c>
      <c r="I45" s="42">
        <f>IFERROR(((SUM(I36:I43))^2)/COUNT(I36:I43),"")</f>
        <v>595.125</v>
      </c>
      <c r="J45" s="42">
        <f>IFERROR(((SUM(J36:J43))^2)/COUNT(J36:J43),"")</f>
        <v>4656.125</v>
      </c>
      <c r="K45" s="42">
        <f>IFERROR(((SUM(K36:K43))^2)/COUNT(K36:K43),"")</f>
        <v>1316.5714285714287</v>
      </c>
      <c r="L45" s="42">
        <f>IFERROR(((SUM(L36:L43))^2)/COUNT(L36:L43),"")</f>
        <v>40.5</v>
      </c>
      <c r="M45" s="25"/>
      <c r="N45" s="44"/>
      <c r="O45" s="45"/>
      <c r="P45" s="46"/>
      <c r="Q45" s="25"/>
      <c r="R45" s="25"/>
      <c r="S45" s="25"/>
      <c r="T45" s="25"/>
      <c r="U45" s="47"/>
      <c r="V45" s="16" t="s">
        <v>299</v>
      </c>
      <c r="W45" s="25">
        <f>ABS(U38-T38)</f>
        <v>9.2142857142857135</v>
      </c>
      <c r="X45" s="25">
        <v>7.7502880130814669</v>
      </c>
      <c r="Y45">
        <f t="shared" si="9"/>
        <v>1.1888959092530769</v>
      </c>
      <c r="Z45">
        <f>X45/Q39</f>
        <v>2.7610241460166844</v>
      </c>
      <c r="AA45" s="7">
        <f t="shared" si="10"/>
        <v>0.23448063009003706</v>
      </c>
      <c r="AB45" s="25">
        <v>3.5000000000000003E-2</v>
      </c>
      <c r="AC45" s="36" t="str">
        <f t="shared" si="11"/>
        <v>NO</v>
      </c>
    </row>
    <row r="46" spans="1:29" ht="15" thickBot="1" x14ac:dyDescent="0.45">
      <c r="A46" s="4" t="s">
        <v>65</v>
      </c>
      <c r="B46" t="s">
        <v>260</v>
      </c>
      <c r="C46" t="s">
        <v>261</v>
      </c>
      <c r="D46" t="s">
        <v>262</v>
      </c>
      <c r="E46" t="s">
        <v>263</v>
      </c>
      <c r="F46" s="7" t="s">
        <v>265</v>
      </c>
      <c r="G46" s="10" t="s">
        <v>266</v>
      </c>
      <c r="H46" s="48" t="s">
        <v>260</v>
      </c>
      <c r="I46" s="31" t="s">
        <v>261</v>
      </c>
      <c r="J46" s="31" t="s">
        <v>262</v>
      </c>
      <c r="K46" s="27" t="s">
        <v>263</v>
      </c>
      <c r="L46" s="32" t="s">
        <v>265</v>
      </c>
      <c r="M46" s="31"/>
      <c r="N46" s="33"/>
      <c r="O46" s="49"/>
      <c r="P46" s="10" t="s">
        <v>267</v>
      </c>
      <c r="Q46" s="31" t="s">
        <v>260</v>
      </c>
      <c r="R46" s="31" t="s">
        <v>261</v>
      </c>
      <c r="S46" s="31" t="s">
        <v>262</v>
      </c>
      <c r="T46" s="27" t="s">
        <v>263</v>
      </c>
      <c r="U46" s="32" t="s">
        <v>265</v>
      </c>
      <c r="V46" s="11" t="s">
        <v>268</v>
      </c>
      <c r="W46" s="31" t="s">
        <v>269</v>
      </c>
      <c r="X46" s="31" t="s">
        <v>270</v>
      </c>
      <c r="Y46" s="31" t="s">
        <v>271</v>
      </c>
      <c r="Z46" s="31" t="s">
        <v>272</v>
      </c>
      <c r="AA46" s="32" t="s">
        <v>273</v>
      </c>
      <c r="AB46" s="31" t="s">
        <v>274</v>
      </c>
      <c r="AC46" s="33" t="s">
        <v>275</v>
      </c>
    </row>
    <row r="47" spans="1:29" ht="15" thickBot="1" x14ac:dyDescent="0.45">
      <c r="A47" s="4"/>
      <c r="B47">
        <v>1514.9749999999999</v>
      </c>
      <c r="C47">
        <v>1910.56</v>
      </c>
      <c r="D47">
        <v>705.82999999999993</v>
      </c>
      <c r="E47">
        <v>196.64500000000001</v>
      </c>
      <c r="F47">
        <v>720.40500000000009</v>
      </c>
      <c r="G47" s="12" t="s">
        <v>276</v>
      </c>
      <c r="H47">
        <f>IFERROR(_xlfn.RANK.AVG(B47,B47:F54,1),"")</f>
        <v>27</v>
      </c>
      <c r="I47">
        <f>IFERROR(_xlfn.RANK.AVG(C47,B47:F54,1),"")</f>
        <v>33</v>
      </c>
      <c r="J47">
        <f>IFERROR(_xlfn.RANK.AVG(D47,B47:F54,1),"")</f>
        <v>11</v>
      </c>
      <c r="K47">
        <f>IFERROR(_xlfn.RANK.AVG(E47,B47:F54,1),"")</f>
        <v>3</v>
      </c>
      <c r="L47" s="7">
        <f>IFERROR(_xlfn.RANK.AVG(F47,B47:F54,1),"")</f>
        <v>13</v>
      </c>
      <c r="M47" s="6" t="s">
        <v>277</v>
      </c>
      <c r="N47" s="34">
        <f>COUNT(H47:L54)</f>
        <v>33</v>
      </c>
      <c r="O47" s="35"/>
      <c r="P47" s="12" t="s">
        <v>278</v>
      </c>
      <c r="Q47">
        <f>H55</f>
        <v>190</v>
      </c>
      <c r="R47">
        <f>I55</f>
        <v>205</v>
      </c>
      <c r="S47">
        <f>J55</f>
        <v>111</v>
      </c>
      <c r="T47">
        <f>K55</f>
        <v>28</v>
      </c>
      <c r="U47" s="7">
        <f>L55</f>
        <v>27</v>
      </c>
      <c r="V47" s="13" t="s">
        <v>279</v>
      </c>
      <c r="W47">
        <f>ABS(Q49-R49)</f>
        <v>1.875</v>
      </c>
      <c r="X47">
        <v>4.8347699014534289</v>
      </c>
      <c r="Y47">
        <f t="shared" ref="Y47:Y56" si="12">W47/X47</f>
        <v>0.3878157674962644</v>
      </c>
      <c r="Z47">
        <f>X47/Q50</f>
        <v>1.7223768221021474</v>
      </c>
      <c r="AA47" s="7">
        <f t="shared" ref="AA47:AA56" si="13">2*(1-_xlfn.NORM.S.DIST(Y47,TRUE))</f>
        <v>0.69815237621875048</v>
      </c>
      <c r="AB47" cm="1">
        <f t="array" ref="AB47:AB56">RANK(AA47:AA56,AA47:AA56,1)*Q52</f>
        <v>4.4999999999999998E-2</v>
      </c>
      <c r="AC47" s="36" t="str">
        <f t="shared" ref="AC47:AC56" si="14">IF(AA47&lt;AB47,"YES","NO")</f>
        <v>NO</v>
      </c>
    </row>
    <row r="48" spans="1:29" ht="15" thickBot="1" x14ac:dyDescent="0.45">
      <c r="A48" s="4"/>
      <c r="B48">
        <v>1532.35</v>
      </c>
      <c r="C48">
        <v>1676.0150000000001</v>
      </c>
      <c r="D48">
        <v>824.15499999999997</v>
      </c>
      <c r="E48">
        <v>196.80500000000001</v>
      </c>
      <c r="F48">
        <v>731.78249999999991</v>
      </c>
      <c r="G48" s="12"/>
      <c r="H48">
        <f>IFERROR(_xlfn.RANK.AVG(B48,B47:F54,1),"")</f>
        <v>28</v>
      </c>
      <c r="I48">
        <f>IFERROR(_xlfn.RANK.AVG(C48,B47:F54,1),"")</f>
        <v>31</v>
      </c>
      <c r="J48">
        <f>IFERROR(_xlfn.RANK.AVG(D48,B47:F54,1),"")</f>
        <v>17</v>
      </c>
      <c r="K48">
        <f>IFERROR(_xlfn.RANK.AVG(E48,B47:F54,1),"")</f>
        <v>4</v>
      </c>
      <c r="L48" s="7">
        <f>IFERROR(_xlfn.RANK.AVG(F48,B47:F54,1),"")</f>
        <v>14</v>
      </c>
      <c r="M48" s="6" t="s">
        <v>280</v>
      </c>
      <c r="N48" s="34">
        <f>SUM(H56:L56)</f>
        <v>11782.25</v>
      </c>
      <c r="O48" s="35"/>
      <c r="P48" s="12" t="s">
        <v>277</v>
      </c>
      <c r="Q48">
        <f>COUNT(H47:H54)</f>
        <v>8</v>
      </c>
      <c r="R48">
        <f>COUNT(I47:I54)</f>
        <v>8</v>
      </c>
      <c r="S48">
        <f>COUNT(J47:J54)</f>
        <v>8</v>
      </c>
      <c r="T48">
        <f>COUNT(K47:K54)</f>
        <v>7</v>
      </c>
      <c r="U48" s="7">
        <f>COUNT(L47:L54)</f>
        <v>2</v>
      </c>
      <c r="V48" s="13" t="s">
        <v>281</v>
      </c>
      <c r="W48">
        <f>ABS(Q49-S49)</f>
        <v>9.875</v>
      </c>
      <c r="X48">
        <v>4.8347699014534289</v>
      </c>
      <c r="Y48">
        <f t="shared" si="12"/>
        <v>2.0424963754803258</v>
      </c>
      <c r="Z48">
        <f>X48/Q50</f>
        <v>1.7223768221021474</v>
      </c>
      <c r="AA48" s="7">
        <f t="shared" si="13"/>
        <v>4.1102318591501597E-2</v>
      </c>
      <c r="AB48">
        <v>0.02</v>
      </c>
      <c r="AC48" s="36" t="str">
        <f t="shared" si="14"/>
        <v>NO</v>
      </c>
    </row>
    <row r="49" spans="1:29" ht="15" thickBot="1" x14ac:dyDescent="0.45">
      <c r="A49" s="4"/>
      <c r="B49">
        <v>1636.845</v>
      </c>
      <c r="C49">
        <v>1423.6849999999999</v>
      </c>
      <c r="D49">
        <v>708.755</v>
      </c>
      <c r="E49">
        <v>229.27500000000001</v>
      </c>
      <c r="F49" t="s">
        <v>282</v>
      </c>
      <c r="G49" s="12"/>
      <c r="H49">
        <f>IFERROR(_xlfn.RANK.AVG(B49,B47:F54,1),"")</f>
        <v>30</v>
      </c>
      <c r="I49">
        <f>IFERROR(_xlfn.RANK.AVG(C49,B47:F54,1),"")</f>
        <v>24</v>
      </c>
      <c r="J49">
        <f>IFERROR(_xlfn.RANK.AVG(D49,B47:F54,1),"")</f>
        <v>12</v>
      </c>
      <c r="K49">
        <f>IFERROR(_xlfn.RANK.AVG(E49,B47:F54,1),"")</f>
        <v>7</v>
      </c>
      <c r="L49" s="7" t="str">
        <f>IFERROR(_xlfn.RANK.AVG(F49,B47:F54,1),"")</f>
        <v/>
      </c>
      <c r="M49" s="6" t="s">
        <v>283</v>
      </c>
      <c r="N49" s="34">
        <f>12*N48/(N47*(N47+1))-3*(N47+1)</f>
        <v>24.013368983957221</v>
      </c>
      <c r="O49" s="35"/>
      <c r="P49" s="14" t="s">
        <v>284</v>
      </c>
      <c r="Q49" s="27">
        <f>Q47/Q48</f>
        <v>23.75</v>
      </c>
      <c r="R49" s="27">
        <f>R47/R48</f>
        <v>25.625</v>
      </c>
      <c r="S49" s="27">
        <f>S47/S48</f>
        <v>13.875</v>
      </c>
      <c r="T49" s="27">
        <f>T47/T48</f>
        <v>4</v>
      </c>
      <c r="U49" s="27">
        <f>U47/U48</f>
        <v>13.5</v>
      </c>
      <c r="V49" s="13" t="s">
        <v>285</v>
      </c>
      <c r="W49">
        <f>ABS(Q49-T49)</f>
        <v>19.75</v>
      </c>
      <c r="X49">
        <v>5.0044622945070589</v>
      </c>
      <c r="Y49">
        <f t="shared" si="12"/>
        <v>3.9464779306415738</v>
      </c>
      <c r="Z49">
        <f>X49/Q50</f>
        <v>1.7828293877133372</v>
      </c>
      <c r="AA49" s="7">
        <f t="shared" si="13"/>
        <v>7.9309228314450309E-5</v>
      </c>
      <c r="AB49">
        <v>0.01</v>
      </c>
      <c r="AC49" s="36" t="str">
        <f t="shared" si="14"/>
        <v>YES</v>
      </c>
    </row>
    <row r="50" spans="1:29" ht="15" thickBot="1" x14ac:dyDescent="0.45">
      <c r="A50" s="4"/>
      <c r="B50">
        <v>791.41499999999996</v>
      </c>
      <c r="C50">
        <v>634.99</v>
      </c>
      <c r="D50">
        <v>698.8</v>
      </c>
      <c r="E50">
        <v>147.41500000000002</v>
      </c>
      <c r="F50" t="s">
        <v>282</v>
      </c>
      <c r="G50" s="12"/>
      <c r="H50">
        <f>IFERROR(_xlfn.RANK.AVG(B50,B47:F54,1),"")</f>
        <v>16</v>
      </c>
      <c r="I50">
        <f>IFERROR(_xlfn.RANK.AVG(C50,B47:F54,1),"")</f>
        <v>8</v>
      </c>
      <c r="J50">
        <f>IFERROR(_xlfn.RANK.AVG(D50,B47:F54,1),"")</f>
        <v>10</v>
      </c>
      <c r="K50">
        <f>IFERROR(_xlfn.RANK.AVG(E50,B47:F54,1),"")</f>
        <v>2</v>
      </c>
      <c r="L50" s="7" t="str">
        <f>IFERROR(_xlfn.RANK.AVG(F50,B47:F54,1),"")</f>
        <v/>
      </c>
      <c r="M50" s="6" t="s">
        <v>286</v>
      </c>
      <c r="N50" s="34">
        <v>5</v>
      </c>
      <c r="O50" s="35"/>
      <c r="P50" s="12" t="s">
        <v>287</v>
      </c>
      <c r="Q50">
        <f>_xlfn.NORM.S.INV(1-Q52/2)</f>
        <v>2.8070337683438114</v>
      </c>
      <c r="U50" s="7"/>
      <c r="V50" s="13" t="s">
        <v>288</v>
      </c>
      <c r="W50">
        <f>ABS(R49-S49)</f>
        <v>11.75</v>
      </c>
      <c r="X50">
        <v>4.8347699014534289</v>
      </c>
      <c r="Y50">
        <f t="shared" si="12"/>
        <v>2.4303121429765899</v>
      </c>
      <c r="Z50">
        <f>X50/Q50</f>
        <v>1.7223768221021474</v>
      </c>
      <c r="AA50" s="7">
        <f t="shared" si="13"/>
        <v>1.5085824244535972E-2</v>
      </c>
      <c r="AB50">
        <v>1.4999999999999999E-2</v>
      </c>
      <c r="AC50" s="36" t="str">
        <f t="shared" si="14"/>
        <v>NO</v>
      </c>
    </row>
    <row r="51" spans="1:29" ht="15" thickBot="1" x14ac:dyDescent="0.45">
      <c r="A51" s="4"/>
      <c r="B51">
        <v>1435.3700000000001</v>
      </c>
      <c r="C51">
        <v>1311.65</v>
      </c>
      <c r="D51">
        <v>997.66500000000019</v>
      </c>
      <c r="E51">
        <v>218.2</v>
      </c>
      <c r="F51" t="s">
        <v>282</v>
      </c>
      <c r="G51" s="12"/>
      <c r="H51">
        <f>IFERROR(_xlfn.RANK.AVG(B51,B47:F54,1),"")</f>
        <v>25</v>
      </c>
      <c r="I51">
        <f>IFERROR(_xlfn.RANK.AVG(C51,B47:F54,1),"")</f>
        <v>22</v>
      </c>
      <c r="J51">
        <f>IFERROR(_xlfn.RANK.AVG(D51,B47:F54,1),"")</f>
        <v>19</v>
      </c>
      <c r="K51">
        <f>IFERROR(_xlfn.RANK.AVG(E51,B47:F54,1),"")</f>
        <v>6</v>
      </c>
      <c r="L51" s="7" t="str">
        <f>IFERROR(_xlfn.RANK.AVG(F51,B47:F54,1),"")</f>
        <v/>
      </c>
      <c r="M51" s="6" t="s">
        <v>289</v>
      </c>
      <c r="N51" s="34">
        <f>_xlfn.CHISQ.DIST.RT(N49,N50)</f>
        <v>2.1583238089529754E-4</v>
      </c>
      <c r="O51" s="35"/>
      <c r="P51" s="12" t="s">
        <v>290</v>
      </c>
      <c r="Q51">
        <f>N47</f>
        <v>33</v>
      </c>
      <c r="U51" s="7"/>
      <c r="V51" s="13" t="s">
        <v>291</v>
      </c>
      <c r="W51">
        <f>ABS(R49-T49)</f>
        <v>21.625</v>
      </c>
      <c r="X51">
        <v>5.0044622945070589</v>
      </c>
      <c r="Y51">
        <f t="shared" si="12"/>
        <v>4.3211435569683054</v>
      </c>
      <c r="Z51">
        <f>X51/Q50</f>
        <v>1.7828293877133372</v>
      </c>
      <c r="AA51" s="7">
        <f t="shared" si="13"/>
        <v>1.5522264053879908E-5</v>
      </c>
      <c r="AB51">
        <v>5.0000000000000001E-3</v>
      </c>
      <c r="AC51" s="36" t="str">
        <f t="shared" si="14"/>
        <v>YES</v>
      </c>
    </row>
    <row r="52" spans="1:29" ht="15" thickBot="1" x14ac:dyDescent="0.45">
      <c r="A52" s="4"/>
      <c r="B52">
        <v>1209.98</v>
      </c>
      <c r="C52">
        <v>1501.585</v>
      </c>
      <c r="D52">
        <v>790.47500000000002</v>
      </c>
      <c r="E52">
        <v>209.67</v>
      </c>
      <c r="F52" t="s">
        <v>282</v>
      </c>
      <c r="G52" s="12"/>
      <c r="H52">
        <f>IFERROR(_xlfn.RANK.AVG(B52,B47:F54,1),"")</f>
        <v>21</v>
      </c>
      <c r="I52">
        <f>IFERROR(_xlfn.RANK.AVG(C52,B47:F54,1),"")</f>
        <v>26</v>
      </c>
      <c r="J52">
        <f>IFERROR(_xlfn.RANK.AVG(D52,B47:F54,1),"")</f>
        <v>15</v>
      </c>
      <c r="K52">
        <f>IFERROR(_xlfn.RANK.AVG(E52,B47:F54,1),"")</f>
        <v>5</v>
      </c>
      <c r="L52" s="7" t="str">
        <f>IFERROR(_xlfn.RANK.AVG(F52,B47:F54,1),"")</f>
        <v/>
      </c>
      <c r="M52" s="6" t="s">
        <v>292</v>
      </c>
      <c r="N52" s="34">
        <v>0.05</v>
      </c>
      <c r="O52" s="35"/>
      <c r="P52" s="12" t="s">
        <v>293</v>
      </c>
      <c r="Q52">
        <f>N41/(COUNT(Q37:U37)*(COUNT(Q37:U37)-1)/2)</f>
        <v>5.0000000000000001E-3</v>
      </c>
      <c r="U52" s="7"/>
      <c r="V52" s="13" t="s">
        <v>294</v>
      </c>
      <c r="W52">
        <f>ABS(S49-T49)</f>
        <v>9.875</v>
      </c>
      <c r="X52">
        <v>5.0044622945070589</v>
      </c>
      <c r="Y52">
        <f t="shared" si="12"/>
        <v>1.9732389653207869</v>
      </c>
      <c r="Z52">
        <f>X52/Q50</f>
        <v>1.7828293877133372</v>
      </c>
      <c r="AA52" s="7">
        <f t="shared" si="13"/>
        <v>4.8468343022557869E-2</v>
      </c>
      <c r="AB52">
        <v>2.5000000000000001E-2</v>
      </c>
      <c r="AC52" s="36" t="str">
        <f t="shared" si="14"/>
        <v>NO</v>
      </c>
    </row>
    <row r="53" spans="1:29" ht="15" thickBot="1" x14ac:dyDescent="0.45">
      <c r="A53" s="4"/>
      <c r="B53">
        <v>1187.335</v>
      </c>
      <c r="C53">
        <v>1851.9150000000002</v>
      </c>
      <c r="D53">
        <v>924.64</v>
      </c>
      <c r="E53">
        <v>0</v>
      </c>
      <c r="F53" t="s">
        <v>282</v>
      </c>
      <c r="G53" s="12"/>
      <c r="H53">
        <f>IFERROR(_xlfn.RANK.AVG(B53,B47:F54,1),"")</f>
        <v>20</v>
      </c>
      <c r="I53">
        <f>IFERROR(_xlfn.RANK.AVG(C53,B47:F54,1),"")</f>
        <v>32</v>
      </c>
      <c r="J53">
        <f>IFERROR(_xlfn.RANK.AVG(D53,B47:F54,1),"")</f>
        <v>18</v>
      </c>
      <c r="K53">
        <f>IFERROR(_xlfn.RANK.AVG(E53,B47:F54,1),"")</f>
        <v>1</v>
      </c>
      <c r="L53" s="7" t="str">
        <f>IFERROR(_xlfn.RANK.AVG(F53,B47:F54,1),"")</f>
        <v/>
      </c>
      <c r="M53" s="6" t="s">
        <v>275</v>
      </c>
      <c r="N53" s="36" t="str">
        <f>IF(N51&lt;N52,"YES","NO")</f>
        <v>YES</v>
      </c>
      <c r="O53" s="37"/>
      <c r="P53" s="12"/>
      <c r="U53" s="7"/>
      <c r="V53" s="13" t="s">
        <v>295</v>
      </c>
      <c r="W53">
        <f>ABS(U49-Q49)</f>
        <v>10.25</v>
      </c>
      <c r="X53">
        <v>7.6444424257103281</v>
      </c>
      <c r="Y53">
        <f t="shared" si="12"/>
        <v>1.3408433773438435</v>
      </c>
      <c r="Z53">
        <f>X53/Q50</f>
        <v>2.7233168734627138</v>
      </c>
      <c r="AA53" s="7">
        <f t="shared" si="13"/>
        <v>0.17997130933648231</v>
      </c>
      <c r="AB53">
        <v>3.5000000000000003E-2</v>
      </c>
      <c r="AC53" s="36" t="str">
        <f t="shared" si="14"/>
        <v>NO</v>
      </c>
    </row>
    <row r="54" spans="1:29" ht="15" thickBot="1" x14ac:dyDescent="0.45">
      <c r="A54" s="4"/>
      <c r="B54">
        <v>1404.31</v>
      </c>
      <c r="C54">
        <v>1559.3700000000001</v>
      </c>
      <c r="D54">
        <v>694.12999999999988</v>
      </c>
      <c r="E54" t="s">
        <v>282</v>
      </c>
      <c r="F54" t="s">
        <v>282</v>
      </c>
      <c r="G54" s="12"/>
      <c r="H54">
        <f>IFERROR(_xlfn.RANK.AVG(B54,B47:F54,1),"")</f>
        <v>23</v>
      </c>
      <c r="I54">
        <f>IFERROR(_xlfn.RANK.AVG(C54,B47:F54,1),"")</f>
        <v>29</v>
      </c>
      <c r="J54">
        <f>IFERROR(_xlfn.RANK.AVG(D54,B47:F54,1),"")</f>
        <v>9</v>
      </c>
      <c r="K54" s="27" t="str">
        <f>IFERROR(_xlfn.RANK.AVG(E54,B47:F54,1),"")</f>
        <v/>
      </c>
      <c r="L54" s="7" t="str">
        <f>IFERROR(_xlfn.RANK.AVG(F54,B47:F54,1),"")</f>
        <v/>
      </c>
      <c r="N54" s="34"/>
      <c r="O54" s="35"/>
      <c r="P54" s="38"/>
      <c r="U54" s="7"/>
      <c r="V54" s="13" t="s">
        <v>296</v>
      </c>
      <c r="W54">
        <f>ABS(U49-R49)</f>
        <v>12.125</v>
      </c>
      <c r="X54">
        <v>7.6444424257103281</v>
      </c>
      <c r="Y54">
        <f t="shared" si="12"/>
        <v>1.5861196049067416</v>
      </c>
      <c r="Z54">
        <f>X54/Q50</f>
        <v>2.7233168734627138</v>
      </c>
      <c r="AA54" s="7">
        <f t="shared" si="13"/>
        <v>0.11271218038520803</v>
      </c>
      <c r="AB54">
        <v>0.03</v>
      </c>
      <c r="AC54" s="36" t="str">
        <f t="shared" si="14"/>
        <v>NO</v>
      </c>
    </row>
    <row r="55" spans="1:29" ht="15" thickBot="1" x14ac:dyDescent="0.45">
      <c r="A55" s="4"/>
      <c r="F55" s="7"/>
      <c r="G55" s="12" t="s">
        <v>278</v>
      </c>
      <c r="H55" s="39">
        <f>SUM(H47:H54)</f>
        <v>190</v>
      </c>
      <c r="I55" s="40">
        <f>SUM(I47:I54)</f>
        <v>205</v>
      </c>
      <c r="J55" s="40">
        <f>SUM(J47:J54)</f>
        <v>111</v>
      </c>
      <c r="K55" s="50">
        <f>SUM(K47:K54)</f>
        <v>28</v>
      </c>
      <c r="L55" s="40">
        <f>SUM(L47:L54)</f>
        <v>27</v>
      </c>
      <c r="N55" s="34"/>
      <c r="O55" s="35"/>
      <c r="P55" s="38"/>
      <c r="U55" s="7"/>
      <c r="V55" s="13" t="s">
        <v>297</v>
      </c>
      <c r="W55">
        <f>ABS(U49-S49)</f>
        <v>0.375</v>
      </c>
      <c r="X55">
        <v>7.6444424257103281</v>
      </c>
      <c r="Y55">
        <f t="shared" si="12"/>
        <v>4.9055245512579643E-2</v>
      </c>
      <c r="Z55">
        <f>X55/Q50</f>
        <v>2.7233168734627138</v>
      </c>
      <c r="AA55" s="7">
        <f t="shared" si="13"/>
        <v>0.96087526934496337</v>
      </c>
      <c r="AB55">
        <v>0.05</v>
      </c>
      <c r="AC55" s="36" t="str">
        <f t="shared" si="14"/>
        <v>NO</v>
      </c>
    </row>
    <row r="56" spans="1:29" ht="15" thickBot="1" x14ac:dyDescent="0.45">
      <c r="A56" s="4"/>
      <c r="F56" s="7"/>
      <c r="G56" s="15" t="s">
        <v>298</v>
      </c>
      <c r="H56" s="41">
        <f>IFERROR(((SUM(H47:H54))^2)/COUNT(H47:H54),"")</f>
        <v>4512.5</v>
      </c>
      <c r="I56" s="42">
        <f>IFERROR(((SUM(I47:I54))^2)/COUNT(I47:I54),"")</f>
        <v>5253.125</v>
      </c>
      <c r="J56" s="42">
        <f>IFERROR(((SUM(J47:J54))^2)/COUNT(J47:J54),"")</f>
        <v>1540.125</v>
      </c>
      <c r="K56" s="42">
        <f>IFERROR(((SUM(K47:K54))^2)/COUNT(K47:K54),"")</f>
        <v>112</v>
      </c>
      <c r="L56" s="42">
        <f>IFERROR(((SUM(L47:L54))^2)/COUNT(L47:L54),"")</f>
        <v>364.5</v>
      </c>
      <c r="M56" s="25"/>
      <c r="N56" s="44"/>
      <c r="O56" s="45"/>
      <c r="P56" s="46"/>
      <c r="Q56" s="25"/>
      <c r="R56" s="25"/>
      <c r="S56" s="25"/>
      <c r="T56" s="25"/>
      <c r="U56" s="47"/>
      <c r="V56" s="16" t="s">
        <v>299</v>
      </c>
      <c r="W56" s="25">
        <f>ABS(U49-T49)</f>
        <v>9.5</v>
      </c>
      <c r="X56" s="25">
        <v>7.7528796493395182</v>
      </c>
      <c r="Y56">
        <f t="shared" si="12"/>
        <v>1.2253511507571671</v>
      </c>
      <c r="Z56">
        <f>X56/Q50</f>
        <v>2.7619474110971685</v>
      </c>
      <c r="AA56" s="7">
        <f t="shared" si="13"/>
        <v>0.22044294370612327</v>
      </c>
      <c r="AB56" s="25">
        <v>0.04</v>
      </c>
      <c r="AC56" s="36" t="str">
        <f t="shared" si="14"/>
        <v>NO</v>
      </c>
    </row>
    <row r="57" spans="1:29" ht="15" thickBot="1" x14ac:dyDescent="0.45">
      <c r="A57" s="4" t="s">
        <v>77</v>
      </c>
      <c r="B57" t="s">
        <v>260</v>
      </c>
      <c r="C57" t="s">
        <v>261</v>
      </c>
      <c r="D57" t="s">
        <v>262</v>
      </c>
      <c r="E57" t="s">
        <v>263</v>
      </c>
      <c r="F57" s="7" t="s">
        <v>265</v>
      </c>
      <c r="G57" s="10" t="s">
        <v>266</v>
      </c>
      <c r="H57" s="48" t="s">
        <v>260</v>
      </c>
      <c r="I57" s="31" t="s">
        <v>261</v>
      </c>
      <c r="J57" s="31" t="s">
        <v>262</v>
      </c>
      <c r="K57" s="27" t="s">
        <v>263</v>
      </c>
      <c r="L57" s="32" t="s">
        <v>265</v>
      </c>
      <c r="M57" s="31"/>
      <c r="N57" s="33"/>
      <c r="O57" s="49"/>
      <c r="P57" s="10" t="s">
        <v>267</v>
      </c>
      <c r="Q57" s="31" t="s">
        <v>260</v>
      </c>
      <c r="R57" s="31" t="s">
        <v>261</v>
      </c>
      <c r="S57" s="31" t="s">
        <v>262</v>
      </c>
      <c r="T57" s="27" t="s">
        <v>263</v>
      </c>
      <c r="U57" s="32" t="s">
        <v>265</v>
      </c>
      <c r="V57" s="11" t="s">
        <v>268</v>
      </c>
      <c r="W57" s="31" t="s">
        <v>269</v>
      </c>
      <c r="X57" s="31" t="s">
        <v>270</v>
      </c>
      <c r="Y57" s="31" t="s">
        <v>271</v>
      </c>
      <c r="Z57" s="31" t="s">
        <v>272</v>
      </c>
      <c r="AA57" s="32" t="s">
        <v>273</v>
      </c>
      <c r="AB57" s="31" t="s">
        <v>274</v>
      </c>
      <c r="AC57" s="33" t="s">
        <v>275</v>
      </c>
    </row>
    <row r="58" spans="1:29" ht="15" thickBot="1" x14ac:dyDescent="0.45">
      <c r="A58" s="4"/>
      <c r="B58">
        <v>241.04499999999999</v>
      </c>
      <c r="C58">
        <v>113.91999999999999</v>
      </c>
      <c r="D58">
        <v>493.1450000000001</v>
      </c>
      <c r="E58">
        <v>424.95</v>
      </c>
      <c r="F58">
        <v>412.88500000000005</v>
      </c>
      <c r="G58" s="12" t="s">
        <v>276</v>
      </c>
      <c r="H58">
        <f>IFERROR(_xlfn.RANK.AVG(B58,B58:F65,1),"")</f>
        <v>13</v>
      </c>
      <c r="I58">
        <f>IFERROR(_xlfn.RANK.AVG(C58,B58:F65,1),"")</f>
        <v>8</v>
      </c>
      <c r="J58">
        <f>IFERROR(_xlfn.RANK.AVG(D58,B58:F65,1),"")</f>
        <v>27</v>
      </c>
      <c r="K58">
        <f>IFERROR(_xlfn.RANK.AVG(E58,B58:F65,1),"")</f>
        <v>24</v>
      </c>
      <c r="L58" s="7">
        <f>IFERROR(_xlfn.RANK.AVG(F58,B58:F65,1),"")</f>
        <v>22</v>
      </c>
      <c r="M58" s="6" t="s">
        <v>277</v>
      </c>
      <c r="N58" s="34">
        <f>COUNT(H58:L65)</f>
        <v>33</v>
      </c>
      <c r="O58" s="35"/>
      <c r="P58" s="12" t="s">
        <v>278</v>
      </c>
      <c r="Q58">
        <f>H66</f>
        <v>100</v>
      </c>
      <c r="R58">
        <f>I66</f>
        <v>36</v>
      </c>
      <c r="S58">
        <f>J66</f>
        <v>232</v>
      </c>
      <c r="T58">
        <f>K66</f>
        <v>151</v>
      </c>
      <c r="U58" s="7">
        <f>L66</f>
        <v>42</v>
      </c>
      <c r="V58" s="13" t="s">
        <v>279</v>
      </c>
      <c r="W58">
        <f>ABS(Q60-R60)</f>
        <v>8</v>
      </c>
      <c r="X58">
        <v>4.8347699014534289</v>
      </c>
      <c r="Y58">
        <f t="shared" ref="Y58:Y67" si="15">W58/X58</f>
        <v>1.6546806079840612</v>
      </c>
      <c r="Z58">
        <f>X58/Q61</f>
        <v>1.7223768221021474</v>
      </c>
      <c r="AA58" s="7">
        <f t="shared" ref="AA58:AA67" si="16">2*(1-_xlfn.NORM.S.DIST(Y58,TRUE))</f>
        <v>9.7989302707917281E-2</v>
      </c>
      <c r="AB58" cm="1">
        <f t="array" ref="AB58:AB67">RANK(AA58:AA67,AA58:AA67,1)*Q63</f>
        <v>0.03</v>
      </c>
      <c r="AC58" s="36" t="str">
        <f t="shared" ref="AC58:AC67" si="17">IF(AA58&lt;AB58,"YES","NO")</f>
        <v>NO</v>
      </c>
    </row>
    <row r="59" spans="1:29" ht="15" thickBot="1" x14ac:dyDescent="0.45">
      <c r="A59" s="4"/>
      <c r="B59">
        <v>199.63499999999999</v>
      </c>
      <c r="C59">
        <v>73.415000000000006</v>
      </c>
      <c r="D59">
        <v>625.02499999999998</v>
      </c>
      <c r="E59">
        <v>417.71000000000004</v>
      </c>
      <c r="F59">
        <v>341.20250000000004</v>
      </c>
      <c r="G59" s="12"/>
      <c r="H59">
        <f>IFERROR(_xlfn.RANK.AVG(B59,B58:F65,1),"")</f>
        <v>11</v>
      </c>
      <c r="I59">
        <f>IFERROR(_xlfn.RANK.AVG(C59,B58:F65,1),"")</f>
        <v>2</v>
      </c>
      <c r="J59">
        <f>IFERROR(_xlfn.RANK.AVG(D59,B58:F65,1),"")</f>
        <v>33</v>
      </c>
      <c r="K59">
        <f>IFERROR(_xlfn.RANK.AVG(E59,B58:F65,1),"")</f>
        <v>23</v>
      </c>
      <c r="L59" s="7">
        <f>IFERROR(_xlfn.RANK.AVG(F59,B58:F65,1),"")</f>
        <v>20</v>
      </c>
      <c r="M59" s="6" t="s">
        <v>280</v>
      </c>
      <c r="N59" s="34">
        <f>SUM(H67:L67)</f>
        <v>12279.285714285714</v>
      </c>
      <c r="O59" s="35"/>
      <c r="P59" s="12" t="s">
        <v>277</v>
      </c>
      <c r="Q59">
        <f>COUNT(H58:H65)</f>
        <v>8</v>
      </c>
      <c r="R59">
        <f>COUNT(I58:I65)</f>
        <v>8</v>
      </c>
      <c r="S59">
        <f>COUNT(J58:J65)</f>
        <v>8</v>
      </c>
      <c r="T59">
        <f>COUNT(K58:K65)</f>
        <v>7</v>
      </c>
      <c r="U59" s="7">
        <f>COUNT(L58:L65)</f>
        <v>2</v>
      </c>
      <c r="V59" s="13" t="s">
        <v>281</v>
      </c>
      <c r="W59">
        <f>ABS(Q60-S60)</f>
        <v>16.5</v>
      </c>
      <c r="X59">
        <v>4.8347699014534289</v>
      </c>
      <c r="Y59">
        <f t="shared" si="15"/>
        <v>3.4127787539671264</v>
      </c>
      <c r="Z59">
        <f>X59/Q61</f>
        <v>1.7223768221021474</v>
      </c>
      <c r="AA59" s="7">
        <f t="shared" si="16"/>
        <v>6.4304124669534168E-4</v>
      </c>
      <c r="AB59">
        <v>0.01</v>
      </c>
      <c r="AC59" s="36" t="str">
        <f t="shared" si="17"/>
        <v>YES</v>
      </c>
    </row>
    <row r="60" spans="1:29" ht="15" thickBot="1" x14ac:dyDescent="0.45">
      <c r="A60" s="4"/>
      <c r="B60">
        <v>291.44499999999999</v>
      </c>
      <c r="C60">
        <v>78.004999999999995</v>
      </c>
      <c r="D60">
        <v>513.47500000000002</v>
      </c>
      <c r="E60">
        <v>295.89</v>
      </c>
      <c r="F60" t="s">
        <v>282</v>
      </c>
      <c r="G60" s="12"/>
      <c r="H60">
        <f>IFERROR(_xlfn.RANK.AVG(B60,B58:F65,1),"")</f>
        <v>16</v>
      </c>
      <c r="I60">
        <f>IFERROR(_xlfn.RANK.AVG(C60,B58:F65,1),"")</f>
        <v>3</v>
      </c>
      <c r="J60">
        <f>IFERROR(_xlfn.RANK.AVG(D60,B58:F65,1),"")</f>
        <v>28</v>
      </c>
      <c r="K60">
        <f>IFERROR(_xlfn.RANK.AVG(E60,B58:F65,1),"")</f>
        <v>17</v>
      </c>
      <c r="L60" s="7" t="str">
        <f>IFERROR(_xlfn.RANK.AVG(F60,B58:F65,1),"")</f>
        <v/>
      </c>
      <c r="M60" s="6" t="s">
        <v>283</v>
      </c>
      <c r="N60" s="34">
        <f>12*N59/(N58*(N58+1))-3*(N58+1)</f>
        <v>29.329258976317817</v>
      </c>
      <c r="O60" s="35"/>
      <c r="P60" s="14" t="s">
        <v>284</v>
      </c>
      <c r="Q60" s="27">
        <f>Q58/Q59</f>
        <v>12.5</v>
      </c>
      <c r="R60" s="27">
        <f>R58/R59</f>
        <v>4.5</v>
      </c>
      <c r="S60" s="27">
        <f>S58/S59</f>
        <v>29</v>
      </c>
      <c r="T60" s="27">
        <f>T58/T59</f>
        <v>21.571428571428573</v>
      </c>
      <c r="U60" s="27">
        <f>U58/U59</f>
        <v>21</v>
      </c>
      <c r="V60" s="13" t="s">
        <v>285</v>
      </c>
      <c r="W60">
        <f>ABS(Q60-T60)</f>
        <v>9.071428571428573</v>
      </c>
      <c r="X60">
        <v>5.0044622945070589</v>
      </c>
      <c r="Y60">
        <f t="shared" si="15"/>
        <v>1.8126679826093308</v>
      </c>
      <c r="Z60">
        <f>X60/Q61</f>
        <v>1.7828293877133372</v>
      </c>
      <c r="AA60" s="7">
        <f t="shared" si="16"/>
        <v>6.9883045540297228E-2</v>
      </c>
      <c r="AB60">
        <v>2.5000000000000001E-2</v>
      </c>
      <c r="AC60" s="36" t="str">
        <f t="shared" si="17"/>
        <v>NO</v>
      </c>
    </row>
    <row r="61" spans="1:29" ht="15" thickBot="1" x14ac:dyDescent="0.45">
      <c r="A61" s="4"/>
      <c r="B61">
        <v>143.70500000000001</v>
      </c>
      <c r="C61">
        <v>59.385000000000005</v>
      </c>
      <c r="D61">
        <v>457.47500000000002</v>
      </c>
      <c r="E61">
        <v>333.57499999999999</v>
      </c>
      <c r="F61" t="s">
        <v>282</v>
      </c>
      <c r="G61" s="12"/>
      <c r="H61">
        <f>IFERROR(_xlfn.RANK.AVG(B61,B58:F65,1),"")</f>
        <v>9</v>
      </c>
      <c r="I61">
        <f>IFERROR(_xlfn.RANK.AVG(C61,B58:F65,1),"")</f>
        <v>1</v>
      </c>
      <c r="J61">
        <f>IFERROR(_xlfn.RANK.AVG(D61,B58:F65,1),"")</f>
        <v>26</v>
      </c>
      <c r="K61">
        <f>IFERROR(_xlfn.RANK.AVG(E61,B58:F65,1),"")</f>
        <v>19</v>
      </c>
      <c r="L61" s="7" t="str">
        <f>IFERROR(_xlfn.RANK.AVG(F61,B58:F65,1),"")</f>
        <v/>
      </c>
      <c r="M61" s="6" t="s">
        <v>286</v>
      </c>
      <c r="N61" s="34">
        <v>5</v>
      </c>
      <c r="O61" s="35"/>
      <c r="P61" s="12" t="s">
        <v>287</v>
      </c>
      <c r="Q61">
        <f>_xlfn.NORM.S.INV(1-Q63/2)</f>
        <v>2.8070337683438114</v>
      </c>
      <c r="U61" s="7"/>
      <c r="V61" s="13" t="s">
        <v>288</v>
      </c>
      <c r="W61">
        <f>ABS(R60-S60)</f>
        <v>24.5</v>
      </c>
      <c r="X61">
        <v>4.8347699014534289</v>
      </c>
      <c r="Y61">
        <f t="shared" si="15"/>
        <v>5.0674593619511876</v>
      </c>
      <c r="Z61">
        <f>X61/Q61</f>
        <v>1.7223768221021474</v>
      </c>
      <c r="AA61" s="7">
        <f t="shared" si="16"/>
        <v>4.0316053784295036E-7</v>
      </c>
      <c r="AB61">
        <v>5.0000000000000001E-3</v>
      </c>
      <c r="AC61" s="36" t="str">
        <f t="shared" si="17"/>
        <v>YES</v>
      </c>
    </row>
    <row r="62" spans="1:29" ht="15" thickBot="1" x14ac:dyDescent="0.45">
      <c r="A62" s="4"/>
      <c r="B62">
        <v>248.54499999999999</v>
      </c>
      <c r="C62">
        <v>100.00999999999999</v>
      </c>
      <c r="D62">
        <v>528.49</v>
      </c>
      <c r="E62">
        <v>401.27</v>
      </c>
      <c r="F62" t="s">
        <v>282</v>
      </c>
      <c r="G62" s="12"/>
      <c r="H62">
        <f>IFERROR(_xlfn.RANK.AVG(B62,B58:F65,1),"")</f>
        <v>14</v>
      </c>
      <c r="I62">
        <f>IFERROR(_xlfn.RANK.AVG(C62,B58:F65,1),"")</f>
        <v>7</v>
      </c>
      <c r="J62">
        <f>IFERROR(_xlfn.RANK.AVG(D62,B58:F65,1),"")</f>
        <v>30</v>
      </c>
      <c r="K62">
        <f>IFERROR(_xlfn.RANK.AVG(E62,B58:F65,1),"")</f>
        <v>21</v>
      </c>
      <c r="L62" s="7" t="str">
        <f>IFERROR(_xlfn.RANK.AVG(F62,B58:F65,1),"")</f>
        <v/>
      </c>
      <c r="M62" s="6" t="s">
        <v>289</v>
      </c>
      <c r="N62" s="34">
        <f>_xlfn.CHISQ.DIST.RT(N60,N61)</f>
        <v>1.998143827060956E-5</v>
      </c>
      <c r="O62" s="35"/>
      <c r="P62" s="12" t="s">
        <v>290</v>
      </c>
      <c r="Q62">
        <f>N58</f>
        <v>33</v>
      </c>
      <c r="U62" s="7"/>
      <c r="V62" s="13" t="s">
        <v>291</v>
      </c>
      <c r="W62">
        <f>ABS(R60-T60)</f>
        <v>17.071428571428573</v>
      </c>
      <c r="X62">
        <v>5.0044622945070589</v>
      </c>
      <c r="Y62">
        <f t="shared" si="15"/>
        <v>3.4112413216033861</v>
      </c>
      <c r="Z62">
        <f>X62/Q61</f>
        <v>1.7828293877133372</v>
      </c>
      <c r="AA62" s="7">
        <f t="shared" si="16"/>
        <v>6.4667829502451646E-4</v>
      </c>
      <c r="AB62">
        <v>1.4999999999999999E-2</v>
      </c>
      <c r="AC62" s="36" t="str">
        <f t="shared" si="17"/>
        <v>YES</v>
      </c>
    </row>
    <row r="63" spans="1:29" ht="15" thickBot="1" x14ac:dyDescent="0.45">
      <c r="A63" s="4"/>
      <c r="B63">
        <v>192.34499999999997</v>
      </c>
      <c r="C63">
        <v>88.334999999999994</v>
      </c>
      <c r="D63">
        <v>542.11</v>
      </c>
      <c r="E63">
        <v>331.76</v>
      </c>
      <c r="F63" t="s">
        <v>282</v>
      </c>
      <c r="G63" s="12"/>
      <c r="H63">
        <f>IFERROR(_xlfn.RANK.AVG(B63,B58:F65,1),"")</f>
        <v>10</v>
      </c>
      <c r="I63">
        <f>IFERROR(_xlfn.RANK.AVG(C63,B58:F65,1),"")</f>
        <v>4</v>
      </c>
      <c r="J63">
        <f>IFERROR(_xlfn.RANK.AVG(D63,B58:F65,1),"")</f>
        <v>31</v>
      </c>
      <c r="K63">
        <f>IFERROR(_xlfn.RANK.AVG(E63,B58:F65,1),"")</f>
        <v>18</v>
      </c>
      <c r="L63" s="7" t="str">
        <f>IFERROR(_xlfn.RANK.AVG(F63,B58:F65,1),"")</f>
        <v/>
      </c>
      <c r="M63" s="6" t="s">
        <v>292</v>
      </c>
      <c r="N63" s="34">
        <v>0.05</v>
      </c>
      <c r="O63" s="35"/>
      <c r="P63" s="12" t="s">
        <v>293</v>
      </c>
      <c r="Q63">
        <f>N52/(COUNT(Q48:U48)*(COUNT(Q37:U37)-1)/2)</f>
        <v>5.0000000000000001E-3</v>
      </c>
      <c r="U63" s="7"/>
      <c r="V63" s="13" t="s">
        <v>294</v>
      </c>
      <c r="W63">
        <f>ABS(S60-T60)</f>
        <v>7.428571428571427</v>
      </c>
      <c r="X63">
        <v>5.0044622945070589</v>
      </c>
      <c r="Y63">
        <f t="shared" si="15"/>
        <v>1.4843895290659082</v>
      </c>
      <c r="Z63">
        <f>X63/Q61</f>
        <v>1.7828293877133372</v>
      </c>
      <c r="AA63" s="7">
        <f t="shared" si="16"/>
        <v>0.13770561101308609</v>
      </c>
      <c r="AB63">
        <v>3.5000000000000003E-2</v>
      </c>
      <c r="AC63" s="36" t="str">
        <f t="shared" si="17"/>
        <v>NO</v>
      </c>
    </row>
    <row r="64" spans="1:29" ht="15" thickBot="1" x14ac:dyDescent="0.45">
      <c r="A64" s="4"/>
      <c r="B64">
        <v>240.52500000000001</v>
      </c>
      <c r="C64">
        <v>94.640000000000015</v>
      </c>
      <c r="D64">
        <v>565.28500000000008</v>
      </c>
      <c r="E64">
        <v>516.57500000000005</v>
      </c>
      <c r="F64" t="s">
        <v>282</v>
      </c>
      <c r="G64" s="12"/>
      <c r="H64">
        <f>IFERROR(_xlfn.RANK.AVG(B64,B58:F65,1),"")</f>
        <v>12</v>
      </c>
      <c r="I64">
        <f>IFERROR(_xlfn.RANK.AVG(C64,B58:F65,1),"")</f>
        <v>5</v>
      </c>
      <c r="J64">
        <f>IFERROR(_xlfn.RANK.AVG(D64,B58:F65,1),"")</f>
        <v>32</v>
      </c>
      <c r="K64">
        <f>IFERROR(_xlfn.RANK.AVG(E64,B58:F65,1),"")</f>
        <v>29</v>
      </c>
      <c r="L64" s="7" t="str">
        <f>IFERROR(_xlfn.RANK.AVG(F64,B58:F65,1),"")</f>
        <v/>
      </c>
      <c r="M64" s="6" t="s">
        <v>275</v>
      </c>
      <c r="N64" s="36" t="str">
        <f>IF(N62&lt;N63,"YES","NO")</f>
        <v>YES</v>
      </c>
      <c r="O64" s="37"/>
      <c r="P64" s="12"/>
      <c r="U64" s="7"/>
      <c r="V64" s="13" t="s">
        <v>295</v>
      </c>
      <c r="W64">
        <f>ABS(U60-Q60)</f>
        <v>8.5</v>
      </c>
      <c r="X64">
        <v>7.6444424257103281</v>
      </c>
      <c r="Y64">
        <f t="shared" si="15"/>
        <v>1.1119188982851385</v>
      </c>
      <c r="Z64">
        <f>X64/Q61</f>
        <v>2.7233168734627138</v>
      </c>
      <c r="AA64" s="7">
        <f t="shared" si="16"/>
        <v>0.26617302239558027</v>
      </c>
      <c r="AB64">
        <v>0.04</v>
      </c>
      <c r="AC64" s="36" t="str">
        <f t="shared" si="17"/>
        <v>NO</v>
      </c>
    </row>
    <row r="65" spans="1:29" ht="15" thickBot="1" x14ac:dyDescent="0.45">
      <c r="A65" s="4"/>
      <c r="B65">
        <v>257.65500000000003</v>
      </c>
      <c r="C65">
        <v>98.75</v>
      </c>
      <c r="D65">
        <v>437.52499999999998</v>
      </c>
      <c r="E65" t="s">
        <v>282</v>
      </c>
      <c r="F65" t="s">
        <v>282</v>
      </c>
      <c r="G65" s="12"/>
      <c r="H65">
        <f>IFERROR(_xlfn.RANK.AVG(B65,B58:F65,1),"")</f>
        <v>15</v>
      </c>
      <c r="I65">
        <f>IFERROR(_xlfn.RANK.AVG(C65,B58:F65,1),"")</f>
        <v>6</v>
      </c>
      <c r="J65">
        <f>IFERROR(_xlfn.RANK.AVG(D65,B58:F65,1),"")</f>
        <v>25</v>
      </c>
      <c r="K65" s="27" t="str">
        <f>IFERROR(_xlfn.RANK.AVG(E65,B58:F65,1),"")</f>
        <v/>
      </c>
      <c r="L65" s="7" t="str">
        <f>IFERROR(_xlfn.RANK.AVG(F65,B58:F65,1),"")</f>
        <v/>
      </c>
      <c r="N65" s="34"/>
      <c r="O65" s="35"/>
      <c r="P65" s="38"/>
      <c r="U65" s="7"/>
      <c r="V65" s="13" t="s">
        <v>296</v>
      </c>
      <c r="W65">
        <f>ABS(U60-R60)</f>
        <v>16.5</v>
      </c>
      <c r="X65">
        <v>7.6444424257103281</v>
      </c>
      <c r="Y65">
        <f t="shared" si="15"/>
        <v>2.1584308025535042</v>
      </c>
      <c r="Z65">
        <f>X65/Q61</f>
        <v>2.7233168734627138</v>
      </c>
      <c r="AA65" s="7">
        <f t="shared" si="16"/>
        <v>3.0894353022110188E-2</v>
      </c>
      <c r="AB65">
        <v>0.02</v>
      </c>
      <c r="AC65" s="36" t="str">
        <f t="shared" si="17"/>
        <v>NO</v>
      </c>
    </row>
    <row r="66" spans="1:29" ht="15" thickBot="1" x14ac:dyDescent="0.45">
      <c r="A66" s="4"/>
      <c r="F66" s="7"/>
      <c r="G66" s="12" t="s">
        <v>278</v>
      </c>
      <c r="H66" s="39">
        <f>SUM(H58:H65)</f>
        <v>100</v>
      </c>
      <c r="I66" s="40">
        <f>SUM(I58:I65)</f>
        <v>36</v>
      </c>
      <c r="J66" s="40">
        <f>SUM(J58:J65)</f>
        <v>232</v>
      </c>
      <c r="K66" s="50">
        <f>SUM(K58:K65)</f>
        <v>151</v>
      </c>
      <c r="L66" s="40">
        <f>SUM(L58:L65)</f>
        <v>42</v>
      </c>
      <c r="N66" s="34"/>
      <c r="O66" s="35"/>
      <c r="P66" s="38"/>
      <c r="U66" s="7"/>
      <c r="V66" s="13" t="s">
        <v>297</v>
      </c>
      <c r="W66">
        <f>ABS(U60-S60)</f>
        <v>8</v>
      </c>
      <c r="X66">
        <v>7.6444424257103281</v>
      </c>
      <c r="Y66">
        <f t="shared" si="15"/>
        <v>1.0465119042683657</v>
      </c>
      <c r="Z66">
        <f>X66/Q61</f>
        <v>2.7233168734627138</v>
      </c>
      <c r="AA66" s="7">
        <f t="shared" si="16"/>
        <v>0.29532475168625227</v>
      </c>
      <c r="AB66">
        <v>4.4999999999999998E-2</v>
      </c>
      <c r="AC66" s="36" t="str">
        <f t="shared" si="17"/>
        <v>NO</v>
      </c>
    </row>
    <row r="67" spans="1:29" ht="15" thickBot="1" x14ac:dyDescent="0.45">
      <c r="A67" s="4"/>
      <c r="F67" s="7"/>
      <c r="G67" s="15" t="s">
        <v>298</v>
      </c>
      <c r="H67" s="41">
        <f>IFERROR(((SUM(H58:H65))^2)/COUNT(H58:H65),"")</f>
        <v>1250</v>
      </c>
      <c r="I67" s="42">
        <f>IFERROR(((SUM(I58:I65))^2)/COUNT(I58:I65),"")</f>
        <v>162</v>
      </c>
      <c r="J67" s="42">
        <f>IFERROR(((SUM(J58:J65))^2)/COUNT(J58:J65),"")</f>
        <v>6728</v>
      </c>
      <c r="K67" s="42">
        <f>IFERROR(((SUM(K58:K65))^2)/COUNT(K58:K65),"")</f>
        <v>3257.2857142857142</v>
      </c>
      <c r="L67" s="42">
        <f>IFERROR(((SUM(L58:L65))^2)/COUNT(L58:L65),"")</f>
        <v>882</v>
      </c>
      <c r="M67" s="25"/>
      <c r="N67" s="44"/>
      <c r="O67" s="45"/>
      <c r="P67" s="46"/>
      <c r="Q67" s="25"/>
      <c r="R67" s="25"/>
      <c r="S67" s="25"/>
      <c r="T67" s="25"/>
      <c r="U67" s="47"/>
      <c r="V67" s="16" t="s">
        <v>299</v>
      </c>
      <c r="W67" s="25">
        <f>ABS(U60-T60)</f>
        <v>0.57142857142857295</v>
      </c>
      <c r="X67" s="25">
        <v>7.7528796493395182</v>
      </c>
      <c r="Y67">
        <f t="shared" si="15"/>
        <v>7.3705332376371141E-2</v>
      </c>
      <c r="Z67">
        <f>X67/Q61</f>
        <v>2.7619474110971685</v>
      </c>
      <c r="AA67" s="7">
        <f t="shared" si="16"/>
        <v>0.94124485570985561</v>
      </c>
      <c r="AB67" s="25">
        <v>0.05</v>
      </c>
      <c r="AC67" s="36" t="str">
        <f t="shared" si="17"/>
        <v>NO</v>
      </c>
    </row>
    <row r="68" spans="1:29" ht="15" thickBot="1" x14ac:dyDescent="0.45">
      <c r="A68" s="4" t="s">
        <v>85</v>
      </c>
      <c r="B68" t="s">
        <v>260</v>
      </c>
      <c r="C68" t="s">
        <v>261</v>
      </c>
      <c r="D68" t="s">
        <v>262</v>
      </c>
      <c r="E68" t="s">
        <v>263</v>
      </c>
      <c r="F68" s="7" t="s">
        <v>265</v>
      </c>
      <c r="G68" s="10" t="s">
        <v>266</v>
      </c>
      <c r="H68" s="48" t="s">
        <v>260</v>
      </c>
      <c r="I68" s="31" t="s">
        <v>261</v>
      </c>
      <c r="J68" s="31" t="s">
        <v>262</v>
      </c>
      <c r="K68" s="27" t="s">
        <v>263</v>
      </c>
      <c r="L68" s="32" t="s">
        <v>265</v>
      </c>
      <c r="M68" s="31"/>
      <c r="N68" s="33"/>
      <c r="O68" s="49"/>
      <c r="P68" s="10" t="s">
        <v>267</v>
      </c>
      <c r="Q68" s="31" t="s">
        <v>260</v>
      </c>
      <c r="R68" s="31" t="s">
        <v>261</v>
      </c>
      <c r="S68" s="31" t="s">
        <v>262</v>
      </c>
      <c r="T68" s="27" t="s">
        <v>263</v>
      </c>
      <c r="U68" s="32" t="s">
        <v>265</v>
      </c>
      <c r="V68" s="11" t="s">
        <v>268</v>
      </c>
      <c r="W68" s="31" t="s">
        <v>269</v>
      </c>
      <c r="X68" s="31" t="s">
        <v>270</v>
      </c>
      <c r="Y68" s="31" t="s">
        <v>271</v>
      </c>
      <c r="Z68" s="31" t="s">
        <v>272</v>
      </c>
      <c r="AA68" s="32" t="s">
        <v>273</v>
      </c>
      <c r="AB68" s="31" t="s">
        <v>274</v>
      </c>
      <c r="AC68" s="33" t="s">
        <v>275</v>
      </c>
    </row>
    <row r="69" spans="1:29" ht="15" thickBot="1" x14ac:dyDescent="0.45">
      <c r="A69" s="4"/>
      <c r="B69">
        <v>97.015000000000001</v>
      </c>
      <c r="C69">
        <v>108.30500000000002</v>
      </c>
      <c r="D69">
        <v>86.704999999999998</v>
      </c>
      <c r="E69">
        <v>101.08</v>
      </c>
      <c r="F69">
        <v>115.37</v>
      </c>
      <c r="G69" s="12" t="s">
        <v>276</v>
      </c>
      <c r="H69">
        <f>IFERROR(_xlfn.RANK.AVG(B69,B69:F76,1),"")</f>
        <v>24</v>
      </c>
      <c r="I69">
        <f>IFERROR(_xlfn.RANK.AVG(C69,B69:F76,1),"")</f>
        <v>31</v>
      </c>
      <c r="J69">
        <f>IFERROR(_xlfn.RANK.AVG(D69,B69:F76,1),"")</f>
        <v>9</v>
      </c>
      <c r="K69">
        <f>IFERROR(_xlfn.RANK.AVG(E69,B69:F76,1),"")</f>
        <v>29</v>
      </c>
      <c r="L69" s="7">
        <f>IFERROR(_xlfn.RANK.AVG(F69,B69:F76,1),"")</f>
        <v>33</v>
      </c>
      <c r="M69" s="6" t="s">
        <v>277</v>
      </c>
      <c r="N69" s="34">
        <f>COUNT(H69:L76)</f>
        <v>33</v>
      </c>
      <c r="O69" s="35"/>
      <c r="P69" s="12" t="s">
        <v>278</v>
      </c>
      <c r="Q69">
        <f>H77</f>
        <v>113</v>
      </c>
      <c r="R69">
        <f>I77</f>
        <v>139</v>
      </c>
      <c r="S69">
        <f>J77</f>
        <v>147</v>
      </c>
      <c r="T69">
        <f>K77</f>
        <v>99</v>
      </c>
      <c r="U69" s="7">
        <f>L77</f>
        <v>63</v>
      </c>
      <c r="V69" s="13" t="s">
        <v>279</v>
      </c>
      <c r="W69">
        <f>ABS(Q71-R71)</f>
        <v>3.25</v>
      </c>
      <c r="X69">
        <v>4.8347699014534289</v>
      </c>
      <c r="Y69">
        <f t="shared" ref="Y69:Y78" si="18">W69/X69</f>
        <v>0.67221399699352491</v>
      </c>
      <c r="Z69">
        <f>X69/Q72</f>
        <v>1.7223768221021474</v>
      </c>
      <c r="AA69" s="7">
        <f t="shared" ref="AA69:AA78" si="19">2*(1-_xlfn.NORM.S.DIST(Y69,TRUE))</f>
        <v>0.50144747148707358</v>
      </c>
      <c r="AB69" cm="1">
        <f t="array" ref="AB69:AB78">RANK(AA69:AA78,AA69:AA78,1)*Q74</f>
        <v>3.5000000000000003E-2</v>
      </c>
      <c r="AC69" s="36" t="str">
        <f t="shared" ref="AC69:AC78" si="20">IF(AA69&lt;AB69,"YES","NO")</f>
        <v>NO</v>
      </c>
    </row>
    <row r="70" spans="1:29" ht="15" thickBot="1" x14ac:dyDescent="0.45">
      <c r="A70" s="4"/>
      <c r="B70">
        <v>88.804999999999993</v>
      </c>
      <c r="C70">
        <v>86.25</v>
      </c>
      <c r="D70">
        <v>108.77500000000001</v>
      </c>
      <c r="E70">
        <v>87.525000000000006</v>
      </c>
      <c r="F70">
        <v>103.93999999999998</v>
      </c>
      <c r="G70" s="12"/>
      <c r="H70">
        <f>IFERROR(_xlfn.RANK.AVG(B70,B69:F76,1),"")</f>
        <v>12</v>
      </c>
      <c r="I70">
        <f>IFERROR(_xlfn.RANK.AVG(C70,B69:F76,1),"")</f>
        <v>8</v>
      </c>
      <c r="J70">
        <f>IFERROR(_xlfn.RANK.AVG(D70,B69:F76,1),"")</f>
        <v>32</v>
      </c>
      <c r="K70">
        <f>IFERROR(_xlfn.RANK.AVG(E70,B69:F76,1),"")</f>
        <v>10</v>
      </c>
      <c r="L70" s="7">
        <f>IFERROR(_xlfn.RANK.AVG(F70,B69:F76,1),"")</f>
        <v>30</v>
      </c>
      <c r="M70" s="6" t="s">
        <v>280</v>
      </c>
      <c r="N70" s="34">
        <f>SUM(H78:L78)</f>
        <v>10097.017857142857</v>
      </c>
      <c r="O70" s="35"/>
      <c r="P70" s="12" t="s">
        <v>277</v>
      </c>
      <c r="Q70">
        <f>COUNT(H69:H76)</f>
        <v>8</v>
      </c>
      <c r="R70">
        <f>COUNT(I69:I76)</f>
        <v>8</v>
      </c>
      <c r="S70">
        <f>COUNT(J69:J76)</f>
        <v>8</v>
      </c>
      <c r="T70">
        <f>COUNT(K69:K76)</f>
        <v>7</v>
      </c>
      <c r="U70" s="7">
        <f>COUNT(L69:L76)</f>
        <v>2</v>
      </c>
      <c r="V70" s="13" t="s">
        <v>281</v>
      </c>
      <c r="W70">
        <f>ABS(Q71-S71)</f>
        <v>4.25</v>
      </c>
      <c r="X70">
        <v>4.8347699014534289</v>
      </c>
      <c r="Y70">
        <f t="shared" si="18"/>
        <v>0.87904907299153257</v>
      </c>
      <c r="Z70">
        <f>X70/Q72</f>
        <v>1.7223768221021474</v>
      </c>
      <c r="AA70" s="7">
        <f t="shared" si="19"/>
        <v>0.37937466880887971</v>
      </c>
      <c r="AB70">
        <v>2.5000000000000001E-2</v>
      </c>
      <c r="AC70" s="36" t="str">
        <f t="shared" si="20"/>
        <v>NO</v>
      </c>
    </row>
    <row r="71" spans="1:29" ht="15" thickBot="1" x14ac:dyDescent="0.45">
      <c r="A71" s="4"/>
      <c r="B71">
        <v>98.935000000000002</v>
      </c>
      <c r="C71">
        <v>91.724999999999994</v>
      </c>
      <c r="D71">
        <v>89.69</v>
      </c>
      <c r="E71">
        <v>72.015000000000001</v>
      </c>
      <c r="F71" t="s">
        <v>282</v>
      </c>
      <c r="G71" s="12"/>
      <c r="H71">
        <f>IFERROR(_xlfn.RANK.AVG(B71,B69:F76,1),"")</f>
        <v>26</v>
      </c>
      <c r="I71">
        <f>IFERROR(_xlfn.RANK.AVG(C71,B69:F76,1),"")</f>
        <v>20</v>
      </c>
      <c r="J71">
        <f>IFERROR(_xlfn.RANK.AVG(D71,B69:F76,1),"")</f>
        <v>14</v>
      </c>
      <c r="K71">
        <f>IFERROR(_xlfn.RANK.AVG(E71,B69:F76,1),"")</f>
        <v>3</v>
      </c>
      <c r="L71" s="7" t="str">
        <f>IFERROR(_xlfn.RANK.AVG(F71,B69:F76,1),"")</f>
        <v/>
      </c>
      <c r="M71" s="6" t="s">
        <v>283</v>
      </c>
      <c r="N71" s="34">
        <f>12*N70/(N69*(N69+1))-3*(N69+1)</f>
        <v>5.9894957983193251</v>
      </c>
      <c r="O71" s="35"/>
      <c r="P71" s="14" t="s">
        <v>284</v>
      </c>
      <c r="Q71" s="27">
        <f>Q69/Q70</f>
        <v>14.125</v>
      </c>
      <c r="R71" s="27">
        <f>R69/R70</f>
        <v>17.375</v>
      </c>
      <c r="S71" s="27">
        <f>S69/S70</f>
        <v>18.375</v>
      </c>
      <c r="T71" s="27">
        <f>T69/T70</f>
        <v>14.142857142857142</v>
      </c>
      <c r="U71" s="27">
        <f>U69/U70</f>
        <v>31.5</v>
      </c>
      <c r="V71" s="13" t="s">
        <v>285</v>
      </c>
      <c r="W71">
        <f>ABS(Q71-T71)</f>
        <v>1.785714285714235E-2</v>
      </c>
      <c r="X71">
        <v>5.0044622945070589</v>
      </c>
      <c r="Y71">
        <f t="shared" si="18"/>
        <v>3.5682440602544862E-3</v>
      </c>
      <c r="Z71">
        <f>X71/Q72</f>
        <v>1.7828293877133372</v>
      </c>
      <c r="AA71" s="7">
        <f t="shared" si="19"/>
        <v>0.99715295919674185</v>
      </c>
      <c r="AB71">
        <v>0.05</v>
      </c>
      <c r="AC71" s="36" t="str">
        <f t="shared" si="20"/>
        <v>NO</v>
      </c>
    </row>
    <row r="72" spans="1:29" ht="15" thickBot="1" x14ac:dyDescent="0.45">
      <c r="A72" s="4"/>
      <c r="B72">
        <v>63.029999999999994</v>
      </c>
      <c r="C72">
        <v>71.679999999999993</v>
      </c>
      <c r="D72">
        <v>90.35</v>
      </c>
      <c r="E72">
        <v>84</v>
      </c>
      <c r="F72" t="s">
        <v>282</v>
      </c>
      <c r="G72" s="12"/>
      <c r="H72">
        <f>IFERROR(_xlfn.RANK.AVG(B72,B69:F76,1),"")</f>
        <v>1</v>
      </c>
      <c r="I72">
        <f>IFERROR(_xlfn.RANK.AVG(C72,B69:F76,1),"")</f>
        <v>2</v>
      </c>
      <c r="J72">
        <f>IFERROR(_xlfn.RANK.AVG(D72,B69:F76,1),"")</f>
        <v>15</v>
      </c>
      <c r="K72">
        <f>IFERROR(_xlfn.RANK.AVG(E72,B69:F76,1),"")</f>
        <v>7</v>
      </c>
      <c r="L72" s="7" t="str">
        <f>IFERROR(_xlfn.RANK.AVG(F72,B69:F76,1),"")</f>
        <v/>
      </c>
      <c r="M72" s="6" t="s">
        <v>286</v>
      </c>
      <c r="N72" s="34">
        <v>5</v>
      </c>
      <c r="O72" s="35"/>
      <c r="P72" s="12" t="s">
        <v>287</v>
      </c>
      <c r="Q72">
        <f>_xlfn.NORM.S.INV(1-Q74/2)</f>
        <v>2.8070337683438114</v>
      </c>
      <c r="U72" s="7"/>
      <c r="V72" s="13" t="s">
        <v>288</v>
      </c>
      <c r="W72">
        <f>ABS(R71-S71)</f>
        <v>1</v>
      </c>
      <c r="X72">
        <v>4.8347699014534289</v>
      </c>
      <c r="Y72">
        <f t="shared" si="18"/>
        <v>0.20683507599800766</v>
      </c>
      <c r="Z72">
        <f>X72/Q72</f>
        <v>1.7223768221021474</v>
      </c>
      <c r="AA72" s="7">
        <f t="shared" si="19"/>
        <v>0.83613866174104112</v>
      </c>
      <c r="AB72">
        <v>4.4999999999999998E-2</v>
      </c>
      <c r="AC72" s="36" t="str">
        <f t="shared" si="20"/>
        <v>NO</v>
      </c>
    </row>
    <row r="73" spans="1:29" ht="15" thickBot="1" x14ac:dyDescent="0.45">
      <c r="A73" s="4"/>
      <c r="B73">
        <v>94.35</v>
      </c>
      <c r="C73">
        <v>93.704999999999998</v>
      </c>
      <c r="D73">
        <v>88.385000000000005</v>
      </c>
      <c r="E73">
        <v>90.745000000000005</v>
      </c>
      <c r="F73" t="s">
        <v>282</v>
      </c>
      <c r="G73" s="12"/>
      <c r="H73">
        <f>IFERROR(_xlfn.RANK.AVG(B73,B69:F76,1),"")</f>
        <v>22</v>
      </c>
      <c r="I73">
        <f>IFERROR(_xlfn.RANK.AVG(C73,B69:F76,1),"")</f>
        <v>21</v>
      </c>
      <c r="J73">
        <f>IFERROR(_xlfn.RANK.AVG(D73,B69:F76,1),"")</f>
        <v>11</v>
      </c>
      <c r="K73">
        <f>IFERROR(_xlfn.RANK.AVG(E73,B69:F76,1),"")</f>
        <v>18</v>
      </c>
      <c r="L73" s="7" t="str">
        <f>IFERROR(_xlfn.RANK.AVG(F73,B69:F76,1),"")</f>
        <v/>
      </c>
      <c r="M73" s="6" t="s">
        <v>289</v>
      </c>
      <c r="N73" s="34">
        <f>_xlfn.CHISQ.DIST.RT(N71,N72)</f>
        <v>0.30724236533407362</v>
      </c>
      <c r="O73" s="35"/>
      <c r="P73" s="12" t="s">
        <v>290</v>
      </c>
      <c r="Q73">
        <f>N69</f>
        <v>33</v>
      </c>
      <c r="U73" s="7"/>
      <c r="V73" s="13" t="s">
        <v>291</v>
      </c>
      <c r="W73">
        <f>ABS(R71-T71)</f>
        <v>3.2321428571428577</v>
      </c>
      <c r="X73">
        <v>5.0044622945070589</v>
      </c>
      <c r="Y73">
        <f t="shared" si="18"/>
        <v>0.64585217490608049</v>
      </c>
      <c r="Z73">
        <f>X73/Q72</f>
        <v>1.7828293877133372</v>
      </c>
      <c r="AA73" s="7">
        <f t="shared" si="19"/>
        <v>0.51837509464367049</v>
      </c>
      <c r="AB73">
        <v>0.04</v>
      </c>
      <c r="AC73" s="36" t="str">
        <f t="shared" si="20"/>
        <v>NO</v>
      </c>
    </row>
    <row r="74" spans="1:29" ht="15" thickBot="1" x14ac:dyDescent="0.45">
      <c r="A74" s="4"/>
      <c r="B74">
        <v>82.070000000000007</v>
      </c>
      <c r="C74">
        <v>91.454999999999998</v>
      </c>
      <c r="D74">
        <v>95.58</v>
      </c>
      <c r="E74">
        <v>79.435000000000002</v>
      </c>
      <c r="F74" t="s">
        <v>282</v>
      </c>
      <c r="G74" s="12"/>
      <c r="H74">
        <f>IFERROR(_xlfn.RANK.AVG(B74,B69:F76,1),"")</f>
        <v>6</v>
      </c>
      <c r="I74">
        <f>IFERROR(_xlfn.RANK.AVG(C74,B69:F76,1),"")</f>
        <v>19</v>
      </c>
      <c r="J74">
        <f>IFERROR(_xlfn.RANK.AVG(D74,B69:F76,1),"")</f>
        <v>23</v>
      </c>
      <c r="K74">
        <f>IFERROR(_xlfn.RANK.AVG(E74,B69:F76,1),"")</f>
        <v>4</v>
      </c>
      <c r="L74" s="7" t="str">
        <f>IFERROR(_xlfn.RANK.AVG(F74,B69:F76,1),"")</f>
        <v/>
      </c>
      <c r="M74" s="6" t="s">
        <v>292</v>
      </c>
      <c r="N74" s="34">
        <v>0.05</v>
      </c>
      <c r="O74" s="35"/>
      <c r="P74" s="12" t="s">
        <v>293</v>
      </c>
      <c r="Q74">
        <f>N63/(COUNT(Q59:U59)*(COUNT(Q48:U48)-1)/2)</f>
        <v>5.0000000000000001E-3</v>
      </c>
      <c r="U74" s="7"/>
      <c r="V74" s="13" t="s">
        <v>294</v>
      </c>
      <c r="W74">
        <f>ABS(S71-T71)</f>
        <v>4.2321428571428577</v>
      </c>
      <c r="X74">
        <v>5.0044622945070589</v>
      </c>
      <c r="Y74">
        <f t="shared" si="18"/>
        <v>0.84567384228033737</v>
      </c>
      <c r="Z74">
        <f>X74/Q72</f>
        <v>1.7828293877133372</v>
      </c>
      <c r="AA74" s="7">
        <f t="shared" si="19"/>
        <v>0.39773471933533422</v>
      </c>
      <c r="AB74">
        <v>0.03</v>
      </c>
      <c r="AC74" s="36" t="str">
        <f t="shared" si="20"/>
        <v>NO</v>
      </c>
    </row>
    <row r="75" spans="1:29" ht="15" thickBot="1" x14ac:dyDescent="0.45">
      <c r="A75" s="4"/>
      <c r="B75">
        <v>81.684999999999988</v>
      </c>
      <c r="C75">
        <v>97.960000000000008</v>
      </c>
      <c r="D75">
        <v>99.885000000000005</v>
      </c>
      <c r="E75">
        <v>100</v>
      </c>
      <c r="F75" t="s">
        <v>282</v>
      </c>
      <c r="G75" s="12"/>
      <c r="H75">
        <f>IFERROR(_xlfn.RANK.AVG(B75,B69:F76,1),"")</f>
        <v>5</v>
      </c>
      <c r="I75">
        <f>IFERROR(_xlfn.RANK.AVG(C75,B69:F76,1),"")</f>
        <v>25</v>
      </c>
      <c r="J75">
        <f>IFERROR(_xlfn.RANK.AVG(D75,B69:F76,1),"")</f>
        <v>27</v>
      </c>
      <c r="K75">
        <f>IFERROR(_xlfn.RANK.AVG(E75,B69:F76,1),"")</f>
        <v>28</v>
      </c>
      <c r="L75" s="7" t="str">
        <f>IFERROR(_xlfn.RANK.AVG(F75,B69:F76,1),"")</f>
        <v/>
      </c>
      <c r="M75" s="6" t="s">
        <v>275</v>
      </c>
      <c r="N75" s="36" t="str">
        <f>IF(N73&lt;N74,"YES","NO")</f>
        <v>NO</v>
      </c>
      <c r="O75" s="37"/>
      <c r="P75" s="12"/>
      <c r="U75" s="7"/>
      <c r="V75" s="13" t="s">
        <v>295</v>
      </c>
      <c r="W75">
        <f>ABS(U71-Q71)</f>
        <v>17.375</v>
      </c>
      <c r="X75">
        <v>7.6444424257103281</v>
      </c>
      <c r="Y75">
        <f t="shared" si="18"/>
        <v>2.2728930420828566</v>
      </c>
      <c r="Z75">
        <f>X75/Q72</f>
        <v>2.7233168734627138</v>
      </c>
      <c r="AA75" s="7">
        <f t="shared" si="19"/>
        <v>2.3032626206375806E-2</v>
      </c>
      <c r="AB75">
        <v>5.0000000000000001E-3</v>
      </c>
      <c r="AC75" s="36" t="str">
        <f t="shared" si="20"/>
        <v>NO</v>
      </c>
    </row>
    <row r="76" spans="1:29" ht="15" thickBot="1" x14ac:dyDescent="0.45">
      <c r="A76" s="4"/>
      <c r="B76">
        <v>90.564999999999998</v>
      </c>
      <c r="C76">
        <v>89.435000000000002</v>
      </c>
      <c r="D76">
        <v>90.365000000000009</v>
      </c>
      <c r="E76" t="s">
        <v>282</v>
      </c>
      <c r="F76" t="s">
        <v>282</v>
      </c>
      <c r="G76" s="12"/>
      <c r="H76">
        <f>IFERROR(_xlfn.RANK.AVG(B76,B69:F76,1),"")</f>
        <v>17</v>
      </c>
      <c r="I76">
        <f>IFERROR(_xlfn.RANK.AVG(C76,B69:F76,1),"")</f>
        <v>13</v>
      </c>
      <c r="J76">
        <f>IFERROR(_xlfn.RANK.AVG(D76,B69:F76,1),"")</f>
        <v>16</v>
      </c>
      <c r="K76" s="27" t="str">
        <f>IFERROR(_xlfn.RANK.AVG(E76,B69:F76,1),"")</f>
        <v/>
      </c>
      <c r="L76" s="7" t="str">
        <f>IFERROR(_xlfn.RANK.AVG(F76,B69:F76,1),"")</f>
        <v/>
      </c>
      <c r="N76" s="34"/>
      <c r="O76" s="35"/>
      <c r="P76" s="38"/>
      <c r="U76" s="7"/>
      <c r="V76" s="13" t="s">
        <v>296</v>
      </c>
      <c r="W76">
        <f>ABS(U71-R71)</f>
        <v>14.125</v>
      </c>
      <c r="X76">
        <v>7.6444424257103281</v>
      </c>
      <c r="Y76">
        <f t="shared" si="18"/>
        <v>1.8477475809738331</v>
      </c>
      <c r="Z76">
        <f>X76/Q72</f>
        <v>2.7233168734627138</v>
      </c>
      <c r="AA76" s="7">
        <f t="shared" si="19"/>
        <v>6.4638867229121821E-2</v>
      </c>
      <c r="AB76">
        <v>1.4999999999999999E-2</v>
      </c>
      <c r="AC76" s="36" t="str">
        <f t="shared" si="20"/>
        <v>NO</v>
      </c>
    </row>
    <row r="77" spans="1:29" ht="15" thickBot="1" x14ac:dyDescent="0.45">
      <c r="A77" s="4"/>
      <c r="F77" s="7"/>
      <c r="G77" s="12" t="s">
        <v>278</v>
      </c>
      <c r="H77" s="39">
        <f>SUM(H69:H76)</f>
        <v>113</v>
      </c>
      <c r="I77" s="40">
        <f>SUM(I69:I76)</f>
        <v>139</v>
      </c>
      <c r="J77" s="40">
        <f>SUM(J69:J76)</f>
        <v>147</v>
      </c>
      <c r="K77" s="50">
        <f>SUM(K69:K76)</f>
        <v>99</v>
      </c>
      <c r="L77" s="40">
        <f>SUM(L69:L76)</f>
        <v>63</v>
      </c>
      <c r="N77" s="34"/>
      <c r="O77" s="35"/>
      <c r="P77" s="38"/>
      <c r="U77" s="7"/>
      <c r="V77" s="13" t="s">
        <v>297</v>
      </c>
      <c r="W77">
        <f>ABS(U71-S71)</f>
        <v>13.125</v>
      </c>
      <c r="X77">
        <v>7.6444424257103281</v>
      </c>
      <c r="Y77">
        <f t="shared" si="18"/>
        <v>1.7169335929402874</v>
      </c>
      <c r="Z77">
        <f>X77/Q72</f>
        <v>2.7233168734627138</v>
      </c>
      <c r="AA77" s="7">
        <f t="shared" si="19"/>
        <v>8.5991306148037516E-2</v>
      </c>
      <c r="AB77">
        <v>0.02</v>
      </c>
      <c r="AC77" s="36" t="str">
        <f t="shared" si="20"/>
        <v>NO</v>
      </c>
    </row>
    <row r="78" spans="1:29" ht="15" thickBot="1" x14ac:dyDescent="0.45">
      <c r="A78" s="4"/>
      <c r="F78" s="7"/>
      <c r="G78" s="15" t="s">
        <v>298</v>
      </c>
      <c r="H78" s="41">
        <f>IFERROR(((SUM(H69:H76))^2)/COUNT(H69:H76),"")</f>
        <v>1596.125</v>
      </c>
      <c r="I78" s="42">
        <f>IFERROR(((SUM(I69:I76))^2)/COUNT(I69:I76),"")</f>
        <v>2415.125</v>
      </c>
      <c r="J78" s="42">
        <f>IFERROR(((SUM(J69:J76))^2)/COUNT(J69:J76),"")</f>
        <v>2701.125</v>
      </c>
      <c r="K78" s="42">
        <f>IFERROR(((SUM(K69:K76))^2)/COUNT(K69:K76),"")</f>
        <v>1400.1428571428571</v>
      </c>
      <c r="L78" s="42">
        <f>IFERROR(((SUM(L69:L76))^2)/COUNT(L69:L76),"")</f>
        <v>1984.5</v>
      </c>
      <c r="M78" s="25"/>
      <c r="N78" s="44"/>
      <c r="O78" s="45"/>
      <c r="P78" s="46"/>
      <c r="Q78" s="25"/>
      <c r="R78" s="25"/>
      <c r="S78" s="25"/>
      <c r="T78" s="25"/>
      <c r="U78" s="47"/>
      <c r="V78" s="16" t="s">
        <v>299</v>
      </c>
      <c r="W78" s="25">
        <f>ABS(U71-T71)</f>
        <v>17.357142857142858</v>
      </c>
      <c r="X78" s="25">
        <v>7.7528796493395182</v>
      </c>
      <c r="Y78">
        <f t="shared" si="18"/>
        <v>2.2387994709322676</v>
      </c>
      <c r="Z78">
        <f>X78/Q72</f>
        <v>2.7619474110971685</v>
      </c>
      <c r="AA78" s="7">
        <f t="shared" si="19"/>
        <v>2.5168966728217557E-2</v>
      </c>
      <c r="AB78" s="25">
        <v>0.01</v>
      </c>
      <c r="AC78" s="36" t="str">
        <f t="shared" si="20"/>
        <v>NO</v>
      </c>
    </row>
    <row r="79" spans="1:29" ht="15" thickBot="1" x14ac:dyDescent="0.45">
      <c r="A79" s="4" t="s">
        <v>106</v>
      </c>
      <c r="B79" t="s">
        <v>260</v>
      </c>
      <c r="C79" t="s">
        <v>261</v>
      </c>
      <c r="D79" t="s">
        <v>262</v>
      </c>
      <c r="E79" t="s">
        <v>263</v>
      </c>
      <c r="F79" s="7" t="s">
        <v>265</v>
      </c>
      <c r="G79" s="10" t="s">
        <v>266</v>
      </c>
      <c r="H79" s="48" t="s">
        <v>260</v>
      </c>
      <c r="I79" s="31" t="s">
        <v>261</v>
      </c>
      <c r="J79" s="31" t="s">
        <v>262</v>
      </c>
      <c r="K79" s="27" t="s">
        <v>263</v>
      </c>
      <c r="L79" s="32" t="s">
        <v>265</v>
      </c>
      <c r="M79" s="31"/>
      <c r="N79" s="33"/>
      <c r="O79" s="49"/>
      <c r="P79" s="10" t="s">
        <v>267</v>
      </c>
      <c r="Q79" s="31" t="s">
        <v>260</v>
      </c>
      <c r="R79" s="31" t="s">
        <v>261</v>
      </c>
      <c r="S79" s="31" t="s">
        <v>262</v>
      </c>
      <c r="T79" s="27" t="s">
        <v>263</v>
      </c>
      <c r="U79" s="32" t="s">
        <v>265</v>
      </c>
      <c r="V79" s="11" t="s">
        <v>268</v>
      </c>
      <c r="W79" s="31" t="s">
        <v>269</v>
      </c>
      <c r="X79" s="31" t="s">
        <v>270</v>
      </c>
      <c r="Y79" s="31" t="s">
        <v>271</v>
      </c>
      <c r="Z79" s="31" t="s">
        <v>272</v>
      </c>
      <c r="AA79" s="32" t="s">
        <v>273</v>
      </c>
      <c r="AB79" s="31" t="s">
        <v>274</v>
      </c>
      <c r="AC79" s="33" t="s">
        <v>275</v>
      </c>
    </row>
    <row r="80" spans="1:29" ht="15" thickBot="1" x14ac:dyDescent="0.45">
      <c r="A80" s="4"/>
      <c r="B80">
        <v>159.66500000000002</v>
      </c>
      <c r="C80">
        <v>220.26499999999996</v>
      </c>
      <c r="D80">
        <v>80.760000000000005</v>
      </c>
      <c r="E80">
        <v>25.085000000000001</v>
      </c>
      <c r="F80">
        <v>48.424999999999997</v>
      </c>
      <c r="G80" s="12" t="s">
        <v>276</v>
      </c>
      <c r="H80">
        <f>IFERROR(_xlfn.RANK.AVG(B80,B80:F87,1),"")</f>
        <v>26</v>
      </c>
      <c r="I80">
        <f>IFERROR(_xlfn.RANK.AVG(C80,B80:F87,1),"")</f>
        <v>33</v>
      </c>
      <c r="J80">
        <f>IFERROR(_xlfn.RANK.AVG(D80,B80:F87,1),"")</f>
        <v>14</v>
      </c>
      <c r="K80">
        <f>IFERROR(_xlfn.RANK.AVG(E80,B80:F87,1),"")</f>
        <v>4</v>
      </c>
      <c r="L80" s="7">
        <f>IFERROR(_xlfn.RANK.AVG(F80,B80:F87,1),"")</f>
        <v>7</v>
      </c>
      <c r="M80" s="6" t="s">
        <v>277</v>
      </c>
      <c r="N80" s="34">
        <f>COUNT(H80:L87)</f>
        <v>33</v>
      </c>
      <c r="O80" s="35"/>
      <c r="P80" s="12" t="s">
        <v>278</v>
      </c>
      <c r="Q80">
        <f>H88</f>
        <v>190</v>
      </c>
      <c r="R80">
        <f>I88</f>
        <v>204</v>
      </c>
      <c r="S80">
        <f>J88</f>
        <v>116</v>
      </c>
      <c r="T80">
        <f>K88</f>
        <v>36</v>
      </c>
      <c r="U80" s="7">
        <f>L88</f>
        <v>15</v>
      </c>
      <c r="V80" s="13" t="s">
        <v>279</v>
      </c>
      <c r="W80">
        <f>ABS(Q82-R82)</f>
        <v>1.75</v>
      </c>
      <c r="X80">
        <v>4.8347699014534289</v>
      </c>
      <c r="Y80">
        <f t="shared" ref="Y80:Y89" si="21">W80/X80</f>
        <v>0.36196138299651343</v>
      </c>
      <c r="Z80">
        <f>X80/Q83</f>
        <v>1.7223768221021474</v>
      </c>
      <c r="AA80" s="7">
        <f t="shared" ref="AA80:AA89" si="22">2*(1-_xlfn.NORM.S.DIST(Y80,TRUE))</f>
        <v>0.71738088841432113</v>
      </c>
      <c r="AB80" cm="1">
        <f t="array" ref="AB80:AB89">RANK(AA80:AA89,AA80:AA89,1)*Q85</f>
        <v>4.4999999999999998E-2</v>
      </c>
      <c r="AC80" s="36" t="str">
        <f t="shared" ref="AC80:AC89" si="23">IF(AA80&lt;AB80,"YES","NO")</f>
        <v>NO</v>
      </c>
    </row>
    <row r="81" spans="1:29" ht="15" thickBot="1" x14ac:dyDescent="0.45">
      <c r="A81" s="4"/>
      <c r="B81">
        <v>174.54500000000002</v>
      </c>
      <c r="C81">
        <v>161.66500000000002</v>
      </c>
      <c r="D81">
        <v>83.14500000000001</v>
      </c>
      <c r="E81">
        <v>23.064999999999998</v>
      </c>
      <c r="F81">
        <v>56.522499999999994</v>
      </c>
      <c r="G81" s="12"/>
      <c r="H81">
        <f>IFERROR(_xlfn.RANK.AVG(B81,B80:F87,1),"")</f>
        <v>29</v>
      </c>
      <c r="I81">
        <f>IFERROR(_xlfn.RANK.AVG(C81,B80:F87,1),"")</f>
        <v>27</v>
      </c>
      <c r="J81">
        <f>IFERROR(_xlfn.RANK.AVG(D81,B80:F87,1),"")</f>
        <v>16</v>
      </c>
      <c r="K81">
        <f>IFERROR(_xlfn.RANK.AVG(E81,B80:F87,1),"")</f>
        <v>3</v>
      </c>
      <c r="L81" s="7">
        <f>IFERROR(_xlfn.RANK.AVG(F81,B80:F87,1),"")</f>
        <v>8</v>
      </c>
      <c r="M81" s="6" t="s">
        <v>280</v>
      </c>
      <c r="N81" s="34">
        <f>SUM(H89:L89)</f>
        <v>11694.142857142857</v>
      </c>
      <c r="O81" s="35"/>
      <c r="P81" s="12" t="s">
        <v>277</v>
      </c>
      <c r="Q81">
        <f>COUNT(H80:H87)</f>
        <v>8</v>
      </c>
      <c r="R81">
        <f>COUNT(I80:I87)</f>
        <v>8</v>
      </c>
      <c r="S81">
        <f>COUNT(J80:J87)</f>
        <v>8</v>
      </c>
      <c r="T81">
        <f>COUNT(K80:K87)</f>
        <v>7</v>
      </c>
      <c r="U81" s="7">
        <f>COUNT(L80:L87)</f>
        <v>2</v>
      </c>
      <c r="V81" s="13" t="s">
        <v>281</v>
      </c>
      <c r="W81">
        <f>ABS(Q82-S82)</f>
        <v>9.25</v>
      </c>
      <c r="X81">
        <v>4.8347699014534289</v>
      </c>
      <c r="Y81">
        <f t="shared" si="21"/>
        <v>1.913224452981571</v>
      </c>
      <c r="Z81">
        <f>X81/Q83</f>
        <v>1.7223768221021474</v>
      </c>
      <c r="AA81" s="7">
        <f t="shared" si="22"/>
        <v>5.5719324352751176E-2</v>
      </c>
      <c r="AB81">
        <v>0.03</v>
      </c>
      <c r="AC81" s="36" t="str">
        <f t="shared" si="23"/>
        <v>NO</v>
      </c>
    </row>
    <row r="82" spans="1:29" ht="15" thickBot="1" x14ac:dyDescent="0.45">
      <c r="A82" s="4"/>
      <c r="B82">
        <v>192.4</v>
      </c>
      <c r="C82">
        <v>159.5</v>
      </c>
      <c r="D82">
        <v>92.39</v>
      </c>
      <c r="E82">
        <v>34.214999999999996</v>
      </c>
      <c r="F82" t="s">
        <v>282</v>
      </c>
      <c r="G82" s="12"/>
      <c r="H82">
        <f>IFERROR(_xlfn.RANK.AVG(B82,B80:F87,1),"")</f>
        <v>30</v>
      </c>
      <c r="I82">
        <f>IFERROR(_xlfn.RANK.AVG(C82,B80:F87,1),"")</f>
        <v>25</v>
      </c>
      <c r="J82">
        <f>IFERROR(_xlfn.RANK.AVG(D82,B80:F87,1),"")</f>
        <v>19</v>
      </c>
      <c r="K82">
        <f>IFERROR(_xlfn.RANK.AVG(E82,B80:F87,1),"")</f>
        <v>6</v>
      </c>
      <c r="L82" s="7" t="str">
        <f>IFERROR(_xlfn.RANK.AVG(F82,B80:F87,1),"")</f>
        <v/>
      </c>
      <c r="M82" s="6" t="s">
        <v>283</v>
      </c>
      <c r="N82" s="34">
        <f>12*N81/(N80*(N80+1))-3*(N80+1)</f>
        <v>23.071046600458374</v>
      </c>
      <c r="O82" s="35"/>
      <c r="P82" s="14" t="s">
        <v>284</v>
      </c>
      <c r="Q82" s="27">
        <f>Q80/Q81</f>
        <v>23.75</v>
      </c>
      <c r="R82" s="27">
        <f>R80/R81</f>
        <v>25.5</v>
      </c>
      <c r="S82" s="27">
        <f>S80/S81</f>
        <v>14.5</v>
      </c>
      <c r="T82" s="27">
        <f>T80/T81</f>
        <v>5.1428571428571432</v>
      </c>
      <c r="U82" s="27">
        <f>U80/U81</f>
        <v>7.5</v>
      </c>
      <c r="V82" s="13" t="s">
        <v>285</v>
      </c>
      <c r="W82">
        <f>ABS(Q82-T82)</f>
        <v>18.607142857142858</v>
      </c>
      <c r="X82">
        <v>5.0044622945070589</v>
      </c>
      <c r="Y82">
        <f t="shared" si="21"/>
        <v>3.7181103107852804</v>
      </c>
      <c r="Z82">
        <f>X82/Q83</f>
        <v>1.7828293877133372</v>
      </c>
      <c r="AA82" s="7">
        <f t="shared" si="22"/>
        <v>2.0071862493442616E-4</v>
      </c>
      <c r="AB82">
        <v>0.01</v>
      </c>
      <c r="AC82" s="36" t="str">
        <f t="shared" si="23"/>
        <v>YES</v>
      </c>
    </row>
    <row r="83" spans="1:29" ht="15" thickBot="1" x14ac:dyDescent="0.45">
      <c r="A83" s="4"/>
      <c r="B83">
        <v>75.45</v>
      </c>
      <c r="C83">
        <v>65.844999999999999</v>
      </c>
      <c r="D83">
        <v>60.15</v>
      </c>
      <c r="E83">
        <v>15.9</v>
      </c>
      <c r="F83" t="s">
        <v>282</v>
      </c>
      <c r="G83" s="12"/>
      <c r="H83">
        <f>IFERROR(_xlfn.RANK.AVG(B83,B80:F87,1),"")</f>
        <v>12</v>
      </c>
      <c r="I83">
        <f>IFERROR(_xlfn.RANK.AVG(C83,B80:F87,1),"")</f>
        <v>11</v>
      </c>
      <c r="J83">
        <f>IFERROR(_xlfn.RANK.AVG(D83,B80:F87,1),"")</f>
        <v>9</v>
      </c>
      <c r="K83">
        <f>IFERROR(_xlfn.RANK.AVG(E83,B80:F87,1),"")</f>
        <v>1</v>
      </c>
      <c r="L83" s="7" t="str">
        <f>IFERROR(_xlfn.RANK.AVG(F83,B80:F87,1),"")</f>
        <v/>
      </c>
      <c r="M83" s="6" t="s">
        <v>286</v>
      </c>
      <c r="N83" s="34">
        <v>5</v>
      </c>
      <c r="O83" s="35"/>
      <c r="P83" s="12" t="s">
        <v>287</v>
      </c>
      <c r="Q83">
        <f>_xlfn.NORM.S.INV(1-Q85/2)</f>
        <v>2.8070337683438114</v>
      </c>
      <c r="U83" s="7"/>
      <c r="V83" s="13" t="s">
        <v>288</v>
      </c>
      <c r="W83">
        <f>ABS(R82-S82)</f>
        <v>11</v>
      </c>
      <c r="X83">
        <v>4.8347699014534289</v>
      </c>
      <c r="Y83">
        <f t="shared" si="21"/>
        <v>2.2751858359780845</v>
      </c>
      <c r="Z83">
        <f>X83/Q83</f>
        <v>1.7223768221021474</v>
      </c>
      <c r="AA83" s="7">
        <f t="shared" si="22"/>
        <v>2.2894784183124628E-2</v>
      </c>
      <c r="AB83">
        <v>0.02</v>
      </c>
      <c r="AC83" s="36" t="str">
        <f t="shared" si="23"/>
        <v>NO</v>
      </c>
    </row>
    <row r="84" spans="1:29" ht="15" thickBot="1" x14ac:dyDescent="0.45">
      <c r="A84" s="4"/>
      <c r="B84">
        <v>163.79500000000002</v>
      </c>
      <c r="C84">
        <v>135.62</v>
      </c>
      <c r="D84">
        <v>85.065000000000012</v>
      </c>
      <c r="E84">
        <v>27.04</v>
      </c>
      <c r="F84" t="s">
        <v>282</v>
      </c>
      <c r="G84" s="12"/>
      <c r="H84">
        <f>IFERROR(_xlfn.RANK.AVG(B84,B80:F87,1),"")</f>
        <v>28</v>
      </c>
      <c r="I84">
        <f>IFERROR(_xlfn.RANK.AVG(C84,B80:F87,1),"")</f>
        <v>22</v>
      </c>
      <c r="J84">
        <f>IFERROR(_xlfn.RANK.AVG(D84,B80:F87,1),"")</f>
        <v>17</v>
      </c>
      <c r="K84">
        <f>IFERROR(_xlfn.RANK.AVG(E84,B80:F87,1),"")</f>
        <v>5</v>
      </c>
      <c r="L84" s="7" t="str">
        <f>IFERROR(_xlfn.RANK.AVG(F84,B80:F87,1),"")</f>
        <v/>
      </c>
      <c r="M84" s="6" t="s">
        <v>289</v>
      </c>
      <c r="N84" s="34">
        <f>_xlfn.CHISQ.DIST.RT(N82,N83)</f>
        <v>3.2717054464308925E-4</v>
      </c>
      <c r="O84" s="35"/>
      <c r="P84" s="12" t="s">
        <v>290</v>
      </c>
      <c r="Q84">
        <f>N80</f>
        <v>33</v>
      </c>
      <c r="U84" s="7"/>
      <c r="V84" s="13" t="s">
        <v>291</v>
      </c>
      <c r="W84">
        <f>ABS(R82-T82)</f>
        <v>20.357142857142858</v>
      </c>
      <c r="X84">
        <v>5.0044622945070589</v>
      </c>
      <c r="Y84">
        <f t="shared" si="21"/>
        <v>4.0677982286902301</v>
      </c>
      <c r="Z84">
        <f>X84/Q83</f>
        <v>1.7828293877133372</v>
      </c>
      <c r="AA84" s="7">
        <f t="shared" si="22"/>
        <v>4.7459448069941956E-5</v>
      </c>
      <c r="AB84">
        <v>5.0000000000000001E-3</v>
      </c>
      <c r="AC84" s="36" t="str">
        <f t="shared" si="23"/>
        <v>YES</v>
      </c>
    </row>
    <row r="85" spans="1:29" ht="15" thickBot="1" x14ac:dyDescent="0.45">
      <c r="A85" s="4"/>
      <c r="B85">
        <v>118.88499999999999</v>
      </c>
      <c r="C85">
        <v>138.155</v>
      </c>
      <c r="D85">
        <v>92.135000000000005</v>
      </c>
      <c r="E85">
        <v>17.934999999999999</v>
      </c>
      <c r="F85" t="s">
        <v>282</v>
      </c>
      <c r="G85" s="12"/>
      <c r="H85">
        <f>IFERROR(_xlfn.RANK.AVG(B85,B80:F87,1),"")</f>
        <v>21</v>
      </c>
      <c r="I85">
        <f>IFERROR(_xlfn.RANK.AVG(C85,B80:F87,1),"")</f>
        <v>23</v>
      </c>
      <c r="J85">
        <f>IFERROR(_xlfn.RANK.AVG(D85,B80:F87,1),"")</f>
        <v>18</v>
      </c>
      <c r="K85">
        <f>IFERROR(_xlfn.RANK.AVG(E85,B80:F87,1),"")</f>
        <v>2</v>
      </c>
      <c r="L85" s="7" t="str">
        <f>IFERROR(_xlfn.RANK.AVG(F85,B80:F87,1),"")</f>
        <v/>
      </c>
      <c r="M85" s="6" t="s">
        <v>292</v>
      </c>
      <c r="N85" s="34">
        <v>0.05</v>
      </c>
      <c r="O85" s="35"/>
      <c r="P85" s="12" t="s">
        <v>293</v>
      </c>
      <c r="Q85">
        <f>N74/(COUNT(Q70:U70)*(COUNT(Q59:U59)-1)/2)</f>
        <v>5.0000000000000001E-3</v>
      </c>
      <c r="U85" s="7"/>
      <c r="V85" s="13" t="s">
        <v>294</v>
      </c>
      <c r="W85">
        <f>ABS(S82-T82)</f>
        <v>9.3571428571428577</v>
      </c>
      <c r="X85">
        <v>5.0044622945070589</v>
      </c>
      <c r="Y85">
        <f t="shared" si="21"/>
        <v>1.8697598875734041</v>
      </c>
      <c r="Z85">
        <f>X85/Q83</f>
        <v>1.7828293877133372</v>
      </c>
      <c r="AA85" s="7">
        <f t="shared" si="22"/>
        <v>6.1517168947383905E-2</v>
      </c>
      <c r="AB85">
        <v>3.5000000000000003E-2</v>
      </c>
      <c r="AC85" s="36" t="str">
        <f t="shared" si="23"/>
        <v>NO</v>
      </c>
    </row>
    <row r="86" spans="1:29" ht="15" thickBot="1" x14ac:dyDescent="0.45">
      <c r="A86" s="4"/>
      <c r="B86">
        <v>115.6</v>
      </c>
      <c r="C86">
        <v>209.64000000000001</v>
      </c>
      <c r="D86">
        <v>79.625</v>
      </c>
      <c r="E86">
        <v>81.804999999999993</v>
      </c>
      <c r="F86" t="s">
        <v>282</v>
      </c>
      <c r="G86" s="12"/>
      <c r="H86">
        <f>IFERROR(_xlfn.RANK.AVG(B86,B80:F87,1),"")</f>
        <v>20</v>
      </c>
      <c r="I86">
        <f>IFERROR(_xlfn.RANK.AVG(C86,B80:F87,1),"")</f>
        <v>32</v>
      </c>
      <c r="J86">
        <f>IFERROR(_xlfn.RANK.AVG(D86,B80:F87,1),"")</f>
        <v>13</v>
      </c>
      <c r="K86">
        <f>IFERROR(_xlfn.RANK.AVG(E86,B80:F87,1),"")</f>
        <v>15</v>
      </c>
      <c r="L86" s="7" t="str">
        <f>IFERROR(_xlfn.RANK.AVG(F86,B80:F87,1),"")</f>
        <v/>
      </c>
      <c r="M86" s="6" t="s">
        <v>275</v>
      </c>
      <c r="N86" s="36" t="str">
        <f>IF(N84&lt;N85,"YES","NO")</f>
        <v>YES</v>
      </c>
      <c r="O86" s="37"/>
      <c r="P86" s="12"/>
      <c r="U86" s="7"/>
      <c r="V86" s="13" t="s">
        <v>295</v>
      </c>
      <c r="W86">
        <f>ABS(U82-Q82)</f>
        <v>16.25</v>
      </c>
      <c r="X86">
        <v>7.6444424257103281</v>
      </c>
      <c r="Y86">
        <f t="shared" si="21"/>
        <v>2.125727305545118</v>
      </c>
      <c r="Z86">
        <f>X86/Q83</f>
        <v>2.7233168734627138</v>
      </c>
      <c r="AA86" s="7">
        <f t="shared" si="22"/>
        <v>3.352597196748186E-2</v>
      </c>
      <c r="AB86">
        <v>2.5000000000000001E-2</v>
      </c>
      <c r="AC86" s="36" t="str">
        <f t="shared" si="23"/>
        <v>NO</v>
      </c>
    </row>
    <row r="87" spans="1:29" ht="15" thickBot="1" x14ac:dyDescent="0.45">
      <c r="A87" s="4"/>
      <c r="B87">
        <v>145.95499999999998</v>
      </c>
      <c r="C87">
        <v>199.57</v>
      </c>
      <c r="D87">
        <v>60.929999999999993</v>
      </c>
      <c r="E87" t="s">
        <v>282</v>
      </c>
      <c r="F87" t="s">
        <v>282</v>
      </c>
      <c r="G87" s="12"/>
      <c r="H87">
        <f>IFERROR(_xlfn.RANK.AVG(B87,B80:F87,1),"")</f>
        <v>24</v>
      </c>
      <c r="I87">
        <f>IFERROR(_xlfn.RANK.AVG(C87,B80:F87,1),"")</f>
        <v>31</v>
      </c>
      <c r="J87">
        <f>IFERROR(_xlfn.RANK.AVG(D87,B80:F87,1),"")</f>
        <v>10</v>
      </c>
      <c r="K87" s="27" t="str">
        <f>IFERROR(_xlfn.RANK.AVG(E87,B80:F87,1),"")</f>
        <v/>
      </c>
      <c r="L87" s="7" t="str">
        <f>IFERROR(_xlfn.RANK.AVG(F87,B80:F87,1),"")</f>
        <v/>
      </c>
      <c r="N87" s="34"/>
      <c r="O87" s="35"/>
      <c r="P87" s="38"/>
      <c r="U87" s="7"/>
      <c r="V87" s="13" t="s">
        <v>296</v>
      </c>
      <c r="W87">
        <f>ABS(U82-R82)</f>
        <v>18</v>
      </c>
      <c r="X87">
        <v>7.6444424257103281</v>
      </c>
      <c r="Y87">
        <f t="shared" si="21"/>
        <v>2.3546517846038229</v>
      </c>
      <c r="Z87">
        <f>X87/Q83</f>
        <v>2.7233168734627138</v>
      </c>
      <c r="AA87" s="7">
        <f t="shared" si="22"/>
        <v>1.8540070188500568E-2</v>
      </c>
      <c r="AB87">
        <v>1.4999999999999999E-2</v>
      </c>
      <c r="AC87" s="36" t="str">
        <f t="shared" si="23"/>
        <v>NO</v>
      </c>
    </row>
    <row r="88" spans="1:29" ht="15" thickBot="1" x14ac:dyDescent="0.45">
      <c r="A88" s="4"/>
      <c r="F88" s="7"/>
      <c r="G88" s="12" t="s">
        <v>278</v>
      </c>
      <c r="H88" s="39">
        <f>SUM(H80:H87)</f>
        <v>190</v>
      </c>
      <c r="I88" s="40">
        <f>SUM(I80:I87)</f>
        <v>204</v>
      </c>
      <c r="J88" s="40">
        <f>SUM(J80:J87)</f>
        <v>116</v>
      </c>
      <c r="K88" s="50">
        <f>SUM(K80:K87)</f>
        <v>36</v>
      </c>
      <c r="L88" s="40">
        <f>SUM(L80:L87)</f>
        <v>15</v>
      </c>
      <c r="N88" s="34"/>
      <c r="O88" s="35"/>
      <c r="P88" s="38"/>
      <c r="U88" s="7"/>
      <c r="V88" s="13" t="s">
        <v>297</v>
      </c>
      <c r="W88">
        <f>ABS(U82-S82)</f>
        <v>7</v>
      </c>
      <c r="X88">
        <v>7.6444424257103281</v>
      </c>
      <c r="Y88">
        <f t="shared" si="21"/>
        <v>0.91569791623482</v>
      </c>
      <c r="Z88">
        <f>X88/Q83</f>
        <v>2.7233168734627138</v>
      </c>
      <c r="AA88" s="7">
        <f t="shared" si="22"/>
        <v>0.35982535825593498</v>
      </c>
      <c r="AB88">
        <v>0.04</v>
      </c>
      <c r="AC88" s="36" t="str">
        <f t="shared" si="23"/>
        <v>NO</v>
      </c>
    </row>
    <row r="89" spans="1:29" ht="15" thickBot="1" x14ac:dyDescent="0.45">
      <c r="A89" s="4"/>
      <c r="F89" s="7"/>
      <c r="G89" s="15" t="s">
        <v>298</v>
      </c>
      <c r="H89" s="41">
        <f>IFERROR(((SUM(H80:H87))^2)/COUNT(H80:H87),"")</f>
        <v>4512.5</v>
      </c>
      <c r="I89" s="42">
        <f>IFERROR(((SUM(I80:I87))^2)/COUNT(I80:I87),"")</f>
        <v>5202</v>
      </c>
      <c r="J89" s="42">
        <f>IFERROR(((SUM(J80:J87))^2)/COUNT(J80:J87),"")</f>
        <v>1682</v>
      </c>
      <c r="K89" s="42">
        <f>IFERROR(((SUM(K80:K87))^2)/COUNT(K80:K87),"")</f>
        <v>185.14285714285714</v>
      </c>
      <c r="L89" s="42">
        <f>IFERROR(((SUM(L80:L87))^2)/COUNT(L80:L87),"")</f>
        <v>112.5</v>
      </c>
      <c r="M89" s="25"/>
      <c r="N89" s="44"/>
      <c r="O89" s="45"/>
      <c r="P89" s="46"/>
      <c r="Q89" s="25"/>
      <c r="R89" s="25"/>
      <c r="S89" s="25"/>
      <c r="T89" s="25"/>
      <c r="U89" s="47"/>
      <c r="V89" s="16" t="s">
        <v>299</v>
      </c>
      <c r="W89" s="25">
        <f>ABS(U82-T82)</f>
        <v>2.3571428571428568</v>
      </c>
      <c r="X89" s="25">
        <v>7.7528796493395182</v>
      </c>
      <c r="Y89">
        <f t="shared" si="21"/>
        <v>0.30403449605253013</v>
      </c>
      <c r="Z89">
        <f>X89/Q83</f>
        <v>2.7619474110971685</v>
      </c>
      <c r="AA89" s="7">
        <f t="shared" si="22"/>
        <v>0.76110161031299706</v>
      </c>
      <c r="AB89" s="25">
        <v>0.05</v>
      </c>
      <c r="AC89" s="36" t="str">
        <f t="shared" si="23"/>
        <v>NO</v>
      </c>
    </row>
    <row r="90" spans="1:29" ht="15" thickBot="1" x14ac:dyDescent="0.45">
      <c r="A90" s="4" t="s">
        <v>110</v>
      </c>
      <c r="B90" t="s">
        <v>260</v>
      </c>
      <c r="C90" t="s">
        <v>261</v>
      </c>
      <c r="D90" t="s">
        <v>262</v>
      </c>
      <c r="E90" t="s">
        <v>263</v>
      </c>
      <c r="F90" s="7" t="s">
        <v>265</v>
      </c>
      <c r="G90" s="10" t="s">
        <v>266</v>
      </c>
      <c r="H90" s="48" t="s">
        <v>260</v>
      </c>
      <c r="I90" s="31" t="s">
        <v>261</v>
      </c>
      <c r="J90" s="31" t="s">
        <v>262</v>
      </c>
      <c r="K90" s="27" t="s">
        <v>263</v>
      </c>
      <c r="L90" s="32" t="s">
        <v>265</v>
      </c>
      <c r="M90" s="31"/>
      <c r="N90" s="33"/>
      <c r="O90" s="49"/>
      <c r="P90" s="10" t="s">
        <v>267</v>
      </c>
      <c r="Q90" s="31" t="s">
        <v>260</v>
      </c>
      <c r="R90" s="31" t="s">
        <v>261</v>
      </c>
      <c r="S90" s="31" t="s">
        <v>262</v>
      </c>
      <c r="T90" s="27" t="s">
        <v>263</v>
      </c>
      <c r="U90" s="32" t="s">
        <v>265</v>
      </c>
      <c r="V90" s="11" t="s">
        <v>268</v>
      </c>
      <c r="W90" s="31" t="s">
        <v>269</v>
      </c>
      <c r="X90" s="31" t="s">
        <v>270</v>
      </c>
      <c r="Y90" s="31" t="s">
        <v>271</v>
      </c>
      <c r="Z90" s="31" t="s">
        <v>272</v>
      </c>
      <c r="AA90" s="32" t="s">
        <v>273</v>
      </c>
      <c r="AB90" s="31" t="s">
        <v>274</v>
      </c>
      <c r="AC90" s="33" t="s">
        <v>275</v>
      </c>
    </row>
    <row r="91" spans="1:29" ht="15" thickBot="1" x14ac:dyDescent="0.45">
      <c r="A91" s="4"/>
      <c r="B91">
        <v>4.0649999999999995</v>
      </c>
      <c r="C91">
        <v>5.2450000000000001</v>
      </c>
      <c r="D91">
        <v>5.9799999999999995</v>
      </c>
      <c r="E91">
        <v>4.1899999999999995</v>
      </c>
      <c r="F91">
        <v>101.97</v>
      </c>
      <c r="G91" s="12" t="s">
        <v>276</v>
      </c>
      <c r="H91">
        <f>IFERROR(_xlfn.RANK.AVG(B91,B91:F98,1),"")</f>
        <v>9.5</v>
      </c>
      <c r="I91">
        <f>IFERROR(_xlfn.RANK.AVG(C91,B91:F98,1),"")</f>
        <v>18</v>
      </c>
      <c r="J91">
        <f>IFERROR(_xlfn.RANK.AVG(D91,B91:F98,1),"")</f>
        <v>24</v>
      </c>
      <c r="K91">
        <f>IFERROR(_xlfn.RANK.AVG(E91,B91:F98,1),"")</f>
        <v>11</v>
      </c>
      <c r="L91" s="7">
        <f>IFERROR(_xlfn.RANK.AVG(F91,B91:F98,1),"")</f>
        <v>33</v>
      </c>
      <c r="M91" s="6" t="s">
        <v>277</v>
      </c>
      <c r="N91" s="34">
        <f>COUNT(H91:L98)</f>
        <v>33</v>
      </c>
      <c r="O91" s="35"/>
      <c r="P91" s="12" t="s">
        <v>278</v>
      </c>
      <c r="Q91">
        <f>H99</f>
        <v>80.5</v>
      </c>
      <c r="R91">
        <f>I99</f>
        <v>181.5</v>
      </c>
      <c r="S91">
        <f>J99</f>
        <v>124</v>
      </c>
      <c r="T91">
        <f>K99</f>
        <v>110</v>
      </c>
      <c r="U91" s="7">
        <f>L99</f>
        <v>65</v>
      </c>
      <c r="V91" s="13" t="s">
        <v>279</v>
      </c>
      <c r="W91">
        <f>ABS(Q93-R93)</f>
        <v>12.625</v>
      </c>
      <c r="X91">
        <v>4.8225222062845416</v>
      </c>
      <c r="Y91">
        <f t="shared" ref="Y91:Y100" si="24">W91/X91</f>
        <v>2.6179246999728778</v>
      </c>
      <c r="Z91">
        <f>X91/Q94</f>
        <v>1.7180136059175006</v>
      </c>
      <c r="AA91" s="7">
        <f t="shared" ref="AA91:AA100" si="25">2*(1-_xlfn.NORM.S.DIST(Y91,TRUE))</f>
        <v>8.8466324557698872E-3</v>
      </c>
      <c r="AB91" cm="1">
        <f t="array" ref="AB91:AB100">RANK(AA91:AA100,AA91:AA100,1)*Q96</f>
        <v>0.01</v>
      </c>
      <c r="AC91" s="36" t="str">
        <f t="shared" ref="AC91:AC100" si="26">IF(AA91&lt;AB91,"YES","NO")</f>
        <v>YES</v>
      </c>
    </row>
    <row r="92" spans="1:29" ht="15" thickBot="1" x14ac:dyDescent="0.45">
      <c r="A92" s="4"/>
      <c r="B92">
        <v>3.94</v>
      </c>
      <c r="C92">
        <v>7.4150000000000009</v>
      </c>
      <c r="D92">
        <v>6.1749999999999998</v>
      </c>
      <c r="E92">
        <v>4.8900000000000006</v>
      </c>
      <c r="F92">
        <v>17.272500000000001</v>
      </c>
      <c r="G92" s="12"/>
      <c r="H92">
        <f>IFERROR(_xlfn.RANK.AVG(B92,B91:F98,1),"")</f>
        <v>8</v>
      </c>
      <c r="I92">
        <f>IFERROR(_xlfn.RANK.AVG(C92,B91:F98,1),"")</f>
        <v>30</v>
      </c>
      <c r="J92">
        <f>IFERROR(_xlfn.RANK.AVG(D92,B91:F98,1),"")</f>
        <v>25</v>
      </c>
      <c r="K92">
        <f>IFERROR(_xlfn.RANK.AVG(E92,B91:F98,1),"")</f>
        <v>16</v>
      </c>
      <c r="L92" s="7">
        <f>IFERROR(_xlfn.RANK.AVG(F92,B91:F98,1),"")</f>
        <v>32</v>
      </c>
      <c r="M92" s="6" t="s">
        <v>280</v>
      </c>
      <c r="N92" s="34">
        <f>SUM(H100:L100)</f>
        <v>10690.883928571429</v>
      </c>
      <c r="O92" s="35"/>
      <c r="P92" s="12" t="s">
        <v>277</v>
      </c>
      <c r="Q92">
        <f>COUNT(H91:H98)</f>
        <v>8</v>
      </c>
      <c r="R92">
        <f>COUNT(I91:I98)</f>
        <v>8</v>
      </c>
      <c r="S92">
        <f>COUNT(J91:J98)</f>
        <v>8</v>
      </c>
      <c r="T92">
        <f>COUNT(K91:K98)</f>
        <v>7</v>
      </c>
      <c r="U92" s="7">
        <f>COUNT(L91:L98)</f>
        <v>2</v>
      </c>
      <c r="V92" s="13" t="s">
        <v>281</v>
      </c>
      <c r="W92">
        <f>ABS(Q93-S93)</f>
        <v>5.4375</v>
      </c>
      <c r="X92">
        <v>4.8303241350865882</v>
      </c>
      <c r="Y92">
        <f t="shared" si="24"/>
        <v>1.1257008531793959</v>
      </c>
      <c r="Z92">
        <f>X92/Q94</f>
        <v>1.7207930269882525</v>
      </c>
      <c r="AA92" s="7">
        <f t="shared" si="25"/>
        <v>0.26029216250737308</v>
      </c>
      <c r="AB92">
        <v>4.4999999999999998E-2</v>
      </c>
      <c r="AC92" s="36" t="str">
        <f t="shared" si="26"/>
        <v>NO</v>
      </c>
    </row>
    <row r="93" spans="1:29" ht="15" thickBot="1" x14ac:dyDescent="0.45">
      <c r="A93" s="4"/>
      <c r="B93">
        <v>5.0849999999999991</v>
      </c>
      <c r="C93">
        <v>0</v>
      </c>
      <c r="D93">
        <v>4.5200000000000005</v>
      </c>
      <c r="E93">
        <v>4.415</v>
      </c>
      <c r="F93" t="s">
        <v>282</v>
      </c>
      <c r="G93" s="12"/>
      <c r="H93">
        <f>IFERROR(_xlfn.RANK.AVG(B93,B91:F98,1),"")</f>
        <v>17</v>
      </c>
      <c r="I93">
        <f>IFERROR(_xlfn.RANK.AVG(C93,B91:F98,1),"")</f>
        <v>2.5</v>
      </c>
      <c r="J93">
        <f>IFERROR(_xlfn.RANK.AVG(D93,B91:F98,1),"")</f>
        <v>13</v>
      </c>
      <c r="K93">
        <f>IFERROR(_xlfn.RANK.AVG(E93,B91:F98,1),"")</f>
        <v>12</v>
      </c>
      <c r="L93" s="7" t="str">
        <f>IFERROR(_xlfn.RANK.AVG(F93,B91:F98,1),"")</f>
        <v/>
      </c>
      <c r="M93" s="6" t="s">
        <v>283</v>
      </c>
      <c r="N93" s="34">
        <f>12*N92/(N91*(N91+1))-3*(N91+1)</f>
        <v>12.341004583651653</v>
      </c>
      <c r="O93" s="35"/>
      <c r="P93" s="14" t="s">
        <v>284</v>
      </c>
      <c r="Q93" s="27">
        <f>Q91/Q92</f>
        <v>10.0625</v>
      </c>
      <c r="R93" s="27">
        <f>R91/R92</f>
        <v>22.6875</v>
      </c>
      <c r="S93" s="27">
        <f>S91/S92</f>
        <v>15.5</v>
      </c>
      <c r="T93" s="27">
        <f>T91/T92</f>
        <v>15.714285714285714</v>
      </c>
      <c r="U93" s="27">
        <f>U91/U92</f>
        <v>32.5</v>
      </c>
      <c r="V93" s="13" t="s">
        <v>285</v>
      </c>
      <c r="W93">
        <f>ABS(Q93-T93)</f>
        <v>5.6517857142857135</v>
      </c>
      <c r="X93">
        <v>4.9998604891251004</v>
      </c>
      <c r="Y93">
        <f t="shared" si="24"/>
        <v>1.1303886831599756</v>
      </c>
      <c r="Z93">
        <f>X93/Q94</f>
        <v>1.7811900040216071</v>
      </c>
      <c r="AA93" s="7">
        <f t="shared" si="25"/>
        <v>0.25831248059390877</v>
      </c>
      <c r="AB93">
        <v>0.04</v>
      </c>
      <c r="AC93" s="36" t="str">
        <f t="shared" si="26"/>
        <v>NO</v>
      </c>
    </row>
    <row r="94" spans="1:29" ht="15" thickBot="1" x14ac:dyDescent="0.45">
      <c r="A94" s="4"/>
      <c r="B94">
        <v>0</v>
      </c>
      <c r="C94">
        <v>5.65</v>
      </c>
      <c r="D94">
        <v>0</v>
      </c>
      <c r="E94">
        <v>4.74</v>
      </c>
      <c r="F94" t="s">
        <v>282</v>
      </c>
      <c r="G94" s="12"/>
      <c r="H94">
        <f>IFERROR(_xlfn.RANK.AVG(B94,B91:F98,1),"")</f>
        <v>2.5</v>
      </c>
      <c r="I94">
        <f>IFERROR(_xlfn.RANK.AVG(C94,B91:F98,1),"")</f>
        <v>22</v>
      </c>
      <c r="J94">
        <f>IFERROR(_xlfn.RANK.AVG(D94,B91:F98,1),"")</f>
        <v>2.5</v>
      </c>
      <c r="K94">
        <f>IFERROR(_xlfn.RANK.AVG(E94,B91:F98,1),"")</f>
        <v>15</v>
      </c>
      <c r="L94" s="7" t="str">
        <f>IFERROR(_xlfn.RANK.AVG(F94,B91:F98,1),"")</f>
        <v/>
      </c>
      <c r="M94" s="6" t="s">
        <v>286</v>
      </c>
      <c r="N94" s="34">
        <v>5</v>
      </c>
      <c r="O94" s="35"/>
      <c r="P94" s="12" t="s">
        <v>287</v>
      </c>
      <c r="Q94">
        <f>_xlfn.NORM.S.INV(1-Q96/2)</f>
        <v>2.8070337683438114</v>
      </c>
      <c r="U94" s="7"/>
      <c r="V94" s="13" t="s">
        <v>288</v>
      </c>
      <c r="W94">
        <f>ABS(R93-S93)</f>
        <v>7.1875</v>
      </c>
      <c r="X94">
        <v>4.8303241350865882</v>
      </c>
      <c r="Y94">
        <f t="shared" si="24"/>
        <v>1.4879953806394315</v>
      </c>
      <c r="Z94">
        <f>X94/Q94</f>
        <v>1.7207930269882525</v>
      </c>
      <c r="AA94" s="7">
        <f t="shared" si="25"/>
        <v>0.1367521118591426</v>
      </c>
      <c r="AB94">
        <v>2.5000000000000001E-2</v>
      </c>
      <c r="AC94" s="36" t="str">
        <f t="shared" si="26"/>
        <v>NO</v>
      </c>
    </row>
    <row r="95" spans="1:29" ht="15" thickBot="1" x14ac:dyDescent="0.45">
      <c r="A95" s="4"/>
      <c r="B95">
        <v>3.7399999999999998</v>
      </c>
      <c r="C95">
        <v>5.9450000000000003</v>
      </c>
      <c r="D95">
        <v>5.2750000000000004</v>
      </c>
      <c r="E95">
        <v>7.37</v>
      </c>
      <c r="F95" t="s">
        <v>282</v>
      </c>
      <c r="G95" s="12"/>
      <c r="H95">
        <f>IFERROR(_xlfn.RANK.AVG(B95,B91:F98,1),"")</f>
        <v>7</v>
      </c>
      <c r="I95">
        <f>IFERROR(_xlfn.RANK.AVG(C95,B91:F98,1),"")</f>
        <v>23</v>
      </c>
      <c r="J95">
        <f>IFERROR(_xlfn.RANK.AVG(D95,B91:F98,1),"")</f>
        <v>19</v>
      </c>
      <c r="K95">
        <f>IFERROR(_xlfn.RANK.AVG(E95,B91:F98,1),"")</f>
        <v>29</v>
      </c>
      <c r="L95" s="7" t="str">
        <f>IFERROR(_xlfn.RANK.AVG(F95,B91:F98,1),"")</f>
        <v/>
      </c>
      <c r="M95" s="6" t="s">
        <v>289</v>
      </c>
      <c r="N95" s="34">
        <f>_xlfn.CHISQ.DIST.RT(N93,N94)</f>
        <v>3.0402492764859186E-2</v>
      </c>
      <c r="O95" s="35"/>
      <c r="P95" s="12" t="s">
        <v>290</v>
      </c>
      <c r="Q95">
        <f>N91</f>
        <v>33</v>
      </c>
      <c r="U95" s="7"/>
      <c r="V95" s="13" t="s">
        <v>291</v>
      </c>
      <c r="W95">
        <f>ABS(R93-T93)</f>
        <v>6.9732142857142865</v>
      </c>
      <c r="X95">
        <v>4.9998604891251004</v>
      </c>
      <c r="Y95">
        <f t="shared" si="24"/>
        <v>1.3946817717976954</v>
      </c>
      <c r="Z95">
        <f>X95/Q94</f>
        <v>1.7811900040216071</v>
      </c>
      <c r="AA95" s="7">
        <f t="shared" si="25"/>
        <v>0.1631118240749474</v>
      </c>
      <c r="AB95">
        <v>0.03</v>
      </c>
      <c r="AC95" s="36" t="str">
        <f t="shared" si="26"/>
        <v>NO</v>
      </c>
    </row>
    <row r="96" spans="1:29" ht="15" thickBot="1" x14ac:dyDescent="0.45">
      <c r="A96" s="4"/>
      <c r="B96">
        <v>4.62</v>
      </c>
      <c r="C96">
        <v>6.7150000000000007</v>
      </c>
      <c r="D96">
        <v>3.6</v>
      </c>
      <c r="E96">
        <v>5.3950000000000005</v>
      </c>
      <c r="F96" t="s">
        <v>282</v>
      </c>
      <c r="G96" s="12"/>
      <c r="H96">
        <f>IFERROR(_xlfn.RANK.AVG(B96,B91:F98,1),"")</f>
        <v>14</v>
      </c>
      <c r="I96">
        <f>IFERROR(_xlfn.RANK.AVG(C96,B91:F98,1),"")</f>
        <v>27</v>
      </c>
      <c r="J96">
        <f>IFERROR(_xlfn.RANK.AVG(D96,B91:F98,1),"")</f>
        <v>5</v>
      </c>
      <c r="K96">
        <f>IFERROR(_xlfn.RANK.AVG(E96,B91:F98,1),"")</f>
        <v>21</v>
      </c>
      <c r="L96" s="7" t="str">
        <f>IFERROR(_xlfn.RANK.AVG(F96,B91:F98,1),"")</f>
        <v/>
      </c>
      <c r="M96" s="6" t="s">
        <v>292</v>
      </c>
      <c r="N96" s="34">
        <v>0.05</v>
      </c>
      <c r="O96" s="35"/>
      <c r="P96" s="12" t="s">
        <v>293</v>
      </c>
      <c r="Q96">
        <f>N85/(COUNT(Q81:U81)*(COUNT(Q70:U70)-1)/2)</f>
        <v>5.0000000000000001E-3</v>
      </c>
      <c r="U96" s="7"/>
      <c r="V96" s="13" t="s">
        <v>294</v>
      </c>
      <c r="W96">
        <f>ABS(S93-T93)</f>
        <v>0.21428571428571352</v>
      </c>
      <c r="X96">
        <v>4.9998604891251004</v>
      </c>
      <c r="Y96">
        <f t="shared" si="24"/>
        <v>4.2858338698008404E-2</v>
      </c>
      <c r="Z96">
        <f>X96/Q94</f>
        <v>1.7811900040216071</v>
      </c>
      <c r="AA96" s="7">
        <f t="shared" si="25"/>
        <v>0.96581445911694619</v>
      </c>
      <c r="AB96">
        <v>0.05</v>
      </c>
      <c r="AC96" s="36" t="str">
        <f t="shared" si="26"/>
        <v>NO</v>
      </c>
    </row>
    <row r="97" spans="1:29" ht="15" thickBot="1" x14ac:dyDescent="0.45">
      <c r="A97" s="4"/>
      <c r="B97">
        <v>5.2850000000000001</v>
      </c>
      <c r="C97">
        <v>7.6800000000000015</v>
      </c>
      <c r="D97">
        <v>6.62</v>
      </c>
      <c r="E97">
        <v>3.6850000000000001</v>
      </c>
      <c r="F97" t="s">
        <v>282</v>
      </c>
      <c r="G97" s="12"/>
      <c r="H97">
        <f>IFERROR(_xlfn.RANK.AVG(B97,B91:F98,1),"")</f>
        <v>20</v>
      </c>
      <c r="I97">
        <f>IFERROR(_xlfn.RANK.AVG(C97,B91:F98,1),"")</f>
        <v>31</v>
      </c>
      <c r="J97">
        <f>IFERROR(_xlfn.RANK.AVG(D97,B91:F98,1),"")</f>
        <v>26</v>
      </c>
      <c r="K97">
        <f>IFERROR(_xlfn.RANK.AVG(E97,B91:F98,1),"")</f>
        <v>6</v>
      </c>
      <c r="L97" s="7" t="str">
        <f>IFERROR(_xlfn.RANK.AVG(F97,B91:F98,1),"")</f>
        <v/>
      </c>
      <c r="M97" s="6" t="s">
        <v>275</v>
      </c>
      <c r="N97" s="36" t="str">
        <f>IF(N95&lt;N96,"YES","NO")</f>
        <v>YES</v>
      </c>
      <c r="O97" s="37"/>
      <c r="P97" s="12"/>
      <c r="U97" s="7"/>
      <c r="V97" s="13" t="s">
        <v>295</v>
      </c>
      <c r="W97">
        <f>ABS(U93-Q93)</f>
        <v>22.4375</v>
      </c>
      <c r="X97">
        <v>7.6374130518782337</v>
      </c>
      <c r="Y97">
        <f t="shared" si="24"/>
        <v>2.9378403194367038</v>
      </c>
      <c r="Z97">
        <f>X97/Q94</f>
        <v>2.7208126735092368</v>
      </c>
      <c r="AA97" s="7">
        <f t="shared" si="25"/>
        <v>3.3050720539524736E-3</v>
      </c>
      <c r="AB97">
        <v>5.0000000000000001E-3</v>
      </c>
      <c r="AC97" s="36" t="str">
        <f t="shared" si="26"/>
        <v>YES</v>
      </c>
    </row>
    <row r="98" spans="1:29" ht="15" thickBot="1" x14ac:dyDescent="0.45">
      <c r="A98" s="4"/>
      <c r="B98">
        <v>0</v>
      </c>
      <c r="C98">
        <v>6.8049999999999997</v>
      </c>
      <c r="D98">
        <v>4.0649999999999995</v>
      </c>
      <c r="E98" t="s">
        <v>282</v>
      </c>
      <c r="F98" t="s">
        <v>282</v>
      </c>
      <c r="G98" s="12"/>
      <c r="H98">
        <f>IFERROR(_xlfn.RANK.AVG(B98,B91:F98,1),"")</f>
        <v>2.5</v>
      </c>
      <c r="I98">
        <f>IFERROR(_xlfn.RANK.AVG(C98,B91:F98,1),"")</f>
        <v>28</v>
      </c>
      <c r="J98">
        <f>IFERROR(_xlfn.RANK.AVG(D98,B91:F98,1),"")</f>
        <v>9.5</v>
      </c>
      <c r="K98" s="27" t="str">
        <f>IFERROR(_xlfn.RANK.AVG(E98,B91:F98,1),"")</f>
        <v/>
      </c>
      <c r="L98" s="7" t="str">
        <f>IFERROR(_xlfn.RANK.AVG(F98,B91:F98,1),"")</f>
        <v/>
      </c>
      <c r="N98" s="34"/>
      <c r="O98" s="35"/>
      <c r="P98" s="38"/>
      <c r="U98" s="7"/>
      <c r="V98" s="13" t="s">
        <v>296</v>
      </c>
      <c r="W98">
        <f>ABS(U93-R93)</f>
        <v>9.8125</v>
      </c>
      <c r="X98">
        <v>7.6374130518782337</v>
      </c>
      <c r="Y98">
        <f t="shared" si="24"/>
        <v>1.2847936773024025</v>
      </c>
      <c r="Z98">
        <f>X98/Q94</f>
        <v>2.7208126735092368</v>
      </c>
      <c r="AA98" s="7">
        <f t="shared" si="25"/>
        <v>0.1988643924013298</v>
      </c>
      <c r="AB98">
        <v>3.5000000000000003E-2</v>
      </c>
      <c r="AC98" s="36" t="str">
        <f t="shared" si="26"/>
        <v>NO</v>
      </c>
    </row>
    <row r="99" spans="1:29" ht="15" thickBot="1" x14ac:dyDescent="0.45">
      <c r="A99" s="4"/>
      <c r="F99" s="7"/>
      <c r="G99" s="12" t="s">
        <v>278</v>
      </c>
      <c r="H99" s="39">
        <f>SUM(H91:H98)</f>
        <v>80.5</v>
      </c>
      <c r="I99" s="40">
        <f>SUM(I91:I98)</f>
        <v>181.5</v>
      </c>
      <c r="J99" s="40">
        <f>SUM(J91:J98)</f>
        <v>124</v>
      </c>
      <c r="K99" s="50">
        <f>SUM(K91:K98)</f>
        <v>110</v>
      </c>
      <c r="L99" s="40">
        <f>SUM(L91:L98)</f>
        <v>65</v>
      </c>
      <c r="N99" s="34"/>
      <c r="O99" s="35"/>
      <c r="P99" s="38"/>
      <c r="U99" s="7"/>
      <c r="V99" s="13" t="s">
        <v>297</v>
      </c>
      <c r="W99">
        <f>ABS(U93-S93)</f>
        <v>17</v>
      </c>
      <c r="X99">
        <v>7.6374130518782337</v>
      </c>
      <c r="Y99">
        <f t="shared" si="24"/>
        <v>2.2258845874283661</v>
      </c>
      <c r="Z99">
        <f>X99/Q94</f>
        <v>2.7208126735092368</v>
      </c>
      <c r="AA99" s="7">
        <f t="shared" si="25"/>
        <v>2.6021912991276652E-2</v>
      </c>
      <c r="AB99">
        <v>1.4999999999999999E-2</v>
      </c>
      <c r="AC99" s="36" t="str">
        <f t="shared" si="26"/>
        <v>NO</v>
      </c>
    </row>
    <row r="100" spans="1:29" ht="15" thickBot="1" x14ac:dyDescent="0.45">
      <c r="A100" s="4"/>
      <c r="F100" s="7"/>
      <c r="G100" s="15" t="s">
        <v>298</v>
      </c>
      <c r="H100" s="41">
        <f>IFERROR(((SUM(H91:H98))^2)/COUNT(H91:H98),"")</f>
        <v>810.03125</v>
      </c>
      <c r="I100" s="42">
        <f>IFERROR(((SUM(I91:I98))^2)/COUNT(I91:I98),"")</f>
        <v>4117.78125</v>
      </c>
      <c r="J100" s="42">
        <f>IFERROR(((SUM(J91:J98))^2)/COUNT(J91:J98),"")</f>
        <v>1922</v>
      </c>
      <c r="K100" s="42">
        <f>IFERROR(((SUM(K91:K98))^2)/COUNT(K91:K98),"")</f>
        <v>1728.5714285714287</v>
      </c>
      <c r="L100" s="42">
        <f>IFERROR(((SUM(L91:L98))^2)/COUNT(L91:L98),"")</f>
        <v>2112.5</v>
      </c>
      <c r="M100" s="25"/>
      <c r="N100" s="44"/>
      <c r="O100" s="45"/>
      <c r="P100" s="46"/>
      <c r="Q100" s="25"/>
      <c r="R100" s="25"/>
      <c r="S100" s="25"/>
      <c r="T100" s="25"/>
      <c r="U100" s="47"/>
      <c r="V100" s="16" t="s">
        <v>299</v>
      </c>
      <c r="W100" s="25">
        <f>ABS(U93-T93)</f>
        <v>16.785714285714285</v>
      </c>
      <c r="X100" s="25">
        <v>7.7457505630967924</v>
      </c>
      <c r="Y100">
        <f t="shared" si="24"/>
        <v>2.1670868625290804</v>
      </c>
      <c r="Z100">
        <f>X100/Q94</f>
        <v>2.7594076888027224</v>
      </c>
      <c r="AA100" s="7">
        <f t="shared" si="25"/>
        <v>3.0228231463446997E-2</v>
      </c>
      <c r="AB100" s="25">
        <v>0.02</v>
      </c>
      <c r="AC100" s="36" t="str">
        <f t="shared" si="26"/>
        <v>NO</v>
      </c>
    </row>
    <row r="101" spans="1:29" ht="15" thickBot="1" x14ac:dyDescent="0.45">
      <c r="A101" s="4" t="s">
        <v>122</v>
      </c>
      <c r="B101" t="s">
        <v>260</v>
      </c>
      <c r="C101" t="s">
        <v>261</v>
      </c>
      <c r="D101" t="s">
        <v>262</v>
      </c>
      <c r="E101" t="s">
        <v>263</v>
      </c>
      <c r="F101" s="7" t="s">
        <v>265</v>
      </c>
      <c r="G101" s="10" t="s">
        <v>266</v>
      </c>
      <c r="H101" s="48" t="s">
        <v>260</v>
      </c>
      <c r="I101" s="31" t="s">
        <v>261</v>
      </c>
      <c r="J101" s="31" t="s">
        <v>262</v>
      </c>
      <c r="K101" s="27" t="s">
        <v>263</v>
      </c>
      <c r="L101" s="32" t="s">
        <v>265</v>
      </c>
      <c r="M101" s="31"/>
      <c r="N101" s="33"/>
      <c r="O101" s="49"/>
      <c r="P101" s="10" t="s">
        <v>267</v>
      </c>
      <c r="Q101" s="31" t="s">
        <v>260</v>
      </c>
      <c r="R101" s="31" t="s">
        <v>261</v>
      </c>
      <c r="S101" s="31" t="s">
        <v>262</v>
      </c>
      <c r="T101" s="27" t="s">
        <v>263</v>
      </c>
      <c r="U101" s="32" t="s">
        <v>265</v>
      </c>
      <c r="V101" s="11" t="s">
        <v>268</v>
      </c>
      <c r="W101" s="31" t="s">
        <v>269</v>
      </c>
      <c r="X101" s="31" t="s">
        <v>270</v>
      </c>
      <c r="Y101" s="31" t="s">
        <v>271</v>
      </c>
      <c r="Z101" s="31" t="s">
        <v>272</v>
      </c>
      <c r="AA101" s="32" t="s">
        <v>273</v>
      </c>
      <c r="AB101" s="31" t="s">
        <v>274</v>
      </c>
      <c r="AC101" s="33" t="s">
        <v>275</v>
      </c>
    </row>
    <row r="102" spans="1:29" ht="15" thickBot="1" x14ac:dyDescent="0.45">
      <c r="A102" s="4"/>
      <c r="B102">
        <v>283.47500000000002</v>
      </c>
      <c r="C102">
        <v>341.06499999999994</v>
      </c>
      <c r="D102">
        <v>281.47999999999996</v>
      </c>
      <c r="E102">
        <v>354.84500000000003</v>
      </c>
      <c r="F102">
        <v>565.81749999999988</v>
      </c>
      <c r="G102" s="12" t="s">
        <v>276</v>
      </c>
      <c r="H102">
        <f>IFERROR(_xlfn.RANK.AVG(B102,B102:F109,1),"")</f>
        <v>17</v>
      </c>
      <c r="I102">
        <f>IFERROR(_xlfn.RANK.AVG(C102,B102:F109,1),"")</f>
        <v>27</v>
      </c>
      <c r="J102">
        <f>IFERROR(_xlfn.RANK.AVG(D102,B102:F109,1),"")</f>
        <v>16</v>
      </c>
      <c r="K102">
        <f>IFERROR(_xlfn.RANK.AVG(E102,B102:F109,1),"")</f>
        <v>28</v>
      </c>
      <c r="L102" s="7">
        <f>IFERROR(_xlfn.RANK.AVG(F102,B102:F109,1),"")</f>
        <v>33</v>
      </c>
      <c r="M102" s="6" t="s">
        <v>277</v>
      </c>
      <c r="N102" s="34">
        <f>COUNT(H102:L109)</f>
        <v>33</v>
      </c>
      <c r="O102" s="35"/>
      <c r="P102" s="12" t="s">
        <v>278</v>
      </c>
      <c r="Q102">
        <f>H110</f>
        <v>73</v>
      </c>
      <c r="R102">
        <f>I110</f>
        <v>103</v>
      </c>
      <c r="S102">
        <f>J110</f>
        <v>193</v>
      </c>
      <c r="T102">
        <f>K110</f>
        <v>128</v>
      </c>
      <c r="U102" s="7">
        <f>L110</f>
        <v>64</v>
      </c>
      <c r="V102" s="13" t="s">
        <v>279</v>
      </c>
      <c r="W102">
        <f>ABS(Q104-R104)</f>
        <v>3.75</v>
      </c>
      <c r="X102">
        <v>4.8347699014534289</v>
      </c>
      <c r="Y102">
        <f t="shared" ref="Y102:Y111" si="27">W102/X102</f>
        <v>0.77563153499252879</v>
      </c>
      <c r="Z102">
        <f>X102/Q105</f>
        <v>1.7223768221021474</v>
      </c>
      <c r="AA102" s="7">
        <f t="shared" ref="AA102:AA111" si="28">2*(1-_xlfn.NORM.S.DIST(Y102,TRUE))</f>
        <v>0.43796657516602044</v>
      </c>
      <c r="AB102" cm="1">
        <f t="array" ref="AB102:AB111">RANK(AA102:AA111,AA102:AA111,1)*Q107</f>
        <v>0.05</v>
      </c>
      <c r="AC102" s="36" t="str">
        <f>IF(AA102&lt;AB102,"YES","NO")</f>
        <v>NO</v>
      </c>
    </row>
    <row r="103" spans="1:29" ht="15" thickBot="1" x14ac:dyDescent="0.45">
      <c r="A103" s="4"/>
      <c r="B103">
        <v>234.39</v>
      </c>
      <c r="C103">
        <v>260.10499999999996</v>
      </c>
      <c r="D103">
        <v>390.19500000000005</v>
      </c>
      <c r="E103">
        <v>299.09500000000003</v>
      </c>
      <c r="F103">
        <v>392.96999999999997</v>
      </c>
      <c r="G103" s="12"/>
      <c r="H103">
        <f>IFERROR(_xlfn.RANK.AVG(B103,B102:F109,1),"")</f>
        <v>6</v>
      </c>
      <c r="I103">
        <f>IFERROR(_xlfn.RANK.AVG(C103,B102:F109,1),"")</f>
        <v>10</v>
      </c>
      <c r="J103">
        <f>IFERROR(_xlfn.RANK.AVG(D103,B102:F109,1),"")</f>
        <v>30</v>
      </c>
      <c r="K103">
        <f>IFERROR(_xlfn.RANK.AVG(E103,B102:F109,1),"")</f>
        <v>19</v>
      </c>
      <c r="L103" s="7">
        <f>IFERROR(_xlfn.RANK.AVG(F103,B102:F109,1),"")</f>
        <v>31</v>
      </c>
      <c r="M103" s="6" t="s">
        <v>280</v>
      </c>
      <c r="N103" s="34">
        <f>SUM(H111:L111)</f>
        <v>11036.946428571428</v>
      </c>
      <c r="O103" s="35"/>
      <c r="P103" s="12" t="s">
        <v>277</v>
      </c>
      <c r="Q103">
        <f>COUNT(H102:H109)</f>
        <v>8</v>
      </c>
      <c r="R103">
        <f>COUNT(I102:I109)</f>
        <v>8</v>
      </c>
      <c r="S103">
        <f>COUNT(J102:J109)</f>
        <v>8</v>
      </c>
      <c r="T103">
        <f>COUNT(K102:K109)</f>
        <v>7</v>
      </c>
      <c r="U103" s="7">
        <f>COUNT(L102:L109)</f>
        <v>2</v>
      </c>
      <c r="V103" s="13" t="s">
        <v>281</v>
      </c>
      <c r="W103">
        <f>ABS(Q104-S104)</f>
        <v>15</v>
      </c>
      <c r="X103">
        <v>4.8347699014534289</v>
      </c>
      <c r="Y103">
        <f t="shared" si="27"/>
        <v>3.1025261399701152</v>
      </c>
      <c r="Z103">
        <f>X103/Q105</f>
        <v>1.7223768221021474</v>
      </c>
      <c r="AA103" s="7">
        <f t="shared" si="28"/>
        <v>1.9187660162922615E-3</v>
      </c>
      <c r="AB103">
        <v>5.0000000000000001E-3</v>
      </c>
      <c r="AC103" s="36" t="str">
        <f t="shared" ref="AC103" si="29">IF(AA103&lt;AB103,"YES","NO")</f>
        <v>YES</v>
      </c>
    </row>
    <row r="104" spans="1:29" ht="15" thickBot="1" x14ac:dyDescent="0.45">
      <c r="A104" s="4"/>
      <c r="B104">
        <v>290.69499999999999</v>
      </c>
      <c r="C104">
        <v>275.81</v>
      </c>
      <c r="D104">
        <v>307.88499999999999</v>
      </c>
      <c r="E104">
        <v>208.48499999999999</v>
      </c>
      <c r="F104" t="s">
        <v>282</v>
      </c>
      <c r="G104" s="12"/>
      <c r="H104">
        <f>IFERROR(_xlfn.RANK.AVG(B104,B102:F109,1),"")</f>
        <v>18</v>
      </c>
      <c r="I104">
        <f>IFERROR(_xlfn.RANK.AVG(C104,B102:F109,1),"")</f>
        <v>13</v>
      </c>
      <c r="J104">
        <f>IFERROR(_xlfn.RANK.AVG(D104,B102:F109,1),"")</f>
        <v>22</v>
      </c>
      <c r="K104">
        <f>IFERROR(_xlfn.RANK.AVG(E104,B102:F109,1),"")</f>
        <v>3</v>
      </c>
      <c r="L104" s="7" t="str">
        <f>IFERROR(_xlfn.RANK.AVG(F104,B102:F109,1),"")</f>
        <v/>
      </c>
      <c r="M104" s="6" t="s">
        <v>283</v>
      </c>
      <c r="N104" s="34">
        <f>12*N103/(N102*(N102+1))-3*(N102+1)</f>
        <v>16.042207792207776</v>
      </c>
      <c r="O104" s="35"/>
      <c r="P104" s="14" t="s">
        <v>284</v>
      </c>
      <c r="Q104" s="27">
        <f>Q102/Q103</f>
        <v>9.125</v>
      </c>
      <c r="R104" s="27">
        <f>R102/R103</f>
        <v>12.875</v>
      </c>
      <c r="S104" s="27">
        <f>S102/S103</f>
        <v>24.125</v>
      </c>
      <c r="T104" s="27">
        <f>T102/T103</f>
        <v>18.285714285714285</v>
      </c>
      <c r="U104" s="27">
        <f>U102/U103</f>
        <v>32</v>
      </c>
      <c r="V104" s="13" t="s">
        <v>285</v>
      </c>
      <c r="W104">
        <f>ABS(Q104-T104)</f>
        <v>9.1607142857142847</v>
      </c>
      <c r="X104">
        <v>5.0044622945070589</v>
      </c>
      <c r="Y104">
        <f t="shared" si="27"/>
        <v>1.8305092029106032</v>
      </c>
      <c r="Z104">
        <f>X104/Q105</f>
        <v>1.7828293877133372</v>
      </c>
      <c r="AA104" s="7">
        <f t="shared" si="28"/>
        <v>6.717383191098758E-2</v>
      </c>
      <c r="AB104">
        <v>2.5000000000000001E-2</v>
      </c>
      <c r="AC104" s="36" t="str">
        <f>IF(AA104&lt;AB104,"YES","NO")</f>
        <v>NO</v>
      </c>
    </row>
    <row r="105" spans="1:29" ht="15" thickBot="1" x14ac:dyDescent="0.45">
      <c r="A105" s="4"/>
      <c r="B105">
        <v>123.22499999999999</v>
      </c>
      <c r="C105">
        <v>159.45500000000001</v>
      </c>
      <c r="D105">
        <v>305.65499999999997</v>
      </c>
      <c r="E105">
        <v>276.07</v>
      </c>
      <c r="F105" t="s">
        <v>282</v>
      </c>
      <c r="G105" s="12"/>
      <c r="H105">
        <f>IFERROR(_xlfn.RANK.AVG(B105,B102:F109,1),"")</f>
        <v>1</v>
      </c>
      <c r="I105">
        <f>IFERROR(_xlfn.RANK.AVG(C105,B102:F109,1),"")</f>
        <v>2</v>
      </c>
      <c r="J105">
        <f>IFERROR(_xlfn.RANK.AVG(D105,B102:F109,1),"")</f>
        <v>21</v>
      </c>
      <c r="K105">
        <f>IFERROR(_xlfn.RANK.AVG(E105,B102:F109,1),"")</f>
        <v>14</v>
      </c>
      <c r="L105" s="7" t="str">
        <f>IFERROR(_xlfn.RANK.AVG(F105,B102:F109,1),"")</f>
        <v/>
      </c>
      <c r="M105" s="6" t="s">
        <v>286</v>
      </c>
      <c r="N105" s="34">
        <v>5</v>
      </c>
      <c r="O105" s="35"/>
      <c r="P105" s="12" t="s">
        <v>287</v>
      </c>
      <c r="Q105">
        <f>_xlfn.NORM.S.INV(1-Q107/2)</f>
        <v>2.8070337683438114</v>
      </c>
      <c r="U105" s="7"/>
      <c r="V105" s="13" t="s">
        <v>288</v>
      </c>
      <c r="W105">
        <f>ABS(R104-S104)</f>
        <v>11.25</v>
      </c>
      <c r="X105">
        <v>4.8347699014534289</v>
      </c>
      <c r="Y105">
        <f t="shared" si="27"/>
        <v>2.326894604977586</v>
      </c>
      <c r="Z105">
        <f>X105/Q105</f>
        <v>1.7223768221021474</v>
      </c>
      <c r="AA105" s="7">
        <f t="shared" si="28"/>
        <v>1.9970875425605605E-2</v>
      </c>
      <c r="AB105">
        <v>0.02</v>
      </c>
      <c r="AC105" s="36" t="str">
        <f t="shared" ref="AC105:AC111" si="30">IF(AA105&lt;AB105,"YES","NO")</f>
        <v>YES</v>
      </c>
    </row>
    <row r="106" spans="1:29" ht="15" thickBot="1" x14ac:dyDescent="0.45">
      <c r="A106" s="4"/>
      <c r="B106">
        <v>279.52</v>
      </c>
      <c r="C106">
        <v>243.245</v>
      </c>
      <c r="D106">
        <v>319.63499999999999</v>
      </c>
      <c r="E106">
        <v>317.46500000000003</v>
      </c>
      <c r="F106" t="s">
        <v>282</v>
      </c>
      <c r="G106" s="12"/>
      <c r="H106">
        <f>IFERROR(_xlfn.RANK.AVG(B106,B102:F109,1),"")</f>
        <v>15</v>
      </c>
      <c r="I106">
        <f>IFERROR(_xlfn.RANK.AVG(C106,B102:F109,1),"")</f>
        <v>8</v>
      </c>
      <c r="J106">
        <f>IFERROR(_xlfn.RANK.AVG(D106,B102:F109,1),"")</f>
        <v>24</v>
      </c>
      <c r="K106">
        <f>IFERROR(_xlfn.RANK.AVG(E106,B102:F109,1),"")</f>
        <v>23</v>
      </c>
      <c r="L106" s="7" t="str">
        <f>IFERROR(_xlfn.RANK.AVG(F106,B102:F109,1),"")</f>
        <v/>
      </c>
      <c r="M106" s="6" t="s">
        <v>289</v>
      </c>
      <c r="N106" s="34">
        <f>_xlfn.CHISQ.DIST.RT(N104,N105)</f>
        <v>6.7245962566240061E-3</v>
      </c>
      <c r="O106" s="35"/>
      <c r="P106" s="12" t="s">
        <v>290</v>
      </c>
      <c r="Q106">
        <f>N102</f>
        <v>33</v>
      </c>
      <c r="U106" s="7"/>
      <c r="V106" s="13" t="s">
        <v>291</v>
      </c>
      <c r="W106">
        <f>ABS(R104-T104)</f>
        <v>5.4107142857142847</v>
      </c>
      <c r="X106">
        <v>5.0044622945070589</v>
      </c>
      <c r="Y106">
        <f t="shared" si="27"/>
        <v>1.0811779502571397</v>
      </c>
      <c r="Z106">
        <f>X106/Q105</f>
        <v>1.7828293877133372</v>
      </c>
      <c r="AA106" s="7">
        <f t="shared" si="28"/>
        <v>0.27961796432739927</v>
      </c>
      <c r="AB106">
        <v>0.04</v>
      </c>
      <c r="AC106" s="36" t="str">
        <f t="shared" si="30"/>
        <v>NO</v>
      </c>
    </row>
    <row r="107" spans="1:29" ht="15" thickBot="1" x14ac:dyDescent="0.45">
      <c r="A107" s="4"/>
      <c r="B107">
        <v>211.12</v>
      </c>
      <c r="C107">
        <v>264.245</v>
      </c>
      <c r="D107">
        <v>324.86500000000001</v>
      </c>
      <c r="E107">
        <v>250.82999999999998</v>
      </c>
      <c r="F107" t="s">
        <v>282</v>
      </c>
      <c r="G107" s="12"/>
      <c r="H107">
        <f>IFERROR(_xlfn.RANK.AVG(B107,B102:F109,1),"")</f>
        <v>4</v>
      </c>
      <c r="I107">
        <f>IFERROR(_xlfn.RANK.AVG(C107,B102:F109,1),"")</f>
        <v>11</v>
      </c>
      <c r="J107">
        <f>IFERROR(_xlfn.RANK.AVG(D107,B102:F109,1),"")</f>
        <v>25</v>
      </c>
      <c r="K107">
        <f>IFERROR(_xlfn.RANK.AVG(E107,B102:F109,1),"")</f>
        <v>9</v>
      </c>
      <c r="L107" s="7" t="str">
        <f>IFERROR(_xlfn.RANK.AVG(F107,B102:F109,1),"")</f>
        <v/>
      </c>
      <c r="M107" s="6" t="s">
        <v>292</v>
      </c>
      <c r="N107" s="34">
        <v>0.05</v>
      </c>
      <c r="O107" s="35"/>
      <c r="P107" s="12" t="s">
        <v>293</v>
      </c>
      <c r="Q107">
        <f>N96/(COUNT(Q92:U92)*(COUNT(Q81:U81)-1)/2)</f>
        <v>5.0000000000000001E-3</v>
      </c>
      <c r="U107" s="7"/>
      <c r="V107" s="13" t="s">
        <v>294</v>
      </c>
      <c r="W107">
        <f>ABS(S104-T104)</f>
        <v>5.8392857142857153</v>
      </c>
      <c r="X107">
        <v>5.0044622945070589</v>
      </c>
      <c r="Y107">
        <f t="shared" si="27"/>
        <v>1.1668158077032502</v>
      </c>
      <c r="Z107">
        <f>X107/Q105</f>
        <v>1.7828293877133372</v>
      </c>
      <c r="AA107" s="7">
        <f t="shared" si="28"/>
        <v>0.24328476180388869</v>
      </c>
      <c r="AB107">
        <v>3.5000000000000003E-2</v>
      </c>
      <c r="AC107" s="36" t="str">
        <f t="shared" si="30"/>
        <v>NO</v>
      </c>
    </row>
    <row r="108" spans="1:29" ht="15" thickBot="1" x14ac:dyDescent="0.45">
      <c r="A108" s="4"/>
      <c r="B108">
        <v>213.595</v>
      </c>
      <c r="C108">
        <v>305</v>
      </c>
      <c r="D108">
        <v>367.04500000000002</v>
      </c>
      <c r="E108">
        <v>396.44500000000005</v>
      </c>
      <c r="F108" t="s">
        <v>282</v>
      </c>
      <c r="G108" s="12"/>
      <c r="H108">
        <f>IFERROR(_xlfn.RANK.AVG(B108,B102:F109,1),"")</f>
        <v>5</v>
      </c>
      <c r="I108">
        <f>IFERROR(_xlfn.RANK.AVG(C108,B102:F109,1),"")</f>
        <v>20</v>
      </c>
      <c r="J108">
        <f>IFERROR(_xlfn.RANK.AVG(D108,B102:F109,1),"")</f>
        <v>29</v>
      </c>
      <c r="K108">
        <f>IFERROR(_xlfn.RANK.AVG(E108,B102:F109,1),"")</f>
        <v>32</v>
      </c>
      <c r="L108" s="7" t="str">
        <f>IFERROR(_xlfn.RANK.AVG(F108,B102:F109,1),"")</f>
        <v/>
      </c>
      <c r="M108" s="6" t="s">
        <v>275</v>
      </c>
      <c r="N108" s="36" t="str">
        <f>IF(N106&lt;N107,"YES","NO")</f>
        <v>YES</v>
      </c>
      <c r="O108" s="37"/>
      <c r="P108" s="12"/>
      <c r="U108" s="7"/>
      <c r="V108" s="13" t="s">
        <v>295</v>
      </c>
      <c r="W108">
        <f>ABS(U104-Q104)</f>
        <v>22.875</v>
      </c>
      <c r="X108">
        <v>7.6444424257103281</v>
      </c>
      <c r="Y108">
        <f t="shared" si="27"/>
        <v>2.9923699762673581</v>
      </c>
      <c r="Z108">
        <f>X108/Q105</f>
        <v>2.7233168734627138</v>
      </c>
      <c r="AA108" s="7">
        <f t="shared" si="28"/>
        <v>2.7682055828777141E-3</v>
      </c>
      <c r="AB108">
        <v>0.01</v>
      </c>
      <c r="AC108" s="36" t="str">
        <f t="shared" si="30"/>
        <v>YES</v>
      </c>
    </row>
    <row r="109" spans="1:29" ht="15" thickBot="1" x14ac:dyDescent="0.45">
      <c r="A109" s="4"/>
      <c r="B109">
        <v>238.33499999999998</v>
      </c>
      <c r="C109">
        <v>273.79499999999996</v>
      </c>
      <c r="D109">
        <v>326.2</v>
      </c>
      <c r="E109" t="s">
        <v>282</v>
      </c>
      <c r="F109" t="s">
        <v>282</v>
      </c>
      <c r="G109" s="12"/>
      <c r="H109">
        <f>IFERROR(_xlfn.RANK.AVG(B109,B102:F109,1),"")</f>
        <v>7</v>
      </c>
      <c r="I109">
        <f>IFERROR(_xlfn.RANK.AVG(C109,B102:F109,1),"")</f>
        <v>12</v>
      </c>
      <c r="J109">
        <f>IFERROR(_xlfn.RANK.AVG(D109,B102:F109,1),"")</f>
        <v>26</v>
      </c>
      <c r="K109" s="27" t="str">
        <f>IFERROR(_xlfn.RANK.AVG(E109,B102:F109,1),"")</f>
        <v/>
      </c>
      <c r="L109" s="7" t="str">
        <f>IFERROR(_xlfn.RANK.AVG(F109,B102:F109,1),"")</f>
        <v/>
      </c>
      <c r="N109" s="34"/>
      <c r="O109" s="35"/>
      <c r="P109" s="38"/>
      <c r="U109" s="7"/>
      <c r="V109" s="13" t="s">
        <v>296</v>
      </c>
      <c r="W109">
        <f>ABS(U104-R104)</f>
        <v>19.125</v>
      </c>
      <c r="X109">
        <v>7.6444424257103281</v>
      </c>
      <c r="Y109">
        <f t="shared" si="27"/>
        <v>2.5018175211415619</v>
      </c>
      <c r="Z109">
        <f>X109/Q105</f>
        <v>2.7233168734627138</v>
      </c>
      <c r="AA109" s="7">
        <f t="shared" si="28"/>
        <v>1.235575911079656E-2</v>
      </c>
      <c r="AB109">
        <v>1.4999999999999999E-2</v>
      </c>
      <c r="AC109" s="36" t="str">
        <f t="shared" si="30"/>
        <v>YES</v>
      </c>
    </row>
    <row r="110" spans="1:29" ht="15" thickBot="1" x14ac:dyDescent="0.45">
      <c r="A110" s="4"/>
      <c r="F110" s="7"/>
      <c r="G110" s="12" t="s">
        <v>278</v>
      </c>
      <c r="H110" s="39">
        <f>SUM(H102:H109)</f>
        <v>73</v>
      </c>
      <c r="I110" s="40">
        <f>SUM(I102:I109)</f>
        <v>103</v>
      </c>
      <c r="J110" s="40">
        <f>SUM(J102:J109)</f>
        <v>193</v>
      </c>
      <c r="K110" s="50">
        <f>SUM(K102:K109)</f>
        <v>128</v>
      </c>
      <c r="L110" s="40">
        <f>SUM(L102:L109)</f>
        <v>64</v>
      </c>
      <c r="N110" s="34"/>
      <c r="O110" s="35"/>
      <c r="P110" s="38"/>
      <c r="U110" s="7"/>
      <c r="V110" s="13" t="s">
        <v>297</v>
      </c>
      <c r="W110">
        <f>ABS(U104-S104)</f>
        <v>7.875</v>
      </c>
      <c r="X110">
        <v>7.6444424257103281</v>
      </c>
      <c r="Y110">
        <f t="shared" si="27"/>
        <v>1.0301601557641724</v>
      </c>
      <c r="Z110">
        <f>X110/Q105</f>
        <v>2.7233168734627138</v>
      </c>
      <c r="AA110" s="7">
        <f t="shared" si="28"/>
        <v>0.30293483025321888</v>
      </c>
      <c r="AB110">
        <v>4.4999999999999998E-2</v>
      </c>
      <c r="AC110" s="36" t="str">
        <f t="shared" si="30"/>
        <v>NO</v>
      </c>
    </row>
    <row r="111" spans="1:29" ht="15" thickBot="1" x14ac:dyDescent="0.45">
      <c r="A111" s="4"/>
      <c r="F111" s="7"/>
      <c r="G111" s="15" t="s">
        <v>298</v>
      </c>
      <c r="H111" s="41">
        <f>IFERROR(((SUM(H102:H109))^2)/COUNT(H102:H109),"")</f>
        <v>666.125</v>
      </c>
      <c r="I111" s="42">
        <f>IFERROR(((SUM(I102:I109))^2)/COUNT(I102:I109),"")</f>
        <v>1326.125</v>
      </c>
      <c r="J111" s="42">
        <f>IFERROR(((SUM(J102:J109))^2)/COUNT(J102:J109),"")</f>
        <v>4656.125</v>
      </c>
      <c r="K111" s="42">
        <f>IFERROR(((SUM(K102:K109))^2)/COUNT(K102:K109),"")</f>
        <v>2340.5714285714284</v>
      </c>
      <c r="L111" s="42">
        <f>IFERROR(((SUM(L102:L109))^2)/COUNT(L102:L109),"")</f>
        <v>2048</v>
      </c>
      <c r="M111" s="25"/>
      <c r="N111" s="44"/>
      <c r="O111" s="45"/>
      <c r="P111" s="46"/>
      <c r="Q111" s="25"/>
      <c r="R111" s="25"/>
      <c r="S111" s="25"/>
      <c r="T111" s="25"/>
      <c r="U111" s="47"/>
      <c r="V111" s="16" t="s">
        <v>299</v>
      </c>
      <c r="W111" s="25">
        <f>ABS(U104-T104)</f>
        <v>13.714285714285715</v>
      </c>
      <c r="X111" s="25">
        <v>7.7528796493395182</v>
      </c>
      <c r="Y111">
        <f t="shared" si="27"/>
        <v>1.7689279770329029</v>
      </c>
      <c r="Z111">
        <f>X111/Q105</f>
        <v>2.7619474110971685</v>
      </c>
      <c r="AA111" s="7">
        <f t="shared" si="28"/>
        <v>7.6905894645849404E-2</v>
      </c>
      <c r="AB111" s="25">
        <v>0.03</v>
      </c>
      <c r="AC111" s="36" t="str">
        <f t="shared" si="30"/>
        <v>NO</v>
      </c>
    </row>
    <row r="112" spans="1:29" ht="15" thickBot="1" x14ac:dyDescent="0.45">
      <c r="A112" s="4" t="s">
        <v>126</v>
      </c>
      <c r="B112" t="s">
        <v>260</v>
      </c>
      <c r="C112" t="s">
        <v>261</v>
      </c>
      <c r="D112" t="s">
        <v>262</v>
      </c>
      <c r="E112" t="s">
        <v>263</v>
      </c>
      <c r="F112" s="7" t="s">
        <v>265</v>
      </c>
      <c r="G112" s="10" t="s">
        <v>266</v>
      </c>
      <c r="H112" s="48" t="s">
        <v>260</v>
      </c>
      <c r="I112" s="31" t="s">
        <v>261</v>
      </c>
      <c r="J112" s="31" t="s">
        <v>262</v>
      </c>
      <c r="K112" s="27" t="s">
        <v>263</v>
      </c>
      <c r="L112" s="32" t="s">
        <v>265</v>
      </c>
      <c r="M112" s="31"/>
      <c r="N112" s="33"/>
      <c r="O112" s="49"/>
      <c r="P112" s="10" t="s">
        <v>267</v>
      </c>
      <c r="Q112" s="31" t="s">
        <v>260</v>
      </c>
      <c r="R112" s="31" t="s">
        <v>261</v>
      </c>
      <c r="S112" s="31" t="s">
        <v>262</v>
      </c>
      <c r="T112" s="27" t="s">
        <v>263</v>
      </c>
      <c r="U112" s="32" t="s">
        <v>265</v>
      </c>
      <c r="V112" s="11" t="s">
        <v>268</v>
      </c>
      <c r="W112" s="31" t="s">
        <v>269</v>
      </c>
      <c r="X112" s="31" t="s">
        <v>270</v>
      </c>
      <c r="Y112" s="31" t="s">
        <v>271</v>
      </c>
      <c r="Z112" s="31" t="s">
        <v>272</v>
      </c>
      <c r="AA112" s="32" t="s">
        <v>273</v>
      </c>
      <c r="AB112" s="31" t="s">
        <v>274</v>
      </c>
      <c r="AC112" s="33" t="s">
        <v>275</v>
      </c>
    </row>
    <row r="113" spans="1:29" ht="15" thickBot="1" x14ac:dyDescent="0.45">
      <c r="A113" s="4"/>
      <c r="B113">
        <v>113.32000000000001</v>
      </c>
      <c r="C113">
        <v>0</v>
      </c>
      <c r="D113">
        <v>131.98499999999999</v>
      </c>
      <c r="E113">
        <v>159.97499999999999</v>
      </c>
      <c r="F113">
        <v>283.91750000000002</v>
      </c>
      <c r="G113" s="12" t="s">
        <v>276</v>
      </c>
      <c r="H113">
        <f>IFERROR(_xlfn.RANK.AVG(B113,B113:F120,1),"")</f>
        <v>14</v>
      </c>
      <c r="I113">
        <f>IFERROR(_xlfn.RANK.AVG(C113,B113:F120,1),"")</f>
        <v>1.5</v>
      </c>
      <c r="J113">
        <f>IFERROR(_xlfn.RANK.AVG(D113,B113:F120,1),"")</f>
        <v>20</v>
      </c>
      <c r="K113">
        <f>IFERROR(_xlfn.RANK.AVG(E113,B113:F120,1),"")</f>
        <v>29</v>
      </c>
      <c r="L113" s="7">
        <f>IFERROR(_xlfn.RANK.AVG(F113,B113:F120,1),"")</f>
        <v>33</v>
      </c>
      <c r="M113" s="6" t="s">
        <v>277</v>
      </c>
      <c r="N113" s="34">
        <f>COUNT(H113:L120)</f>
        <v>33</v>
      </c>
      <c r="O113" s="35"/>
      <c r="P113" s="12" t="s">
        <v>278</v>
      </c>
      <c r="Q113">
        <f>H121</f>
        <v>68.5</v>
      </c>
      <c r="R113">
        <f>I121</f>
        <v>74.5</v>
      </c>
      <c r="S113">
        <f>J121</f>
        <v>199</v>
      </c>
      <c r="T113">
        <f>K121</f>
        <v>155</v>
      </c>
      <c r="U113" s="7">
        <f>L121</f>
        <v>64</v>
      </c>
      <c r="V113" s="13" t="s">
        <v>279</v>
      </c>
      <c r="W113">
        <f>ABS(Q115-R115)</f>
        <v>0.75</v>
      </c>
      <c r="X113">
        <v>4.8862050714230163</v>
      </c>
      <c r="Y113">
        <f t="shared" ref="Y113:Y122" si="31">W113/X113</f>
        <v>0.15349335302899525</v>
      </c>
      <c r="Z113">
        <f>X113/Q116</f>
        <v>1.7407004954934848</v>
      </c>
      <c r="AA113" s="7">
        <f t="shared" ref="AA113:AA122" si="32">2*(1-_xlfn.NORM.S.DIST(Y113,TRUE))</f>
        <v>0.87800923171107903</v>
      </c>
      <c r="AB113" cm="1">
        <f t="array" ref="AB113:AB122">RANK(AA113:AA122,AA113:AA122,1)*Q118</f>
        <v>0.05</v>
      </c>
      <c r="AC113" s="36" t="str">
        <f t="shared" ref="AC113:AC122" si="33">IF(AA113&lt;AB113,"YES","NO")</f>
        <v>NO</v>
      </c>
    </row>
    <row r="114" spans="1:29" ht="15" thickBot="1" x14ac:dyDescent="0.45">
      <c r="A114" s="4"/>
      <c r="B114">
        <v>99.135000000000005</v>
      </c>
      <c r="C114">
        <v>90.465000000000003</v>
      </c>
      <c r="D114">
        <v>162.83499999999998</v>
      </c>
      <c r="E114">
        <v>134.64499999999998</v>
      </c>
      <c r="F114">
        <v>179.4725</v>
      </c>
      <c r="G114" s="12"/>
      <c r="H114">
        <f>IFERROR(_xlfn.RANK.AVG(B114,B113:F120,1),"")</f>
        <v>8</v>
      </c>
      <c r="I114">
        <f>IFERROR(_xlfn.RANK.AVG(C114,B113:F120,1),"")</f>
        <v>6</v>
      </c>
      <c r="J114">
        <f>IFERROR(_xlfn.RANK.AVG(D114,B113:F120,1),"")</f>
        <v>30</v>
      </c>
      <c r="K114">
        <f>IFERROR(_xlfn.RANK.AVG(E114,B113:F120,1),"")</f>
        <v>22</v>
      </c>
      <c r="L114" s="7">
        <f>IFERROR(_xlfn.RANK.AVG(F114,B113:F120,1),"")</f>
        <v>31</v>
      </c>
      <c r="M114" s="6" t="s">
        <v>280</v>
      </c>
      <c r="N114" s="34">
        <f>SUM(H122:L122)</f>
        <v>11710.580357142857</v>
      </c>
      <c r="O114" s="35"/>
      <c r="P114" s="12" t="s">
        <v>277</v>
      </c>
      <c r="Q114">
        <f>COUNT(H113:H120)</f>
        <v>8</v>
      </c>
      <c r="R114">
        <f>COUNT(I113:I120)</f>
        <v>8</v>
      </c>
      <c r="S114">
        <f>COUNT(J113:J120)</f>
        <v>8</v>
      </c>
      <c r="T114">
        <f>COUNT(K113:K120)</f>
        <v>7</v>
      </c>
      <c r="U114" s="7">
        <f>COUNT(L113:L120)</f>
        <v>2</v>
      </c>
      <c r="V114" s="13" t="s">
        <v>281</v>
      </c>
      <c r="W114">
        <f>ABS(Q115-S115)</f>
        <v>16.3125</v>
      </c>
      <c r="X114">
        <v>4.8343659098169223</v>
      </c>
      <c r="Y114">
        <f t="shared" si="31"/>
        <v>3.374279130769759</v>
      </c>
      <c r="Z114">
        <f>X114/Q116</f>
        <v>1.7222329009135022</v>
      </c>
      <c r="AA114" s="7">
        <f t="shared" si="32"/>
        <v>7.4009280504161445E-4</v>
      </c>
      <c r="AB114">
        <v>5.0000000000000001E-3</v>
      </c>
      <c r="AC114" s="36" t="str">
        <f t="shared" si="33"/>
        <v>YES</v>
      </c>
    </row>
    <row r="115" spans="1:29" ht="15" thickBot="1" x14ac:dyDescent="0.45">
      <c r="A115" s="4"/>
      <c r="B115">
        <v>115.59</v>
      </c>
      <c r="C115">
        <v>106.59499999999998</v>
      </c>
      <c r="D115">
        <v>137.80500000000001</v>
      </c>
      <c r="E115">
        <v>102.035</v>
      </c>
      <c r="F115" t="s">
        <v>282</v>
      </c>
      <c r="G115" s="12"/>
      <c r="H115">
        <f>IFERROR(_xlfn.RANK.AVG(B115,B113:F120,1),"")</f>
        <v>16</v>
      </c>
      <c r="I115">
        <f>IFERROR(_xlfn.RANK.AVG(C115,B113:F120,1),"")</f>
        <v>12</v>
      </c>
      <c r="J115">
        <f>IFERROR(_xlfn.RANK.AVG(D115,B113:F120,1),"")</f>
        <v>24</v>
      </c>
      <c r="K115">
        <f>IFERROR(_xlfn.RANK.AVG(E115,B113:F120,1),"")</f>
        <v>10</v>
      </c>
      <c r="L115" s="7" t="str">
        <f>IFERROR(_xlfn.RANK.AVG(F115,B113:F120,1),"")</f>
        <v/>
      </c>
      <c r="M115" s="6" t="s">
        <v>283</v>
      </c>
      <c r="N115" s="34">
        <f>12*N114/(N113*(N113+1))-3*(N113+1)</f>
        <v>23.246848739495803</v>
      </c>
      <c r="O115" s="35"/>
      <c r="P115" s="14" t="s">
        <v>284</v>
      </c>
      <c r="Q115" s="27">
        <f>Q113/Q114</f>
        <v>8.5625</v>
      </c>
      <c r="R115" s="27">
        <f>R113/R114</f>
        <v>9.3125</v>
      </c>
      <c r="S115" s="27">
        <f>S113/S114</f>
        <v>24.875</v>
      </c>
      <c r="T115" s="27">
        <f>T113/T114</f>
        <v>22.142857142857142</v>
      </c>
      <c r="U115" s="27">
        <f>U113/U114</f>
        <v>32</v>
      </c>
      <c r="V115" s="13" t="s">
        <v>285</v>
      </c>
      <c r="W115">
        <f>ABS(Q115-T115)</f>
        <v>13.580357142857142</v>
      </c>
      <c r="X115">
        <v>5.0040441234351354</v>
      </c>
      <c r="Y115">
        <f t="shared" si="31"/>
        <v>2.713876378359072</v>
      </c>
      <c r="Z115">
        <f>X115/Q116</f>
        <v>1.782680415130022</v>
      </c>
      <c r="AA115" s="7">
        <f t="shared" si="32"/>
        <v>6.6500977259529304E-3</v>
      </c>
      <c r="AB115">
        <v>2.5000000000000001E-2</v>
      </c>
      <c r="AC115" s="36" t="str">
        <f t="shared" si="33"/>
        <v>YES</v>
      </c>
    </row>
    <row r="116" spans="1:29" ht="15" thickBot="1" x14ac:dyDescent="0.45">
      <c r="A116" s="4"/>
      <c r="B116">
        <v>0</v>
      </c>
      <c r="C116">
        <v>77.684999999999988</v>
      </c>
      <c r="D116">
        <v>154.25500000000002</v>
      </c>
      <c r="E116">
        <v>131.10999999999999</v>
      </c>
      <c r="F116" t="s">
        <v>282</v>
      </c>
      <c r="G116" s="12"/>
      <c r="H116">
        <f>IFERROR(_xlfn.RANK.AVG(B116,B113:F120,1),"")</f>
        <v>1.5</v>
      </c>
      <c r="I116">
        <f>IFERROR(_xlfn.RANK.AVG(C116,B113:F120,1),"")</f>
        <v>3</v>
      </c>
      <c r="J116">
        <f>IFERROR(_xlfn.RANK.AVG(D116,B113:F120,1),"")</f>
        <v>27</v>
      </c>
      <c r="K116">
        <f>IFERROR(_xlfn.RANK.AVG(E116,B113:F120,1),"")</f>
        <v>19</v>
      </c>
      <c r="L116" s="7" t="str">
        <f>IFERROR(_xlfn.RANK.AVG(F116,B113:F120,1),"")</f>
        <v/>
      </c>
      <c r="M116" s="6" t="s">
        <v>286</v>
      </c>
      <c r="N116" s="34">
        <v>5</v>
      </c>
      <c r="O116" s="35"/>
      <c r="P116" s="12" t="s">
        <v>287</v>
      </c>
      <c r="Q116">
        <f>_xlfn.NORM.S.INV(1-Q118/2)</f>
        <v>2.8070337683438114</v>
      </c>
      <c r="U116" s="7"/>
      <c r="V116" s="13" t="s">
        <v>288</v>
      </c>
      <c r="W116">
        <f>ABS(R115-S115)</f>
        <v>15.5625</v>
      </c>
      <c r="X116">
        <v>4.8343659098169223</v>
      </c>
      <c r="Y116">
        <f t="shared" si="31"/>
        <v>3.2191398603895403</v>
      </c>
      <c r="Z116">
        <f>X116/Q116</f>
        <v>1.7222329009135022</v>
      </c>
      <c r="AA116" s="7">
        <f t="shared" si="32"/>
        <v>1.2857575663025589E-3</v>
      </c>
      <c r="AB116">
        <v>0.01</v>
      </c>
      <c r="AC116" s="36" t="str">
        <f t="shared" si="33"/>
        <v>YES</v>
      </c>
    </row>
    <row r="117" spans="1:29" ht="15" thickBot="1" x14ac:dyDescent="0.45">
      <c r="A117" s="4"/>
      <c r="B117">
        <v>104.08499999999999</v>
      </c>
      <c r="C117">
        <v>97.295000000000002</v>
      </c>
      <c r="D117">
        <v>135.005</v>
      </c>
      <c r="E117">
        <v>149.64500000000001</v>
      </c>
      <c r="F117" t="s">
        <v>282</v>
      </c>
      <c r="G117" s="12"/>
      <c r="H117">
        <f>IFERROR(_xlfn.RANK.AVG(B117,B113:F120,1),"")</f>
        <v>11</v>
      </c>
      <c r="I117">
        <f>IFERROR(_xlfn.RANK.AVG(C117,B113:F120,1),"")</f>
        <v>7</v>
      </c>
      <c r="J117">
        <f>IFERROR(_xlfn.RANK.AVG(D117,B113:F120,1),"")</f>
        <v>23</v>
      </c>
      <c r="K117">
        <f>IFERROR(_xlfn.RANK.AVG(E117,B113:F120,1),"")</f>
        <v>25</v>
      </c>
      <c r="L117" s="7" t="str">
        <f>IFERROR(_xlfn.RANK.AVG(F117,B113:F120,1),"")</f>
        <v/>
      </c>
      <c r="M117" s="6" t="s">
        <v>289</v>
      </c>
      <c r="N117" s="34">
        <f>_xlfn.CHISQ.DIST.RT(N115,N116)</f>
        <v>3.0278716062737647E-4</v>
      </c>
      <c r="O117" s="35"/>
      <c r="P117" s="12" t="s">
        <v>290</v>
      </c>
      <c r="Q117">
        <f>N113</f>
        <v>33</v>
      </c>
      <c r="U117" s="7"/>
      <c r="V117" s="13" t="s">
        <v>291</v>
      </c>
      <c r="W117">
        <f>ABS(R115-T115)</f>
        <v>12.830357142857142</v>
      </c>
      <c r="X117">
        <v>5.0040441234351354</v>
      </c>
      <c r="Y117">
        <f t="shared" si="31"/>
        <v>2.5639976040118255</v>
      </c>
      <c r="Z117">
        <f>X117/Q116</f>
        <v>1.782680415130022</v>
      </c>
      <c r="AA117" s="7">
        <f t="shared" si="32"/>
        <v>1.0347425886854111E-2</v>
      </c>
      <c r="AB117">
        <v>0.03</v>
      </c>
      <c r="AC117" s="36" t="str">
        <f t="shared" si="33"/>
        <v>YES</v>
      </c>
    </row>
    <row r="118" spans="1:29" ht="15" thickBot="1" x14ac:dyDescent="0.45">
      <c r="A118" s="4"/>
      <c r="B118">
        <v>80.445000000000007</v>
      </c>
      <c r="C118">
        <v>109.3</v>
      </c>
      <c r="D118">
        <v>154.255</v>
      </c>
      <c r="E118">
        <v>124.63499999999999</v>
      </c>
      <c r="F118" t="s">
        <v>282</v>
      </c>
      <c r="G118" s="12"/>
      <c r="H118">
        <f>IFERROR(_xlfn.RANK.AVG(B118,B113:F120,1),"")</f>
        <v>4</v>
      </c>
      <c r="I118">
        <f>IFERROR(_xlfn.RANK.AVG(C118,B113:F120,1),"")</f>
        <v>13</v>
      </c>
      <c r="J118">
        <f>IFERROR(_xlfn.RANK.AVG(D118,B113:F120,1),"")</f>
        <v>26</v>
      </c>
      <c r="K118">
        <f>IFERROR(_xlfn.RANK.AVG(E118,B113:F120,1),"")</f>
        <v>18</v>
      </c>
      <c r="L118" s="7" t="str">
        <f>IFERROR(_xlfn.RANK.AVG(F118,B113:F120,1),"")</f>
        <v/>
      </c>
      <c r="M118" s="6" t="s">
        <v>292</v>
      </c>
      <c r="N118" s="34">
        <v>0.05</v>
      </c>
      <c r="O118" s="35"/>
      <c r="P118" s="12" t="s">
        <v>293</v>
      </c>
      <c r="Q118">
        <f>N107/(COUNT(Q103:U103)*(COUNT(Q92:U92)-1)/2)</f>
        <v>5.0000000000000001E-3</v>
      </c>
      <c r="U118" s="7"/>
      <c r="V118" s="13" t="s">
        <v>294</v>
      </c>
      <c r="W118">
        <f>ABS(S115-T115)</f>
        <v>2.7321428571428577</v>
      </c>
      <c r="X118">
        <v>5.0040441234351354</v>
      </c>
      <c r="Y118">
        <f t="shared" si="31"/>
        <v>0.54598696369354127</v>
      </c>
      <c r="Z118">
        <f>X118/Q116</f>
        <v>1.782680415130022</v>
      </c>
      <c r="AA118" s="7">
        <f t="shared" si="32"/>
        <v>0.58507489830433479</v>
      </c>
      <c r="AB118">
        <v>4.4999999999999998E-2</v>
      </c>
      <c r="AC118" s="36" t="str">
        <f t="shared" si="33"/>
        <v>NO</v>
      </c>
    </row>
    <row r="119" spans="1:29" ht="15" thickBot="1" x14ac:dyDescent="0.45">
      <c r="A119" s="4"/>
      <c r="B119">
        <v>81.94</v>
      </c>
      <c r="C119">
        <v>117.14499999999998</v>
      </c>
      <c r="D119">
        <v>154.59499999999997</v>
      </c>
      <c r="E119">
        <v>186.07499999999999</v>
      </c>
      <c r="F119" t="s">
        <v>282</v>
      </c>
      <c r="G119" s="12"/>
      <c r="H119">
        <f>IFERROR(_xlfn.RANK.AVG(B119,B113:F120,1),"")</f>
        <v>5</v>
      </c>
      <c r="I119">
        <f>IFERROR(_xlfn.RANK.AVG(C119,B113:F120,1),"")</f>
        <v>17</v>
      </c>
      <c r="J119">
        <f>IFERROR(_xlfn.RANK.AVG(D119,B113:F120,1),"")</f>
        <v>28</v>
      </c>
      <c r="K119">
        <f>IFERROR(_xlfn.RANK.AVG(E119,B113:F120,1),"")</f>
        <v>32</v>
      </c>
      <c r="L119" s="7" t="str">
        <f>IFERROR(_xlfn.RANK.AVG(F119,B113:F120,1),"")</f>
        <v/>
      </c>
      <c r="M119" s="6" t="s">
        <v>275</v>
      </c>
      <c r="N119" s="36" t="str">
        <f>IF(N117&lt;N118,"YES","NO")</f>
        <v>YES</v>
      </c>
      <c r="O119" s="37"/>
      <c r="P119" s="12"/>
      <c r="U119" s="7"/>
      <c r="V119" s="13" t="s">
        <v>295</v>
      </c>
      <c r="W119">
        <f>ABS(U115-Q115)</f>
        <v>23.4375</v>
      </c>
      <c r="X119">
        <v>7.6438036588468181</v>
      </c>
      <c r="Y119">
        <f t="shared" si="31"/>
        <v>3.0662090558636743</v>
      </c>
      <c r="Z119">
        <f>X119/Q116</f>
        <v>2.7230893140828756</v>
      </c>
      <c r="AA119" s="7">
        <f t="shared" si="32"/>
        <v>2.1679167902017848E-3</v>
      </c>
      <c r="AB119">
        <v>1.4999999999999999E-2</v>
      </c>
      <c r="AC119" s="36" t="str">
        <f t="shared" si="33"/>
        <v>YES</v>
      </c>
    </row>
    <row r="120" spans="1:29" ht="15" thickBot="1" x14ac:dyDescent="0.45">
      <c r="A120" s="4"/>
      <c r="B120">
        <v>100.255</v>
      </c>
      <c r="C120">
        <v>113.97</v>
      </c>
      <c r="D120">
        <v>133.82999999999998</v>
      </c>
      <c r="E120" t="s">
        <v>282</v>
      </c>
      <c r="F120" t="s">
        <v>282</v>
      </c>
      <c r="G120" s="12"/>
      <c r="H120">
        <f>IFERROR(_xlfn.RANK.AVG(B120,B113:F120,1),"")</f>
        <v>9</v>
      </c>
      <c r="I120">
        <f>IFERROR(_xlfn.RANK.AVG(C120,B113:F120,1),"")</f>
        <v>15</v>
      </c>
      <c r="J120">
        <f>IFERROR(_xlfn.RANK.AVG(D120,B113:F120,1),"")</f>
        <v>21</v>
      </c>
      <c r="K120" s="27" t="str">
        <f>IFERROR(_xlfn.RANK.AVG(E120,B113:F120,1),"")</f>
        <v/>
      </c>
      <c r="L120" s="7" t="str">
        <f>IFERROR(_xlfn.RANK.AVG(F120,B113:F120,1),"")</f>
        <v/>
      </c>
      <c r="N120" s="34"/>
      <c r="O120" s="35"/>
      <c r="P120" s="38"/>
      <c r="U120" s="7"/>
      <c r="V120" s="13" t="s">
        <v>296</v>
      </c>
      <c r="W120">
        <f>ABS(U115-R115)</f>
        <v>22.6875</v>
      </c>
      <c r="X120">
        <v>7.6438036588468181</v>
      </c>
      <c r="Y120">
        <f t="shared" si="31"/>
        <v>2.9680903660760367</v>
      </c>
      <c r="Z120">
        <f>X120/Q116</f>
        <v>2.7230893140828756</v>
      </c>
      <c r="AA120" s="7">
        <f t="shared" si="32"/>
        <v>2.9965621922785068E-3</v>
      </c>
      <c r="AB120">
        <v>0.02</v>
      </c>
      <c r="AC120" s="36" t="str">
        <f t="shared" si="33"/>
        <v>YES</v>
      </c>
    </row>
    <row r="121" spans="1:29" ht="15" thickBot="1" x14ac:dyDescent="0.45">
      <c r="A121" s="4"/>
      <c r="F121" s="7"/>
      <c r="G121" s="12" t="s">
        <v>278</v>
      </c>
      <c r="H121" s="39">
        <f>SUM(H113:H120)</f>
        <v>68.5</v>
      </c>
      <c r="I121" s="40">
        <f>SUM(I113:I120)</f>
        <v>74.5</v>
      </c>
      <c r="J121" s="40">
        <f>SUM(J113:J120)</f>
        <v>199</v>
      </c>
      <c r="K121" s="50">
        <f>SUM(K113:K120)</f>
        <v>155</v>
      </c>
      <c r="L121" s="40">
        <f>SUM(L113:L120)</f>
        <v>64</v>
      </c>
      <c r="N121" s="34"/>
      <c r="O121" s="35"/>
      <c r="P121" s="38"/>
      <c r="U121" s="7"/>
      <c r="V121" s="13" t="s">
        <v>297</v>
      </c>
      <c r="W121">
        <f>ABS(U115-S115)</f>
        <v>7.125</v>
      </c>
      <c r="X121">
        <v>7.6438036588468181</v>
      </c>
      <c r="Y121">
        <f t="shared" si="31"/>
        <v>0.9321275529825569</v>
      </c>
      <c r="Z121">
        <f>X121/Q116</f>
        <v>2.7230893140828756</v>
      </c>
      <c r="AA121" s="7">
        <f t="shared" si="32"/>
        <v>0.35127061023405526</v>
      </c>
      <c r="AB121">
        <v>0.04</v>
      </c>
      <c r="AC121" s="36" t="str">
        <f t="shared" si="33"/>
        <v>NO</v>
      </c>
    </row>
    <row r="122" spans="1:29" ht="15" thickBot="1" x14ac:dyDescent="0.45">
      <c r="A122" s="4"/>
      <c r="F122" s="7"/>
      <c r="G122" s="15" t="s">
        <v>298</v>
      </c>
      <c r="H122" s="41">
        <f>IFERROR(((SUM(H113:H120))^2)/COUNT(H113:H120),"")</f>
        <v>586.53125</v>
      </c>
      <c r="I122" s="42">
        <f>IFERROR(((SUM(I113:I120))^2)/COUNT(I113:I120),"")</f>
        <v>693.78125</v>
      </c>
      <c r="J122" s="42">
        <f>IFERROR(((SUM(J113:J120))^2)/COUNT(J113:J120),"")</f>
        <v>4950.125</v>
      </c>
      <c r="K122" s="42">
        <f>IFERROR(((SUM(K113:K120))^2)/COUNT(K113:K120),"")</f>
        <v>3432.1428571428573</v>
      </c>
      <c r="L122" s="42">
        <f>IFERROR(((SUM(L113:L120))^2)/COUNT(L113:L120),"")</f>
        <v>2048</v>
      </c>
      <c r="M122" s="25"/>
      <c r="N122" s="44"/>
      <c r="O122" s="45"/>
      <c r="P122" s="46"/>
      <c r="Q122" s="25"/>
      <c r="R122" s="25"/>
      <c r="S122" s="25"/>
      <c r="T122" s="25"/>
      <c r="U122" s="47"/>
      <c r="V122" s="16" t="s">
        <v>299</v>
      </c>
      <c r="W122" s="25">
        <f>ABS(U115-T115)</f>
        <v>9.8571428571428577</v>
      </c>
      <c r="X122" s="25">
        <v>7.7522318215005486</v>
      </c>
      <c r="Y122">
        <f t="shared" si="31"/>
        <v>1.2715232315169434</v>
      </c>
      <c r="Z122">
        <f>X122/Q116</f>
        <v>2.7617166237634798</v>
      </c>
      <c r="AA122" s="7">
        <f t="shared" si="32"/>
        <v>0.20354256807710769</v>
      </c>
      <c r="AB122" s="25">
        <v>3.5000000000000003E-2</v>
      </c>
      <c r="AC122" s="36" t="str">
        <f t="shared" si="33"/>
        <v>NO</v>
      </c>
    </row>
    <row r="123" spans="1:29" ht="15" thickBot="1" x14ac:dyDescent="0.45">
      <c r="A123" s="4" t="s">
        <v>73</v>
      </c>
      <c r="B123" t="s">
        <v>260</v>
      </c>
      <c r="C123" t="s">
        <v>261</v>
      </c>
      <c r="D123" t="s">
        <v>262</v>
      </c>
      <c r="E123" t="s">
        <v>263</v>
      </c>
      <c r="F123" s="7" t="s">
        <v>265</v>
      </c>
      <c r="G123" s="10" t="s">
        <v>266</v>
      </c>
      <c r="H123" s="48" t="s">
        <v>260</v>
      </c>
      <c r="I123" s="31" t="s">
        <v>261</v>
      </c>
      <c r="J123" s="31" t="s">
        <v>262</v>
      </c>
      <c r="K123" s="27" t="s">
        <v>263</v>
      </c>
      <c r="L123" s="32" t="s">
        <v>265</v>
      </c>
      <c r="M123" s="31"/>
      <c r="N123" s="33"/>
      <c r="O123" s="49"/>
      <c r="P123" s="10" t="s">
        <v>267</v>
      </c>
      <c r="Q123" s="31" t="s">
        <v>260</v>
      </c>
      <c r="R123" s="31" t="s">
        <v>261</v>
      </c>
      <c r="S123" s="31" t="s">
        <v>262</v>
      </c>
      <c r="T123" s="27" t="s">
        <v>263</v>
      </c>
      <c r="U123" s="32" t="s">
        <v>265</v>
      </c>
      <c r="V123" s="11" t="s">
        <v>268</v>
      </c>
      <c r="W123" s="31" t="s">
        <v>269</v>
      </c>
      <c r="X123" s="31" t="s">
        <v>270</v>
      </c>
      <c r="Y123" s="31" t="s">
        <v>271</v>
      </c>
      <c r="Z123" s="31" t="s">
        <v>272</v>
      </c>
      <c r="AA123" s="32" t="s">
        <v>273</v>
      </c>
      <c r="AB123" s="31" t="s">
        <v>274</v>
      </c>
      <c r="AC123" s="33" t="s">
        <v>275</v>
      </c>
    </row>
    <row r="124" spans="1:29" ht="15" thickBot="1" x14ac:dyDescent="0.45">
      <c r="A124" s="4"/>
      <c r="B124">
        <v>2512.34</v>
      </c>
      <c r="C124">
        <v>1719.915</v>
      </c>
      <c r="D124">
        <v>2473.85</v>
      </c>
      <c r="E124">
        <v>2129.34</v>
      </c>
      <c r="F124">
        <v>1431.2474999999999</v>
      </c>
      <c r="G124" s="12" t="s">
        <v>276</v>
      </c>
      <c r="H124">
        <f>IFERROR(_xlfn.RANK.AVG(B124,B124:F131,1),"")</f>
        <v>28</v>
      </c>
      <c r="I124">
        <f>IFERROR(_xlfn.RANK.AVG(C124,B124:F131,1),"")</f>
        <v>8</v>
      </c>
      <c r="J124">
        <f>IFERROR(_xlfn.RANK.AVG(D124,B124:F131,1),"")</f>
        <v>26</v>
      </c>
      <c r="K124">
        <f>IFERROR(_xlfn.RANK.AVG(E124,B124:F131,1),"")</f>
        <v>14</v>
      </c>
      <c r="L124" s="7">
        <f>IFERROR(_xlfn.RANK.AVG(F124,B124:F131,1),"")</f>
        <v>2</v>
      </c>
      <c r="M124" s="6" t="s">
        <v>277</v>
      </c>
      <c r="N124" s="34">
        <f>COUNT(H124:L131)</f>
        <v>33</v>
      </c>
      <c r="O124" s="35"/>
      <c r="P124" s="12" t="s">
        <v>278</v>
      </c>
      <c r="Q124">
        <f>H132</f>
        <v>140</v>
      </c>
      <c r="R124">
        <f>I132</f>
        <v>163</v>
      </c>
      <c r="S124">
        <f>J132</f>
        <v>111</v>
      </c>
      <c r="T124">
        <f>K132</f>
        <v>139</v>
      </c>
      <c r="U124" s="7">
        <f>L132</f>
        <v>8</v>
      </c>
      <c r="V124" s="13" t="s">
        <v>279</v>
      </c>
      <c r="W124">
        <f>ABS(Q126-R126)</f>
        <v>2.875</v>
      </c>
      <c r="X124">
        <v>4.8347699014534289</v>
      </c>
      <c r="Y124">
        <f t="shared" ref="Y124:Y133" si="34">W124/X124</f>
        <v>0.594650843494272</v>
      </c>
      <c r="Z124">
        <f>X124/Q127</f>
        <v>1.7223768221021474</v>
      </c>
      <c r="AA124" s="7">
        <f t="shared" ref="AA124:AA133" si="35">2*(1-_xlfn.NORM.S.DIST(Y124,TRUE))</f>
        <v>0.55207688651681308</v>
      </c>
      <c r="AB124" cm="1">
        <f t="array" ref="AB124:AB133">RANK(AA124:AA133,AA124:AA133,1)*Q129</f>
        <v>0.04</v>
      </c>
      <c r="AC124" s="36" t="str">
        <f t="shared" ref="AC124:AC133" si="36">IF(AA124&lt;AB124,"YES","NO")</f>
        <v>NO</v>
      </c>
    </row>
    <row r="125" spans="1:29" ht="15" thickBot="1" x14ac:dyDescent="0.45">
      <c r="A125" s="4"/>
      <c r="B125">
        <v>2642.0149999999999</v>
      </c>
      <c r="C125">
        <v>2217.5649999999996</v>
      </c>
      <c r="D125">
        <v>2465.4999999999995</v>
      </c>
      <c r="E125">
        <v>1672.0549999999998</v>
      </c>
      <c r="F125">
        <v>1616.2049999999999</v>
      </c>
      <c r="G125" s="12"/>
      <c r="H125">
        <f>IFERROR(_xlfn.RANK.AVG(B125,B124:F131,1),"")</f>
        <v>31</v>
      </c>
      <c r="I125">
        <f>IFERROR(_xlfn.RANK.AVG(C125,B124:F131,1),"")</f>
        <v>18</v>
      </c>
      <c r="J125">
        <f>IFERROR(_xlfn.RANK.AVG(D125,B124:F131,1),"")</f>
        <v>25</v>
      </c>
      <c r="K125">
        <f>IFERROR(_xlfn.RANK.AVG(E125,B124:F131,1),"")</f>
        <v>7</v>
      </c>
      <c r="L125" s="7">
        <f>IFERROR(_xlfn.RANK.AVG(F125,B124:F131,1),"")</f>
        <v>6</v>
      </c>
      <c r="M125" s="6" t="s">
        <v>280</v>
      </c>
      <c r="N125" s="34">
        <f>SUM(H133:L133)</f>
        <v>10103.392857142857</v>
      </c>
      <c r="O125" s="35"/>
      <c r="P125" s="12" t="s">
        <v>277</v>
      </c>
      <c r="Q125">
        <f>COUNT(H124:H131)</f>
        <v>8</v>
      </c>
      <c r="R125">
        <f>COUNT(I124:I131)</f>
        <v>8</v>
      </c>
      <c r="S125">
        <f>COUNT(J124:J131)</f>
        <v>8</v>
      </c>
      <c r="T125">
        <f>COUNT(K124:K131)</f>
        <v>7</v>
      </c>
      <c r="U125" s="7">
        <f>COUNT(L124:L131)</f>
        <v>2</v>
      </c>
      <c r="V125" s="13" t="s">
        <v>281</v>
      </c>
      <c r="W125">
        <f>ABS(Q126-S126)</f>
        <v>3.625</v>
      </c>
      <c r="X125">
        <v>4.8347699014534289</v>
      </c>
      <c r="Y125">
        <f t="shared" si="34"/>
        <v>0.74977715049277782</v>
      </c>
      <c r="Z125">
        <f>X125/Q127</f>
        <v>1.7223768221021474</v>
      </c>
      <c r="AA125" s="7">
        <f t="shared" si="35"/>
        <v>0.45338893262626745</v>
      </c>
      <c r="AB125">
        <v>3.5000000000000003E-2</v>
      </c>
      <c r="AC125" s="36" t="str">
        <f t="shared" si="36"/>
        <v>NO</v>
      </c>
    </row>
    <row r="126" spans="1:29" ht="15" thickBot="1" x14ac:dyDescent="0.45">
      <c r="A126" s="4"/>
      <c r="B126">
        <v>2360.0250000000001</v>
      </c>
      <c r="C126">
        <v>3213.4399999999996</v>
      </c>
      <c r="D126">
        <v>1500.19</v>
      </c>
      <c r="E126">
        <v>2342.2550000000001</v>
      </c>
      <c r="F126" t="s">
        <v>282</v>
      </c>
      <c r="G126" s="12"/>
      <c r="H126">
        <f>IFERROR(_xlfn.RANK.AVG(B126,B124:F131,1),"")</f>
        <v>23</v>
      </c>
      <c r="I126">
        <f>IFERROR(_xlfn.RANK.AVG(C126,B124:F131,1),"")</f>
        <v>33</v>
      </c>
      <c r="J126">
        <f>IFERROR(_xlfn.RANK.AVG(D126,B124:F131,1),"")</f>
        <v>4</v>
      </c>
      <c r="K126">
        <f>IFERROR(_xlfn.RANK.AVG(E126,B124:F131,1),"")</f>
        <v>22</v>
      </c>
      <c r="L126" s="7" t="str">
        <f>IFERROR(_xlfn.RANK.AVG(F126,B124:F131,1),"")</f>
        <v/>
      </c>
      <c r="M126" s="6" t="s">
        <v>283</v>
      </c>
      <c r="N126" s="34">
        <f>12*N125/(N124*(N124+1))-3*(N124+1)</f>
        <v>6.0576776165011523</v>
      </c>
      <c r="O126" s="35"/>
      <c r="P126" s="14" t="s">
        <v>284</v>
      </c>
      <c r="Q126" s="27">
        <f>Q124/Q125</f>
        <v>17.5</v>
      </c>
      <c r="R126" s="27">
        <f>R124/R125</f>
        <v>20.375</v>
      </c>
      <c r="S126" s="27">
        <f>S124/S125</f>
        <v>13.875</v>
      </c>
      <c r="T126" s="27">
        <f>T124/T125</f>
        <v>19.857142857142858</v>
      </c>
      <c r="U126" s="27">
        <f>U124/U125</f>
        <v>4</v>
      </c>
      <c r="V126" s="13" t="s">
        <v>285</v>
      </c>
      <c r="W126">
        <f>ABS(Q126-T126)</f>
        <v>2.3571428571428577</v>
      </c>
      <c r="X126">
        <v>5.0044622945070589</v>
      </c>
      <c r="Y126">
        <f t="shared" si="34"/>
        <v>0.47100821595360565</v>
      </c>
      <c r="Z126">
        <f>X126/Q127</f>
        <v>1.7828293877133372</v>
      </c>
      <c r="AA126" s="7">
        <f t="shared" si="35"/>
        <v>0.6376348677823851</v>
      </c>
      <c r="AB126">
        <v>4.4999999999999998E-2</v>
      </c>
      <c r="AC126" s="36" t="str">
        <f t="shared" si="36"/>
        <v>NO</v>
      </c>
    </row>
    <row r="127" spans="1:29" ht="15" thickBot="1" x14ac:dyDescent="0.45">
      <c r="A127" s="4"/>
      <c r="B127">
        <v>1279.0349999999999</v>
      </c>
      <c r="C127">
        <v>2601.4399999999996</v>
      </c>
      <c r="D127">
        <v>2274.17</v>
      </c>
      <c r="E127">
        <v>2289.6949999999997</v>
      </c>
      <c r="F127" t="s">
        <v>282</v>
      </c>
      <c r="G127" s="12"/>
      <c r="H127">
        <f>IFERROR(_xlfn.RANK.AVG(B127,B124:F131,1),"")</f>
        <v>1</v>
      </c>
      <c r="I127">
        <f>IFERROR(_xlfn.RANK.AVG(C127,B124:F131,1),"")</f>
        <v>30</v>
      </c>
      <c r="J127">
        <f>IFERROR(_xlfn.RANK.AVG(D127,B124:F131,1),"")</f>
        <v>20</v>
      </c>
      <c r="K127">
        <f>IFERROR(_xlfn.RANK.AVG(E127,B124:F131,1),"")</f>
        <v>21</v>
      </c>
      <c r="L127" s="7" t="str">
        <f>IFERROR(_xlfn.RANK.AVG(F127,B124:F131,1),"")</f>
        <v/>
      </c>
      <c r="M127" s="6" t="s">
        <v>286</v>
      </c>
      <c r="N127" s="34">
        <v>5</v>
      </c>
      <c r="O127" s="35"/>
      <c r="P127" s="12" t="s">
        <v>287</v>
      </c>
      <c r="Q127">
        <f>_xlfn.NORM.S.INV(1-Q129/2)</f>
        <v>2.8070337683438114</v>
      </c>
      <c r="U127" s="7"/>
      <c r="V127" s="13" t="s">
        <v>288</v>
      </c>
      <c r="W127">
        <f>ABS(R126-S126)</f>
        <v>6.5</v>
      </c>
      <c r="X127">
        <v>4.8347699014534289</v>
      </c>
      <c r="Y127">
        <f t="shared" si="34"/>
        <v>1.3444279939870498</v>
      </c>
      <c r="Z127">
        <f>X127/Q127</f>
        <v>1.7223768221021474</v>
      </c>
      <c r="AA127" s="7">
        <f t="shared" si="35"/>
        <v>0.17881002646274524</v>
      </c>
      <c r="AB127">
        <v>0.02</v>
      </c>
      <c r="AC127" s="36" t="str">
        <f t="shared" si="36"/>
        <v>NO</v>
      </c>
    </row>
    <row r="128" spans="1:29" ht="15" thickBot="1" x14ac:dyDescent="0.45">
      <c r="A128" s="4"/>
      <c r="B128">
        <v>2200.5349999999999</v>
      </c>
      <c r="C128">
        <v>2676.5450000000001</v>
      </c>
      <c r="D128">
        <v>1730.03</v>
      </c>
      <c r="E128">
        <v>2557.6</v>
      </c>
      <c r="F128" t="s">
        <v>282</v>
      </c>
      <c r="G128" s="12"/>
      <c r="H128">
        <f>IFERROR(_xlfn.RANK.AVG(B128,B124:F131,1),"")</f>
        <v>16</v>
      </c>
      <c r="I128">
        <f>IFERROR(_xlfn.RANK.AVG(C128,B124:F131,1),"")</f>
        <v>32</v>
      </c>
      <c r="J128">
        <f>IFERROR(_xlfn.RANK.AVG(D128,B124:F131,1),"")</f>
        <v>9</v>
      </c>
      <c r="K128">
        <f>IFERROR(_xlfn.RANK.AVG(E128,B124:F131,1),"")</f>
        <v>29</v>
      </c>
      <c r="L128" s="7" t="str">
        <f>IFERROR(_xlfn.RANK.AVG(F128,B124:F131,1),"")</f>
        <v/>
      </c>
      <c r="M128" s="6" t="s">
        <v>289</v>
      </c>
      <c r="N128" s="34">
        <f>_xlfn.CHISQ.DIST.RT(N126,N127)</f>
        <v>0.30064703237152945</v>
      </c>
      <c r="O128" s="35"/>
      <c r="P128" s="12" t="s">
        <v>290</v>
      </c>
      <c r="Q128">
        <f>N124</f>
        <v>33</v>
      </c>
      <c r="U128" s="7"/>
      <c r="V128" s="13" t="s">
        <v>291</v>
      </c>
      <c r="W128">
        <f>ABS(R126-T126)</f>
        <v>0.51785714285714235</v>
      </c>
      <c r="X128">
        <v>5.0044622945070589</v>
      </c>
      <c r="Y128">
        <f t="shared" si="34"/>
        <v>0.10347907774738294</v>
      </c>
      <c r="Z128">
        <f>X128/Q127</f>
        <v>1.7828293877133372</v>
      </c>
      <c r="AA128" s="7">
        <f t="shared" si="35"/>
        <v>0.91758275388200516</v>
      </c>
      <c r="AB128">
        <v>0.05</v>
      </c>
      <c r="AC128" s="36" t="str">
        <f t="shared" si="36"/>
        <v>NO</v>
      </c>
    </row>
    <row r="129" spans="1:29" ht="15" thickBot="1" x14ac:dyDescent="0.45">
      <c r="A129" s="4"/>
      <c r="B129">
        <v>2014.0300000000002</v>
      </c>
      <c r="C129">
        <v>1478.0900000000001</v>
      </c>
      <c r="D129">
        <v>1584.15</v>
      </c>
      <c r="E129">
        <v>2258.6400000000003</v>
      </c>
      <c r="F129" t="s">
        <v>282</v>
      </c>
      <c r="G129" s="12"/>
      <c r="H129">
        <f>IFERROR(_xlfn.RANK.AVG(B129,B124:F131,1),"")</f>
        <v>13</v>
      </c>
      <c r="I129">
        <f>IFERROR(_xlfn.RANK.AVG(C129,B124:F131,1),"")</f>
        <v>3</v>
      </c>
      <c r="J129">
        <f>IFERROR(_xlfn.RANK.AVG(D129,B124:F131,1),"")</f>
        <v>5</v>
      </c>
      <c r="K129">
        <f>IFERROR(_xlfn.RANK.AVG(E129,B124:F131,1),"")</f>
        <v>19</v>
      </c>
      <c r="L129" s="7" t="str">
        <f>IFERROR(_xlfn.RANK.AVG(F129,B124:F131,1),"")</f>
        <v/>
      </c>
      <c r="M129" s="6" t="s">
        <v>292</v>
      </c>
      <c r="N129" s="34">
        <v>0.05</v>
      </c>
      <c r="O129" s="35"/>
      <c r="P129" s="12" t="s">
        <v>293</v>
      </c>
      <c r="Q129">
        <f>N118/(COUNT(Q114:U114)*(COUNT(Q103:U103)-1)/2)</f>
        <v>5.0000000000000001E-3</v>
      </c>
      <c r="U129" s="7"/>
      <c r="V129" s="13" t="s">
        <v>294</v>
      </c>
      <c r="W129">
        <f>ABS(S126-T126)</f>
        <v>5.9821428571428577</v>
      </c>
      <c r="X129">
        <v>5.0044622945070589</v>
      </c>
      <c r="Y129">
        <f t="shared" si="34"/>
        <v>1.1953617601852868</v>
      </c>
      <c r="Z129">
        <f>X129/Q127</f>
        <v>1.7828293877133372</v>
      </c>
      <c r="AA129" s="7">
        <f t="shared" si="35"/>
        <v>0.23194571934674979</v>
      </c>
      <c r="AB129">
        <v>0.03</v>
      </c>
      <c r="AC129" s="36" t="str">
        <f t="shared" si="36"/>
        <v>NO</v>
      </c>
    </row>
    <row r="130" spans="1:29" ht="15" thickBot="1" x14ac:dyDescent="0.45">
      <c r="A130" s="4"/>
      <c r="B130">
        <v>1906.2199999999996</v>
      </c>
      <c r="C130">
        <v>2410.0149999999999</v>
      </c>
      <c r="D130">
        <v>1997.595</v>
      </c>
      <c r="E130">
        <v>2486.4299999999998</v>
      </c>
      <c r="F130" t="s">
        <v>282</v>
      </c>
      <c r="G130" s="12"/>
      <c r="H130">
        <f>IFERROR(_xlfn.RANK.AVG(B130,B124:F131,1),"")</f>
        <v>11</v>
      </c>
      <c r="I130">
        <f>IFERROR(_xlfn.RANK.AVG(C130,B124:F131,1),"")</f>
        <v>24</v>
      </c>
      <c r="J130">
        <f>IFERROR(_xlfn.RANK.AVG(D130,B124:F131,1),"")</f>
        <v>12</v>
      </c>
      <c r="K130">
        <f>IFERROR(_xlfn.RANK.AVG(E130,B124:F131,1),"")</f>
        <v>27</v>
      </c>
      <c r="L130" s="7" t="str">
        <f>IFERROR(_xlfn.RANK.AVG(F130,B124:F131,1),"")</f>
        <v/>
      </c>
      <c r="M130" s="6" t="s">
        <v>275</v>
      </c>
      <c r="N130" s="36" t="str">
        <f>IF(N128&lt;N129,"YES","NO")</f>
        <v>NO</v>
      </c>
      <c r="O130" s="37"/>
      <c r="P130" s="12"/>
      <c r="U130" s="7"/>
      <c r="V130" s="13" t="s">
        <v>295</v>
      </c>
      <c r="W130">
        <f>ABS(U126-Q126)</f>
        <v>13.5</v>
      </c>
      <c r="X130">
        <v>7.6444424257103281</v>
      </c>
      <c r="Y130">
        <f t="shared" si="34"/>
        <v>1.765988838452867</v>
      </c>
      <c r="Z130">
        <f>X130/Q127</f>
        <v>2.7233168734627138</v>
      </c>
      <c r="AA130" s="7">
        <f t="shared" si="35"/>
        <v>7.7397721443734468E-2</v>
      </c>
      <c r="AB130">
        <v>1.4999999999999999E-2</v>
      </c>
      <c r="AC130" s="36" t="str">
        <f t="shared" si="36"/>
        <v>NO</v>
      </c>
    </row>
    <row r="131" spans="1:29" ht="15" thickBot="1" x14ac:dyDescent="0.45">
      <c r="A131" s="4"/>
      <c r="B131">
        <v>2214.9849999999997</v>
      </c>
      <c r="C131">
        <v>2147.8200000000002</v>
      </c>
      <c r="D131">
        <v>1795.3849999999998</v>
      </c>
      <c r="E131" t="s">
        <v>282</v>
      </c>
      <c r="F131" t="s">
        <v>282</v>
      </c>
      <c r="G131" s="12"/>
      <c r="H131">
        <f>IFERROR(_xlfn.RANK.AVG(B131,B124:F131,1),"")</f>
        <v>17</v>
      </c>
      <c r="I131">
        <f>IFERROR(_xlfn.RANK.AVG(C131,B124:F131,1),"")</f>
        <v>15</v>
      </c>
      <c r="J131">
        <f>IFERROR(_xlfn.RANK.AVG(D131,B124:F131,1),"")</f>
        <v>10</v>
      </c>
      <c r="K131" s="27" t="str">
        <f>IFERROR(_xlfn.RANK.AVG(E131,B124:F131,1),"")</f>
        <v/>
      </c>
      <c r="L131" s="7" t="str">
        <f>IFERROR(_xlfn.RANK.AVG(F131,B124:F131,1),"")</f>
        <v/>
      </c>
      <c r="N131" s="34"/>
      <c r="O131" s="35"/>
      <c r="P131" s="38"/>
      <c r="U131" s="7"/>
      <c r="V131" s="13" t="s">
        <v>296</v>
      </c>
      <c r="W131">
        <f>ABS(U126-R126)</f>
        <v>16.375</v>
      </c>
      <c r="X131">
        <v>7.6444424257103281</v>
      </c>
      <c r="Y131">
        <f t="shared" si="34"/>
        <v>2.1420790540493111</v>
      </c>
      <c r="Z131">
        <f>X131/Q127</f>
        <v>2.7233168734627138</v>
      </c>
      <c r="AA131" s="7">
        <f t="shared" si="35"/>
        <v>3.21871211070206E-2</v>
      </c>
      <c r="AB131">
        <v>5.0000000000000001E-3</v>
      </c>
      <c r="AC131" s="36" t="str">
        <f t="shared" si="36"/>
        <v>NO</v>
      </c>
    </row>
    <row r="132" spans="1:29" ht="15" thickBot="1" x14ac:dyDescent="0.45">
      <c r="A132" s="4"/>
      <c r="F132" s="7"/>
      <c r="G132" s="12" t="s">
        <v>278</v>
      </c>
      <c r="H132" s="39">
        <f>SUM(H124:H131)</f>
        <v>140</v>
      </c>
      <c r="I132" s="40">
        <f>SUM(I124:I131)</f>
        <v>163</v>
      </c>
      <c r="J132" s="40">
        <f>SUM(J124:J131)</f>
        <v>111</v>
      </c>
      <c r="K132" s="50">
        <f>SUM(K124:K131)</f>
        <v>139</v>
      </c>
      <c r="L132" s="40">
        <f>SUM(L124:L131)</f>
        <v>8</v>
      </c>
      <c r="N132" s="34"/>
      <c r="O132" s="35"/>
      <c r="P132" s="38"/>
      <c r="U132" s="7"/>
      <c r="V132" s="13" t="s">
        <v>297</v>
      </c>
      <c r="W132">
        <f>ABS(U126-S126)</f>
        <v>9.875</v>
      </c>
      <c r="X132">
        <v>7.6444424257103281</v>
      </c>
      <c r="Y132">
        <f t="shared" si="34"/>
        <v>1.2917881318312638</v>
      </c>
      <c r="Z132">
        <f>X132/Q127</f>
        <v>2.7233168734627138</v>
      </c>
      <c r="AA132" s="7">
        <f t="shared" si="35"/>
        <v>0.19643052652306259</v>
      </c>
      <c r="AB132">
        <v>2.5000000000000001E-2</v>
      </c>
      <c r="AC132" s="36" t="str">
        <f t="shared" si="36"/>
        <v>NO</v>
      </c>
    </row>
    <row r="133" spans="1:29" ht="15" thickBot="1" x14ac:dyDescent="0.45">
      <c r="A133" s="4"/>
      <c r="F133" s="7"/>
      <c r="G133" s="15" t="s">
        <v>298</v>
      </c>
      <c r="H133" s="41">
        <f>IFERROR(((SUM(H124:H131))^2)/COUNT(H124:H131),"")</f>
        <v>2450</v>
      </c>
      <c r="I133" s="42">
        <f>IFERROR(((SUM(I124:I131))^2)/COUNT(I124:I131),"")</f>
        <v>3321.125</v>
      </c>
      <c r="J133" s="42">
        <f>IFERROR(((SUM(J124:J131))^2)/COUNT(J124:J131),"")</f>
        <v>1540.125</v>
      </c>
      <c r="K133" s="42">
        <f>IFERROR(((SUM(K124:K131))^2)/COUNT(K124:K131),"")</f>
        <v>2760.1428571428573</v>
      </c>
      <c r="L133" s="42">
        <f>IFERROR(((SUM(L124:L131))^2)/COUNT(L124:L131),"")</f>
        <v>32</v>
      </c>
      <c r="M133" s="25"/>
      <c r="N133" s="44"/>
      <c r="O133" s="45"/>
      <c r="P133" s="46"/>
      <c r="Q133" s="25"/>
      <c r="R133" s="25"/>
      <c r="S133" s="25"/>
      <c r="T133" s="25"/>
      <c r="U133" s="47"/>
      <c r="V133" s="16" t="s">
        <v>299</v>
      </c>
      <c r="W133" s="25">
        <f>ABS(U126-T126)</f>
        <v>15.857142857142858</v>
      </c>
      <c r="X133" s="25">
        <v>7.7528796493395182</v>
      </c>
      <c r="Y133" s="25">
        <f t="shared" si="34"/>
        <v>2.0453229734442937</v>
      </c>
      <c r="Z133" s="25">
        <f>X133/Q127</f>
        <v>2.7619474110971685</v>
      </c>
      <c r="AA133" s="47">
        <f t="shared" si="35"/>
        <v>4.0823027252972821E-2</v>
      </c>
      <c r="AB133" s="44">
        <v>0.01</v>
      </c>
      <c r="AC133" s="36" t="str">
        <f t="shared" si="36"/>
        <v>NO</v>
      </c>
    </row>
  </sheetData>
  <conditionalFormatting sqref="N9:O9">
    <cfRule type="cellIs" dxfId="59" priority="45" operator="equal">
      <formula>"NO"</formula>
    </cfRule>
    <cfRule type="cellIs" dxfId="58" priority="46" operator="equal">
      <formula>"YES"</formula>
    </cfRule>
  </conditionalFormatting>
  <conditionalFormatting sqref="N20:O20">
    <cfRule type="cellIs" dxfId="57" priority="21" operator="equal">
      <formula>"NO"</formula>
    </cfRule>
    <cfRule type="cellIs" dxfId="56" priority="22" operator="equal">
      <formula>"YES"</formula>
    </cfRule>
  </conditionalFormatting>
  <conditionalFormatting sqref="N31:O31">
    <cfRule type="cellIs" dxfId="55" priority="19" operator="equal">
      <formula>"NO"</formula>
    </cfRule>
    <cfRule type="cellIs" dxfId="54" priority="20" operator="equal">
      <formula>"YES"</formula>
    </cfRule>
  </conditionalFormatting>
  <conditionalFormatting sqref="N42:O42">
    <cfRule type="cellIs" dxfId="53" priority="17" operator="equal">
      <formula>"NO"</formula>
    </cfRule>
    <cfRule type="cellIs" dxfId="52" priority="18" operator="equal">
      <formula>"YES"</formula>
    </cfRule>
  </conditionalFormatting>
  <conditionalFormatting sqref="N53:O53">
    <cfRule type="cellIs" dxfId="51" priority="15" operator="equal">
      <formula>"NO"</formula>
    </cfRule>
    <cfRule type="cellIs" dxfId="50" priority="16" operator="equal">
      <formula>"YES"</formula>
    </cfRule>
  </conditionalFormatting>
  <conditionalFormatting sqref="N64:O64">
    <cfRule type="cellIs" dxfId="49" priority="13" operator="equal">
      <formula>"NO"</formula>
    </cfRule>
    <cfRule type="cellIs" dxfId="48" priority="14" operator="equal">
      <formula>"YES"</formula>
    </cfRule>
  </conditionalFormatting>
  <conditionalFormatting sqref="N75:O75">
    <cfRule type="cellIs" dxfId="47" priority="11" operator="equal">
      <formula>"NO"</formula>
    </cfRule>
    <cfRule type="cellIs" dxfId="46" priority="12" operator="equal">
      <formula>"YES"</formula>
    </cfRule>
  </conditionalFormatting>
  <conditionalFormatting sqref="N86:O86">
    <cfRule type="cellIs" dxfId="45" priority="9" operator="equal">
      <formula>"NO"</formula>
    </cfRule>
    <cfRule type="cellIs" dxfId="44" priority="10" operator="equal">
      <formula>"YES"</formula>
    </cfRule>
  </conditionalFormatting>
  <conditionalFormatting sqref="N97:O97">
    <cfRule type="cellIs" dxfId="43" priority="7" operator="equal">
      <formula>"NO"</formula>
    </cfRule>
    <cfRule type="cellIs" dxfId="42" priority="8" operator="equal">
      <formula>"YES"</formula>
    </cfRule>
  </conditionalFormatting>
  <conditionalFormatting sqref="N108:O108">
    <cfRule type="cellIs" dxfId="41" priority="5" operator="equal">
      <formula>"NO"</formula>
    </cfRule>
    <cfRule type="cellIs" dxfId="40" priority="6" operator="equal">
      <formula>"YES"</formula>
    </cfRule>
  </conditionalFormatting>
  <conditionalFormatting sqref="N119:O119">
    <cfRule type="cellIs" dxfId="39" priority="3" operator="equal">
      <formula>"NO"</formula>
    </cfRule>
    <cfRule type="cellIs" dxfId="38" priority="4" operator="equal">
      <formula>"YES"</formula>
    </cfRule>
  </conditionalFormatting>
  <conditionalFormatting sqref="N130:O130">
    <cfRule type="cellIs" dxfId="37" priority="2" operator="equal">
      <formula>"YES"</formula>
    </cfRule>
    <cfRule type="cellIs" dxfId="36" priority="1" operator="equal">
      <formula>"NO"</formula>
    </cfRule>
  </conditionalFormatting>
  <conditionalFormatting sqref="AC3:AC12">
    <cfRule type="cellIs" dxfId="35" priority="43" operator="equal">
      <formula>"NO"</formula>
    </cfRule>
    <cfRule type="cellIs" dxfId="34" priority="44" operator="equal">
      <formula>"YES"</formula>
    </cfRule>
  </conditionalFormatting>
  <conditionalFormatting sqref="AC14:AC23">
    <cfRule type="cellIs" dxfId="33" priority="48" operator="equal">
      <formula>"YES"</formula>
    </cfRule>
    <cfRule type="cellIs" dxfId="32" priority="47" operator="equal">
      <formula>"NO"</formula>
    </cfRule>
  </conditionalFormatting>
  <conditionalFormatting sqref="AC25:AC34">
    <cfRule type="cellIs" dxfId="31" priority="42" operator="equal">
      <formula>"YES"</formula>
    </cfRule>
    <cfRule type="cellIs" dxfId="30" priority="41" operator="equal">
      <formula>"NO"</formula>
    </cfRule>
  </conditionalFormatting>
  <conditionalFormatting sqref="AC36:AC45">
    <cfRule type="cellIs" dxfId="29" priority="39" operator="equal">
      <formula>"NO"</formula>
    </cfRule>
    <cfRule type="cellIs" dxfId="28" priority="40" operator="equal">
      <formula>"YES"</formula>
    </cfRule>
  </conditionalFormatting>
  <conditionalFormatting sqref="AC47:AC56">
    <cfRule type="cellIs" dxfId="27" priority="37" operator="equal">
      <formula>"NO"</formula>
    </cfRule>
    <cfRule type="cellIs" dxfId="26" priority="38" operator="equal">
      <formula>"YES"</formula>
    </cfRule>
  </conditionalFormatting>
  <conditionalFormatting sqref="AC58:AC67">
    <cfRule type="cellIs" dxfId="25" priority="35" operator="equal">
      <formula>"NO"</formula>
    </cfRule>
    <cfRule type="cellIs" dxfId="24" priority="36" operator="equal">
      <formula>"YES"</formula>
    </cfRule>
  </conditionalFormatting>
  <conditionalFormatting sqref="AC69:AC78">
    <cfRule type="cellIs" dxfId="23" priority="33" operator="equal">
      <formula>"NO"</formula>
    </cfRule>
    <cfRule type="cellIs" dxfId="22" priority="34" operator="equal">
      <formula>"YES"</formula>
    </cfRule>
  </conditionalFormatting>
  <conditionalFormatting sqref="AC80:AC89">
    <cfRule type="cellIs" dxfId="21" priority="32" operator="equal">
      <formula>"YES"</formula>
    </cfRule>
    <cfRule type="cellIs" dxfId="20" priority="31" operator="equal">
      <formula>"NO"</formula>
    </cfRule>
  </conditionalFormatting>
  <conditionalFormatting sqref="AC91:AC100">
    <cfRule type="cellIs" dxfId="19" priority="29" operator="equal">
      <formula>"NO"</formula>
    </cfRule>
    <cfRule type="cellIs" dxfId="18" priority="30" operator="equal">
      <formula>"YES"</formula>
    </cfRule>
  </conditionalFormatting>
  <conditionalFormatting sqref="AC102:AC111">
    <cfRule type="cellIs" dxfId="17" priority="27" operator="equal">
      <formula>"NO"</formula>
    </cfRule>
    <cfRule type="cellIs" dxfId="16" priority="28" operator="equal">
      <formula>"YES"</formula>
    </cfRule>
  </conditionalFormatting>
  <conditionalFormatting sqref="AC113:AC122">
    <cfRule type="cellIs" dxfId="15" priority="25" operator="equal">
      <formula>"NO"</formula>
    </cfRule>
    <cfRule type="cellIs" dxfId="14" priority="26" operator="equal">
      <formula>"YES"</formula>
    </cfRule>
  </conditionalFormatting>
  <conditionalFormatting sqref="AC124:AC133">
    <cfRule type="cellIs" dxfId="13" priority="24" operator="equal">
      <formula>"YES"</formula>
    </cfRule>
    <cfRule type="cellIs" dxfId="12" priority="23" operator="equal">
      <formula>"NO"</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F5A18-B95A-4D18-A556-3B2573E87BEB}">
  <dimension ref="A1:K19"/>
  <sheetViews>
    <sheetView tabSelected="1" zoomScale="80" zoomScaleNormal="80" workbookViewId="0">
      <selection activeCell="C21" sqref="C21"/>
    </sheetView>
  </sheetViews>
  <sheetFormatPr defaultRowHeight="14.6" x14ac:dyDescent="0.4"/>
  <cols>
    <col min="1" max="1" width="13.53515625" bestFit="1" customWidth="1"/>
    <col min="2" max="3" width="13.53515625" customWidth="1"/>
    <col min="4" max="4" width="8.3046875" bestFit="1" customWidth="1"/>
    <col min="5" max="5" width="7.69140625" bestFit="1" customWidth="1"/>
    <col min="9" max="9" width="10.23046875" customWidth="1"/>
    <col min="10" max="11" width="10.23046875" style="8" customWidth="1"/>
  </cols>
  <sheetData>
    <row r="1" spans="1:11" x14ac:dyDescent="0.4">
      <c r="A1" s="2" t="s">
        <v>338</v>
      </c>
      <c r="B1" s="2"/>
      <c r="C1" s="2"/>
    </row>
    <row r="2" spans="1:11" x14ac:dyDescent="0.4">
      <c r="A2" t="s">
        <v>161</v>
      </c>
      <c r="B2" t="s">
        <v>330</v>
      </c>
      <c r="C2" t="s">
        <v>331</v>
      </c>
      <c r="D2" t="s">
        <v>332</v>
      </c>
      <c r="E2" t="s">
        <v>333</v>
      </c>
      <c r="F2" t="s">
        <v>325</v>
      </c>
      <c r="G2" t="s">
        <v>326</v>
      </c>
      <c r="H2" t="s">
        <v>327</v>
      </c>
      <c r="I2" t="s">
        <v>334</v>
      </c>
      <c r="J2" s="8" t="s">
        <v>336</v>
      </c>
      <c r="K2" s="8" t="s">
        <v>335</v>
      </c>
    </row>
    <row r="3" spans="1:11" s="54" customFormat="1" x14ac:dyDescent="0.4">
      <c r="A3" s="4" t="s">
        <v>32</v>
      </c>
      <c r="B3" s="4">
        <v>0.14990000000000001</v>
      </c>
      <c r="C3" s="4">
        <f>LOG10(Table3[[#This Row],[Half-Life]])</f>
        <v>-0.82419836715172057</v>
      </c>
      <c r="D3" s="4">
        <v>15.96</v>
      </c>
      <c r="E3" s="4">
        <v>-3.8</v>
      </c>
      <c r="F3" s="4">
        <v>-3.79</v>
      </c>
      <c r="G3" s="4">
        <v>-3.79</v>
      </c>
      <c r="H3" s="4">
        <f>Table3[[#This Row],[LogS @pH 11]]-Table3[[#This Row],[LogS @pH 7]]</f>
        <v>0</v>
      </c>
      <c r="I3" s="4">
        <f>Table3[[#This Row],[LogS Change]]*Table3[[#This Row],[Log Half Life]]</f>
        <v>0</v>
      </c>
      <c r="J3" s="59">
        <f>VLOOKUP(Table3[[#This Row],[Compound]],'S4 - Removals'!A:AB,25,FALSE)</f>
        <v>-0.78929599090716551</v>
      </c>
      <c r="K3" s="59">
        <f>VLOOKUP(Table3[[#This Row],[Compound]],'S4 - Removals'!A:AB,23,FALSE)</f>
        <v>-1.3237559705094899</v>
      </c>
    </row>
    <row r="4" spans="1:11" x14ac:dyDescent="0.4">
      <c r="A4" s="4" t="s">
        <v>41</v>
      </c>
      <c r="B4" s="4">
        <v>0.69130000000000003</v>
      </c>
      <c r="C4" s="4">
        <f>LOG10(Table3[[#This Row],[Half-Life]])</f>
        <v>-0.16033344311756664</v>
      </c>
      <c r="D4" s="4"/>
      <c r="E4" s="4">
        <v>9.3800000000000008</v>
      </c>
      <c r="F4" s="4">
        <v>0</v>
      </c>
      <c r="G4" s="4">
        <v>-3.76</v>
      </c>
      <c r="H4" s="4">
        <f>Table3[[#This Row],[LogS @pH 11]]-Table3[[#This Row],[LogS @pH 7]]</f>
        <v>-3.76</v>
      </c>
      <c r="I4" s="4">
        <f>Table3[[#This Row],[LogS Change]]*Table3[[#This Row],[Log Half Life]]</f>
        <v>0.60285374612205056</v>
      </c>
      <c r="J4" s="59">
        <f>VLOOKUP(Table3[[#This Row],[Compound]],'S4 - Removals'!A:AB,25,FALSE)</f>
        <v>0.78428472209017208</v>
      </c>
      <c r="K4" s="59">
        <f>VLOOKUP(Table3[[#This Row],[Compound]],'S4 - Removals'!A:AB,23,FALSE)</f>
        <v>0.95417125743356901</v>
      </c>
    </row>
    <row r="5" spans="1:11" x14ac:dyDescent="0.4">
      <c r="A5" s="4" t="s">
        <v>61</v>
      </c>
      <c r="B5" s="4">
        <v>4.423</v>
      </c>
      <c r="C5" s="4">
        <f>LOG10(Table3[[#This Row],[Half-Life]])</f>
        <v>0.64571693936960384</v>
      </c>
      <c r="D5" s="4"/>
      <c r="E5" s="4">
        <v>8.86</v>
      </c>
      <c r="F5" s="4">
        <v>-1.18</v>
      </c>
      <c r="G5" s="4">
        <v>-2.95</v>
      </c>
      <c r="H5" s="4">
        <f>Table3[[#This Row],[LogS @pH 11]]-Table3[[#This Row],[LogS @pH 7]]</f>
        <v>-1.7700000000000002</v>
      </c>
      <c r="I5" s="4">
        <f>Table3[[#This Row],[LogS Change]]*Table3[[#This Row],[Log Half Life]]</f>
        <v>-1.142918982684199</v>
      </c>
      <c r="J5" s="59">
        <f>VLOOKUP(Table3[[#This Row],[Compound]],'S4 - Removals'!A:AB,25,FALSE)</f>
        <v>-5.8295253129836411E-4</v>
      </c>
      <c r="K5" s="59">
        <f>VLOOKUP(Table3[[#This Row],[Compound]],'S4 - Removals'!A:AB,23,FALSE)</f>
        <v>-0.24730665513453501</v>
      </c>
    </row>
    <row r="6" spans="1:11" s="54" customFormat="1" x14ac:dyDescent="0.4">
      <c r="A6" s="4" t="s">
        <v>65</v>
      </c>
      <c r="B6" s="4">
        <v>5.058E-2</v>
      </c>
      <c r="C6" s="4">
        <f>LOG10(Table3[[#This Row],[Half-Life]])</f>
        <v>-1.296021174991614</v>
      </c>
      <c r="D6" s="4">
        <v>10.7</v>
      </c>
      <c r="E6" s="4">
        <v>3.68</v>
      </c>
      <c r="F6" s="4">
        <v>-1.1200000000000001</v>
      </c>
      <c r="G6" s="4">
        <v>-7.4000000000000003E-3</v>
      </c>
      <c r="H6" s="4">
        <f>Table3[[#This Row],[LogS @pH 11]]-Table3[[#This Row],[LogS @pH 7]]</f>
        <v>1.1126</v>
      </c>
      <c r="I6" s="4">
        <f>Table3[[#This Row],[LogS Change]]*Table3[[#This Row],[Log Half Life]]</f>
        <v>-1.4419531592956698</v>
      </c>
      <c r="J6" s="59">
        <f>VLOOKUP(Table3[[#This Row],[Compound]],'S4 - Removals'!A:AB,25,FALSE)</f>
        <v>-5.9869661269885297</v>
      </c>
      <c r="K6" s="59">
        <f>VLOOKUP(Table3[[#This Row],[Compound]],'S4 - Removals'!A:AB,23,FALSE)</f>
        <v>-5.7245324404546984</v>
      </c>
    </row>
    <row r="7" spans="1:11" x14ac:dyDescent="0.4">
      <c r="A7" s="4" t="s">
        <v>77</v>
      </c>
      <c r="B7" s="4">
        <v>0.13969999999999999</v>
      </c>
      <c r="C7" s="4">
        <f>LOG10(Table3[[#This Row],[Half-Life]])</f>
        <v>-0.85480359388581817</v>
      </c>
      <c r="D7" s="4"/>
      <c r="E7" s="4">
        <v>5.7</v>
      </c>
      <c r="F7" s="4">
        <v>-4.3899999999999997</v>
      </c>
      <c r="G7" s="4">
        <v>-4.43</v>
      </c>
      <c r="H7" s="4">
        <f>Table3[[#This Row],[LogS @pH 11]]-Table3[[#This Row],[LogS @pH 7]]</f>
        <v>-4.0000000000000036E-2</v>
      </c>
      <c r="I7" s="4">
        <f>Table3[[#This Row],[LogS Change]]*Table3[[#This Row],[Log Half Life]]</f>
        <v>3.4192143755432759E-2</v>
      </c>
      <c r="J7" s="59">
        <f>VLOOKUP(Table3[[#This Row],[Compound]],'S4 - Removals'!A:AB,25,FALSE)</f>
        <v>0.77368700745645724</v>
      </c>
      <c r="K7" s="59">
        <f>VLOOKUP(Table3[[#This Row],[Compound]],'S4 - Removals'!A:AB,23,FALSE)</f>
        <v>0.41061125581399399</v>
      </c>
    </row>
    <row r="8" spans="1:11" s="54" customFormat="1" x14ac:dyDescent="0.4">
      <c r="A8" s="4" t="s">
        <v>106</v>
      </c>
      <c r="B8" s="4">
        <v>2.9749999999999999E-2</v>
      </c>
      <c r="C8" s="4">
        <f>LOG10(Table3[[#This Row],[Half-Life]])</f>
        <v>-1.5265130299354317</v>
      </c>
      <c r="D8" s="4">
        <v>10.6</v>
      </c>
      <c r="E8" s="4">
        <v>4.2</v>
      </c>
      <c r="F8" s="4">
        <v>-1.24</v>
      </c>
      <c r="G8" s="4">
        <v>-0.41</v>
      </c>
      <c r="H8" s="4">
        <f>Table3[[#This Row],[LogS @pH 11]]-Table3[[#This Row],[LogS @pH 7]]</f>
        <v>0.83000000000000007</v>
      </c>
      <c r="I8" s="4">
        <f>Table3[[#This Row],[LogS Change]]*Table3[[#This Row],[Log Half Life]]</f>
        <v>-1.2670058148464085</v>
      </c>
      <c r="J8" s="59">
        <f>VLOOKUP(Table3[[#This Row],[Compound]],'S4 - Removals'!A:AB,25,FALSE)</f>
        <v>-4.6962928312632002</v>
      </c>
      <c r="K8" s="59">
        <f>VLOOKUP(Table3[[#This Row],[Compound]],'S4 - Removals'!A:AB,23,FALSE)</f>
        <v>-4.4857594805520202</v>
      </c>
    </row>
    <row r="9" spans="1:11" x14ac:dyDescent="0.4">
      <c r="A9" s="4" t="s">
        <v>122</v>
      </c>
      <c r="B9" s="4">
        <v>0.22770000000000001</v>
      </c>
      <c r="C9" s="4">
        <f>LOG10(Table3[[#This Row],[Half-Life]])</f>
        <v>-0.64263696938485715</v>
      </c>
      <c r="D9" s="4">
        <v>13.08</v>
      </c>
      <c r="E9" s="4">
        <v>9.23</v>
      </c>
      <c r="F9" s="4">
        <v>-0.16</v>
      </c>
      <c r="G9" s="4">
        <v>-2.54</v>
      </c>
      <c r="H9" s="4">
        <f>Table3[[#This Row],[LogS @pH 11]]-Table3[[#This Row],[LogS @pH 7]]</f>
        <v>-2.38</v>
      </c>
      <c r="I9" s="4">
        <f>Table3[[#This Row],[LogS Change]]*Table3[[#This Row],[Log Half Life]]</f>
        <v>1.52947598713596</v>
      </c>
      <c r="J9" s="59">
        <f>VLOOKUP(Table3[[#This Row],[Compound]],'S4 - Removals'!A:AB,25,FALSE)</f>
        <v>9.7092782080927309E-2</v>
      </c>
      <c r="K9" s="59">
        <f>VLOOKUP(Table3[[#This Row],[Compound]],'S4 - Removals'!A:AB,23,FALSE)</f>
        <v>0.18797920148826799</v>
      </c>
    </row>
    <row r="10" spans="1:11" x14ac:dyDescent="0.4">
      <c r="A10" s="4" t="s">
        <v>126</v>
      </c>
      <c r="B10" s="4">
        <v>0.1507</v>
      </c>
      <c r="C10" s="4">
        <f>LOG10(Table3[[#This Row],[Half-Life]])</f>
        <v>-0.82188674768536818</v>
      </c>
      <c r="D10" s="4"/>
      <c r="E10" s="4">
        <v>9.5</v>
      </c>
      <c r="F10" s="4">
        <v>-0.56999999999999995</v>
      </c>
      <c r="G10" s="4">
        <v>-2.58</v>
      </c>
      <c r="H10" s="4">
        <f>Table3[[#This Row],[LogS @pH 11]]-Table3[[#This Row],[LogS @pH 7]]</f>
        <v>-2.0100000000000002</v>
      </c>
      <c r="I10" s="4">
        <f>Table3[[#This Row],[LogS Change]]*Table3[[#This Row],[Log Half Life]]</f>
        <v>1.6519923628475903</v>
      </c>
      <c r="J10" s="59">
        <f>VLOOKUP(Table3[[#This Row],[Compound]],'S4 - Removals'!A:AB,25,FALSE)</f>
        <v>0.25570384085479836</v>
      </c>
      <c r="K10" s="59">
        <f>VLOOKUP(Table3[[#This Row],[Compound]],'S4 - Removals'!A:AB,23,FALSE)</f>
        <v>0.27352873381353698</v>
      </c>
    </row>
    <row r="11" spans="1:11" x14ac:dyDescent="0.4">
      <c r="A11" s="4" t="s">
        <v>85</v>
      </c>
      <c r="B11" s="4">
        <v>2.2370000000000001E-2</v>
      </c>
      <c r="C11" s="4">
        <f>LOG10(Table3[[#This Row],[Half-Life]])</f>
        <v>-1.6503340159033704</v>
      </c>
      <c r="D11" s="4">
        <v>8.01</v>
      </c>
      <c r="E11" s="4">
        <v>7.86</v>
      </c>
      <c r="F11" s="4">
        <v>-1.81</v>
      </c>
      <c r="G11" s="4">
        <v>-2.64</v>
      </c>
      <c r="H11" s="4">
        <f>Table3[[#This Row],[LogS @pH 11]]-Table3[[#This Row],[LogS @pH 7]]</f>
        <v>-0.83000000000000007</v>
      </c>
      <c r="I11" s="4">
        <f>Table3[[#This Row],[LogS Change]]*Table3[[#This Row],[Log Half Life]]</f>
        <v>1.3697772331997975</v>
      </c>
      <c r="J11" s="59">
        <f>VLOOKUP(Table3[[#This Row],[Compound]],'S4 - Removals'!A:AB,25,FALSE)</f>
        <v>-4.9639235710588592E-2</v>
      </c>
      <c r="K11" s="59">
        <f>VLOOKUP(Table3[[#This Row],[Compound]],'S4 - Removals'!A:AB,23,FALSE)</f>
        <v>1.66780584315485E-3</v>
      </c>
    </row>
    <row r="12" spans="1:11" x14ac:dyDescent="0.4">
      <c r="A12" s="4" t="s">
        <v>110</v>
      </c>
      <c r="B12" s="4">
        <v>3.7679999999999998E-2</v>
      </c>
      <c r="C12" s="4">
        <f>LOG10(Table3[[#This Row],[Half-Life]])</f>
        <v>-1.4238891058791603</v>
      </c>
      <c r="D12" s="4"/>
      <c r="E12" s="4">
        <v>7.06</v>
      </c>
      <c r="F12" s="4">
        <v>-3.44</v>
      </c>
      <c r="G12" s="4">
        <v>-4.2699999999999996</v>
      </c>
      <c r="H12" s="4">
        <f>Table3[[#This Row],[LogS @pH 11]]-Table3[[#This Row],[LogS @pH 7]]</f>
        <v>-0.82999999999999963</v>
      </c>
      <c r="I12" s="4">
        <f>Table3[[#This Row],[LogS Change]]*Table3[[#This Row],[Log Half Life]]</f>
        <v>1.1818279578797024</v>
      </c>
      <c r="J12" s="59">
        <f>VLOOKUP(Table3[[#This Row],[Compound]],'S4 - Removals'!A:AB,25,FALSE)</f>
        <v>-0.34926290234244206</v>
      </c>
      <c r="K12" s="59">
        <f>VLOOKUP(Table3[[#This Row],[Compound]],'S4 - Removals'!A:AB,23,FALSE)</f>
        <v>4.5724625738359802E-2</v>
      </c>
    </row>
    <row r="13" spans="1:11" x14ac:dyDescent="0.4">
      <c r="A13" s="4" t="s">
        <v>73</v>
      </c>
      <c r="B13" s="4">
        <v>1.875</v>
      </c>
      <c r="C13" s="4">
        <f>LOG10(Table3[[#This Row],[Half-Life]])</f>
        <v>0.27300127206373764</v>
      </c>
      <c r="D13" s="4">
        <v>5.2</v>
      </c>
      <c r="E13" s="4">
        <v>4.45</v>
      </c>
      <c r="F13" s="4">
        <v>-1.39</v>
      </c>
      <c r="G13" s="4">
        <v>0</v>
      </c>
      <c r="H13" s="4">
        <f>Table3[[#This Row],[LogS @pH 11]]-Table3[[#This Row],[LogS @pH 7]]</f>
        <v>1.39</v>
      </c>
      <c r="I13" s="4">
        <f>Table3[[#This Row],[LogS Change]]*Table3[[#This Row],[Log Half Life]]</f>
        <v>0.37947176816859529</v>
      </c>
      <c r="J13" s="59">
        <f>VLOOKUP(Table3[[#This Row],[Compound]],'S4 - Removals'!A:AB,25,FALSE)</f>
        <v>-4.4608159528167102E-2</v>
      </c>
      <c r="K13" s="59">
        <f>VLOOKUP(Table3[[#This Row],[Compound]],'S4 - Removals'!A:AB,23,FALSE)</f>
        <v>2.2157080446527099E-2</v>
      </c>
    </row>
    <row r="14" spans="1:11" x14ac:dyDescent="0.4">
      <c r="H14" s="2"/>
    </row>
    <row r="15" spans="1:11" x14ac:dyDescent="0.4">
      <c r="I15" t="s">
        <v>337</v>
      </c>
      <c r="J15" s="58" t="s">
        <v>261</v>
      </c>
      <c r="K15" s="58" t="s">
        <v>260</v>
      </c>
    </row>
    <row r="16" spans="1:11" x14ac:dyDescent="0.4">
      <c r="I16" t="s">
        <v>328</v>
      </c>
      <c r="J16" s="58">
        <f>CORREL(Table3[AC Removal],Table3[Log Half-Life * ΔLogS])</f>
        <v>0.69005630145842212</v>
      </c>
      <c r="K16" s="58">
        <f>CORREL(Table3[AM Removal],Table3[Log Half-Life * ΔLogS])</f>
        <v>0.73473511833798155</v>
      </c>
    </row>
    <row r="17" spans="9:11" x14ac:dyDescent="0.4">
      <c r="I17" t="s">
        <v>277</v>
      </c>
      <c r="J17" s="58">
        <f>COUNT(Table3[AC Removal])</f>
        <v>11</v>
      </c>
      <c r="K17" s="58">
        <f>COUNT(Table3[AM Removal])</f>
        <v>11</v>
      </c>
    </row>
    <row r="18" spans="9:11" x14ac:dyDescent="0.4">
      <c r="I18" t="s">
        <v>329</v>
      </c>
      <c r="J18" s="58">
        <f>ABS(J16) * SQRT((J17 - 2) / (1 - J16^2))</f>
        <v>2.8603145080671779</v>
      </c>
      <c r="K18" s="58">
        <f>ABS(K16) * SQRT((K17 - 2) / (1 - K16^2))</f>
        <v>3.2493432338247077</v>
      </c>
    </row>
    <row r="19" spans="9:11" x14ac:dyDescent="0.4">
      <c r="I19" t="s">
        <v>289</v>
      </c>
      <c r="J19" s="58">
        <f>2 * _xlfn.T.DIST.2T(J18, J17 - 2)</f>
        <v>3.7541528363491804E-2</v>
      </c>
      <c r="K19" s="58">
        <f>2 * _xlfn.T.DIST.2T(K18, K17 - 2)</f>
        <v>2.001575993874647E-2</v>
      </c>
    </row>
  </sheetData>
  <phoneticPr fontId="8" type="noConversion"/>
  <pageMargins left="0.7" right="0.7" top="0.75" bottom="0.75" header="0.3" footer="0.3"/>
  <tableParts count="2">
    <tablePart r:id="rId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958C5-E1C9-4BDE-96D2-7325680A7AE3}">
  <dimension ref="A1:I26"/>
  <sheetViews>
    <sheetView zoomScale="80" zoomScaleNormal="80" workbookViewId="0">
      <selection activeCell="F22" sqref="F22"/>
    </sheetView>
  </sheetViews>
  <sheetFormatPr defaultRowHeight="14.6" x14ac:dyDescent="0.4"/>
  <cols>
    <col min="1" max="1" width="6.23046875" bestFit="1" customWidth="1"/>
    <col min="2" max="2" width="11.4609375" customWidth="1"/>
    <col min="3" max="3" width="9.15234375" customWidth="1"/>
    <col min="4" max="4" width="7.15234375" bestFit="1" customWidth="1"/>
    <col min="5" max="5" width="11.61328125" bestFit="1" customWidth="1"/>
    <col min="6" max="7" width="5.84375" bestFit="1" customWidth="1"/>
    <col min="8" max="8" width="7.4609375" bestFit="1" customWidth="1"/>
    <col min="9" max="9" width="7.3828125" bestFit="1" customWidth="1"/>
  </cols>
  <sheetData>
    <row r="1" spans="1:9" x14ac:dyDescent="0.4">
      <c r="A1" s="51" t="s">
        <v>324</v>
      </c>
    </row>
    <row r="2" spans="1:9" x14ac:dyDescent="0.4">
      <c r="A2" t="s">
        <v>301</v>
      </c>
      <c r="B2" t="s">
        <v>302</v>
      </c>
      <c r="C2" t="s">
        <v>303</v>
      </c>
      <c r="D2" t="s">
        <v>304</v>
      </c>
      <c r="E2" t="s">
        <v>305</v>
      </c>
      <c r="F2" t="s">
        <v>306</v>
      </c>
      <c r="G2" t="s">
        <v>307</v>
      </c>
      <c r="H2" t="s">
        <v>308</v>
      </c>
      <c r="I2" t="s">
        <v>309</v>
      </c>
    </row>
    <row r="3" spans="1:9" x14ac:dyDescent="0.4">
      <c r="A3" t="s">
        <v>310</v>
      </c>
      <c r="B3" s="53">
        <v>44372</v>
      </c>
      <c r="C3" s="52">
        <v>0.70833333333333337</v>
      </c>
      <c r="D3">
        <v>0</v>
      </c>
      <c r="E3" t="s">
        <v>311</v>
      </c>
      <c r="F3">
        <v>4.9000000000000004</v>
      </c>
      <c r="G3">
        <v>6.58</v>
      </c>
      <c r="H3">
        <v>352</v>
      </c>
      <c r="I3">
        <v>19.899999999999999</v>
      </c>
    </row>
    <row r="4" spans="1:9" x14ac:dyDescent="0.4">
      <c r="A4" t="s">
        <v>310</v>
      </c>
      <c r="B4" s="53">
        <v>44372</v>
      </c>
      <c r="C4" s="52">
        <v>0.70833333333333337</v>
      </c>
      <c r="D4">
        <v>0</v>
      </c>
      <c r="E4" t="s">
        <v>312</v>
      </c>
      <c r="F4">
        <v>5.0999999999999996</v>
      </c>
      <c r="G4">
        <v>6.72</v>
      </c>
      <c r="H4">
        <v>449</v>
      </c>
      <c r="I4">
        <v>20</v>
      </c>
    </row>
    <row r="5" spans="1:9" x14ac:dyDescent="0.4">
      <c r="A5" t="s">
        <v>313</v>
      </c>
      <c r="B5" s="53">
        <v>44373</v>
      </c>
      <c r="C5" s="52">
        <v>0.54166666666666663</v>
      </c>
      <c r="D5">
        <v>20</v>
      </c>
      <c r="E5" t="s">
        <v>311</v>
      </c>
      <c r="F5">
        <v>8.5</v>
      </c>
      <c r="G5">
        <v>6.78</v>
      </c>
      <c r="H5">
        <v>354</v>
      </c>
      <c r="I5">
        <v>25.6</v>
      </c>
    </row>
    <row r="6" spans="1:9" x14ac:dyDescent="0.4">
      <c r="A6" t="s">
        <v>313</v>
      </c>
      <c r="B6" s="53">
        <v>44373</v>
      </c>
      <c r="C6" s="52">
        <v>0.54166666666666663</v>
      </c>
      <c r="D6">
        <v>20</v>
      </c>
      <c r="E6" t="s">
        <v>312</v>
      </c>
      <c r="F6">
        <v>9</v>
      </c>
      <c r="G6">
        <v>7.08</v>
      </c>
      <c r="H6">
        <v>449</v>
      </c>
      <c r="I6">
        <v>23.7</v>
      </c>
    </row>
    <row r="7" spans="1:9" x14ac:dyDescent="0.4">
      <c r="A7" t="s">
        <v>314</v>
      </c>
      <c r="B7" s="53">
        <v>44374</v>
      </c>
      <c r="C7" s="52">
        <v>0.58333333333333337</v>
      </c>
      <c r="D7">
        <v>45</v>
      </c>
      <c r="E7" t="s">
        <v>311</v>
      </c>
      <c r="F7">
        <v>7.99</v>
      </c>
      <c r="G7">
        <v>8.1</v>
      </c>
      <c r="H7">
        <v>353</v>
      </c>
      <c r="I7">
        <v>27.8</v>
      </c>
    </row>
    <row r="8" spans="1:9" x14ac:dyDescent="0.4">
      <c r="A8" t="s">
        <v>314</v>
      </c>
      <c r="B8" s="53">
        <v>44374</v>
      </c>
      <c r="C8" s="52">
        <v>0.58333333333333337</v>
      </c>
      <c r="D8">
        <v>45</v>
      </c>
      <c r="E8" t="s">
        <v>312</v>
      </c>
      <c r="F8">
        <v>9.36</v>
      </c>
      <c r="G8">
        <v>8.25</v>
      </c>
      <c r="H8">
        <v>442</v>
      </c>
      <c r="I8">
        <v>23.8</v>
      </c>
    </row>
    <row r="9" spans="1:9" x14ac:dyDescent="0.4">
      <c r="A9" t="s">
        <v>315</v>
      </c>
      <c r="B9" s="53">
        <v>44375</v>
      </c>
      <c r="C9" s="52">
        <v>0.52083333333333337</v>
      </c>
      <c r="D9">
        <v>69.5</v>
      </c>
      <c r="E9" t="s">
        <v>311</v>
      </c>
      <c r="F9">
        <v>7.87</v>
      </c>
      <c r="G9">
        <v>7.57</v>
      </c>
      <c r="H9">
        <v>349</v>
      </c>
      <c r="I9">
        <v>27.3</v>
      </c>
    </row>
    <row r="10" spans="1:9" x14ac:dyDescent="0.4">
      <c r="A10" t="s">
        <v>315</v>
      </c>
      <c r="B10" s="53">
        <v>44375</v>
      </c>
      <c r="C10" s="52">
        <v>0.52083333333333337</v>
      </c>
      <c r="D10">
        <v>69.5</v>
      </c>
      <c r="E10" t="s">
        <v>312</v>
      </c>
      <c r="F10">
        <v>9.35</v>
      </c>
      <c r="G10">
        <v>8.41</v>
      </c>
      <c r="H10">
        <v>437</v>
      </c>
      <c r="I10">
        <v>24.7</v>
      </c>
    </row>
    <row r="11" spans="1:9" x14ac:dyDescent="0.4">
      <c r="A11" t="s">
        <v>316</v>
      </c>
      <c r="B11" s="53">
        <v>44376</v>
      </c>
      <c r="C11" s="52">
        <v>0.54166666666666663</v>
      </c>
      <c r="D11">
        <v>94</v>
      </c>
      <c r="E11" t="s">
        <v>311</v>
      </c>
      <c r="F11">
        <v>8.2100000000000009</v>
      </c>
      <c r="G11">
        <v>6.64</v>
      </c>
      <c r="H11">
        <v>347</v>
      </c>
      <c r="I11">
        <v>24.5</v>
      </c>
    </row>
    <row r="12" spans="1:9" x14ac:dyDescent="0.4">
      <c r="A12" t="s">
        <v>316</v>
      </c>
      <c r="B12" s="53">
        <v>44376</v>
      </c>
      <c r="C12" s="52">
        <v>0.54166666666666663</v>
      </c>
      <c r="D12">
        <v>94</v>
      </c>
      <c r="E12" t="s">
        <v>312</v>
      </c>
      <c r="F12">
        <v>10.65</v>
      </c>
      <c r="G12">
        <v>9.09</v>
      </c>
      <c r="H12">
        <v>428</v>
      </c>
      <c r="I12">
        <v>24.8</v>
      </c>
    </row>
    <row r="13" spans="1:9" x14ac:dyDescent="0.4">
      <c r="A13" t="s">
        <v>317</v>
      </c>
      <c r="B13" s="53">
        <v>44377</v>
      </c>
      <c r="C13" s="52">
        <v>0.54166666666666663</v>
      </c>
      <c r="D13">
        <v>118</v>
      </c>
      <c r="E13" t="s">
        <v>311</v>
      </c>
      <c r="F13">
        <v>8.61</v>
      </c>
      <c r="G13">
        <v>7.11</v>
      </c>
      <c r="H13">
        <v>337</v>
      </c>
      <c r="I13">
        <v>24.6</v>
      </c>
    </row>
    <row r="14" spans="1:9" x14ac:dyDescent="0.4">
      <c r="A14" t="s">
        <v>317</v>
      </c>
      <c r="B14" s="53">
        <v>44377</v>
      </c>
      <c r="C14" s="52">
        <v>0.54166666666666663</v>
      </c>
      <c r="D14">
        <v>118</v>
      </c>
      <c r="E14" t="s">
        <v>312</v>
      </c>
      <c r="F14">
        <v>11.37</v>
      </c>
      <c r="G14">
        <v>9.7899999999999991</v>
      </c>
      <c r="H14">
        <v>415</v>
      </c>
      <c r="I14">
        <v>24.8</v>
      </c>
    </row>
    <row r="15" spans="1:9" x14ac:dyDescent="0.4">
      <c r="A15" t="s">
        <v>318</v>
      </c>
      <c r="B15" s="53">
        <v>44378</v>
      </c>
      <c r="C15" s="52">
        <v>0.54166666666666663</v>
      </c>
      <c r="D15">
        <v>142</v>
      </c>
      <c r="E15" t="s">
        <v>311</v>
      </c>
      <c r="F15">
        <v>8.7100000000000009</v>
      </c>
      <c r="G15">
        <v>6.61</v>
      </c>
      <c r="H15">
        <v>342</v>
      </c>
      <c r="I15">
        <v>24.4</v>
      </c>
    </row>
    <row r="16" spans="1:9" x14ac:dyDescent="0.4">
      <c r="A16" t="s">
        <v>318</v>
      </c>
      <c r="B16" s="53">
        <v>44378</v>
      </c>
      <c r="C16" s="52">
        <v>0.54166666666666663</v>
      </c>
      <c r="D16">
        <v>142</v>
      </c>
      <c r="E16" t="s">
        <v>312</v>
      </c>
      <c r="F16">
        <v>11.8</v>
      </c>
      <c r="G16">
        <v>10.56</v>
      </c>
      <c r="H16">
        <v>457</v>
      </c>
      <c r="I16">
        <v>24.7</v>
      </c>
    </row>
    <row r="17" spans="1:9" x14ac:dyDescent="0.4">
      <c r="A17" t="s">
        <v>319</v>
      </c>
      <c r="B17" s="53">
        <v>44379</v>
      </c>
      <c r="C17" s="52">
        <v>0.45833333333333331</v>
      </c>
      <c r="D17">
        <v>164</v>
      </c>
      <c r="E17" t="s">
        <v>311</v>
      </c>
      <c r="F17">
        <v>8.61</v>
      </c>
      <c r="G17">
        <v>7.06</v>
      </c>
      <c r="H17">
        <v>337</v>
      </c>
      <c r="I17">
        <v>24.5</v>
      </c>
    </row>
    <row r="18" spans="1:9" x14ac:dyDescent="0.4">
      <c r="A18" t="s">
        <v>319</v>
      </c>
      <c r="B18" s="53">
        <v>44379</v>
      </c>
      <c r="C18" s="52">
        <v>0.45833333333333331</v>
      </c>
      <c r="D18">
        <v>164</v>
      </c>
      <c r="E18" t="s">
        <v>312</v>
      </c>
      <c r="F18">
        <v>11.01</v>
      </c>
      <c r="G18">
        <v>10.78</v>
      </c>
      <c r="H18">
        <v>483</v>
      </c>
      <c r="I18">
        <v>24.6</v>
      </c>
    </row>
    <row r="19" spans="1:9" x14ac:dyDescent="0.4">
      <c r="A19" t="s">
        <v>320</v>
      </c>
      <c r="B19" s="53">
        <v>44380</v>
      </c>
      <c r="C19" s="52">
        <v>0.5625</v>
      </c>
      <c r="D19">
        <v>190.5</v>
      </c>
      <c r="E19" t="s">
        <v>311</v>
      </c>
      <c r="F19">
        <v>7.28</v>
      </c>
      <c r="G19">
        <v>8.68</v>
      </c>
      <c r="H19">
        <v>336</v>
      </c>
      <c r="I19">
        <v>24.2</v>
      </c>
    </row>
    <row r="20" spans="1:9" x14ac:dyDescent="0.4">
      <c r="A20" t="s">
        <v>320</v>
      </c>
      <c r="B20" s="53">
        <v>44380</v>
      </c>
      <c r="C20" s="52">
        <v>0.5625</v>
      </c>
      <c r="D20">
        <v>190.5</v>
      </c>
      <c r="E20" t="s">
        <v>312</v>
      </c>
      <c r="F20">
        <v>11.3</v>
      </c>
      <c r="G20">
        <v>11.04</v>
      </c>
      <c r="H20">
        <v>557</v>
      </c>
      <c r="I20">
        <v>24.7</v>
      </c>
    </row>
    <row r="21" spans="1:9" x14ac:dyDescent="0.4">
      <c r="A21" t="s">
        <v>321</v>
      </c>
      <c r="B21" s="53">
        <v>44381</v>
      </c>
      <c r="C21" s="52">
        <v>0.54166666666666663</v>
      </c>
      <c r="D21">
        <v>214</v>
      </c>
      <c r="E21" t="s">
        <v>311</v>
      </c>
      <c r="F21">
        <v>8.8000000000000007</v>
      </c>
      <c r="G21">
        <v>8.68</v>
      </c>
      <c r="H21">
        <v>340</v>
      </c>
      <c r="I21">
        <v>24.1</v>
      </c>
    </row>
    <row r="22" spans="1:9" x14ac:dyDescent="0.4">
      <c r="A22" t="s">
        <v>321</v>
      </c>
      <c r="B22" s="53">
        <v>44381</v>
      </c>
      <c r="C22" s="52">
        <v>0.54166666666666663</v>
      </c>
      <c r="D22">
        <v>214</v>
      </c>
      <c r="E22" t="s">
        <v>312</v>
      </c>
      <c r="F22">
        <v>10.65</v>
      </c>
      <c r="G22">
        <v>9.09</v>
      </c>
      <c r="H22">
        <v>553</v>
      </c>
      <c r="I22">
        <v>24.7</v>
      </c>
    </row>
    <row r="23" spans="1:9" x14ac:dyDescent="0.4">
      <c r="A23" t="s">
        <v>322</v>
      </c>
      <c r="B23" s="53">
        <v>44382</v>
      </c>
      <c r="C23" s="52">
        <v>0.66666666666666663</v>
      </c>
      <c r="D23">
        <v>241</v>
      </c>
      <c r="E23" t="s">
        <v>311</v>
      </c>
      <c r="F23">
        <v>8.77</v>
      </c>
      <c r="G23">
        <v>7.69</v>
      </c>
      <c r="H23">
        <v>344</v>
      </c>
      <c r="I23">
        <v>24.6</v>
      </c>
    </row>
    <row r="24" spans="1:9" x14ac:dyDescent="0.4">
      <c r="A24" t="s">
        <v>322</v>
      </c>
      <c r="B24" s="53">
        <v>44382</v>
      </c>
      <c r="C24" s="52">
        <v>0.66666666666666663</v>
      </c>
      <c r="D24">
        <v>214</v>
      </c>
      <c r="E24" t="s">
        <v>312</v>
      </c>
      <c r="F24">
        <v>11.02</v>
      </c>
      <c r="G24">
        <v>11.02</v>
      </c>
      <c r="H24">
        <v>550</v>
      </c>
      <c r="I24">
        <v>25</v>
      </c>
    </row>
    <row r="25" spans="1:9" x14ac:dyDescent="0.4">
      <c r="A25" t="s">
        <v>323</v>
      </c>
      <c r="B25" s="53">
        <v>44383</v>
      </c>
      <c r="C25" s="52">
        <v>0.4375</v>
      </c>
      <c r="D25">
        <v>230.5</v>
      </c>
      <c r="E25" t="s">
        <v>311</v>
      </c>
      <c r="F25">
        <v>8.6999999999999993</v>
      </c>
      <c r="G25">
        <v>6.76</v>
      </c>
      <c r="H25">
        <v>337</v>
      </c>
      <c r="I25">
        <v>25.2</v>
      </c>
    </row>
    <row r="26" spans="1:9" x14ac:dyDescent="0.4">
      <c r="A26" t="s">
        <v>323</v>
      </c>
      <c r="B26" s="53">
        <v>44383</v>
      </c>
      <c r="C26" s="52">
        <v>0.4375</v>
      </c>
      <c r="D26">
        <v>230.5</v>
      </c>
      <c r="E26" t="s">
        <v>312</v>
      </c>
      <c r="F26">
        <v>10.33</v>
      </c>
      <c r="G26">
        <v>10.85</v>
      </c>
      <c r="H26">
        <v>491</v>
      </c>
      <c r="I26">
        <v>24.4</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242C6-DFD6-421F-BF06-BC7369FEBA83}">
  <dimension ref="A1:N14"/>
  <sheetViews>
    <sheetView zoomScale="80" zoomScaleNormal="80" workbookViewId="0">
      <selection activeCell="B28" sqref="B28:C28"/>
    </sheetView>
  </sheetViews>
  <sheetFormatPr defaultRowHeight="14.6" x14ac:dyDescent="0.4"/>
  <cols>
    <col min="3" max="3" width="15.3046875" customWidth="1"/>
    <col min="4" max="4" width="12.23046875" customWidth="1"/>
    <col min="5" max="5" width="11.15234375" customWidth="1"/>
    <col min="6" max="6" width="10.61328125" customWidth="1"/>
    <col min="7" max="7" width="12.15234375" customWidth="1"/>
    <col min="8" max="8" width="11.61328125" customWidth="1"/>
    <col min="9" max="9" width="10.23046875" customWidth="1"/>
    <col min="10" max="10" width="13" customWidth="1"/>
    <col min="11" max="11" width="10.69140625" customWidth="1"/>
    <col min="12" max="12" width="11.61328125" customWidth="1"/>
    <col min="13" max="13" width="12.23046875" customWidth="1"/>
  </cols>
  <sheetData>
    <row r="1" spans="1:14" x14ac:dyDescent="0.4">
      <c r="A1" s="51" t="s">
        <v>339</v>
      </c>
    </row>
    <row r="2" spans="1:14" x14ac:dyDescent="0.4">
      <c r="A2" s="55" t="s">
        <v>301</v>
      </c>
      <c r="B2" s="55" t="s">
        <v>307</v>
      </c>
      <c r="C2" s="56" t="s">
        <v>32</v>
      </c>
      <c r="D2" s="55" t="s">
        <v>65</v>
      </c>
      <c r="E2" s="55" t="s">
        <v>106</v>
      </c>
      <c r="F2" s="57" t="s">
        <v>73</v>
      </c>
      <c r="G2" s="55" t="s">
        <v>126</v>
      </c>
      <c r="H2" s="55" t="s">
        <v>41</v>
      </c>
      <c r="I2" s="56" t="s">
        <v>122</v>
      </c>
      <c r="J2" s="56" t="s">
        <v>61</v>
      </c>
      <c r="K2" s="56" t="s">
        <v>85</v>
      </c>
      <c r="L2" s="55" t="s">
        <v>110</v>
      </c>
      <c r="M2" s="56" t="s">
        <v>77</v>
      </c>
    </row>
    <row r="3" spans="1:14" x14ac:dyDescent="0.4">
      <c r="A3">
        <v>0</v>
      </c>
      <c r="B3" s="18">
        <v>6.72</v>
      </c>
      <c r="C3" s="8">
        <f>(1/(1+(10^(1*(15.96-B3)))))</f>
        <v>5.754399370060214E-10</v>
      </c>
      <c r="D3" s="8">
        <f t="shared" ref="D3:D14" si="0">(1/(1+(10^(1*(10.7-B3)))))</f>
        <v>1.04701891171162E-4</v>
      </c>
      <c r="E3" s="8">
        <f t="shared" ref="E3:E14" si="1">(1/(1+(10^(1*(10.6-B3)))))</f>
        <v>1.3180829813791889E-4</v>
      </c>
      <c r="F3" s="8">
        <f t="shared" ref="F3:F14" si="2">(1/(1+(10^(1*(5.2-B3)))))</f>
        <v>0.97068575872954965</v>
      </c>
      <c r="G3" s="8">
        <f t="shared" ref="G3:G14" si="3">(1/(1+(10^(-1*(9.5-B3)))))</f>
        <v>0.99834316275795698</v>
      </c>
      <c r="H3" s="8">
        <f t="shared" ref="H3:H14" si="4">(1/(1+(10^(-1*(9.38-B3)))))</f>
        <v>0.99781701422854674</v>
      </c>
      <c r="I3" s="8">
        <f t="shared" ref="I3:I14" si="5">(1/(1+(10^(-1*(9.23-B3)))))</f>
        <v>0.99691922507217445</v>
      </c>
      <c r="J3" s="8">
        <f>(1/(1+(10^(-1*(8.86-B3)))))</f>
        <v>0.99280774369029834</v>
      </c>
      <c r="K3" s="8">
        <f t="shared" ref="K3:K14" si="6">(1/(1+(10^(-1*(8.01-B3)))))</f>
        <v>0.95121581411010192</v>
      </c>
      <c r="L3" s="8">
        <f t="shared" ref="L3:L14" si="7">(1/(1+(10^(-1*(7.06-B3)))))</f>
        <v>0.68630025768331249</v>
      </c>
      <c r="M3" s="8">
        <f t="shared" ref="M3:M14" si="8">(1/(1+(10^(-1*(5.7-B3)))))</f>
        <v>8.7174188254586935E-2</v>
      </c>
      <c r="N3" s="8"/>
    </row>
    <row r="4" spans="1:14" x14ac:dyDescent="0.4">
      <c r="A4">
        <v>1</v>
      </c>
      <c r="B4">
        <v>7.08</v>
      </c>
      <c r="C4" s="8">
        <f t="shared" ref="C4:C14" si="9">(1/(1+(10^(1*(15.96-B4)))))</f>
        <v>1.318256736818601E-9</v>
      </c>
      <c r="D4" s="8">
        <f t="shared" si="0"/>
        <v>2.3982576170874769E-4</v>
      </c>
      <c r="E4" s="8">
        <f t="shared" si="1"/>
        <v>3.0190399849023788E-4</v>
      </c>
      <c r="F4" s="8">
        <f t="shared" si="2"/>
        <v>0.98698895163624789</v>
      </c>
      <c r="G4" s="8">
        <f t="shared" si="3"/>
        <v>0.99621250568855269</v>
      </c>
      <c r="H4" s="8">
        <f t="shared" si="4"/>
        <v>0.99501312126331209</v>
      </c>
      <c r="I4" s="8">
        <f t="shared" si="5"/>
        <v>0.99297030856036084</v>
      </c>
      <c r="J4" s="8">
        <f t="shared" ref="J4:J14" si="10">(1/(1+(10^(-1*(8.86-B4)))))</f>
        <v>0.98367505753344597</v>
      </c>
      <c r="K4" s="8">
        <f t="shared" si="6"/>
        <v>0.89486278964408039</v>
      </c>
      <c r="L4" s="8">
        <f t="shared" si="7"/>
        <v>0.48848910878220808</v>
      </c>
      <c r="M4" s="8">
        <f t="shared" si="8"/>
        <v>4.0018682017058861E-2</v>
      </c>
      <c r="N4" s="8"/>
    </row>
    <row r="5" spans="1:14" x14ac:dyDescent="0.4">
      <c r="A5">
        <v>2</v>
      </c>
      <c r="B5" s="18">
        <v>8.25</v>
      </c>
      <c r="C5" s="8">
        <f t="shared" si="9"/>
        <v>1.9498445617390976E-8</v>
      </c>
      <c r="D5" s="8">
        <f t="shared" si="0"/>
        <v>3.5355891486480665E-3</v>
      </c>
      <c r="E5" s="8">
        <f t="shared" si="1"/>
        <v>4.4469720271169575E-3</v>
      </c>
      <c r="F5" s="8">
        <f t="shared" si="2"/>
        <v>0.99910954268278551</v>
      </c>
      <c r="G5" s="8">
        <f t="shared" si="3"/>
        <v>0.94675978479797751</v>
      </c>
      <c r="H5" s="8">
        <f t="shared" si="4"/>
        <v>0.93098511963181751</v>
      </c>
      <c r="I5" s="8">
        <f t="shared" si="5"/>
        <v>0.90521260402680404</v>
      </c>
      <c r="J5" s="8">
        <f t="shared" si="10"/>
        <v>0.80290917015381569</v>
      </c>
      <c r="K5" s="8">
        <f t="shared" si="6"/>
        <v>0.36525666494768305</v>
      </c>
      <c r="L5" s="8">
        <f t="shared" si="7"/>
        <v>6.0649558509397745E-2</v>
      </c>
      <c r="M5" s="8">
        <f t="shared" si="8"/>
        <v>2.8104619732101889E-3</v>
      </c>
      <c r="N5" s="8"/>
    </row>
    <row r="6" spans="1:14" x14ac:dyDescent="0.4">
      <c r="A6">
        <v>3</v>
      </c>
      <c r="B6">
        <v>8.41</v>
      </c>
      <c r="C6" s="8">
        <f t="shared" si="9"/>
        <v>2.8183828518316253E-8</v>
      </c>
      <c r="D6" s="8">
        <f t="shared" si="0"/>
        <v>5.1024453679820204E-3</v>
      </c>
      <c r="E6" s="8">
        <f t="shared" si="1"/>
        <v>6.415122778827294E-3</v>
      </c>
      <c r="F6" s="8">
        <f t="shared" si="2"/>
        <v>0.99938378495325642</v>
      </c>
      <c r="G6" s="8">
        <f t="shared" si="3"/>
        <v>0.92482722123971151</v>
      </c>
      <c r="H6" s="8">
        <f t="shared" si="4"/>
        <v>0.90321840429518097</v>
      </c>
      <c r="I6" s="8">
        <f t="shared" si="5"/>
        <v>0.86854099997585188</v>
      </c>
      <c r="J6" s="8">
        <f t="shared" si="10"/>
        <v>0.73810903254041826</v>
      </c>
      <c r="K6" s="8">
        <f t="shared" si="6"/>
        <v>0.28474724895080122</v>
      </c>
      <c r="L6" s="8">
        <f t="shared" si="7"/>
        <v>4.2758411146536009E-2</v>
      </c>
      <c r="M6" s="8">
        <f t="shared" si="8"/>
        <v>1.9460501044709828E-3</v>
      </c>
      <c r="N6" s="8"/>
    </row>
    <row r="7" spans="1:14" x14ac:dyDescent="0.4">
      <c r="A7">
        <v>4</v>
      </c>
      <c r="B7" s="18">
        <v>9.09</v>
      </c>
      <c r="C7" s="8">
        <f t="shared" si="9"/>
        <v>1.3489627006215874E-7</v>
      </c>
      <c r="D7" s="8">
        <f t="shared" si="0"/>
        <v>2.3958966275577757E-2</v>
      </c>
      <c r="E7" s="8">
        <f t="shared" si="1"/>
        <v>2.9976589159516023E-2</v>
      </c>
      <c r="F7" s="8">
        <f t="shared" si="2"/>
        <v>0.99987119163856197</v>
      </c>
      <c r="G7" s="8">
        <f t="shared" si="3"/>
        <v>0.71991900594715197</v>
      </c>
      <c r="H7" s="8">
        <f t="shared" si="4"/>
        <v>0.66099909124635881</v>
      </c>
      <c r="I7" s="8">
        <f t="shared" si="5"/>
        <v>0.57989976035788182</v>
      </c>
      <c r="J7" s="8">
        <f t="shared" si="10"/>
        <v>0.37061145278249752</v>
      </c>
      <c r="K7" s="8">
        <f t="shared" si="6"/>
        <v>7.6789319697100206E-2</v>
      </c>
      <c r="L7" s="8">
        <f t="shared" si="7"/>
        <v>9.2462519638546996E-3</v>
      </c>
      <c r="M7" s="8">
        <f t="shared" si="8"/>
        <v>4.0721438669413562E-4</v>
      </c>
      <c r="N7" s="8"/>
    </row>
    <row r="8" spans="1:14" x14ac:dyDescent="0.4">
      <c r="A8">
        <v>5</v>
      </c>
      <c r="B8">
        <v>9.7899999999999991</v>
      </c>
      <c r="C8" s="8">
        <f t="shared" si="9"/>
        <v>6.7608251830409783E-7</v>
      </c>
      <c r="D8" s="8">
        <f t="shared" si="0"/>
        <v>0.10954936127707519</v>
      </c>
      <c r="E8" s="8">
        <f t="shared" si="1"/>
        <v>0.13411041754495595</v>
      </c>
      <c r="F8" s="8">
        <f t="shared" si="2"/>
        <v>0.99997429670284876</v>
      </c>
      <c r="G8" s="8">
        <f t="shared" si="3"/>
        <v>0.33900090875364219</v>
      </c>
      <c r="H8" s="8">
        <f t="shared" si="4"/>
        <v>0.28008099405284881</v>
      </c>
      <c r="I8" s="8">
        <f t="shared" si="5"/>
        <v>0.21594631611218545</v>
      </c>
      <c r="J8" s="8">
        <f t="shared" si="10"/>
        <v>0.10513721035591969</v>
      </c>
      <c r="K8" s="8">
        <f t="shared" si="6"/>
        <v>1.6324942466553978E-2</v>
      </c>
      <c r="L8" s="8">
        <f t="shared" si="7"/>
        <v>1.8586262127003343E-3</v>
      </c>
      <c r="M8" s="8">
        <f t="shared" si="8"/>
        <v>8.1276445218918142E-5</v>
      </c>
      <c r="N8" s="8"/>
    </row>
    <row r="9" spans="1:14" x14ac:dyDescent="0.4">
      <c r="A9">
        <v>6</v>
      </c>
      <c r="B9" s="18">
        <v>10.56</v>
      </c>
      <c r="C9" s="8">
        <f t="shared" si="9"/>
        <v>3.981055856666137E-6</v>
      </c>
      <c r="D9" s="8">
        <f t="shared" si="0"/>
        <v>0.42010023964211918</v>
      </c>
      <c r="E9" s="8">
        <f t="shared" si="1"/>
        <v>0.47699041270243819</v>
      </c>
      <c r="F9" s="8">
        <f t="shared" si="2"/>
        <v>0.99999563486073217</v>
      </c>
      <c r="G9" s="8">
        <f t="shared" si="3"/>
        <v>8.0118343029019212E-2</v>
      </c>
      <c r="H9" s="8">
        <f t="shared" si="4"/>
        <v>6.197471592535804E-2</v>
      </c>
      <c r="I9" s="8">
        <f t="shared" si="5"/>
        <v>4.4683509371797249E-2</v>
      </c>
      <c r="J9" s="8">
        <f t="shared" si="10"/>
        <v>1.9562303872579463E-2</v>
      </c>
      <c r="K9" s="8">
        <f t="shared" si="6"/>
        <v>2.8104619732101837E-3</v>
      </c>
      <c r="L9" s="8">
        <f t="shared" si="7"/>
        <v>3.1612779762961706E-4</v>
      </c>
      <c r="M9" s="8">
        <f t="shared" si="8"/>
        <v>1.3803652102587262E-5</v>
      </c>
      <c r="N9" s="8"/>
    </row>
    <row r="10" spans="1:14" x14ac:dyDescent="0.4">
      <c r="A10">
        <v>7</v>
      </c>
      <c r="B10">
        <v>10.78</v>
      </c>
      <c r="C10" s="8">
        <f t="shared" si="9"/>
        <v>6.6068908287811122E-6</v>
      </c>
      <c r="D10" s="8">
        <f t="shared" si="0"/>
        <v>0.54592192278048379</v>
      </c>
      <c r="E10" s="8">
        <f t="shared" si="1"/>
        <v>0.60215809317471691</v>
      </c>
      <c r="F10" s="8">
        <f t="shared" si="2"/>
        <v>0.99999736973892639</v>
      </c>
      <c r="G10" s="8">
        <f t="shared" si="3"/>
        <v>4.9863853778976258E-2</v>
      </c>
      <c r="H10" s="8">
        <f t="shared" si="4"/>
        <v>3.8286503882254852E-2</v>
      </c>
      <c r="I10" s="8">
        <f t="shared" si="5"/>
        <v>2.741127462730656E-2</v>
      </c>
      <c r="J10" s="8">
        <f t="shared" si="10"/>
        <v>1.1879817525171541E-2</v>
      </c>
      <c r="K10" s="8">
        <f t="shared" si="6"/>
        <v>1.6953645104432764E-3</v>
      </c>
      <c r="L10" s="8">
        <f t="shared" si="7"/>
        <v>1.9050977090783941E-4</v>
      </c>
      <c r="M10" s="8">
        <f t="shared" si="8"/>
        <v>8.3175685285050578E-6</v>
      </c>
      <c r="N10" s="8"/>
    </row>
    <row r="11" spans="1:14" x14ac:dyDescent="0.4">
      <c r="A11">
        <v>8</v>
      </c>
      <c r="B11" s="18">
        <v>11.04</v>
      </c>
      <c r="C11" s="8">
        <f t="shared" si="9"/>
        <v>1.202249980393478E-5</v>
      </c>
      <c r="D11" s="8">
        <f>(1/(1+(10^(1*(10.7-B11)))))</f>
        <v>0.68630025768331249</v>
      </c>
      <c r="E11" s="8">
        <f t="shared" si="1"/>
        <v>0.73363370241380721</v>
      </c>
      <c r="F11" s="8">
        <f t="shared" si="2"/>
        <v>0.99999855456231856</v>
      </c>
      <c r="G11" s="8">
        <f t="shared" si="3"/>
        <v>2.8031867151696581E-2</v>
      </c>
      <c r="H11" s="8">
        <f t="shared" si="4"/>
        <v>2.1409233250460184E-2</v>
      </c>
      <c r="I11" s="8">
        <f t="shared" si="5"/>
        <v>1.5251941583177768E-2</v>
      </c>
      <c r="J11" s="8">
        <f t="shared" si="10"/>
        <v>6.5635694070481643E-3</v>
      </c>
      <c r="K11" s="8">
        <f t="shared" si="6"/>
        <v>9.3238414927968147E-4</v>
      </c>
      <c r="L11" s="8">
        <f t="shared" si="7"/>
        <v>1.04701891171162E-4</v>
      </c>
      <c r="M11" s="8">
        <f t="shared" si="8"/>
        <v>4.5708610032829469E-6</v>
      </c>
      <c r="N11" s="8"/>
    </row>
    <row r="12" spans="1:14" x14ac:dyDescent="0.4">
      <c r="A12">
        <v>9</v>
      </c>
      <c r="B12">
        <f>AVERAGE(B11,B13)</f>
        <v>11.03</v>
      </c>
      <c r="C12" s="8">
        <f t="shared" ref="C12" si="11">(1/(1+(10^(1*(15.96-B12)))))</f>
        <v>1.1748837512590573E-5</v>
      </c>
      <c r="D12" s="8">
        <f>(1/(1+(10^(1*(10.7-B12)))))</f>
        <v>0.68132183516639366</v>
      </c>
      <c r="E12" s="8">
        <f t="shared" ref="E12" si="12">(1/(1+(10^(1*(10.6-B12)))))</f>
        <v>0.72910996289775243</v>
      </c>
      <c r="F12" s="8">
        <f t="shared" ref="F12" si="13">(1/(1+(10^(1*(5.2-B12)))))</f>
        <v>0.99999852089379959</v>
      </c>
      <c r="G12" s="8">
        <f t="shared" ref="G12" si="14">(1/(1+(10^(-1*(9.5-B12)))))</f>
        <v>2.8666095802417912E-2</v>
      </c>
      <c r="H12" s="8">
        <f t="shared" ref="H12" si="15">(1/(1+(10^(-1*(9.38-B12)))))</f>
        <v>2.1896998648233433E-2</v>
      </c>
      <c r="I12" s="8">
        <f t="shared" ref="I12" si="16">(1/(1+(10^(-1*(9.23-B12)))))</f>
        <v>1.5601662241829635E-2</v>
      </c>
      <c r="J12" s="8">
        <f t="shared" ref="J12" si="17">(1/(1+(10^(-1*(8.86-B12)))))</f>
        <v>6.7154278892359639E-3</v>
      </c>
      <c r="K12" s="8">
        <f t="shared" ref="K12" si="18">(1/(1+(10^(-1*(8.01-B12)))))</f>
        <v>9.5408144531470022E-4</v>
      </c>
      <c r="L12" s="8">
        <f t="shared" ref="L12" si="19">(1/(1+(10^(-1*(7.06-B12)))))</f>
        <v>1.0714045021768251E-4</v>
      </c>
      <c r="M12" s="8">
        <f t="shared" ref="M12" si="20">(1/(1+(10^(-1*(5.7-B12)))))</f>
        <v>4.6773295353580766E-6</v>
      </c>
      <c r="N12" s="8"/>
    </row>
    <row r="13" spans="1:14" x14ac:dyDescent="0.4">
      <c r="A13">
        <v>10</v>
      </c>
      <c r="B13" s="18">
        <v>11.02</v>
      </c>
      <c r="C13" s="8">
        <f t="shared" si="9"/>
        <v>1.1481404390808465E-5</v>
      </c>
      <c r="D13" s="8">
        <f t="shared" si="0"/>
        <v>0.67630166949273707</v>
      </c>
      <c r="E13" s="8">
        <f t="shared" si="1"/>
        <v>0.7245382428425361</v>
      </c>
      <c r="F13" s="8">
        <f t="shared" si="2"/>
        <v>0.9999984864410425</v>
      </c>
      <c r="G13" s="8">
        <f t="shared" si="3"/>
        <v>2.931424127045042E-2</v>
      </c>
      <c r="H13" s="8">
        <f t="shared" si="4"/>
        <v>2.2395622457170472E-2</v>
      </c>
      <c r="I13" s="8">
        <f t="shared" si="5"/>
        <v>1.5959271890602575E-2</v>
      </c>
      <c r="J13" s="8">
        <f t="shared" si="10"/>
        <v>6.8707755559509641E-3</v>
      </c>
      <c r="K13" s="8">
        <f t="shared" si="6"/>
        <v>9.7628316071296896E-4</v>
      </c>
      <c r="L13" s="8">
        <f t="shared" si="7"/>
        <v>1.096357982880844E-4</v>
      </c>
      <c r="M13" s="8">
        <f t="shared" si="8"/>
        <v>4.7862780146595086E-6</v>
      </c>
      <c r="N13" s="8"/>
    </row>
    <row r="14" spans="1:14" x14ac:dyDescent="0.4">
      <c r="A14">
        <v>11</v>
      </c>
      <c r="B14" s="19">
        <v>10.85</v>
      </c>
      <c r="C14" s="8">
        <f t="shared" si="9"/>
        <v>7.7624109107960064E-6</v>
      </c>
      <c r="D14" s="8">
        <f t="shared" si="0"/>
        <v>0.58549867867180971</v>
      </c>
      <c r="E14" s="8">
        <f t="shared" si="1"/>
        <v>0.64006499980288512</v>
      </c>
      <c r="F14" s="8">
        <f t="shared" si="2"/>
        <v>0.99999776128387341</v>
      </c>
      <c r="G14" s="8">
        <f t="shared" si="3"/>
        <v>4.2758411146536078E-2</v>
      </c>
      <c r="H14" s="8">
        <f t="shared" si="4"/>
        <v>3.2773891454587582E-2</v>
      </c>
      <c r="I14" s="8">
        <f t="shared" si="5"/>
        <v>2.34263697215824E-2</v>
      </c>
      <c r="J14" s="8">
        <f t="shared" si="10"/>
        <v>1.0129277733591043E-2</v>
      </c>
      <c r="K14" s="8">
        <f t="shared" si="6"/>
        <v>1.4433534902079355E-3</v>
      </c>
      <c r="L14" s="8">
        <f t="shared" si="7"/>
        <v>1.6215471132107731E-4</v>
      </c>
      <c r="M14" s="8">
        <f t="shared" si="8"/>
        <v>7.0794077254728234E-6</v>
      </c>
      <c r="N14" s="8"/>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S1 - Target Compounds</vt:lpstr>
      <vt:lpstr>S2 - PNECs</vt:lpstr>
      <vt:lpstr>S3 - Concentrations</vt:lpstr>
      <vt:lpstr>S4 - Removals</vt:lpstr>
      <vt:lpstr>S5 - Risks</vt:lpstr>
      <vt:lpstr>S6 - Statistics</vt:lpstr>
      <vt:lpstr>S7 - Physicochemical Analysis</vt:lpstr>
      <vt:lpstr>S8 - Cultivation Data</vt:lpstr>
      <vt:lpstr>S9 - Ionisation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Charlie Davey</dc:creator>
  <cp:lastModifiedBy>Charlie Davey</cp:lastModifiedBy>
  <dcterms:created xsi:type="dcterms:W3CDTF">2024-10-14T13:10:58Z</dcterms:created>
  <dcterms:modified xsi:type="dcterms:W3CDTF">2025-04-24T10:02:27Z</dcterms:modified>
</cp:coreProperties>
</file>