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ugo\Nextcloud2\T3S_Biophysics-NEW\Solène\Article recherche 1\2505_Article_Labchip\SI\"/>
    </mc:Choice>
  </mc:AlternateContent>
  <xr:revisionPtr revIDLastSave="0" documentId="13_ncr:1_{E7EA1F2E-4F19-451F-96FB-BCE51E0C2C02}" xr6:coauthVersionLast="36" xr6:coauthVersionMax="36" xr10:uidLastSave="{00000000-0000-0000-0000-000000000000}"/>
  <bookViews>
    <workbookView xWindow="0" yWindow="0" windowWidth="16200" windowHeight="24825" xr2:uid="{00000000-000D-0000-FFFF-FFFF00000000}"/>
  </bookViews>
  <sheets>
    <sheet name="Feui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31" i="1" s="1"/>
  <c r="C30" i="1"/>
  <c r="B30" i="1"/>
  <c r="E26" i="1"/>
  <c r="E28" i="1" s="1"/>
  <c r="E30" i="1" s="1"/>
  <c r="D26" i="1"/>
  <c r="D28" i="1" s="1"/>
  <c r="D30" i="1" s="1"/>
  <c r="L25" i="1"/>
  <c r="K25" i="1"/>
  <c r="J25" i="1"/>
  <c r="J27" i="1" s="1"/>
  <c r="G25" i="1"/>
  <c r="K24" i="1"/>
  <c r="J24" i="1"/>
  <c r="J26" i="1" s="1"/>
  <c r="J28" i="1" s="1"/>
  <c r="F24" i="1"/>
  <c r="E24" i="1"/>
  <c r="D24" i="1"/>
  <c r="J23" i="1"/>
  <c r="M22" i="1"/>
  <c r="M26" i="1" s="1"/>
  <c r="M28" i="1" s="1"/>
  <c r="M30" i="1" s="1"/>
  <c r="L22" i="1"/>
  <c r="L26" i="1" s="1"/>
  <c r="K22" i="1"/>
  <c r="K26" i="1" s="1"/>
  <c r="K28" i="1" s="1"/>
  <c r="I22" i="1"/>
  <c r="I26" i="1" s="1"/>
  <c r="I28" i="1" s="1"/>
  <c r="I30" i="1" s="1"/>
  <c r="H22" i="1"/>
  <c r="H26" i="1" s="1"/>
  <c r="H28" i="1" s="1"/>
  <c r="H30" i="1" s="1"/>
  <c r="F22" i="1"/>
  <c r="D23" i="1" s="1"/>
  <c r="E22" i="1"/>
  <c r="D22" i="1"/>
  <c r="P21" i="1"/>
  <c r="Q20" i="1"/>
  <c r="Q21" i="1" s="1"/>
  <c r="P20" i="1"/>
  <c r="O20" i="1"/>
  <c r="O21" i="1" s="1"/>
  <c r="O30" i="1" s="1"/>
  <c r="O31" i="1" s="1"/>
  <c r="N20" i="1"/>
  <c r="N21" i="1" s="1"/>
  <c r="C20" i="1"/>
  <c r="B20" i="1"/>
  <c r="Q15" i="1"/>
  <c r="U14" i="1"/>
  <c r="U15" i="1" s="1"/>
  <c r="Q14" i="1"/>
  <c r="D14" i="1"/>
  <c r="D15" i="1" s="1"/>
  <c r="C14" i="1"/>
  <c r="B14" i="1"/>
  <c r="O10" i="1"/>
  <c r="N10" i="1"/>
  <c r="N11" i="1" s="1"/>
  <c r="K10" i="1"/>
  <c r="J10" i="1"/>
  <c r="J12" i="1" s="1"/>
  <c r="J14" i="1" s="1"/>
  <c r="J15" i="1" s="1"/>
  <c r="I10" i="1"/>
  <c r="I12" i="1" s="1"/>
  <c r="I14" i="1" s="1"/>
  <c r="H10" i="1"/>
  <c r="H12" i="1" s="1"/>
  <c r="H14" i="1" s="1"/>
  <c r="G10" i="1"/>
  <c r="G12" i="1" s="1"/>
  <c r="O9" i="1"/>
  <c r="J9" i="1"/>
  <c r="G9" i="1"/>
  <c r="N8" i="1"/>
  <c r="N9" i="1" s="1"/>
  <c r="M8" i="1"/>
  <c r="M10" i="1" s="1"/>
  <c r="M12" i="1" s="1"/>
  <c r="M14" i="1" s="1"/>
  <c r="L8" i="1"/>
  <c r="L10" i="1" s="1"/>
  <c r="L12" i="1" s="1"/>
  <c r="L14" i="1" s="1"/>
  <c r="K8" i="1"/>
  <c r="F8" i="1"/>
  <c r="E8" i="1"/>
  <c r="E10" i="1" s="1"/>
  <c r="V7" i="1"/>
  <c r="U7" i="1"/>
  <c r="Q7" i="1"/>
  <c r="G7" i="1"/>
  <c r="P6" i="1"/>
  <c r="P10" i="1" s="1"/>
  <c r="P12" i="1" s="1"/>
  <c r="P14" i="1" s="1"/>
  <c r="O6" i="1"/>
  <c r="N6" i="1"/>
  <c r="N7" i="1" s="1"/>
  <c r="M6" i="1"/>
  <c r="L6" i="1"/>
  <c r="K6" i="1"/>
  <c r="J6" i="1"/>
  <c r="J7" i="1" s="1"/>
  <c r="F6" i="1"/>
  <c r="E6" i="1"/>
  <c r="S5" i="1"/>
  <c r="V4" i="1"/>
  <c r="V5" i="1" s="1"/>
  <c r="U4" i="1"/>
  <c r="U5" i="1" s="1"/>
  <c r="T4" i="1"/>
  <c r="T5" i="1" s="1"/>
  <c r="S4" i="1"/>
  <c r="R4" i="1"/>
  <c r="R5" i="1" s="1"/>
  <c r="R14" i="1" s="1"/>
  <c r="R15" i="1" s="1"/>
  <c r="Q4" i="1"/>
  <c r="Q5" i="1" s="1"/>
  <c r="D4" i="1"/>
  <c r="D5" i="1" s="1"/>
  <c r="C4" i="1"/>
  <c r="B4" i="1"/>
  <c r="J29" i="1" l="1"/>
  <c r="J30" i="1"/>
  <c r="J31" i="1" s="1"/>
  <c r="N12" i="1"/>
  <c r="N14" i="1" s="1"/>
  <c r="N15" i="1" s="1"/>
  <c r="J11" i="1"/>
  <c r="F10" i="1"/>
  <c r="F12" i="1" s="1"/>
  <c r="F14" i="1" s="1"/>
  <c r="K11" i="1"/>
  <c r="O11" i="1"/>
  <c r="W11" i="1" s="1"/>
  <c r="K12" i="1"/>
  <c r="K14" i="1" s="1"/>
  <c r="K15" i="1" s="1"/>
  <c r="O12" i="1"/>
  <c r="O13" i="1" s="1"/>
  <c r="B5" i="1"/>
  <c r="K7" i="1"/>
  <c r="O7" i="1"/>
  <c r="W7" i="1" s="1"/>
  <c r="K9" i="1"/>
  <c r="B21" i="1"/>
  <c r="D25" i="1"/>
  <c r="B31" i="1"/>
  <c r="E7" i="1"/>
  <c r="B15" i="1"/>
  <c r="L27" i="1"/>
  <c r="L28" i="1"/>
  <c r="G13" i="1"/>
  <c r="G14" i="1"/>
  <c r="G15" i="1" s="1"/>
  <c r="R25" i="1"/>
  <c r="S21" i="1"/>
  <c r="R21" i="1"/>
  <c r="E12" i="1"/>
  <c r="E11" i="1"/>
  <c r="G22" i="1"/>
  <c r="W5" i="1"/>
  <c r="K29" i="1"/>
  <c r="K30" i="1"/>
  <c r="K31" i="1" s="1"/>
  <c r="F26" i="1"/>
  <c r="F28" i="1" s="1"/>
  <c r="F30" i="1" s="1"/>
  <c r="D31" i="1" s="1"/>
  <c r="G11" i="1"/>
  <c r="J13" i="1"/>
  <c r="K23" i="1"/>
  <c r="K27" i="1" s="1"/>
  <c r="O14" i="1"/>
  <c r="O15" i="1" s="1"/>
  <c r="L23" i="1"/>
  <c r="E9" i="1"/>
  <c r="W9" i="1" s="1"/>
  <c r="K13" i="1" l="1"/>
  <c r="N13" i="1"/>
  <c r="E27" i="1"/>
  <c r="G26" i="1"/>
  <c r="G23" i="1"/>
  <c r="R23" i="1" s="1"/>
  <c r="S23" i="1" s="1"/>
  <c r="L29" i="1"/>
  <c r="R29" i="1" s="1"/>
  <c r="S29" i="1" s="1"/>
  <c r="L30" i="1"/>
  <c r="L31" i="1" s="1"/>
  <c r="D29" i="1"/>
  <c r="E14" i="1"/>
  <c r="E15" i="1" s="1"/>
  <c r="W15" i="1" s="1"/>
  <c r="E13" i="1"/>
  <c r="W13" i="1" s="1"/>
  <c r="H27" i="1" l="1"/>
  <c r="R27" i="1" s="1"/>
  <c r="S27" i="1" s="1"/>
  <c r="G28" i="1"/>
  <c r="G29" i="1" l="1"/>
  <c r="G30" i="1"/>
  <c r="G31" i="1" s="1"/>
  <c r="R31" i="1" s="1"/>
  <c r="S31" i="1" s="1"/>
</calcChain>
</file>

<file path=xl/sharedStrings.xml><?xml version="1.0" encoding="utf-8"?>
<sst xmlns="http://schemas.openxmlformats.org/spreadsheetml/2006/main" count="246" uniqueCount="54">
  <si>
    <r>
      <t xml:space="preserve"> PDMS quantity</t>
    </r>
    <r>
      <rPr>
        <sz val="11"/>
        <color theme="1"/>
        <rFont val="Calibri"/>
        <family val="2"/>
        <scheme val="minor"/>
      </rPr>
      <t xml:space="preserve">
(molding of 1mm thickness= 7,47g part A + 0,83g part B)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</si>
  <si>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 APTES quantity
</t>
    </r>
    <r>
      <rPr>
        <sz val="11"/>
        <color theme="1"/>
        <rFont val="Calibri"/>
        <family val="2"/>
        <scheme val="minor"/>
      </rPr>
      <t>(8µL/well)</t>
    </r>
  </si>
  <si>
    <t xml:space="preserve">Vaccuum chamber (4 chips/use)
</t>
  </si>
  <si>
    <t xml:space="preserve">Hood
</t>
  </si>
  <si>
    <t xml:space="preserve">Microscope
</t>
  </si>
  <si>
    <r>
      <t xml:space="preserve">Plasma
</t>
    </r>
    <r>
      <rPr>
        <sz val="11"/>
        <color theme="1"/>
        <rFont val="Calibri"/>
        <family val="2"/>
        <scheme val="minor"/>
      </rPr>
      <t>(10min/6 chips)</t>
    </r>
  </si>
  <si>
    <t xml:space="preserve">Heating plate
</t>
  </si>
  <si>
    <r>
      <t xml:space="preserve">
Oven
</t>
    </r>
    <r>
      <rPr>
        <sz val="11"/>
        <color theme="1"/>
        <rFont val="Calibri"/>
        <family val="2"/>
        <scheme val="minor"/>
      </rPr>
      <t>(80°C) (4 puces)</t>
    </r>
  </si>
  <si>
    <t xml:space="preserve">Consommables
</t>
  </si>
  <si>
    <t xml:space="preserve">Total
</t>
  </si>
  <si>
    <t>1  PDMS chip</t>
  </si>
  <si>
    <t>Chip molding</t>
  </si>
  <si>
    <t>Tanks molding</t>
  </si>
  <si>
    <t>Coating</t>
  </si>
  <si>
    <t xml:space="preserve">PDMS degazing </t>
  </si>
  <si>
    <t>Mold degazing</t>
  </si>
  <si>
    <t>Molding</t>
  </si>
  <si>
    <t>Cut/Punch</t>
  </si>
  <si>
    <t>Assembling/Cleaning/Bonding</t>
  </si>
  <si>
    <t>Check leaks</t>
  </si>
  <si>
    <t>Tanks</t>
  </si>
  <si>
    <t>APTES</t>
  </si>
  <si>
    <t>Patterns</t>
  </si>
  <si>
    <t>Heating</t>
  </si>
  <si>
    <t>Polymerisation</t>
  </si>
  <si>
    <t>6-wells plate</t>
  </si>
  <si>
    <t>EtOH 70%</t>
  </si>
  <si>
    <t>milliQ water</t>
  </si>
  <si>
    <t>Tape</t>
  </si>
  <si>
    <t>Paper cup</t>
  </si>
  <si>
    <t>Aluminium</t>
  </si>
  <si>
    <t xml:space="preserve">Weight </t>
  </si>
  <si>
    <t>NA</t>
  </si>
  <si>
    <t>Total</t>
  </si>
  <si>
    <t>Time</t>
  </si>
  <si>
    <t>Power</t>
  </si>
  <si>
    <t>Energy</t>
  </si>
  <si>
    <t>Consommation</t>
  </si>
  <si>
    <t>Price</t>
  </si>
  <si>
    <t>Negligible</t>
  </si>
  <si>
    <t xml:space="preserve">Hood 
</t>
  </si>
  <si>
    <t xml:space="preserve">Reused chip
</t>
  </si>
  <si>
    <t>1 SBC chip</t>
  </si>
  <si>
    <t>Embossing</t>
  </si>
  <si>
    <t xml:space="preserve">Waiting </t>
  </si>
  <si>
    <t>Mold</t>
  </si>
  <si>
    <t>Hydrophilsation</t>
  </si>
  <si>
    <t>Annealing</t>
  </si>
  <si>
    <t>Weight</t>
  </si>
  <si>
    <t xml:space="preserve">Total  </t>
  </si>
  <si>
    <r>
      <t>SBC quantity</t>
    </r>
    <r>
      <rPr>
        <sz val="11"/>
        <color theme="1"/>
        <rFont val="Myriad Pro"/>
        <family val="2"/>
      </rPr>
      <t xml:space="preserve">
(1chip = 3cm²/1 tanks' molding = 4,8cm²/ 1cm²=0,47g)</t>
    </r>
    <r>
      <rPr>
        <b/>
        <sz val="11"/>
        <color theme="1"/>
        <rFont val="Myriad Pro"/>
        <family val="2"/>
      </rPr>
      <t xml:space="preserve"> </t>
    </r>
  </si>
  <si>
    <r>
      <t xml:space="preserve">Sublym press
</t>
    </r>
    <r>
      <rPr>
        <sz val="11"/>
        <color theme="1"/>
        <rFont val="Myriad Pro"/>
        <family val="2"/>
      </rPr>
      <t>(1 molding = 3 min, 160°C, 0,07MPa)
(2 chips + 4 tanks / molding)</t>
    </r>
  </si>
  <si>
    <r>
      <t xml:space="preserve">Plasma
</t>
    </r>
    <r>
      <rPr>
        <sz val="11"/>
        <color theme="1"/>
        <rFont val="Myriad Pro"/>
        <family val="2"/>
      </rPr>
      <t>(10min/6 chips)</t>
    </r>
  </si>
  <si>
    <r>
      <t xml:space="preserve">Oven
</t>
    </r>
    <r>
      <rPr>
        <sz val="11"/>
        <color theme="1"/>
        <rFont val="Myriad Pro"/>
        <family val="2"/>
      </rPr>
      <t>(80°C)
 (24 chips/cycle)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</si>
</sst>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&quot; g&quot;"/>
    <numFmt numFmtId="167" formatCode="General&quot; min&quot;"/>
    <numFmt numFmtId="169" formatCode="General&quot; W&quot;"/>
    <numFmt numFmtId="171" formatCode="General&quot; kJ&quot;"/>
    <numFmt numFmtId="172" formatCode="General&quot; kWh&quot;"/>
    <numFmt numFmtId="173" formatCode="General&quot; €&quot;"/>
    <numFmt numFmtId="175" formatCode="0.0E+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Myriad Pro"/>
      <family val="2"/>
    </font>
    <font>
      <b/>
      <sz val="11"/>
      <color theme="1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DBFD2"/>
        <bgColor indexed="64"/>
      </patternFill>
    </fill>
    <fill>
      <patternFill patternType="solid">
        <fgColor rgb="FF0070C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/>
    <xf numFmtId="164" fontId="0" fillId="0" borderId="28" xfId="0" applyNumberFormat="1" applyBorder="1"/>
    <xf numFmtId="0" fontId="0" fillId="0" borderId="18" xfId="0" applyBorder="1"/>
    <xf numFmtId="167" fontId="0" fillId="0" borderId="28" xfId="0" applyNumberFormat="1" applyBorder="1"/>
    <xf numFmtId="169" fontId="0" fillId="0" borderId="28" xfId="0" applyNumberFormat="1" applyBorder="1"/>
    <xf numFmtId="169" fontId="0" fillId="0" borderId="18" xfId="0" applyNumberFormat="1" applyBorder="1"/>
    <xf numFmtId="171" fontId="0" fillId="0" borderId="12" xfId="0" applyNumberFormat="1" applyBorder="1"/>
    <xf numFmtId="172" fontId="0" fillId="0" borderId="18" xfId="0" applyNumberFormat="1" applyBorder="1"/>
    <xf numFmtId="172" fontId="0" fillId="0" borderId="12" xfId="0" applyNumberFormat="1" applyBorder="1"/>
    <xf numFmtId="173" fontId="0" fillId="0" borderId="18" xfId="0" applyNumberFormat="1" applyBorder="1"/>
    <xf numFmtId="173" fontId="0" fillId="0" borderId="12" xfId="0" applyNumberFormat="1" applyBorder="1"/>
    <xf numFmtId="173" fontId="0" fillId="0" borderId="0" xfId="0" applyNumberFormat="1"/>
    <xf numFmtId="0" fontId="0" fillId="0" borderId="0" xfId="0" applyBorder="1"/>
    <xf numFmtId="0" fontId="0" fillId="0" borderId="45" xfId="0" applyBorder="1"/>
    <xf numFmtId="0" fontId="0" fillId="0" borderId="46" xfId="0" applyBorder="1"/>
    <xf numFmtId="172" fontId="0" fillId="0" borderId="0" xfId="0" applyNumberFormat="1" applyBorder="1"/>
    <xf numFmtId="172" fontId="0" fillId="0" borderId="46" xfId="0" applyNumberFormat="1" applyBorder="1"/>
    <xf numFmtId="173" fontId="0" fillId="0" borderId="0" xfId="0" applyNumberFormat="1" applyBorder="1"/>
    <xf numFmtId="173" fontId="0" fillId="0" borderId="46" xfId="0" applyNumberFormat="1" applyBorder="1"/>
    <xf numFmtId="0" fontId="2" fillId="3" borderId="15" xfId="0" applyFont="1" applyFill="1" applyBorder="1" applyAlignment="1">
      <alignment wrapText="1"/>
    </xf>
    <xf numFmtId="0" fontId="2" fillId="3" borderId="24" xfId="0" applyFont="1" applyFill="1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1" fillId="3" borderId="7" xfId="0" applyFont="1" applyFill="1" applyBorder="1" applyAlignment="1">
      <alignment horizontal="right"/>
    </xf>
    <xf numFmtId="0" fontId="1" fillId="3" borderId="21" xfId="0" applyFont="1" applyFill="1" applyBorder="1"/>
    <xf numFmtId="0" fontId="1" fillId="3" borderId="21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right"/>
    </xf>
    <xf numFmtId="0" fontId="1" fillId="3" borderId="18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75" fontId="0" fillId="0" borderId="16" xfId="0" applyNumberFormat="1" applyBorder="1"/>
    <xf numFmtId="175" fontId="0" fillId="0" borderId="17" xfId="0" applyNumberFormat="1" applyBorder="1"/>
    <xf numFmtId="175" fontId="0" fillId="0" borderId="18" xfId="0" applyNumberFormat="1" applyBorder="1"/>
    <xf numFmtId="175" fontId="0" fillId="0" borderId="16" xfId="0" applyNumberFormat="1" applyBorder="1" applyAlignment="1">
      <alignment horizontal="center"/>
    </xf>
    <xf numFmtId="175" fontId="0" fillId="0" borderId="17" xfId="0" applyNumberFormat="1" applyBorder="1" applyAlignment="1">
      <alignment horizontal="center"/>
    </xf>
    <xf numFmtId="175" fontId="0" fillId="0" borderId="19" xfId="0" applyNumberFormat="1" applyBorder="1" applyAlignment="1">
      <alignment horizontal="center"/>
    </xf>
    <xf numFmtId="175" fontId="0" fillId="0" borderId="20" xfId="0" applyNumberFormat="1" applyBorder="1" applyAlignment="1">
      <alignment horizontal="center"/>
    </xf>
    <xf numFmtId="175" fontId="0" fillId="0" borderId="21" xfId="0" applyNumberFormat="1" applyBorder="1" applyAlignment="1">
      <alignment horizontal="center"/>
    </xf>
    <xf numFmtId="175" fontId="0" fillId="0" borderId="22" xfId="0" applyNumberFormat="1" applyBorder="1" applyAlignment="1">
      <alignment horizontal="center"/>
    </xf>
    <xf numFmtId="175" fontId="0" fillId="0" borderId="20" xfId="0" applyNumberFormat="1" applyBorder="1"/>
    <xf numFmtId="175" fontId="0" fillId="0" borderId="23" xfId="0" applyNumberFormat="1" applyBorder="1" applyAlignment="1">
      <alignment horizontal="center"/>
    </xf>
    <xf numFmtId="175" fontId="0" fillId="0" borderId="18" xfId="0" applyNumberFormat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175" fontId="0" fillId="0" borderId="9" xfId="0" applyNumberFormat="1" applyBorder="1" applyAlignment="1">
      <alignment horizontal="center"/>
    </xf>
    <xf numFmtId="175" fontId="0" fillId="0" borderId="12" xfId="0" applyNumberFormat="1" applyBorder="1" applyAlignment="1">
      <alignment horizontal="center"/>
    </xf>
    <xf numFmtId="175" fontId="0" fillId="0" borderId="11" xfId="0" applyNumberFormat="1" applyBorder="1" applyAlignment="1">
      <alignment horizontal="center"/>
    </xf>
    <xf numFmtId="175" fontId="0" fillId="0" borderId="25" xfId="0" applyNumberFormat="1" applyBorder="1" applyAlignment="1">
      <alignment horizontal="center"/>
    </xf>
    <xf numFmtId="175" fontId="0" fillId="0" borderId="26" xfId="0" applyNumberFormat="1" applyBorder="1" applyAlignment="1">
      <alignment horizontal="center"/>
    </xf>
    <xf numFmtId="175" fontId="0" fillId="0" borderId="15" xfId="0" applyNumberFormat="1" applyBorder="1" applyAlignment="1">
      <alignment horizontal="center"/>
    </xf>
    <xf numFmtId="175" fontId="0" fillId="0" borderId="27" xfId="0" applyNumberFormat="1" applyBorder="1" applyAlignment="1">
      <alignment horizontal="center"/>
    </xf>
    <xf numFmtId="175" fontId="0" fillId="0" borderId="24" xfId="0" applyNumberFormat="1" applyBorder="1" applyAlignment="1">
      <alignment horizontal="center"/>
    </xf>
    <xf numFmtId="175" fontId="0" fillId="0" borderId="12" xfId="0" applyNumberFormat="1" applyBorder="1"/>
    <xf numFmtId="175" fontId="0" fillId="0" borderId="9" xfId="0" applyNumberFormat="1" applyBorder="1"/>
    <xf numFmtId="175" fontId="0" fillId="0" borderId="28" xfId="0" applyNumberFormat="1" applyBorder="1" applyAlignment="1">
      <alignment horizontal="center"/>
    </xf>
    <xf numFmtId="175" fontId="0" fillId="0" borderId="0" xfId="0" applyNumberFormat="1" applyBorder="1" applyAlignment="1">
      <alignment horizontal="center"/>
    </xf>
    <xf numFmtId="175" fontId="0" fillId="0" borderId="29" xfId="0" applyNumberFormat="1" applyBorder="1" applyAlignment="1">
      <alignment horizontal="center"/>
    </xf>
    <xf numFmtId="175" fontId="0" fillId="0" borderId="30" xfId="0" applyNumberFormat="1" applyBorder="1"/>
    <xf numFmtId="175" fontId="0" fillId="0" borderId="21" xfId="0" applyNumberFormat="1" applyBorder="1"/>
    <xf numFmtId="175" fontId="0" fillId="0" borderId="31" xfId="0" applyNumberFormat="1" applyBorder="1"/>
    <xf numFmtId="175" fontId="0" fillId="0" borderId="29" xfId="0" applyNumberFormat="1" applyBorder="1"/>
    <xf numFmtId="175" fontId="0" fillId="0" borderId="32" xfId="0" applyNumberFormat="1" applyBorder="1"/>
    <xf numFmtId="175" fontId="0" fillId="0" borderId="23" xfId="0" applyNumberFormat="1" applyBorder="1"/>
    <xf numFmtId="175" fontId="0" fillId="0" borderId="33" xfId="0" applyNumberFormat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175" fontId="0" fillId="0" borderId="34" xfId="0" applyNumberFormat="1" applyBorder="1" applyAlignment="1">
      <alignment horizontal="center"/>
    </xf>
    <xf numFmtId="175" fontId="0" fillId="0" borderId="35" xfId="0" applyNumberFormat="1" applyBorder="1" applyAlignment="1">
      <alignment horizontal="center"/>
    </xf>
    <xf numFmtId="175" fontId="0" fillId="0" borderId="36" xfId="0" applyNumberFormat="1" applyBorder="1" applyAlignment="1">
      <alignment horizontal="center"/>
    </xf>
    <xf numFmtId="175" fontId="0" fillId="0" borderId="28" xfId="0" applyNumberFormat="1" applyBorder="1"/>
    <xf numFmtId="175" fontId="0" fillId="0" borderId="37" xfId="0" applyNumberFormat="1" applyBorder="1" applyAlignment="1">
      <alignment horizontal="center"/>
    </xf>
    <xf numFmtId="175" fontId="0" fillId="0" borderId="35" xfId="0" applyNumberFormat="1" applyBorder="1" applyAlignment="1">
      <alignment horizontal="center"/>
    </xf>
    <xf numFmtId="175" fontId="0" fillId="0" borderId="34" xfId="0" applyNumberFormat="1" applyBorder="1" applyAlignment="1">
      <alignment horizontal="center"/>
    </xf>
    <xf numFmtId="175" fontId="0" fillId="0" borderId="0" xfId="0" applyNumberFormat="1"/>
    <xf numFmtId="175" fontId="0" fillId="0" borderId="38" xfId="0" applyNumberFormat="1" applyBorder="1" applyAlignment="1">
      <alignment horizontal="center"/>
    </xf>
    <xf numFmtId="175" fontId="0" fillId="0" borderId="39" xfId="0" applyNumberFormat="1" applyBorder="1" applyAlignment="1">
      <alignment horizontal="center"/>
    </xf>
    <xf numFmtId="175" fontId="0" fillId="0" borderId="36" xfId="0" applyNumberFormat="1" applyBorder="1" applyAlignment="1">
      <alignment horizontal="center"/>
    </xf>
    <xf numFmtId="175" fontId="0" fillId="0" borderId="30" xfId="0" applyNumberFormat="1" applyBorder="1" applyAlignment="1">
      <alignment horizontal="center"/>
    </xf>
    <xf numFmtId="175" fontId="0" fillId="0" borderId="40" xfId="0" applyNumberFormat="1" applyBorder="1" applyAlignment="1">
      <alignment horizontal="center"/>
    </xf>
    <xf numFmtId="175" fontId="0" fillId="0" borderId="31" xfId="0" applyNumberFormat="1" applyBorder="1" applyAlignment="1">
      <alignment horizontal="center"/>
    </xf>
    <xf numFmtId="175" fontId="0" fillId="0" borderId="41" xfId="0" applyNumberFormat="1" applyBorder="1" applyAlignment="1">
      <alignment horizontal="center"/>
    </xf>
    <xf numFmtId="175" fontId="0" fillId="0" borderId="32" xfId="0" applyNumberFormat="1" applyBorder="1" applyAlignment="1">
      <alignment horizontal="center"/>
    </xf>
    <xf numFmtId="175" fontId="0" fillId="0" borderId="42" xfId="0" applyNumberFormat="1" applyBorder="1" applyAlignment="1">
      <alignment horizontal="center"/>
    </xf>
    <xf numFmtId="175" fontId="0" fillId="0" borderId="28" xfId="0" applyNumberFormat="1" applyBorder="1" applyAlignment="1">
      <alignment horizontal="center"/>
    </xf>
    <xf numFmtId="175" fontId="0" fillId="0" borderId="39" xfId="0" applyNumberFormat="1" applyBorder="1"/>
    <xf numFmtId="175" fontId="0" fillId="0" borderId="43" xfId="0" applyNumberFormat="1" applyBorder="1" applyAlignment="1">
      <alignment horizontal="center"/>
    </xf>
    <xf numFmtId="175" fontId="0" fillId="0" borderId="44" xfId="0" applyNumberFormat="1" applyBorder="1" applyAlignment="1">
      <alignment horizontal="center"/>
    </xf>
    <xf numFmtId="0" fontId="3" fillId="0" borderId="2" xfId="0" applyFont="1" applyBorder="1"/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4" borderId="46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wrapText="1"/>
    </xf>
    <xf numFmtId="175" fontId="3" fillId="0" borderId="8" xfId="0" applyNumberFormat="1" applyFont="1" applyBorder="1" applyAlignment="1">
      <alignment horizontal="center"/>
    </xf>
    <xf numFmtId="175" fontId="3" fillId="0" borderId="9" xfId="0" applyNumberFormat="1" applyFont="1" applyBorder="1" applyAlignment="1">
      <alignment horizontal="center"/>
    </xf>
    <xf numFmtId="175" fontId="3" fillId="0" borderId="10" xfId="0" applyNumberFormat="1" applyFont="1" applyBorder="1"/>
    <xf numFmtId="175" fontId="3" fillId="0" borderId="1" xfId="0" applyNumberFormat="1" applyFont="1" applyBorder="1"/>
    <xf numFmtId="175" fontId="3" fillId="0" borderId="7" xfId="0" applyNumberFormat="1" applyFont="1" applyBorder="1"/>
    <xf numFmtId="175" fontId="3" fillId="0" borderId="11" xfId="0" applyNumberFormat="1" applyFont="1" applyBorder="1" applyAlignment="1">
      <alignment horizontal="center"/>
    </xf>
    <xf numFmtId="175" fontId="3" fillId="0" borderId="7" xfId="0" applyNumberFormat="1" applyFont="1" applyBorder="1" applyAlignment="1">
      <alignment horizontal="center"/>
    </xf>
    <xf numFmtId="175" fontId="3" fillId="0" borderId="12" xfId="0" applyNumberFormat="1" applyFont="1" applyBorder="1" applyAlignment="1">
      <alignment horizontal="center"/>
    </xf>
    <xf numFmtId="175" fontId="3" fillId="0" borderId="9" xfId="0" applyNumberFormat="1" applyFont="1" applyBorder="1"/>
    <xf numFmtId="175" fontId="3" fillId="0" borderId="14" xfId="0" applyNumberFormat="1" applyFont="1" applyBorder="1"/>
    <xf numFmtId="175" fontId="3" fillId="0" borderId="2" xfId="0" applyNumberFormat="1" applyFont="1" applyBorder="1" applyAlignment="1">
      <alignment horizontal="center"/>
    </xf>
    <xf numFmtId="175" fontId="3" fillId="0" borderId="12" xfId="0" applyNumberFormat="1" applyFont="1" applyBorder="1"/>
    <xf numFmtId="175" fontId="3" fillId="0" borderId="3" xfId="0" applyNumberFormat="1" applyFont="1" applyBorder="1"/>
    <xf numFmtId="0" fontId="4" fillId="3" borderId="15" xfId="0" applyFont="1" applyFill="1" applyBorder="1" applyAlignment="1">
      <alignment wrapText="1"/>
    </xf>
    <xf numFmtId="175" fontId="3" fillId="0" borderId="16" xfId="0" applyNumberFormat="1" applyFont="1" applyBorder="1"/>
    <xf numFmtId="175" fontId="3" fillId="0" borderId="17" xfId="0" applyNumberFormat="1" applyFont="1" applyBorder="1"/>
    <xf numFmtId="175" fontId="3" fillId="0" borderId="16" xfId="0" applyNumberFormat="1" applyFont="1" applyBorder="1" applyAlignment="1">
      <alignment horizontal="center"/>
    </xf>
    <xf numFmtId="175" fontId="3" fillId="0" borderId="19" xfId="0" applyNumberFormat="1" applyFont="1" applyBorder="1" applyAlignment="1">
      <alignment horizontal="center"/>
    </xf>
    <xf numFmtId="175" fontId="3" fillId="0" borderId="20" xfId="0" applyNumberFormat="1" applyFont="1" applyBorder="1" applyAlignment="1">
      <alignment horizontal="center"/>
    </xf>
    <xf numFmtId="175" fontId="3" fillId="0" borderId="30" xfId="0" applyNumberFormat="1" applyFont="1" applyBorder="1" applyAlignment="1">
      <alignment horizontal="center"/>
    </xf>
    <xf numFmtId="175" fontId="3" fillId="0" borderId="17" xfId="0" applyNumberFormat="1" applyFont="1" applyBorder="1" applyAlignment="1">
      <alignment horizontal="center"/>
    </xf>
    <xf numFmtId="175" fontId="3" fillId="0" borderId="18" xfId="0" applyNumberFormat="1" applyFont="1" applyBorder="1" applyAlignment="1">
      <alignment horizontal="center"/>
    </xf>
    <xf numFmtId="175" fontId="3" fillId="0" borderId="22" xfId="0" applyNumberFormat="1" applyFont="1" applyBorder="1" applyAlignment="1">
      <alignment horizontal="center"/>
    </xf>
    <xf numFmtId="175" fontId="3" fillId="0" borderId="18" xfId="0" applyNumberFormat="1" applyFont="1" applyBorder="1"/>
    <xf numFmtId="175" fontId="3" fillId="0" borderId="20" xfId="0" applyNumberFormat="1" applyFont="1" applyBorder="1"/>
    <xf numFmtId="175" fontId="3" fillId="0" borderId="22" xfId="0" applyNumberFormat="1" applyFont="1" applyBorder="1"/>
    <xf numFmtId="175" fontId="3" fillId="0" borderId="46" xfId="0" applyNumberFormat="1" applyFont="1" applyBorder="1"/>
    <xf numFmtId="0" fontId="4" fillId="3" borderId="24" xfId="0" applyFont="1" applyFill="1" applyBorder="1" applyAlignment="1">
      <alignment wrapText="1"/>
    </xf>
    <xf numFmtId="175" fontId="3" fillId="0" borderId="1" xfId="0" applyNumberFormat="1" applyFont="1" applyBorder="1" applyAlignment="1">
      <alignment horizontal="center"/>
    </xf>
    <xf numFmtId="175" fontId="3" fillId="0" borderId="9" xfId="0" applyNumberFormat="1" applyFont="1" applyBorder="1" applyAlignment="1">
      <alignment horizontal="center"/>
    </xf>
    <xf numFmtId="175" fontId="3" fillId="0" borderId="29" xfId="0" applyNumberFormat="1" applyFont="1" applyBorder="1" applyAlignment="1">
      <alignment horizontal="center"/>
    </xf>
    <xf numFmtId="175" fontId="3" fillId="0" borderId="24" xfId="0" applyNumberFormat="1" applyFont="1" applyBorder="1" applyAlignment="1">
      <alignment horizontal="center"/>
    </xf>
    <xf numFmtId="175" fontId="3" fillId="0" borderId="25" xfId="0" applyNumberFormat="1" applyFont="1" applyBorder="1" applyAlignment="1">
      <alignment horizontal="center"/>
    </xf>
    <xf numFmtId="175" fontId="3" fillId="0" borderId="47" xfId="0" applyNumberFormat="1" applyFont="1" applyBorder="1" applyAlignment="1">
      <alignment horizontal="center"/>
    </xf>
    <xf numFmtId="175" fontId="3" fillId="0" borderId="23" xfId="0" applyNumberFormat="1" applyFont="1" applyBorder="1" applyAlignment="1">
      <alignment horizontal="center"/>
    </xf>
    <xf numFmtId="175" fontId="3" fillId="0" borderId="48" xfId="0" applyNumberFormat="1" applyFont="1" applyBorder="1" applyAlignment="1">
      <alignment horizontal="center"/>
    </xf>
    <xf numFmtId="0" fontId="4" fillId="3" borderId="49" xfId="0" applyFont="1" applyFill="1" applyBorder="1" applyAlignment="1">
      <alignment wrapText="1"/>
    </xf>
    <xf numFmtId="175" fontId="3" fillId="0" borderId="30" xfId="0" applyNumberFormat="1" applyFont="1" applyBorder="1"/>
    <xf numFmtId="175" fontId="3" fillId="0" borderId="19" xfId="0" applyNumberFormat="1" applyFont="1" applyBorder="1"/>
    <xf numFmtId="175" fontId="3" fillId="0" borderId="29" xfId="0" applyNumberFormat="1" applyFont="1" applyBorder="1"/>
    <xf numFmtId="175" fontId="3" fillId="0" borderId="50" xfId="0" applyNumberFormat="1" applyFont="1" applyBorder="1"/>
    <xf numFmtId="175" fontId="3" fillId="0" borderId="21" xfId="0" applyNumberFormat="1" applyFont="1" applyBorder="1"/>
    <xf numFmtId="175" fontId="3" fillId="0" borderId="39" xfId="0" applyNumberFormat="1" applyFont="1" applyBorder="1" applyAlignment="1">
      <alignment horizontal="center"/>
    </xf>
    <xf numFmtId="175" fontId="3" fillId="0" borderId="51" xfId="0" applyNumberFormat="1" applyFont="1" applyBorder="1"/>
    <xf numFmtId="0" fontId="4" fillId="3" borderId="7" xfId="0" applyFont="1" applyFill="1" applyBorder="1" applyAlignment="1">
      <alignment horizontal="right"/>
    </xf>
    <xf numFmtId="175" fontId="3" fillId="0" borderId="23" xfId="0" applyNumberFormat="1" applyFont="1" applyBorder="1" applyAlignment="1">
      <alignment horizontal="center"/>
    </xf>
    <xf numFmtId="175" fontId="3" fillId="0" borderId="34" xfId="0" applyNumberFormat="1" applyFont="1" applyBorder="1" applyAlignment="1">
      <alignment horizontal="center"/>
    </xf>
    <xf numFmtId="175" fontId="3" fillId="0" borderId="35" xfId="0" applyNumberFormat="1" applyFont="1" applyBorder="1" applyAlignment="1">
      <alignment horizontal="center"/>
    </xf>
    <xf numFmtId="175" fontId="3" fillId="0" borderId="28" xfId="0" applyNumberFormat="1" applyFont="1" applyBorder="1" applyAlignment="1">
      <alignment horizontal="center"/>
    </xf>
    <xf numFmtId="0" fontId="4" fillId="3" borderId="21" xfId="0" applyFont="1" applyFill="1" applyBorder="1"/>
    <xf numFmtId="175" fontId="3" fillId="0" borderId="31" xfId="0" applyNumberFormat="1" applyFont="1" applyBorder="1"/>
    <xf numFmtId="175" fontId="3" fillId="0" borderId="36" xfId="0" applyNumberFormat="1" applyFont="1" applyBorder="1" applyAlignment="1">
      <alignment horizontal="center"/>
    </xf>
    <xf numFmtId="175" fontId="3" fillId="0" borderId="34" xfId="0" applyNumberFormat="1" applyFont="1" applyBorder="1"/>
    <xf numFmtId="0" fontId="4" fillId="3" borderId="21" xfId="0" applyFont="1" applyFill="1" applyBorder="1" applyAlignment="1">
      <alignment horizontal="left"/>
    </xf>
    <xf numFmtId="175" fontId="3" fillId="0" borderId="14" xfId="0" applyNumberFormat="1" applyFont="1" applyBorder="1" applyAlignment="1">
      <alignment horizontal="center"/>
    </xf>
    <xf numFmtId="175" fontId="3" fillId="0" borderId="52" xfId="0" applyNumberFormat="1" applyFont="1" applyBorder="1" applyAlignment="1">
      <alignment horizontal="center"/>
    </xf>
    <xf numFmtId="175" fontId="3" fillId="0" borderId="40" xfId="0" applyNumberFormat="1" applyFont="1" applyBorder="1" applyAlignment="1">
      <alignment horizontal="center"/>
    </xf>
    <xf numFmtId="175" fontId="3" fillId="0" borderId="21" xfId="0" applyNumberFormat="1" applyFont="1" applyBorder="1" applyAlignment="1">
      <alignment horizontal="center"/>
    </xf>
    <xf numFmtId="175" fontId="3" fillId="0" borderId="53" xfId="0" applyNumberFormat="1" applyFont="1" applyBorder="1" applyAlignment="1">
      <alignment horizontal="center"/>
    </xf>
    <xf numFmtId="175" fontId="3" fillId="0" borderId="36" xfId="0" applyNumberFormat="1" applyFont="1" applyBorder="1"/>
    <xf numFmtId="175" fontId="3" fillId="0" borderId="35" xfId="0" applyNumberFormat="1" applyFont="1" applyBorder="1"/>
    <xf numFmtId="175" fontId="3" fillId="0" borderId="28" xfId="0" applyNumberFormat="1" applyFont="1" applyBorder="1"/>
    <xf numFmtId="175" fontId="3" fillId="0" borderId="54" xfId="0" applyNumberFormat="1" applyFont="1" applyBorder="1"/>
    <xf numFmtId="0" fontId="4" fillId="3" borderId="33" xfId="0" applyFont="1" applyFill="1" applyBorder="1" applyAlignment="1">
      <alignment horizontal="left"/>
    </xf>
    <xf numFmtId="175" fontId="3" fillId="0" borderId="55" xfId="0" applyNumberFormat="1" applyFont="1" applyBorder="1" applyAlignment="1">
      <alignment horizontal="center"/>
    </xf>
    <xf numFmtId="175" fontId="3" fillId="0" borderId="41" xfId="0" applyNumberFormat="1" applyFont="1" applyBorder="1" applyAlignment="1">
      <alignment horizontal="center"/>
    </xf>
    <xf numFmtId="175" fontId="3" fillId="0" borderId="42" xfId="0" applyNumberFormat="1" applyFont="1" applyBorder="1" applyAlignment="1">
      <alignment horizontal="center"/>
    </xf>
    <xf numFmtId="175" fontId="3" fillId="0" borderId="33" xfId="0" applyNumberFormat="1" applyFont="1" applyBorder="1" applyAlignment="1">
      <alignment horizontal="center"/>
    </xf>
    <xf numFmtId="175" fontId="3" fillId="0" borderId="45" xfId="0" applyNumberFormat="1" applyFont="1" applyBorder="1" applyAlignment="1">
      <alignment horizontal="center"/>
    </xf>
    <xf numFmtId="0" fontId="4" fillId="3" borderId="28" xfId="0" applyFont="1" applyFill="1" applyBorder="1" applyAlignment="1">
      <alignment horizontal="right"/>
    </xf>
    <xf numFmtId="175" fontId="3" fillId="0" borderId="6" xfId="0" applyNumberFormat="1" applyFont="1" applyBorder="1" applyAlignment="1">
      <alignment horizontal="center"/>
    </xf>
    <xf numFmtId="175" fontId="3" fillId="0" borderId="28" xfId="0" applyNumberFormat="1" applyFont="1" applyBorder="1" applyAlignment="1">
      <alignment horizontal="center"/>
    </xf>
    <xf numFmtId="175" fontId="3" fillId="0" borderId="28" xfId="0" applyNumberFormat="1" applyFont="1" applyBorder="1" applyAlignment="1"/>
    <xf numFmtId="0" fontId="4" fillId="3" borderId="18" xfId="0" applyFont="1" applyFill="1" applyBorder="1" applyAlignment="1">
      <alignment horizontal="left"/>
    </xf>
    <xf numFmtId="175" fontId="3" fillId="0" borderId="32" xfId="0" applyNumberFormat="1" applyFont="1" applyBorder="1" applyAlignment="1">
      <alignment horizontal="center"/>
    </xf>
    <xf numFmtId="175" fontId="3" fillId="0" borderId="43" xfId="0" applyNumberFormat="1" applyFont="1" applyBorder="1" applyAlignment="1">
      <alignment horizontal="center"/>
    </xf>
    <xf numFmtId="175" fontId="3" fillId="0" borderId="33" xfId="0" applyNumberFormat="1" applyFont="1" applyBorder="1"/>
    <xf numFmtId="175" fontId="3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B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zoomScale="55" zoomScaleNormal="55" workbookViewId="0">
      <selection activeCell="D26" sqref="D26"/>
    </sheetView>
  </sheetViews>
  <sheetFormatPr baseColWidth="10" defaultRowHeight="15" x14ac:dyDescent="0.25"/>
  <cols>
    <col min="1" max="1" width="17.140625" customWidth="1"/>
    <col min="2" max="2" width="16.85546875" customWidth="1"/>
    <col min="3" max="3" width="20.7109375" customWidth="1"/>
    <col min="4" max="4" width="17.7109375" customWidth="1"/>
    <col min="5" max="5" width="16.28515625" customWidth="1"/>
    <col min="6" max="6" width="15.7109375" customWidth="1"/>
    <col min="8" max="8" width="21.140625" customWidth="1"/>
    <col min="9" max="9" width="29.5703125" customWidth="1"/>
    <col min="10" max="10" width="13.140625" customWidth="1"/>
    <col min="11" max="11" width="15.7109375" customWidth="1"/>
    <col min="14" max="14" width="15.42578125" customWidth="1"/>
    <col min="16" max="16" width="15.140625" customWidth="1"/>
    <col min="17" max="17" width="16" customWidth="1"/>
    <col min="19" max="19" width="15.7109375" customWidth="1"/>
    <col min="21" max="21" width="14.42578125" customWidth="1"/>
  </cols>
  <sheetData>
    <row r="1" spans="1:24" ht="3.6" customHeight="1" thickBot="1" x14ac:dyDescent="0.3">
      <c r="Q1" s="1"/>
      <c r="R1" s="1"/>
      <c r="S1" s="1"/>
      <c r="T1" s="1"/>
      <c r="U1" s="1"/>
      <c r="V1" s="1"/>
    </row>
    <row r="2" spans="1:24" ht="48" customHeight="1" thickTop="1" thickBot="1" x14ac:dyDescent="0.3">
      <c r="A2" s="2"/>
      <c r="B2" s="46" t="s">
        <v>0</v>
      </c>
      <c r="C2" s="47"/>
      <c r="D2" s="44" t="s">
        <v>1</v>
      </c>
      <c r="E2" s="46" t="s">
        <v>2</v>
      </c>
      <c r="F2" s="48"/>
      <c r="G2" s="46" t="s">
        <v>3</v>
      </c>
      <c r="H2" s="48"/>
      <c r="I2" s="49"/>
      <c r="J2" s="44" t="s">
        <v>4</v>
      </c>
      <c r="K2" s="46" t="s">
        <v>5</v>
      </c>
      <c r="L2" s="48"/>
      <c r="M2" s="49"/>
      <c r="N2" s="44" t="s">
        <v>6</v>
      </c>
      <c r="O2" s="46" t="s">
        <v>7</v>
      </c>
      <c r="P2" s="49"/>
      <c r="Q2" s="50" t="s">
        <v>8</v>
      </c>
      <c r="R2" s="51"/>
      <c r="S2" s="51"/>
      <c r="T2" s="51"/>
      <c r="U2" s="51"/>
      <c r="V2" s="51"/>
      <c r="W2" s="3" t="s">
        <v>9</v>
      </c>
    </row>
    <row r="3" spans="1:24" ht="16.5" thickTop="1" thickBot="1" x14ac:dyDescent="0.3">
      <c r="A3" s="45" t="s">
        <v>10</v>
      </c>
      <c r="B3" s="4" t="s">
        <v>11</v>
      </c>
      <c r="C3" s="5" t="s">
        <v>12</v>
      </c>
      <c r="D3" s="6" t="s">
        <v>13</v>
      </c>
      <c r="E3" s="7" t="s">
        <v>14</v>
      </c>
      <c r="F3" s="8" t="s">
        <v>15</v>
      </c>
      <c r="G3" s="6" t="s">
        <v>16</v>
      </c>
      <c r="H3" s="9" t="s">
        <v>17</v>
      </c>
      <c r="I3" s="8" t="s">
        <v>18</v>
      </c>
      <c r="J3" s="10" t="s">
        <v>19</v>
      </c>
      <c r="K3" s="6" t="s">
        <v>20</v>
      </c>
      <c r="L3" s="11" t="s">
        <v>21</v>
      </c>
      <c r="M3" s="8" t="s">
        <v>22</v>
      </c>
      <c r="N3" s="10" t="s">
        <v>21</v>
      </c>
      <c r="O3" s="12" t="s">
        <v>23</v>
      </c>
      <c r="P3" s="5" t="s">
        <v>24</v>
      </c>
      <c r="Q3" s="10" t="s">
        <v>25</v>
      </c>
      <c r="R3" s="10" t="s">
        <v>26</v>
      </c>
      <c r="S3" s="13" t="s">
        <v>27</v>
      </c>
      <c r="T3" s="13" t="s">
        <v>28</v>
      </c>
      <c r="U3" s="14" t="s">
        <v>29</v>
      </c>
      <c r="V3" s="15" t="s">
        <v>30</v>
      </c>
      <c r="W3" s="2"/>
    </row>
    <row r="4" spans="1:24" ht="15.75" thickTop="1" x14ac:dyDescent="0.25">
      <c r="A4" s="35" t="s">
        <v>31</v>
      </c>
      <c r="B4" s="52">
        <f>8.3/2</f>
        <v>4.1500000000000004</v>
      </c>
      <c r="C4" s="53">
        <f>8.3/3</f>
        <v>2.7666666666666671</v>
      </c>
      <c r="D4" s="54">
        <f>8*0.946</f>
        <v>7.5679999999999996</v>
      </c>
      <c r="E4" s="55" t="s">
        <v>32</v>
      </c>
      <c r="F4" s="56" t="s">
        <v>32</v>
      </c>
      <c r="G4" s="55" t="s">
        <v>32</v>
      </c>
      <c r="H4" s="57" t="s">
        <v>32</v>
      </c>
      <c r="I4" s="58" t="s">
        <v>32</v>
      </c>
      <c r="J4" s="56" t="s">
        <v>32</v>
      </c>
      <c r="K4" s="55" t="s">
        <v>32</v>
      </c>
      <c r="L4" s="57" t="s">
        <v>32</v>
      </c>
      <c r="M4" s="59" t="s">
        <v>32</v>
      </c>
      <c r="N4" s="56" t="s">
        <v>32</v>
      </c>
      <c r="O4" s="55" t="s">
        <v>32</v>
      </c>
      <c r="P4" s="56" t="s">
        <v>32</v>
      </c>
      <c r="Q4" s="60">
        <f>61.5/6</f>
        <v>10.25</v>
      </c>
      <c r="R4" s="54">
        <f>200/6</f>
        <v>33.333333333333336</v>
      </c>
      <c r="S4" s="61">
        <f>200/6</f>
        <v>33.333333333333336</v>
      </c>
      <c r="T4" s="54">
        <f>0.1</f>
        <v>0.1</v>
      </c>
      <c r="U4" s="62">
        <f>5.6*0.25</f>
        <v>1.4</v>
      </c>
      <c r="V4" s="63">
        <f>125*0.4/100</f>
        <v>0.5</v>
      </c>
      <c r="W4" s="16"/>
    </row>
    <row r="5" spans="1:24" ht="15.75" thickBot="1" x14ac:dyDescent="0.3">
      <c r="A5" s="36" t="s">
        <v>33</v>
      </c>
      <c r="B5" s="64">
        <f>B4+C4</f>
        <v>6.9166666666666679</v>
      </c>
      <c r="C5" s="65"/>
      <c r="D5" s="66">
        <f>D4</f>
        <v>7.5679999999999996</v>
      </c>
      <c r="E5" s="55" t="s">
        <v>32</v>
      </c>
      <c r="F5" s="56" t="s">
        <v>32</v>
      </c>
      <c r="G5" s="55" t="s">
        <v>32</v>
      </c>
      <c r="H5" s="67" t="s">
        <v>32</v>
      </c>
      <c r="I5" s="62" t="s">
        <v>32</v>
      </c>
      <c r="J5" s="62" t="s">
        <v>32</v>
      </c>
      <c r="K5" s="68" t="s">
        <v>32</v>
      </c>
      <c r="L5" s="69" t="s">
        <v>32</v>
      </c>
      <c r="M5" s="70" t="s">
        <v>32</v>
      </c>
      <c r="N5" s="62" t="s">
        <v>32</v>
      </c>
      <c r="O5" s="71" t="s">
        <v>32</v>
      </c>
      <c r="P5" s="72" t="s">
        <v>32</v>
      </c>
      <c r="Q5" s="60">
        <f>Q4</f>
        <v>10.25</v>
      </c>
      <c r="R5" s="73">
        <f>R4</f>
        <v>33.333333333333336</v>
      </c>
      <c r="S5" s="74">
        <f>200/6</f>
        <v>33.333333333333336</v>
      </c>
      <c r="T5" s="73">
        <f>T4</f>
        <v>0.1</v>
      </c>
      <c r="U5" s="75">
        <f>U4</f>
        <v>1.4</v>
      </c>
      <c r="V5" s="76">
        <f>V4</f>
        <v>0.5</v>
      </c>
      <c r="W5" s="17">
        <f>V5+U5+T5+S5+R5+Q5+B5+(D5*0.001)</f>
        <v>85.840901333333349</v>
      </c>
    </row>
    <row r="6" spans="1:24" ht="15.75" thickTop="1" x14ac:dyDescent="0.25">
      <c r="A6" s="37" t="s">
        <v>34</v>
      </c>
      <c r="B6" s="55" t="s">
        <v>32</v>
      </c>
      <c r="C6" s="56" t="s">
        <v>32</v>
      </c>
      <c r="D6" s="77" t="s">
        <v>32</v>
      </c>
      <c r="E6" s="78">
        <f>90/4</f>
        <v>22.5</v>
      </c>
      <c r="F6" s="79">
        <f>10/2</f>
        <v>5</v>
      </c>
      <c r="G6" s="80">
        <v>10</v>
      </c>
      <c r="H6" s="80">
        <v>2</v>
      </c>
      <c r="I6" s="79">
        <v>5</v>
      </c>
      <c r="J6" s="54">
        <f>1</f>
        <v>1</v>
      </c>
      <c r="K6" s="81">
        <f>10/6</f>
        <v>1.6666666666666667</v>
      </c>
      <c r="L6" s="80">
        <f>10/6</f>
        <v>1.6666666666666667</v>
      </c>
      <c r="M6" s="79">
        <f>10/6</f>
        <v>1.6666666666666667</v>
      </c>
      <c r="N6" s="54">
        <f>(10+20)/6</f>
        <v>5</v>
      </c>
      <c r="O6" s="82">
        <f>25/4</f>
        <v>6.25</v>
      </c>
      <c r="P6" s="83">
        <f>120/4</f>
        <v>30</v>
      </c>
      <c r="Q6" s="63" t="s">
        <v>32</v>
      </c>
      <c r="R6" s="84" t="s">
        <v>32</v>
      </c>
      <c r="S6" s="63" t="s">
        <v>32</v>
      </c>
      <c r="T6" s="84" t="s">
        <v>32</v>
      </c>
      <c r="U6" s="58" t="s">
        <v>32</v>
      </c>
      <c r="V6" s="63" t="s">
        <v>32</v>
      </c>
      <c r="W6" s="18"/>
    </row>
    <row r="7" spans="1:24" ht="15.75" thickBot="1" x14ac:dyDescent="0.3">
      <c r="A7" s="38" t="s">
        <v>33</v>
      </c>
      <c r="B7" s="64" t="s">
        <v>32</v>
      </c>
      <c r="C7" s="65"/>
      <c r="D7" s="85" t="s">
        <v>32</v>
      </c>
      <c r="E7" s="86">
        <f>E6+F6</f>
        <v>27.5</v>
      </c>
      <c r="F7" s="87"/>
      <c r="G7" s="86">
        <f>H6+I6+G6</f>
        <v>17</v>
      </c>
      <c r="H7" s="88"/>
      <c r="I7" s="87"/>
      <c r="J7" s="74">
        <f>J6</f>
        <v>1</v>
      </c>
      <c r="K7" s="86">
        <f>K6+L6+M6</f>
        <v>5</v>
      </c>
      <c r="L7" s="88"/>
      <c r="M7" s="87"/>
      <c r="N7" s="89">
        <f>N6</f>
        <v>5</v>
      </c>
      <c r="O7" s="86">
        <f>O6+P6</f>
        <v>36.25</v>
      </c>
      <c r="P7" s="87"/>
      <c r="Q7" s="66" t="str">
        <f>Q6</f>
        <v>NA</v>
      </c>
      <c r="R7" s="66" t="s">
        <v>32</v>
      </c>
      <c r="S7" s="62" t="s">
        <v>32</v>
      </c>
      <c r="T7" s="90" t="s">
        <v>32</v>
      </c>
      <c r="U7" s="91" t="str">
        <f>U6</f>
        <v>NA</v>
      </c>
      <c r="V7" s="92" t="str">
        <f>V6</f>
        <v>NA</v>
      </c>
      <c r="W7" s="19">
        <f>E7+G7+J7+K7+N7+O7+P7</f>
        <v>91.75</v>
      </c>
    </row>
    <row r="8" spans="1:24" ht="15.75" thickTop="1" x14ac:dyDescent="0.25">
      <c r="A8" s="39" t="s">
        <v>35</v>
      </c>
      <c r="B8" s="55" t="s">
        <v>32</v>
      </c>
      <c r="C8" s="77" t="s">
        <v>32</v>
      </c>
      <c r="D8" s="63" t="s">
        <v>32</v>
      </c>
      <c r="E8" s="78">
        <f>60</f>
        <v>60</v>
      </c>
      <c r="F8" s="79">
        <f>60</f>
        <v>60</v>
      </c>
      <c r="G8" s="80">
        <v>123</v>
      </c>
      <c r="H8" s="80">
        <v>123</v>
      </c>
      <c r="I8" s="79">
        <v>123</v>
      </c>
      <c r="J8" s="53">
        <v>85</v>
      </c>
      <c r="K8" s="81">
        <f>120+400</f>
        <v>520</v>
      </c>
      <c r="L8" s="80">
        <f>120+400</f>
        <v>520</v>
      </c>
      <c r="M8" s="79">
        <f>120+400</f>
        <v>520</v>
      </c>
      <c r="N8" s="53">
        <f>3</f>
        <v>3</v>
      </c>
      <c r="O8" s="93">
        <v>1000</v>
      </c>
      <c r="P8" s="83">
        <v>5</v>
      </c>
      <c r="Q8" s="94" t="s">
        <v>32</v>
      </c>
      <c r="R8" s="63" t="s">
        <v>32</v>
      </c>
      <c r="S8" s="63" t="s">
        <v>32</v>
      </c>
      <c r="T8" s="63" t="s">
        <v>32</v>
      </c>
      <c r="U8" s="63" t="s">
        <v>32</v>
      </c>
      <c r="V8" s="95" t="s">
        <v>32</v>
      </c>
      <c r="W8" s="16"/>
    </row>
    <row r="9" spans="1:24" ht="15.75" thickBot="1" x14ac:dyDescent="0.3">
      <c r="A9" s="38" t="s">
        <v>33</v>
      </c>
      <c r="B9" s="64" t="s">
        <v>32</v>
      </c>
      <c r="C9" s="65"/>
      <c r="D9" s="75" t="s">
        <v>32</v>
      </c>
      <c r="E9" s="86">
        <f>E8+F8</f>
        <v>120</v>
      </c>
      <c r="F9" s="87"/>
      <c r="G9" s="86">
        <f>H8+I8+G8</f>
        <v>369</v>
      </c>
      <c r="H9" s="88"/>
      <c r="I9" s="87"/>
      <c r="J9" s="74">
        <f>J8</f>
        <v>85</v>
      </c>
      <c r="K9" s="92">
        <f>K8+L8+M8</f>
        <v>1560</v>
      </c>
      <c r="L9" s="96"/>
      <c r="M9" s="96"/>
      <c r="N9" s="89">
        <f>N8</f>
        <v>3</v>
      </c>
      <c r="O9" s="86">
        <f>O8+P8</f>
        <v>1005</v>
      </c>
      <c r="P9" s="87"/>
      <c r="Q9" s="66" t="s">
        <v>32</v>
      </c>
      <c r="R9" s="66" t="s">
        <v>32</v>
      </c>
      <c r="S9" s="75" t="s">
        <v>32</v>
      </c>
      <c r="T9" s="75" t="s">
        <v>32</v>
      </c>
      <c r="U9" s="56" t="s">
        <v>32</v>
      </c>
      <c r="V9" s="75" t="s">
        <v>32</v>
      </c>
      <c r="W9" s="20">
        <f>P9+N9+K9+J9+G9+E9</f>
        <v>2137</v>
      </c>
    </row>
    <row r="10" spans="1:24" ht="15.75" thickTop="1" x14ac:dyDescent="0.25">
      <c r="A10" s="40" t="s">
        <v>36</v>
      </c>
      <c r="B10" s="97" t="s">
        <v>32</v>
      </c>
      <c r="C10" s="58" t="s">
        <v>32</v>
      </c>
      <c r="D10" s="63" t="s">
        <v>32</v>
      </c>
      <c r="E10" s="98">
        <f t="shared" ref="E10:P10" si="0">E8*E6*60*0.001</f>
        <v>81</v>
      </c>
      <c r="F10" s="59">
        <f t="shared" si="0"/>
        <v>18</v>
      </c>
      <c r="G10" s="98">
        <f t="shared" si="0"/>
        <v>73.8</v>
      </c>
      <c r="H10" s="99">
        <f t="shared" si="0"/>
        <v>14.76</v>
      </c>
      <c r="I10" s="59">
        <f t="shared" si="0"/>
        <v>36.9</v>
      </c>
      <c r="J10" s="63">
        <f t="shared" si="0"/>
        <v>5.1000000000000005</v>
      </c>
      <c r="K10" s="98">
        <f t="shared" si="0"/>
        <v>52.000000000000007</v>
      </c>
      <c r="L10" s="98">
        <f>L8*L6*60*0.001</f>
        <v>52.000000000000007</v>
      </c>
      <c r="M10" s="59">
        <f>M8*M6*60*0.001</f>
        <v>52.000000000000007</v>
      </c>
      <c r="N10" s="63">
        <f>N8*N6*60*0.001</f>
        <v>0.9</v>
      </c>
      <c r="O10" s="100">
        <f>O8*O6*60*0.001</f>
        <v>375</v>
      </c>
      <c r="P10" s="59">
        <f t="shared" si="0"/>
        <v>9</v>
      </c>
      <c r="Q10" s="63" t="s">
        <v>32</v>
      </c>
      <c r="R10" s="63" t="s">
        <v>32</v>
      </c>
      <c r="S10" s="63" t="s">
        <v>32</v>
      </c>
      <c r="T10" s="63" t="s">
        <v>32</v>
      </c>
      <c r="U10" s="95" t="s">
        <v>32</v>
      </c>
      <c r="V10" s="63" t="s">
        <v>32</v>
      </c>
      <c r="W10" s="21"/>
    </row>
    <row r="11" spans="1:24" ht="15.75" thickBot="1" x14ac:dyDescent="0.3">
      <c r="A11" s="38" t="s">
        <v>33</v>
      </c>
      <c r="B11" s="86" t="s">
        <v>32</v>
      </c>
      <c r="C11" s="87"/>
      <c r="D11" s="66" t="s">
        <v>32</v>
      </c>
      <c r="E11" s="86">
        <f>E10+F10</f>
        <v>99</v>
      </c>
      <c r="F11" s="87"/>
      <c r="G11" s="86">
        <f>H10+I10+G10</f>
        <v>125.46</v>
      </c>
      <c r="H11" s="88"/>
      <c r="I11" s="87"/>
      <c r="J11" s="73">
        <f>J9*J7*60*0.001</f>
        <v>5.1000000000000005</v>
      </c>
      <c r="K11" s="86">
        <f>K10+L10+M10</f>
        <v>156.00000000000003</v>
      </c>
      <c r="L11" s="88"/>
      <c r="M11" s="87"/>
      <c r="N11" s="73">
        <f>N10</f>
        <v>0.9</v>
      </c>
      <c r="O11" s="86">
        <f>O10+P10</f>
        <v>384</v>
      </c>
      <c r="P11" s="87"/>
      <c r="Q11" s="66" t="s">
        <v>32</v>
      </c>
      <c r="R11" s="66" t="s">
        <v>32</v>
      </c>
      <c r="S11" s="66" t="s">
        <v>32</v>
      </c>
      <c r="T11" s="66" t="s">
        <v>32</v>
      </c>
      <c r="U11" s="75" t="s">
        <v>32</v>
      </c>
      <c r="V11" s="56" t="s">
        <v>32</v>
      </c>
      <c r="W11" s="22">
        <f>O11+N11+K11+J11+G11+E11</f>
        <v>770.46</v>
      </c>
    </row>
    <row r="12" spans="1:24" ht="15.75" thickTop="1" x14ac:dyDescent="0.25">
      <c r="A12" s="41" t="s">
        <v>37</v>
      </c>
      <c r="B12" s="97" t="s">
        <v>32</v>
      </c>
      <c r="C12" s="95" t="s">
        <v>32</v>
      </c>
      <c r="D12" s="63" t="s">
        <v>32</v>
      </c>
      <c r="E12" s="101">
        <f>E10*0.000278</f>
        <v>2.2518E-2</v>
      </c>
      <c r="F12" s="95">
        <f>F10*0.000278</f>
        <v>5.0039999999999998E-3</v>
      </c>
      <c r="G12" s="100">
        <f t="shared" ref="G12:P12" si="1">G10*0.000278</f>
        <v>2.0516399999999997E-2</v>
      </c>
      <c r="H12" s="102">
        <f t="shared" si="1"/>
        <v>4.1032799999999999E-3</v>
      </c>
      <c r="I12" s="59">
        <f t="shared" si="1"/>
        <v>1.0258199999999999E-2</v>
      </c>
      <c r="J12" s="84">
        <f t="shared" si="1"/>
        <v>1.4178000000000001E-3</v>
      </c>
      <c r="K12" s="100">
        <f t="shared" si="1"/>
        <v>1.4456000000000002E-2</v>
      </c>
      <c r="L12" s="102">
        <f t="shared" si="1"/>
        <v>1.4456000000000002E-2</v>
      </c>
      <c r="M12" s="59">
        <f t="shared" si="1"/>
        <v>1.4456000000000002E-2</v>
      </c>
      <c r="N12" s="63">
        <f t="shared" si="1"/>
        <v>2.5020000000000001E-4</v>
      </c>
      <c r="O12" s="100">
        <f t="shared" si="1"/>
        <v>0.10425</v>
      </c>
      <c r="P12" s="59">
        <f t="shared" si="1"/>
        <v>2.5019999999999999E-3</v>
      </c>
      <c r="Q12" s="63" t="s">
        <v>32</v>
      </c>
      <c r="R12" s="63" t="s">
        <v>32</v>
      </c>
      <c r="S12" s="63" t="s">
        <v>32</v>
      </c>
      <c r="T12" s="63" t="s">
        <v>32</v>
      </c>
      <c r="U12" s="95" t="s">
        <v>32</v>
      </c>
      <c r="V12" s="95" t="s">
        <v>32</v>
      </c>
      <c r="W12" s="23"/>
    </row>
    <row r="13" spans="1:24" ht="15.75" thickBot="1" x14ac:dyDescent="0.3">
      <c r="A13" s="42" t="s">
        <v>33</v>
      </c>
      <c r="B13" s="86" t="s">
        <v>32</v>
      </c>
      <c r="C13" s="87"/>
      <c r="D13" s="66" t="s">
        <v>32</v>
      </c>
      <c r="E13" s="103">
        <f>E12+F12</f>
        <v>2.7521999999999998E-2</v>
      </c>
      <c r="F13" s="103"/>
      <c r="G13" s="103">
        <f>G12+H12+I12</f>
        <v>3.487788E-2</v>
      </c>
      <c r="H13" s="103"/>
      <c r="I13" s="103"/>
      <c r="J13" s="89">
        <f>J12</f>
        <v>1.4178000000000001E-3</v>
      </c>
      <c r="K13" s="103">
        <f>K12+L12+M12</f>
        <v>4.3368000000000004E-2</v>
      </c>
      <c r="L13" s="103"/>
      <c r="M13" s="103"/>
      <c r="N13" s="73">
        <f>N12</f>
        <v>2.5020000000000001E-4</v>
      </c>
      <c r="O13" s="103">
        <f>O12+P12</f>
        <v>0.106752</v>
      </c>
      <c r="P13" s="103"/>
      <c r="Q13" s="66" t="s">
        <v>32</v>
      </c>
      <c r="R13" s="66" t="s">
        <v>32</v>
      </c>
      <c r="S13" s="66" t="s">
        <v>32</v>
      </c>
      <c r="T13" s="66" t="s">
        <v>32</v>
      </c>
      <c r="U13" s="75" t="s">
        <v>32</v>
      </c>
      <c r="V13" s="75" t="s">
        <v>32</v>
      </c>
      <c r="W13" s="24">
        <f>O13+N13+K13+J13+G13+E13</f>
        <v>0.21418788</v>
      </c>
    </row>
    <row r="14" spans="1:24" ht="15.75" thickTop="1" x14ac:dyDescent="0.25">
      <c r="A14" s="43" t="s">
        <v>38</v>
      </c>
      <c r="B14" s="82">
        <f>(4.15*273)/1100</f>
        <v>1.0299545454545456</v>
      </c>
      <c r="C14" s="104">
        <f>((8.3/3)*273)/1100</f>
        <v>0.68663636363636371</v>
      </c>
      <c r="D14" s="54">
        <f>(0.008*72.9)/100</f>
        <v>5.8320000000000004E-3</v>
      </c>
      <c r="E14" s="100">
        <f>E12*0.2516</f>
        <v>5.6655287999999998E-3</v>
      </c>
      <c r="F14" s="59">
        <f t="shared" ref="F14:P14" si="2">F12*0.2516</f>
        <v>1.2590063999999999E-3</v>
      </c>
      <c r="G14" s="101">
        <f t="shared" si="2"/>
        <v>5.1619262399999989E-3</v>
      </c>
      <c r="H14" s="105">
        <f t="shared" si="2"/>
        <v>1.0323852479999999E-3</v>
      </c>
      <c r="I14" s="95">
        <f t="shared" si="2"/>
        <v>2.5809631199999994E-3</v>
      </c>
      <c r="J14" s="84">
        <f t="shared" si="2"/>
        <v>3.5671847999999999E-4</v>
      </c>
      <c r="K14" s="100">
        <f t="shared" si="2"/>
        <v>3.6371296000000004E-3</v>
      </c>
      <c r="L14" s="99">
        <f t="shared" si="2"/>
        <v>3.6371296000000004E-3</v>
      </c>
      <c r="M14" s="59">
        <f t="shared" si="2"/>
        <v>3.6371296000000004E-3</v>
      </c>
      <c r="N14" s="84">
        <f t="shared" si="2"/>
        <v>6.2950319999999994E-5</v>
      </c>
      <c r="O14" s="100">
        <f t="shared" si="2"/>
        <v>2.6229299999999997E-2</v>
      </c>
      <c r="P14" s="106">
        <f t="shared" si="2"/>
        <v>6.2950319999999997E-4</v>
      </c>
      <c r="Q14" s="54">
        <f>3.32/6</f>
        <v>0.55333333333333334</v>
      </c>
      <c r="R14" s="54">
        <f>R5*70.9/5000</f>
        <v>0.47266666666666668</v>
      </c>
      <c r="S14" s="54" t="s">
        <v>39</v>
      </c>
      <c r="T14" s="54" t="s">
        <v>39</v>
      </c>
      <c r="U14" s="54">
        <f>0.1*0.25</f>
        <v>2.5000000000000001E-2</v>
      </c>
      <c r="V14" s="54" t="s">
        <v>39</v>
      </c>
      <c r="W14" s="25"/>
    </row>
    <row r="15" spans="1:24" ht="15.75" thickBot="1" x14ac:dyDescent="0.3">
      <c r="A15" s="42" t="s">
        <v>33</v>
      </c>
      <c r="B15" s="103">
        <f>B14+C14</f>
        <v>1.7165909090909093</v>
      </c>
      <c r="C15" s="103"/>
      <c r="D15" s="73">
        <f>D14</f>
        <v>5.8320000000000004E-3</v>
      </c>
      <c r="E15" s="103">
        <f>E14+F14</f>
        <v>6.9245352E-3</v>
      </c>
      <c r="F15" s="103"/>
      <c r="G15" s="103">
        <f>G14+H14+I14</f>
        <v>8.7752746079999989E-3</v>
      </c>
      <c r="H15" s="103"/>
      <c r="I15" s="103"/>
      <c r="J15" s="89">
        <f>J14</f>
        <v>3.5671847999999999E-4</v>
      </c>
      <c r="K15" s="103">
        <f>K14+L14+M14</f>
        <v>1.0911388800000001E-2</v>
      </c>
      <c r="L15" s="103"/>
      <c r="M15" s="103"/>
      <c r="N15" s="89">
        <f>N14</f>
        <v>6.2950319999999994E-5</v>
      </c>
      <c r="O15" s="103">
        <f>O14+P14</f>
        <v>2.6858803199999996E-2</v>
      </c>
      <c r="P15" s="103"/>
      <c r="Q15" s="73">
        <f>Q14</f>
        <v>0.55333333333333334</v>
      </c>
      <c r="R15" s="73">
        <f>R14</f>
        <v>0.47266666666666668</v>
      </c>
      <c r="S15" s="73" t="s">
        <v>39</v>
      </c>
      <c r="T15" s="73" t="s">
        <v>39</v>
      </c>
      <c r="U15" s="73">
        <f>U14</f>
        <v>2.5000000000000001E-2</v>
      </c>
      <c r="V15" s="73" t="s">
        <v>39</v>
      </c>
      <c r="W15" s="26">
        <f>SUM(B15:V15)</f>
        <v>2.8273125796989094</v>
      </c>
      <c r="X15" s="27"/>
    </row>
    <row r="16" spans="1:24" ht="15.75" thickTop="1" x14ac:dyDescent="0.25">
      <c r="A16" s="28"/>
      <c r="B16" s="29"/>
      <c r="V16" s="29"/>
    </row>
    <row r="17" spans="1:23" ht="15.75" thickBot="1" x14ac:dyDescent="0.3">
      <c r="S17" s="1"/>
    </row>
    <row r="18" spans="1:23" ht="43.9" customHeight="1" thickTop="1" thickBot="1" x14ac:dyDescent="0.3">
      <c r="A18" s="107"/>
      <c r="B18" s="108" t="s">
        <v>50</v>
      </c>
      <c r="C18" s="109"/>
      <c r="D18" s="108" t="s">
        <v>51</v>
      </c>
      <c r="E18" s="110"/>
      <c r="F18" s="110"/>
      <c r="G18" s="108" t="s">
        <v>40</v>
      </c>
      <c r="H18" s="110"/>
      <c r="I18" s="109"/>
      <c r="J18" s="111" t="s">
        <v>4</v>
      </c>
      <c r="K18" s="112" t="s">
        <v>52</v>
      </c>
      <c r="L18" s="108" t="s">
        <v>53</v>
      </c>
      <c r="M18" s="113"/>
      <c r="N18" s="108" t="s">
        <v>8</v>
      </c>
      <c r="O18" s="113"/>
      <c r="P18" s="113"/>
      <c r="Q18" s="114"/>
      <c r="R18" s="115" t="s">
        <v>9</v>
      </c>
      <c r="S18" s="116" t="s">
        <v>41</v>
      </c>
      <c r="T18" s="30"/>
    </row>
    <row r="19" spans="1:23" ht="16.5" thickTop="1" thickBot="1" x14ac:dyDescent="0.3">
      <c r="A19" s="117" t="s">
        <v>42</v>
      </c>
      <c r="B19" s="118" t="s">
        <v>11</v>
      </c>
      <c r="C19" s="119" t="s">
        <v>12</v>
      </c>
      <c r="D19" s="120" t="s">
        <v>23</v>
      </c>
      <c r="E19" s="121" t="s">
        <v>43</v>
      </c>
      <c r="F19" s="122" t="s">
        <v>44</v>
      </c>
      <c r="G19" s="120" t="s">
        <v>45</v>
      </c>
      <c r="H19" s="123" t="s">
        <v>17</v>
      </c>
      <c r="I19" s="124" t="s">
        <v>18</v>
      </c>
      <c r="J19" s="125" t="s">
        <v>19</v>
      </c>
      <c r="K19" s="126" t="s">
        <v>46</v>
      </c>
      <c r="L19" s="127" t="s">
        <v>23</v>
      </c>
      <c r="M19" s="126" t="s">
        <v>47</v>
      </c>
      <c r="N19" s="125" t="s">
        <v>25</v>
      </c>
      <c r="O19" s="125" t="s">
        <v>26</v>
      </c>
      <c r="P19" s="128" t="s">
        <v>27</v>
      </c>
      <c r="Q19" s="128" t="s">
        <v>28</v>
      </c>
      <c r="R19" s="129"/>
      <c r="S19" s="130"/>
      <c r="T19" s="30"/>
    </row>
    <row r="20" spans="1:23" ht="15.75" thickTop="1" x14ac:dyDescent="0.25">
      <c r="A20" s="131" t="s">
        <v>48</v>
      </c>
      <c r="B20" s="132">
        <f>3*0.47</f>
        <v>1.41</v>
      </c>
      <c r="C20" s="133">
        <f>2*2.4*0.47</f>
        <v>2.2559999999999998</v>
      </c>
      <c r="D20" s="134" t="s">
        <v>32</v>
      </c>
      <c r="E20" s="135" t="s">
        <v>32</v>
      </c>
      <c r="F20" s="136" t="s">
        <v>32</v>
      </c>
      <c r="G20" s="137" t="s">
        <v>32</v>
      </c>
      <c r="H20" s="134" t="s">
        <v>32</v>
      </c>
      <c r="I20" s="138" t="s">
        <v>32</v>
      </c>
      <c r="J20" s="139" t="s">
        <v>32</v>
      </c>
      <c r="K20" s="138" t="s">
        <v>32</v>
      </c>
      <c r="L20" s="134" t="s">
        <v>32</v>
      </c>
      <c r="M20" s="138" t="s">
        <v>32</v>
      </c>
      <c r="N20" s="140">
        <f>61.5/6</f>
        <v>10.25</v>
      </c>
      <c r="O20" s="141">
        <f>200/6</f>
        <v>33.333333333333336</v>
      </c>
      <c r="P20" s="142">
        <f>200/6</f>
        <v>33.333333333333336</v>
      </c>
      <c r="Q20" s="141">
        <f>0.1</f>
        <v>0.1</v>
      </c>
      <c r="R20" s="143"/>
      <c r="S20" s="144"/>
      <c r="T20" s="30"/>
    </row>
    <row r="21" spans="1:23" ht="15.75" thickBot="1" x14ac:dyDescent="0.3">
      <c r="A21" s="145" t="s">
        <v>33</v>
      </c>
      <c r="B21" s="146">
        <f>B20+C20</f>
        <v>3.6659999999999995</v>
      </c>
      <c r="C21" s="147"/>
      <c r="D21" s="134" t="s">
        <v>32</v>
      </c>
      <c r="E21" s="148" t="s">
        <v>32</v>
      </c>
      <c r="F21" s="149" t="s">
        <v>32</v>
      </c>
      <c r="G21" s="150" t="s">
        <v>32</v>
      </c>
      <c r="H21" s="151" t="s">
        <v>32</v>
      </c>
      <c r="I21" s="138" t="s">
        <v>32</v>
      </c>
      <c r="J21" s="125" t="s">
        <v>32</v>
      </c>
      <c r="K21" s="152" t="s">
        <v>32</v>
      </c>
      <c r="L21" s="153" t="s">
        <v>32</v>
      </c>
      <c r="M21" s="152" t="s">
        <v>32</v>
      </c>
      <c r="N21" s="140">
        <f>N20</f>
        <v>10.25</v>
      </c>
      <c r="O21" s="129">
        <f>O20</f>
        <v>33.333333333333336</v>
      </c>
      <c r="P21" s="126">
        <f>200/6</f>
        <v>33.333333333333336</v>
      </c>
      <c r="Q21" s="129">
        <f>Q20</f>
        <v>0.1</v>
      </c>
      <c r="R21" s="143">
        <f>Q21+P21+O21+N21+B21</f>
        <v>80.682666666666677</v>
      </c>
      <c r="S21" s="129">
        <f>Q21+P21+O21+N21</f>
        <v>77.01666666666668</v>
      </c>
      <c r="T21" s="30"/>
    </row>
    <row r="22" spans="1:23" ht="15.75" thickTop="1" x14ac:dyDescent="0.25">
      <c r="A22" s="154" t="s">
        <v>34</v>
      </c>
      <c r="B22" s="134" t="s">
        <v>32</v>
      </c>
      <c r="C22" s="138" t="s">
        <v>32</v>
      </c>
      <c r="D22" s="155">
        <f>8</f>
        <v>8</v>
      </c>
      <c r="E22" s="156">
        <f>4.5</f>
        <v>4.5</v>
      </c>
      <c r="F22" s="133">
        <f>1.5</f>
        <v>1.5</v>
      </c>
      <c r="G22" s="157">
        <f>D23</f>
        <v>14</v>
      </c>
      <c r="H22" s="158">
        <f>2</f>
        <v>2</v>
      </c>
      <c r="I22" s="159">
        <f>3</f>
        <v>3</v>
      </c>
      <c r="J22" s="141">
        <v>2</v>
      </c>
      <c r="K22" s="142">
        <f>10/6</f>
        <v>1.6666666666666667</v>
      </c>
      <c r="L22" s="155">
        <f>25/24</f>
        <v>1.0416666666666667</v>
      </c>
      <c r="M22" s="142">
        <f>120/24</f>
        <v>5</v>
      </c>
      <c r="N22" s="139" t="s">
        <v>32</v>
      </c>
      <c r="O22" s="139" t="s">
        <v>32</v>
      </c>
      <c r="P22" s="139" t="s">
        <v>32</v>
      </c>
      <c r="Q22" s="160" t="s">
        <v>32</v>
      </c>
      <c r="R22" s="141"/>
      <c r="S22" s="161"/>
      <c r="T22" s="30"/>
    </row>
    <row r="23" spans="1:23" ht="15.75" thickBot="1" x14ac:dyDescent="0.3">
      <c r="A23" s="162" t="s">
        <v>33</v>
      </c>
      <c r="B23" s="146" t="s">
        <v>32</v>
      </c>
      <c r="C23" s="147"/>
      <c r="D23" s="146">
        <f>D22+E22+F22</f>
        <v>14</v>
      </c>
      <c r="E23" s="146"/>
      <c r="F23" s="147"/>
      <c r="G23" s="146">
        <f>G22+H22+I22</f>
        <v>19</v>
      </c>
      <c r="H23" s="146"/>
      <c r="I23" s="163"/>
      <c r="J23" s="129">
        <f>J22</f>
        <v>2</v>
      </c>
      <c r="K23" s="126">
        <f>K22</f>
        <v>1.6666666666666667</v>
      </c>
      <c r="L23" s="164">
        <f>L22+M22</f>
        <v>6.041666666666667</v>
      </c>
      <c r="M23" s="165"/>
      <c r="N23" s="138" t="s">
        <v>32</v>
      </c>
      <c r="O23" s="138" t="s">
        <v>32</v>
      </c>
      <c r="P23" s="138" t="s">
        <v>32</v>
      </c>
      <c r="Q23" s="166" t="s">
        <v>32</v>
      </c>
      <c r="R23" s="129">
        <f>D23+G23+J23+K23+L23</f>
        <v>42.708333333333329</v>
      </c>
      <c r="S23" s="144">
        <f>(R23+(L23+K23+J23+I22+3)*2)/3</f>
        <v>24.708333333333332</v>
      </c>
      <c r="T23" s="30"/>
    </row>
    <row r="24" spans="1:23" ht="15.75" thickTop="1" x14ac:dyDescent="0.25">
      <c r="A24" s="167" t="s">
        <v>35</v>
      </c>
      <c r="B24" s="134" t="s">
        <v>32</v>
      </c>
      <c r="C24" s="138" t="s">
        <v>32</v>
      </c>
      <c r="D24" s="155">
        <f>900/20</f>
        <v>45</v>
      </c>
      <c r="E24" s="156">
        <f>9/2</f>
        <v>4.5</v>
      </c>
      <c r="F24" s="133">
        <f>0.8/2</f>
        <v>0.4</v>
      </c>
      <c r="G24" s="157">
        <v>123</v>
      </c>
      <c r="H24" s="168">
        <v>123</v>
      </c>
      <c r="I24" s="159">
        <v>123</v>
      </c>
      <c r="J24" s="133">
        <f>85</f>
        <v>85</v>
      </c>
      <c r="K24" s="133">
        <f>120+400</f>
        <v>520</v>
      </c>
      <c r="L24" s="157">
        <v>1000</v>
      </c>
      <c r="M24" s="159">
        <v>5</v>
      </c>
      <c r="N24" s="139" t="s">
        <v>32</v>
      </c>
      <c r="O24" s="160" t="s">
        <v>32</v>
      </c>
      <c r="P24" s="160" t="s">
        <v>32</v>
      </c>
      <c r="Q24" s="160" t="s">
        <v>32</v>
      </c>
      <c r="R24" s="141"/>
      <c r="S24" s="141"/>
      <c r="T24" s="30"/>
    </row>
    <row r="25" spans="1:23" ht="15.75" thickBot="1" x14ac:dyDescent="0.3">
      <c r="A25" s="162" t="s">
        <v>49</v>
      </c>
      <c r="B25" s="146" t="s">
        <v>32</v>
      </c>
      <c r="C25" s="147"/>
      <c r="D25" s="146">
        <f>D24+E24+F24</f>
        <v>49.9</v>
      </c>
      <c r="E25" s="146"/>
      <c r="F25" s="147"/>
      <c r="G25" s="169">
        <f>G24+H24+I24</f>
        <v>369</v>
      </c>
      <c r="H25" s="169"/>
      <c r="I25" s="165"/>
      <c r="J25" s="126">
        <f>J24</f>
        <v>85</v>
      </c>
      <c r="K25" s="126">
        <f>K24</f>
        <v>520</v>
      </c>
      <c r="L25" s="164">
        <f>L24+M24</f>
        <v>1005</v>
      </c>
      <c r="M25" s="165"/>
      <c r="N25" s="138" t="s">
        <v>32</v>
      </c>
      <c r="O25" s="166" t="s">
        <v>32</v>
      </c>
      <c r="P25" s="166" t="s">
        <v>32</v>
      </c>
      <c r="Q25" s="166" t="s">
        <v>32</v>
      </c>
      <c r="R25" s="129">
        <f>M25+K25+J25+G25+D25</f>
        <v>1023.9</v>
      </c>
      <c r="S25" s="170"/>
      <c r="T25" s="30"/>
    </row>
    <row r="26" spans="1:23" ht="16.5" thickTop="1" thickBot="1" x14ac:dyDescent="0.3">
      <c r="A26" s="171" t="s">
        <v>36</v>
      </c>
      <c r="B26" s="172" t="s">
        <v>32</v>
      </c>
      <c r="C26" s="136" t="s">
        <v>32</v>
      </c>
      <c r="D26" s="134">
        <f>D24*D22*60*0.001</f>
        <v>21.6</v>
      </c>
      <c r="E26" s="173">
        <f t="shared" ref="E26:M26" si="3">E24*E22*60*0.001</f>
        <v>1.2150000000000001</v>
      </c>
      <c r="F26" s="136">
        <f t="shared" si="3"/>
        <v>3.6000000000000011E-2</v>
      </c>
      <c r="G26" s="134">
        <f t="shared" si="3"/>
        <v>103.32000000000001</v>
      </c>
      <c r="H26" s="135">
        <f t="shared" si="3"/>
        <v>14.76</v>
      </c>
      <c r="I26" s="138">
        <f t="shared" si="3"/>
        <v>22.14</v>
      </c>
      <c r="J26" s="136">
        <f t="shared" si="3"/>
        <v>10.200000000000001</v>
      </c>
      <c r="K26" s="136">
        <f t="shared" si="3"/>
        <v>52.000000000000007</v>
      </c>
      <c r="L26" s="174">
        <f>L24*L22*60*0.001</f>
        <v>62.500000000000007</v>
      </c>
      <c r="M26" s="175">
        <f t="shared" si="3"/>
        <v>1.5</v>
      </c>
      <c r="N26" s="160" t="s">
        <v>32</v>
      </c>
      <c r="O26" s="139" t="s">
        <v>32</v>
      </c>
      <c r="P26" s="160" t="s">
        <v>32</v>
      </c>
      <c r="Q26" s="139" t="s">
        <v>32</v>
      </c>
      <c r="R26" s="141"/>
      <c r="S26" s="161"/>
      <c r="T26" s="30"/>
    </row>
    <row r="27" spans="1:23" ht="16.5" thickTop="1" thickBot="1" x14ac:dyDescent="0.3">
      <c r="A27" s="162" t="s">
        <v>33</v>
      </c>
      <c r="B27" s="174" t="s">
        <v>32</v>
      </c>
      <c r="C27" s="176" t="s">
        <v>32</v>
      </c>
      <c r="D27" s="177"/>
      <c r="E27" s="177">
        <f>D26+E26+F26</f>
        <v>22.851000000000003</v>
      </c>
      <c r="F27" s="178"/>
      <c r="G27" s="177"/>
      <c r="H27" s="177">
        <f>G26+H26+I26</f>
        <v>140.22000000000003</v>
      </c>
      <c r="I27" s="177"/>
      <c r="J27" s="179">
        <f>J25*J23*60*0.001</f>
        <v>10.200000000000001</v>
      </c>
      <c r="K27" s="178">
        <f>K25*K23*60*0.001</f>
        <v>52.000000000000007</v>
      </c>
      <c r="L27" s="169">
        <f>L26+M26</f>
        <v>64</v>
      </c>
      <c r="M27" s="165"/>
      <c r="N27" s="166" t="s">
        <v>32</v>
      </c>
      <c r="O27" s="138" t="s">
        <v>32</v>
      </c>
      <c r="P27" s="166" t="s">
        <v>32</v>
      </c>
      <c r="Q27" s="138" t="s">
        <v>32</v>
      </c>
      <c r="R27" s="179">
        <f>L27+K27+J27+H27+E27</f>
        <v>289.27100000000002</v>
      </c>
      <c r="S27" s="180">
        <f>(R27+(L27+K27+J27+I26)*2)/3</f>
        <v>195.31700000000001</v>
      </c>
      <c r="T27" s="30"/>
      <c r="U27" s="28"/>
      <c r="V27" s="28"/>
    </row>
    <row r="28" spans="1:23" ht="15.75" thickTop="1" x14ac:dyDescent="0.25">
      <c r="A28" s="181" t="s">
        <v>37</v>
      </c>
      <c r="B28" s="174" t="s">
        <v>32</v>
      </c>
      <c r="C28" s="175" t="s">
        <v>32</v>
      </c>
      <c r="D28" s="182">
        <f>D26*0.000278</f>
        <v>6.0048000000000002E-3</v>
      </c>
      <c r="E28" s="135">
        <f>E26*0.000278</f>
        <v>3.3776999999999999E-4</v>
      </c>
      <c r="F28" s="160">
        <f>F26*0.000278</f>
        <v>1.0008000000000003E-5</v>
      </c>
      <c r="G28" s="183">
        <f t="shared" ref="G28:M28" si="4">G26*0.000278</f>
        <v>2.8722959999999999E-2</v>
      </c>
      <c r="H28" s="184">
        <f t="shared" si="4"/>
        <v>4.1032799999999999E-3</v>
      </c>
      <c r="I28" s="175">
        <f t="shared" si="4"/>
        <v>6.1549199999999995E-3</v>
      </c>
      <c r="J28" s="185">
        <f t="shared" si="4"/>
        <v>2.8356000000000002E-3</v>
      </c>
      <c r="K28" s="139">
        <f t="shared" si="4"/>
        <v>1.4456000000000002E-2</v>
      </c>
      <c r="L28" s="186">
        <f t="shared" si="4"/>
        <v>1.7375000000000002E-2</v>
      </c>
      <c r="M28" s="175">
        <f t="shared" si="4"/>
        <v>4.1699999999999994E-4</v>
      </c>
      <c r="N28" s="160" t="s">
        <v>32</v>
      </c>
      <c r="O28" s="139" t="s">
        <v>32</v>
      </c>
      <c r="P28" s="160" t="s">
        <v>32</v>
      </c>
      <c r="Q28" s="160" t="s">
        <v>32</v>
      </c>
      <c r="R28" s="141"/>
      <c r="S28" s="141"/>
      <c r="T28" s="31"/>
      <c r="U28" s="31"/>
      <c r="V28" s="31"/>
      <c r="W28" s="31"/>
    </row>
    <row r="29" spans="1:23" ht="15.75" thickBot="1" x14ac:dyDescent="0.3">
      <c r="A29" s="187" t="s">
        <v>33</v>
      </c>
      <c r="B29" s="188" t="s">
        <v>32</v>
      </c>
      <c r="C29" s="147"/>
      <c r="D29" s="164">
        <f>E28+F28+D28</f>
        <v>6.3525780000000002E-3</v>
      </c>
      <c r="E29" s="169"/>
      <c r="F29" s="165"/>
      <c r="G29" s="189">
        <f>G28+H28+I28</f>
        <v>3.8981160000000001E-2</v>
      </c>
      <c r="H29" s="189"/>
      <c r="I29" s="189"/>
      <c r="J29" s="179">
        <f>J28</f>
        <v>2.8356000000000002E-3</v>
      </c>
      <c r="K29" s="190">
        <f>K28</f>
        <v>1.4456000000000002E-2</v>
      </c>
      <c r="L29" s="164">
        <f>L28+M28</f>
        <v>1.7792000000000002E-2</v>
      </c>
      <c r="M29" s="165"/>
      <c r="N29" s="166" t="s">
        <v>32</v>
      </c>
      <c r="O29" s="138" t="s">
        <v>32</v>
      </c>
      <c r="P29" s="166" t="s">
        <v>32</v>
      </c>
      <c r="Q29" s="166" t="s">
        <v>32</v>
      </c>
      <c r="R29" s="129">
        <f>L29+K29+J29+H29+E29</f>
        <v>3.5083600000000006E-2</v>
      </c>
      <c r="S29" s="180">
        <f>(R29+(L29+K29+J29+I28)*2)/3</f>
        <v>3.9186880000000007E-2</v>
      </c>
      <c r="T29" s="32"/>
      <c r="U29" s="31"/>
      <c r="V29" s="31"/>
      <c r="W29" s="31"/>
    </row>
    <row r="30" spans="1:23" ht="15.75" thickTop="1" x14ac:dyDescent="0.25">
      <c r="A30" s="191" t="s">
        <v>38</v>
      </c>
      <c r="B30" s="155">
        <f>1.41*0.56</f>
        <v>0.78960000000000008</v>
      </c>
      <c r="C30" s="142">
        <f>2.256*0.56</f>
        <v>1.26336</v>
      </c>
      <c r="D30" s="183">
        <f>D28*0.2516</f>
        <v>1.51080768E-3</v>
      </c>
      <c r="E30" s="135">
        <f>E28*0.2516</f>
        <v>8.4982931999999997E-5</v>
      </c>
      <c r="F30" s="175">
        <f t="shared" ref="F30:M30" si="5">F28*0.2516</f>
        <v>2.5180128000000006E-6</v>
      </c>
      <c r="G30" s="192">
        <f t="shared" si="5"/>
        <v>7.2266967359999991E-3</v>
      </c>
      <c r="H30" s="193">
        <f t="shared" si="5"/>
        <v>1.0323852479999999E-3</v>
      </c>
      <c r="I30" s="160">
        <f t="shared" si="5"/>
        <v>1.5485778719999998E-3</v>
      </c>
      <c r="J30" s="185">
        <f t="shared" si="5"/>
        <v>7.1343695999999998E-4</v>
      </c>
      <c r="K30" s="185">
        <f t="shared" si="5"/>
        <v>3.6371296000000004E-3</v>
      </c>
      <c r="L30" s="174">
        <f t="shared" si="5"/>
        <v>4.3715500000000001E-3</v>
      </c>
      <c r="M30" s="175">
        <f t="shared" si="5"/>
        <v>1.0491719999999999E-4</v>
      </c>
      <c r="N30" s="141">
        <f>3.32/6</f>
        <v>0.55333333333333334</v>
      </c>
      <c r="O30" s="194">
        <f>O21*70.9/5000</f>
        <v>0.47266666666666668</v>
      </c>
      <c r="P30" s="141" t="s">
        <v>39</v>
      </c>
      <c r="Q30" s="141" t="s">
        <v>39</v>
      </c>
      <c r="R30" s="141"/>
      <c r="S30" s="141"/>
      <c r="T30" s="33"/>
      <c r="U30" s="33"/>
      <c r="V30" s="33"/>
      <c r="W30" s="33"/>
    </row>
    <row r="31" spans="1:23" ht="15.75" thickBot="1" x14ac:dyDescent="0.3">
      <c r="A31" s="187" t="s">
        <v>33</v>
      </c>
      <c r="B31" s="195">
        <f>B30+C30</f>
        <v>2.0529600000000001</v>
      </c>
      <c r="C31" s="195"/>
      <c r="D31" s="164">
        <f>D30+E30+F30</f>
        <v>1.5983086247999998E-3</v>
      </c>
      <c r="E31" s="169"/>
      <c r="F31" s="165"/>
      <c r="G31" s="189">
        <f>G30+H30+I30</f>
        <v>9.8076598559999999E-3</v>
      </c>
      <c r="H31" s="189"/>
      <c r="I31" s="189"/>
      <c r="J31" s="179">
        <f>J30</f>
        <v>7.1343695999999998E-4</v>
      </c>
      <c r="K31" s="190">
        <f>K30</f>
        <v>3.6371296000000004E-3</v>
      </c>
      <c r="L31" s="169">
        <f>L30+M30</f>
        <v>4.4764671999999997E-3</v>
      </c>
      <c r="M31" s="165"/>
      <c r="N31" s="179">
        <f>N30</f>
        <v>0.55333333333333334</v>
      </c>
      <c r="O31" s="190">
        <f>O30</f>
        <v>0.47266666666666668</v>
      </c>
      <c r="P31" s="129" t="s">
        <v>39</v>
      </c>
      <c r="Q31" s="129" t="s">
        <v>39</v>
      </c>
      <c r="R31" s="129">
        <f>SUM(B31:Q31)</f>
        <v>3.0991930022407996</v>
      </c>
      <c r="S31" s="180">
        <f>(R31+(L31+K31+J31+I30+N31+O31)*2)/3</f>
        <v>1.7239814085015999</v>
      </c>
      <c r="T31" s="34"/>
      <c r="U31" s="33"/>
      <c r="V31" s="33"/>
      <c r="W31" s="33"/>
    </row>
    <row r="32" spans="1:23" ht="15.75" thickTop="1" x14ac:dyDescent="0.25">
      <c r="P32" s="29"/>
      <c r="S32" s="29"/>
    </row>
  </sheetData>
  <mergeCells count="54">
    <mergeCell ref="Q2:V2"/>
    <mergeCell ref="O7:P7"/>
    <mergeCell ref="B2:C2"/>
    <mergeCell ref="E2:F2"/>
    <mergeCell ref="G2:I2"/>
    <mergeCell ref="K2:M2"/>
    <mergeCell ref="O2:P2"/>
    <mergeCell ref="B5:C5"/>
    <mergeCell ref="B7:C7"/>
    <mergeCell ref="E7:F7"/>
    <mergeCell ref="G7:I7"/>
    <mergeCell ref="K7:M7"/>
    <mergeCell ref="B9:C9"/>
    <mergeCell ref="E9:F9"/>
    <mergeCell ref="G9:I9"/>
    <mergeCell ref="O9:P9"/>
    <mergeCell ref="B11:C11"/>
    <mergeCell ref="E11:F11"/>
    <mergeCell ref="G11:I11"/>
    <mergeCell ref="K11:M11"/>
    <mergeCell ref="O11:P11"/>
    <mergeCell ref="O13:P13"/>
    <mergeCell ref="B15:C15"/>
    <mergeCell ref="E15:F15"/>
    <mergeCell ref="G15:I15"/>
    <mergeCell ref="K15:M15"/>
    <mergeCell ref="O15:P15"/>
    <mergeCell ref="B21:C21"/>
    <mergeCell ref="B13:C13"/>
    <mergeCell ref="E13:F13"/>
    <mergeCell ref="G13:I13"/>
    <mergeCell ref="K13:M13"/>
    <mergeCell ref="B18:C18"/>
    <mergeCell ref="D18:F18"/>
    <mergeCell ref="G18:I18"/>
    <mergeCell ref="L18:M18"/>
    <mergeCell ref="N18:Q18"/>
    <mergeCell ref="B31:C31"/>
    <mergeCell ref="D31:F31"/>
    <mergeCell ref="G31:I31"/>
    <mergeCell ref="L31:M31"/>
    <mergeCell ref="B23:C23"/>
    <mergeCell ref="D23:F23"/>
    <mergeCell ref="G23:I23"/>
    <mergeCell ref="L23:M23"/>
    <mergeCell ref="B25:C25"/>
    <mergeCell ref="D25:F25"/>
    <mergeCell ref="G25:I25"/>
    <mergeCell ref="L25:M25"/>
    <mergeCell ref="L27:M27"/>
    <mergeCell ref="B29:C29"/>
    <mergeCell ref="D29:F29"/>
    <mergeCell ref="G29:I29"/>
    <mergeCell ref="L29:M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Solene</dc:creator>
  <cp:lastModifiedBy>Hugo</cp:lastModifiedBy>
  <dcterms:created xsi:type="dcterms:W3CDTF">2024-07-22T16:41:51Z</dcterms:created>
  <dcterms:modified xsi:type="dcterms:W3CDTF">2025-07-02T16:53:14Z</dcterms:modified>
</cp:coreProperties>
</file>