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\MIT Dropbox\Alexander Bevacqua\Research\Sanofi Collaboration\Manuscript\Versions\"/>
    </mc:Choice>
  </mc:AlternateContent>
  <xr:revisionPtr revIDLastSave="0" documentId="13_ncr:1_{1C05AEFA-024A-40AD-B893-33960CCCC3A9}" xr6:coauthVersionLast="47" xr6:coauthVersionMax="47" xr10:uidLastSave="{00000000-0000-0000-0000-000000000000}"/>
  <bookViews>
    <workbookView xWindow="-110" yWindow="-110" windowWidth="25820" windowHeight="15500" xr2:uid="{53292544-365D-4E31-9C75-621707808256}"/>
  </bookViews>
  <sheets>
    <sheet name="Study #1" sheetId="1" r:id="rId1"/>
    <sheet name="Study #2" sheetId="3" r:id="rId2"/>
    <sheet name="Study #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P6" i="3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U79" i="1"/>
  <c r="W11" i="4" l="1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5" i="4"/>
  <c r="W6" i="4"/>
  <c r="W7" i="4"/>
  <c r="W8" i="4"/>
  <c r="W9" i="4"/>
  <c r="W10" i="4"/>
  <c r="W4" i="4"/>
  <c r="W3" i="4"/>
  <c r="W3" i="3"/>
  <c r="W4" i="3"/>
  <c r="W5" i="3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M3" i="4"/>
  <c r="R3" i="4"/>
  <c r="AA18" i="4"/>
  <c r="AA14" i="4"/>
  <c r="AA15" i="4" s="1"/>
  <c r="X3" i="4" l="1"/>
  <c r="U3" i="4"/>
  <c r="M23" i="4"/>
  <c r="H29" i="4" l="1"/>
  <c r="R28" i="4"/>
  <c r="M28" i="4"/>
  <c r="L28" i="4"/>
  <c r="R27" i="4"/>
  <c r="M27" i="4"/>
  <c r="L27" i="4"/>
  <c r="R26" i="4"/>
  <c r="U26" i="4" s="1"/>
  <c r="M26" i="4"/>
  <c r="L26" i="4"/>
  <c r="R25" i="4"/>
  <c r="M25" i="4"/>
  <c r="L25" i="4"/>
  <c r="R24" i="4"/>
  <c r="M24" i="4"/>
  <c r="L24" i="4"/>
  <c r="R23" i="4"/>
  <c r="U23" i="4" s="1"/>
  <c r="L23" i="4"/>
  <c r="R22" i="4"/>
  <c r="M22" i="4"/>
  <c r="L22" i="4"/>
  <c r="R21" i="4"/>
  <c r="M21" i="4"/>
  <c r="L21" i="4"/>
  <c r="R20" i="4"/>
  <c r="M20" i="4"/>
  <c r="L20" i="4"/>
  <c r="R19" i="4"/>
  <c r="M19" i="4"/>
  <c r="L19" i="4"/>
  <c r="R18" i="4"/>
  <c r="M18" i="4"/>
  <c r="L18" i="4"/>
  <c r="R17" i="4"/>
  <c r="M17" i="4"/>
  <c r="L17" i="4"/>
  <c r="R16" i="4"/>
  <c r="M16" i="4"/>
  <c r="L16" i="4"/>
  <c r="R15" i="4"/>
  <c r="U15" i="4" s="1"/>
  <c r="M15" i="4"/>
  <c r="L15" i="4"/>
  <c r="R14" i="4"/>
  <c r="M14" i="4"/>
  <c r="L14" i="4"/>
  <c r="R13" i="4"/>
  <c r="M13" i="4"/>
  <c r="L13" i="4"/>
  <c r="R12" i="4"/>
  <c r="M12" i="4"/>
  <c r="L12" i="4"/>
  <c r="R11" i="4"/>
  <c r="M11" i="4"/>
  <c r="L11" i="4"/>
  <c r="R10" i="4"/>
  <c r="M10" i="4"/>
  <c r="L10" i="4"/>
  <c r="R9" i="4"/>
  <c r="M9" i="4"/>
  <c r="L9" i="4"/>
  <c r="R8" i="4"/>
  <c r="M8" i="4"/>
  <c r="L8" i="4"/>
  <c r="R7" i="4"/>
  <c r="U7" i="4" s="1"/>
  <c r="M7" i="4"/>
  <c r="L7" i="4"/>
  <c r="R6" i="4"/>
  <c r="M6" i="4"/>
  <c r="L6" i="4"/>
  <c r="R5" i="4"/>
  <c r="M5" i="4"/>
  <c r="L5" i="4"/>
  <c r="R4" i="4"/>
  <c r="M4" i="4"/>
  <c r="L4" i="4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E4" i="4"/>
  <c r="L3" i="4"/>
  <c r="H85" i="3"/>
  <c r="R84" i="3"/>
  <c r="M84" i="3"/>
  <c r="R83" i="3"/>
  <c r="M83" i="3"/>
  <c r="R82" i="3"/>
  <c r="M82" i="3"/>
  <c r="R81" i="3"/>
  <c r="M81" i="3"/>
  <c r="R80" i="3"/>
  <c r="U80" i="3" s="1"/>
  <c r="M80" i="3"/>
  <c r="R79" i="3"/>
  <c r="M79" i="3"/>
  <c r="U79" i="3" s="1"/>
  <c r="R78" i="3"/>
  <c r="M78" i="3"/>
  <c r="R77" i="3"/>
  <c r="M77" i="3"/>
  <c r="R76" i="3"/>
  <c r="U76" i="3" s="1"/>
  <c r="M76" i="3"/>
  <c r="R75" i="3"/>
  <c r="M75" i="3"/>
  <c r="R74" i="3"/>
  <c r="M74" i="3"/>
  <c r="R73" i="3"/>
  <c r="M73" i="3"/>
  <c r="R72" i="3"/>
  <c r="U72" i="3" s="1"/>
  <c r="M72" i="3"/>
  <c r="R71" i="3"/>
  <c r="M71" i="3"/>
  <c r="U71" i="3" s="1"/>
  <c r="R70" i="3"/>
  <c r="M70" i="3"/>
  <c r="R69" i="3"/>
  <c r="M69" i="3"/>
  <c r="R68" i="3"/>
  <c r="U68" i="3" s="1"/>
  <c r="M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M46" i="3"/>
  <c r="R45" i="3"/>
  <c r="U45" i="3" s="1"/>
  <c r="M45" i="3"/>
  <c r="G45" i="3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E45" i="3"/>
  <c r="E46" i="3" s="1"/>
  <c r="R44" i="3"/>
  <c r="M44" i="3"/>
  <c r="M43" i="3"/>
  <c r="R42" i="3"/>
  <c r="U42" i="3" s="1"/>
  <c r="P42" i="3"/>
  <c r="M42" i="3"/>
  <c r="R41" i="3"/>
  <c r="P41" i="3"/>
  <c r="M41" i="3"/>
  <c r="R40" i="3"/>
  <c r="U40" i="3" s="1"/>
  <c r="P40" i="3"/>
  <c r="M40" i="3"/>
  <c r="R39" i="3"/>
  <c r="P39" i="3"/>
  <c r="M39" i="3"/>
  <c r="R38" i="3"/>
  <c r="P38" i="3"/>
  <c r="M38" i="3"/>
  <c r="R37" i="3"/>
  <c r="U37" i="3" s="1"/>
  <c r="P37" i="3"/>
  <c r="M37" i="3"/>
  <c r="R36" i="3"/>
  <c r="P36" i="3"/>
  <c r="M36" i="3"/>
  <c r="R35" i="3"/>
  <c r="P35" i="3"/>
  <c r="M35" i="3"/>
  <c r="R34" i="3"/>
  <c r="U34" i="3" s="1"/>
  <c r="P34" i="3"/>
  <c r="M34" i="3"/>
  <c r="R33" i="3"/>
  <c r="P33" i="3"/>
  <c r="M33" i="3"/>
  <c r="R32" i="3"/>
  <c r="U32" i="3" s="1"/>
  <c r="P32" i="3"/>
  <c r="M32" i="3"/>
  <c r="R31" i="3"/>
  <c r="P31" i="3"/>
  <c r="M31" i="3"/>
  <c r="R30" i="3"/>
  <c r="P30" i="3"/>
  <c r="M30" i="3"/>
  <c r="R29" i="3"/>
  <c r="P29" i="3"/>
  <c r="M29" i="3"/>
  <c r="R28" i="3"/>
  <c r="P28" i="3"/>
  <c r="M28" i="3"/>
  <c r="R27" i="3"/>
  <c r="P27" i="3"/>
  <c r="M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P5" i="3"/>
  <c r="M5" i="3"/>
  <c r="R4" i="3"/>
  <c r="P4" i="3"/>
  <c r="M4" i="3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E4" i="3"/>
  <c r="E5" i="3" s="1"/>
  <c r="R3" i="3"/>
  <c r="P3" i="3"/>
  <c r="M3" i="3"/>
  <c r="H79" i="1"/>
  <c r="R78" i="1"/>
  <c r="M78" i="1"/>
  <c r="R77" i="1"/>
  <c r="M77" i="1"/>
  <c r="R76" i="1"/>
  <c r="M76" i="1"/>
  <c r="R75" i="1"/>
  <c r="M75" i="1"/>
  <c r="R74" i="1"/>
  <c r="M74" i="1"/>
  <c r="R73" i="1"/>
  <c r="M73" i="1"/>
  <c r="R72" i="1"/>
  <c r="M72" i="1"/>
  <c r="R71" i="1"/>
  <c r="M71" i="1"/>
  <c r="R70" i="1"/>
  <c r="M70" i="1"/>
  <c r="R69" i="1"/>
  <c r="M69" i="1"/>
  <c r="R68" i="1"/>
  <c r="M68" i="1"/>
  <c r="R67" i="1"/>
  <c r="M67" i="1"/>
  <c r="R66" i="1"/>
  <c r="M66" i="1"/>
  <c r="R65" i="1"/>
  <c r="M65" i="1"/>
  <c r="R64" i="1"/>
  <c r="M64" i="1"/>
  <c r="R63" i="1"/>
  <c r="M63" i="1"/>
  <c r="R62" i="1"/>
  <c r="M62" i="1"/>
  <c r="R61" i="1"/>
  <c r="M61" i="1"/>
  <c r="R60" i="1"/>
  <c r="M60" i="1"/>
  <c r="R59" i="1"/>
  <c r="M59" i="1"/>
  <c r="R58" i="1"/>
  <c r="M58" i="1"/>
  <c r="R57" i="1"/>
  <c r="M57" i="1"/>
  <c r="R56" i="1"/>
  <c r="M56" i="1"/>
  <c r="R55" i="1"/>
  <c r="M55" i="1"/>
  <c r="G55" i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E55" i="1"/>
  <c r="R54" i="1"/>
  <c r="M54" i="1"/>
  <c r="R53" i="1"/>
  <c r="M53" i="1"/>
  <c r="R52" i="1"/>
  <c r="U52" i="1" s="1"/>
  <c r="R51" i="1"/>
  <c r="M51" i="1"/>
  <c r="R50" i="1"/>
  <c r="M50" i="1"/>
  <c r="R49" i="1"/>
  <c r="M49" i="1"/>
  <c r="R48" i="1"/>
  <c r="M48" i="1"/>
  <c r="R47" i="1"/>
  <c r="M47" i="1"/>
  <c r="R46" i="1"/>
  <c r="M46" i="1"/>
  <c r="R45" i="1"/>
  <c r="M45" i="1"/>
  <c r="R44" i="1"/>
  <c r="M44" i="1"/>
  <c r="R43" i="1"/>
  <c r="M43" i="1"/>
  <c r="R42" i="1"/>
  <c r="M42" i="1"/>
  <c r="R41" i="1"/>
  <c r="M41" i="1"/>
  <c r="R40" i="1"/>
  <c r="M40" i="1"/>
  <c r="R39" i="1"/>
  <c r="M39" i="1"/>
  <c r="R38" i="1"/>
  <c r="M38" i="1"/>
  <c r="R37" i="1"/>
  <c r="M37" i="1"/>
  <c r="R36" i="1"/>
  <c r="M36" i="1"/>
  <c r="R35" i="1"/>
  <c r="M35" i="1"/>
  <c r="R34" i="1"/>
  <c r="M34" i="1"/>
  <c r="R33" i="1"/>
  <c r="M33" i="1"/>
  <c r="R32" i="1"/>
  <c r="M32" i="1"/>
  <c r="R31" i="1"/>
  <c r="M31" i="1"/>
  <c r="R30" i="1"/>
  <c r="M30" i="1"/>
  <c r="R29" i="1"/>
  <c r="M29" i="1"/>
  <c r="G29" i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E29" i="1"/>
  <c r="E30" i="1" s="1"/>
  <c r="E31" i="1" s="1"/>
  <c r="E32" i="1" s="1"/>
  <c r="E33" i="1" s="1"/>
  <c r="R28" i="1"/>
  <c r="M28" i="1"/>
  <c r="R27" i="1"/>
  <c r="P27" i="1"/>
  <c r="M27" i="1"/>
  <c r="R26" i="1"/>
  <c r="P26" i="1"/>
  <c r="M26" i="1"/>
  <c r="R25" i="1"/>
  <c r="P25" i="1"/>
  <c r="M25" i="1"/>
  <c r="R24" i="1"/>
  <c r="P24" i="1"/>
  <c r="M24" i="1"/>
  <c r="R23" i="1"/>
  <c r="P23" i="1"/>
  <c r="M23" i="1"/>
  <c r="R22" i="1"/>
  <c r="P22" i="1"/>
  <c r="M22" i="1"/>
  <c r="R21" i="1"/>
  <c r="P21" i="1"/>
  <c r="M21" i="1"/>
  <c r="R20" i="1"/>
  <c r="P20" i="1"/>
  <c r="M20" i="1"/>
  <c r="R19" i="1"/>
  <c r="P19" i="1"/>
  <c r="M19" i="1"/>
  <c r="R18" i="1"/>
  <c r="P18" i="1"/>
  <c r="M18" i="1"/>
  <c r="R17" i="1"/>
  <c r="P17" i="1"/>
  <c r="M17" i="1"/>
  <c r="R16" i="1"/>
  <c r="P16" i="1"/>
  <c r="M16" i="1"/>
  <c r="R15" i="1"/>
  <c r="P15" i="1"/>
  <c r="M15" i="1"/>
  <c r="R14" i="1"/>
  <c r="P14" i="1"/>
  <c r="M14" i="1"/>
  <c r="R13" i="1"/>
  <c r="P13" i="1"/>
  <c r="M13" i="1"/>
  <c r="R12" i="1"/>
  <c r="P12" i="1"/>
  <c r="M12" i="1"/>
  <c r="R11" i="1"/>
  <c r="P11" i="1"/>
  <c r="M11" i="1"/>
  <c r="R10" i="1"/>
  <c r="P10" i="1"/>
  <c r="M10" i="1"/>
  <c r="R9" i="1"/>
  <c r="P9" i="1"/>
  <c r="M9" i="1"/>
  <c r="R8" i="1"/>
  <c r="P8" i="1"/>
  <c r="M8" i="1"/>
  <c r="R7" i="1"/>
  <c r="P7" i="1"/>
  <c r="M7" i="1"/>
  <c r="R6" i="1"/>
  <c r="P6" i="1"/>
  <c r="M6" i="1"/>
  <c r="R5" i="1"/>
  <c r="P5" i="1"/>
  <c r="M5" i="1"/>
  <c r="R4" i="1"/>
  <c r="X4" i="1" s="1"/>
  <c r="P4" i="1"/>
  <c r="M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E4" i="1"/>
  <c r="E5" i="1" s="1"/>
  <c r="R3" i="1"/>
  <c r="X3" i="1" s="1"/>
  <c r="P3" i="1"/>
  <c r="M3" i="1"/>
  <c r="S6" i="4" l="1"/>
  <c r="U17" i="4"/>
  <c r="U13" i="4"/>
  <c r="U24" i="4"/>
  <c r="X4" i="4"/>
  <c r="X5" i="4" s="1"/>
  <c r="X6" i="4" s="1"/>
  <c r="X7" i="4" s="1"/>
  <c r="X8" i="4" s="1"/>
  <c r="X9" i="4" s="1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AA16" i="4"/>
  <c r="AA17" i="4" s="1"/>
  <c r="AA19" i="4" s="1"/>
  <c r="U15" i="1"/>
  <c r="U23" i="1"/>
  <c r="U69" i="3"/>
  <c r="U73" i="3"/>
  <c r="U35" i="3"/>
  <c r="U33" i="3"/>
  <c r="U41" i="3"/>
  <c r="U27" i="3"/>
  <c r="U81" i="3"/>
  <c r="U77" i="3"/>
  <c r="U28" i="3"/>
  <c r="U36" i="3"/>
  <c r="U75" i="3"/>
  <c r="U83" i="3"/>
  <c r="U31" i="3"/>
  <c r="U39" i="3"/>
  <c r="U4" i="3"/>
  <c r="X4" i="3"/>
  <c r="X5" i="3" s="1"/>
  <c r="X6" i="3" s="1"/>
  <c r="X7" i="3" s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X34" i="3" s="1"/>
  <c r="X35" i="3" s="1"/>
  <c r="X36" i="3" s="1"/>
  <c r="X37" i="3" s="1"/>
  <c r="X38" i="3" s="1"/>
  <c r="X39" i="3" s="1"/>
  <c r="X40" i="3" s="1"/>
  <c r="X41" i="3" s="1"/>
  <c r="X42" i="3" s="1"/>
  <c r="U29" i="3"/>
  <c r="U46" i="3"/>
  <c r="U3" i="3"/>
  <c r="X3" i="3"/>
  <c r="U5" i="3"/>
  <c r="U44" i="3"/>
  <c r="U30" i="3"/>
  <c r="U38" i="3"/>
  <c r="U70" i="3"/>
  <c r="U74" i="3"/>
  <c r="U78" i="3"/>
  <c r="U82" i="3"/>
  <c r="U7" i="1"/>
  <c r="X5" i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U56" i="1"/>
  <c r="U3" i="1"/>
  <c r="U9" i="1"/>
  <c r="U64" i="1"/>
  <c r="M29" i="4"/>
  <c r="N3" i="4"/>
  <c r="S28" i="4"/>
  <c r="AB9" i="4" s="1"/>
  <c r="S3" i="4"/>
  <c r="R29" i="4"/>
  <c r="U28" i="4"/>
  <c r="U84" i="3"/>
  <c r="S4" i="3"/>
  <c r="R85" i="3"/>
  <c r="S3" i="3"/>
  <c r="U30" i="1"/>
  <c r="U34" i="1"/>
  <c r="U6" i="1"/>
  <c r="U14" i="1"/>
  <c r="U20" i="1"/>
  <c r="U22" i="1"/>
  <c r="U35" i="1"/>
  <c r="U43" i="1"/>
  <c r="U51" i="1"/>
  <c r="U55" i="1"/>
  <c r="U59" i="1"/>
  <c r="U72" i="1"/>
  <c r="U29" i="1"/>
  <c r="U33" i="1"/>
  <c r="U37" i="1"/>
  <c r="U41" i="1"/>
  <c r="U58" i="1"/>
  <c r="U62" i="1"/>
  <c r="U66" i="1"/>
  <c r="U70" i="1"/>
  <c r="U74" i="1"/>
  <c r="U78" i="1"/>
  <c r="U25" i="1"/>
  <c r="U63" i="1"/>
  <c r="U67" i="1"/>
  <c r="U71" i="1"/>
  <c r="U75" i="1"/>
  <c r="U32" i="1"/>
  <c r="U36" i="1"/>
  <c r="U40" i="1"/>
  <c r="U44" i="1"/>
  <c r="U48" i="1"/>
  <c r="U45" i="1"/>
  <c r="U49" i="1"/>
  <c r="N10" i="1"/>
  <c r="S12" i="1"/>
  <c r="U12" i="1"/>
  <c r="U10" i="1"/>
  <c r="U18" i="1"/>
  <c r="U26" i="1"/>
  <c r="U53" i="1"/>
  <c r="U60" i="1"/>
  <c r="U68" i="1"/>
  <c r="U76" i="1"/>
  <c r="S10" i="1"/>
  <c r="S8" i="1"/>
  <c r="U16" i="1"/>
  <c r="U24" i="1"/>
  <c r="U57" i="1"/>
  <c r="U61" i="1"/>
  <c r="U65" i="1"/>
  <c r="U69" i="1"/>
  <c r="U73" i="1"/>
  <c r="U77" i="1"/>
  <c r="U11" i="1"/>
  <c r="U19" i="1"/>
  <c r="U27" i="1"/>
  <c r="U38" i="1"/>
  <c r="U42" i="1"/>
  <c r="U46" i="1"/>
  <c r="U50" i="1"/>
  <c r="U4" i="1"/>
  <c r="U17" i="1"/>
  <c r="U31" i="1"/>
  <c r="U39" i="1"/>
  <c r="U47" i="1"/>
  <c r="N26" i="1"/>
  <c r="S5" i="1"/>
  <c r="N8" i="1"/>
  <c r="S14" i="1"/>
  <c r="S21" i="1"/>
  <c r="N24" i="1"/>
  <c r="N6" i="1"/>
  <c r="S19" i="1"/>
  <c r="N22" i="1"/>
  <c r="N18" i="1"/>
  <c r="S24" i="1"/>
  <c r="N27" i="1"/>
  <c r="U8" i="1"/>
  <c r="N4" i="1"/>
  <c r="N20" i="1"/>
  <c r="S6" i="1"/>
  <c r="S13" i="1"/>
  <c r="N16" i="1"/>
  <c r="S22" i="1"/>
  <c r="U54" i="1"/>
  <c r="S27" i="1"/>
  <c r="S3" i="1"/>
  <c r="T3" i="1" s="1"/>
  <c r="R79" i="1"/>
  <c r="S17" i="1"/>
  <c r="S26" i="1"/>
  <c r="N19" i="1"/>
  <c r="M79" i="1"/>
  <c r="S4" i="1"/>
  <c r="S11" i="1"/>
  <c r="N14" i="1"/>
  <c r="S20" i="1"/>
  <c r="S16" i="1"/>
  <c r="S9" i="1"/>
  <c r="N12" i="1"/>
  <c r="S18" i="1"/>
  <c r="S25" i="1"/>
  <c r="S53" i="1"/>
  <c r="AB8" i="1" s="1"/>
  <c r="U13" i="1"/>
  <c r="U5" i="1"/>
  <c r="U21" i="1"/>
  <c r="U28" i="1"/>
  <c r="S14" i="4"/>
  <c r="S22" i="4"/>
  <c r="U9" i="4"/>
  <c r="S17" i="4"/>
  <c r="U14" i="4"/>
  <c r="S12" i="4"/>
  <c r="S20" i="4"/>
  <c r="U10" i="4"/>
  <c r="U18" i="4"/>
  <c r="U6" i="4"/>
  <c r="S5" i="4"/>
  <c r="S13" i="4"/>
  <c r="S21" i="4"/>
  <c r="U8" i="4"/>
  <c r="U16" i="4"/>
  <c r="U22" i="4"/>
  <c r="S11" i="4"/>
  <c r="S19" i="4"/>
  <c r="U21" i="4"/>
  <c r="N23" i="4"/>
  <c r="N24" i="4"/>
  <c r="N25" i="4"/>
  <c r="N26" i="4"/>
  <c r="U5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U20" i="4"/>
  <c r="U12" i="4"/>
  <c r="U4" i="4"/>
  <c r="S23" i="4"/>
  <c r="S24" i="4"/>
  <c r="S25" i="4"/>
  <c r="S26" i="4"/>
  <c r="N28" i="4"/>
  <c r="U19" i="4"/>
  <c r="U11" i="4"/>
  <c r="S4" i="4"/>
  <c r="S7" i="4"/>
  <c r="S8" i="4"/>
  <c r="S9" i="4"/>
  <c r="S10" i="4"/>
  <c r="S15" i="4"/>
  <c r="S16" i="4"/>
  <c r="S18" i="4"/>
  <c r="E5" i="4"/>
  <c r="U25" i="4"/>
  <c r="S28" i="3"/>
  <c r="S30" i="3"/>
  <c r="S26" i="3"/>
  <c r="S19" i="3"/>
  <c r="S32" i="3"/>
  <c r="S21" i="3"/>
  <c r="E6" i="3"/>
  <c r="S40" i="3"/>
  <c r="S36" i="3"/>
  <c r="S33" i="3"/>
  <c r="S18" i="3"/>
  <c r="S29" i="3"/>
  <c r="S84" i="3"/>
  <c r="AB8" i="3" s="1"/>
  <c r="S6" i="3"/>
  <c r="S8" i="3"/>
  <c r="S10" i="3"/>
  <c r="S12" i="3"/>
  <c r="S14" i="3"/>
  <c r="S16" i="3"/>
  <c r="S22" i="3"/>
  <c r="S25" i="3"/>
  <c r="S34" i="3"/>
  <c r="S17" i="3"/>
  <c r="S20" i="3"/>
  <c r="S23" i="3"/>
  <c r="S38" i="3"/>
  <c r="S7" i="3"/>
  <c r="S9" i="3"/>
  <c r="S11" i="3"/>
  <c r="S13" i="3"/>
  <c r="S15" i="3"/>
  <c r="S42" i="3"/>
  <c r="S5" i="3"/>
  <c r="S24" i="3"/>
  <c r="S27" i="3"/>
  <c r="S35" i="3"/>
  <c r="S39" i="3"/>
  <c r="E47" i="3"/>
  <c r="S31" i="3"/>
  <c r="S37" i="3"/>
  <c r="S41" i="3"/>
  <c r="E6" i="1"/>
  <c r="E34" i="1"/>
  <c r="N25" i="1"/>
  <c r="N53" i="1"/>
  <c r="AA8" i="1" s="1"/>
  <c r="N3" i="1"/>
  <c r="N5" i="1"/>
  <c r="N15" i="1"/>
  <c r="N21" i="1"/>
  <c r="E56" i="1"/>
  <c r="N7" i="1"/>
  <c r="N13" i="1"/>
  <c r="N17" i="1"/>
  <c r="N23" i="1"/>
  <c r="S7" i="1"/>
  <c r="S15" i="1"/>
  <c r="S23" i="1"/>
  <c r="N9" i="1"/>
  <c r="N11" i="1"/>
  <c r="U29" i="4" l="1"/>
  <c r="T3" i="4"/>
  <c r="T4" i="4" s="1"/>
  <c r="T5" i="4" s="1"/>
  <c r="T6" i="4" s="1"/>
  <c r="T7" i="4" s="1"/>
  <c r="T8" i="4" s="1"/>
  <c r="T9" i="4" s="1"/>
  <c r="T10" i="4" s="1"/>
  <c r="T11" i="4" s="1"/>
  <c r="T12" i="4" s="1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AB4" i="3"/>
  <c r="AB7" i="3"/>
  <c r="AB5" i="3"/>
  <c r="T3" i="3"/>
  <c r="T4" i="3" s="1"/>
  <c r="T5" i="3" s="1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T37" i="3" s="1"/>
  <c r="T38" i="3" s="1"/>
  <c r="T39" i="3" s="1"/>
  <c r="T40" i="3" s="1"/>
  <c r="T41" i="3" s="1"/>
  <c r="T42" i="3" s="1"/>
  <c r="AB3" i="3"/>
  <c r="AB6" i="3"/>
  <c r="AB4" i="1"/>
  <c r="AB6" i="1"/>
  <c r="AA6" i="1"/>
  <c r="AA7" i="1"/>
  <c r="AA4" i="1"/>
  <c r="AB7" i="1"/>
  <c r="S79" i="1"/>
  <c r="AF3" i="1"/>
  <c r="AB3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AB5" i="1"/>
  <c r="AA3" i="1"/>
  <c r="AA5" i="1"/>
  <c r="S29" i="4"/>
  <c r="N29" i="4"/>
  <c r="O3" i="4"/>
  <c r="E6" i="4"/>
  <c r="AA9" i="4"/>
  <c r="S85" i="3"/>
  <c r="E7" i="3"/>
  <c r="E48" i="3"/>
  <c r="E7" i="1"/>
  <c r="N79" i="1"/>
  <c r="O3" i="1"/>
  <c r="E35" i="1"/>
  <c r="E57" i="1"/>
  <c r="AF5" i="4" l="1"/>
  <c r="AF3" i="4"/>
  <c r="V3" i="1"/>
  <c r="AF9" i="1"/>
  <c r="V10" i="4"/>
  <c r="V4" i="4"/>
  <c r="AF9" i="4"/>
  <c r="V6" i="4"/>
  <c r="V13" i="4"/>
  <c r="V25" i="4"/>
  <c r="V8" i="4"/>
  <c r="V29" i="4"/>
  <c r="V3" i="4"/>
  <c r="V20" i="4"/>
  <c r="V12" i="4"/>
  <c r="V26" i="4"/>
  <c r="V24" i="4"/>
  <c r="V19" i="4"/>
  <c r="V11" i="4"/>
  <c r="V28" i="4"/>
  <c r="V22" i="4"/>
  <c r="V17" i="4"/>
  <c r="V9" i="4"/>
  <c r="V14" i="4"/>
  <c r="V18" i="4"/>
  <c r="V5" i="4"/>
  <c r="V21" i="4"/>
  <c r="V16" i="4"/>
  <c r="V23" i="4"/>
  <c r="V7" i="4"/>
  <c r="V15" i="4"/>
  <c r="AB9" i="3"/>
  <c r="AF7" i="1"/>
  <c r="AB9" i="1"/>
  <c r="V9" i="1"/>
  <c r="AF12" i="1"/>
  <c r="V25" i="1"/>
  <c r="V16" i="1"/>
  <c r="V23" i="1"/>
  <c r="V6" i="1"/>
  <c r="V59" i="1"/>
  <c r="V58" i="1"/>
  <c r="V73" i="1"/>
  <c r="V51" i="1"/>
  <c r="V20" i="1"/>
  <c r="V12" i="1"/>
  <c r="V31" i="1"/>
  <c r="V52" i="1"/>
  <c r="AF14" i="1"/>
  <c r="V7" i="1"/>
  <c r="V71" i="1"/>
  <c r="V42" i="1"/>
  <c r="AF18" i="1"/>
  <c r="V50" i="1"/>
  <c r="V38" i="1"/>
  <c r="V15" i="1"/>
  <c r="V22" i="1"/>
  <c r="V4" i="1"/>
  <c r="V65" i="1"/>
  <c r="V43" i="1"/>
  <c r="AF5" i="1"/>
  <c r="V66" i="1"/>
  <c r="V10" i="1"/>
  <c r="V70" i="1"/>
  <c r="AF15" i="1"/>
  <c r="AF16" i="1"/>
  <c r="V55" i="1"/>
  <c r="V30" i="1"/>
  <c r="V37" i="1"/>
  <c r="V14" i="1"/>
  <c r="V21" i="1"/>
  <c r="V57" i="1"/>
  <c r="V72" i="1"/>
  <c r="V54" i="1"/>
  <c r="V27" i="1"/>
  <c r="V61" i="1"/>
  <c r="V78" i="1"/>
  <c r="V67" i="1"/>
  <c r="V26" i="1"/>
  <c r="V39" i="1"/>
  <c r="AF21" i="1"/>
  <c r="AF20" i="1"/>
  <c r="V18" i="1"/>
  <c r="V48" i="1"/>
  <c r="V29" i="1"/>
  <c r="V36" i="1"/>
  <c r="V13" i="1"/>
  <c r="V11" i="1"/>
  <c r="V64" i="1"/>
  <c r="V47" i="1"/>
  <c r="V56" i="1"/>
  <c r="V17" i="1"/>
  <c r="V68" i="1"/>
  <c r="AF4" i="1"/>
  <c r="V33" i="1"/>
  <c r="V40" i="1"/>
  <c r="AF13" i="1"/>
  <c r="V79" i="1"/>
  <c r="V77" i="1"/>
  <c r="V35" i="1"/>
  <c r="V75" i="1"/>
  <c r="V49" i="1"/>
  <c r="AF19" i="1"/>
  <c r="V32" i="1"/>
  <c r="V53" i="1"/>
  <c r="V69" i="1"/>
  <c r="V76" i="1"/>
  <c r="V46" i="1"/>
  <c r="V45" i="1"/>
  <c r="V34" i="1"/>
  <c r="V19" i="1"/>
  <c r="AF17" i="1"/>
  <c r="V74" i="1"/>
  <c r="V24" i="1"/>
  <c r="V60" i="1"/>
  <c r="V63" i="1"/>
  <c r="V41" i="1"/>
  <c r="V62" i="1"/>
  <c r="V44" i="1"/>
  <c r="V8" i="1"/>
  <c r="V28" i="1"/>
  <c r="AA9" i="1"/>
  <c r="V5" i="1"/>
  <c r="E7" i="4"/>
  <c r="O4" i="4"/>
  <c r="O5" i="4" s="1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9" i="4" s="1"/>
  <c r="E8" i="3"/>
  <c r="E49" i="3"/>
  <c r="E36" i="1"/>
  <c r="E8" i="1"/>
  <c r="E58" i="1"/>
  <c r="O4" i="1"/>
  <c r="E8" i="4" l="1"/>
  <c r="E50" i="3"/>
  <c r="E9" i="3"/>
  <c r="O5" i="1"/>
  <c r="E59" i="1"/>
  <c r="E9" i="1"/>
  <c r="E37" i="1"/>
  <c r="E9" i="4" l="1"/>
  <c r="E10" i="3"/>
  <c r="E51" i="3"/>
  <c r="E38" i="1"/>
  <c r="E10" i="1"/>
  <c r="E60" i="1"/>
  <c r="O6" i="1"/>
  <c r="E10" i="4" l="1"/>
  <c r="E52" i="3"/>
  <c r="E11" i="3"/>
  <c r="O7" i="1"/>
  <c r="E39" i="1"/>
  <c r="E61" i="1"/>
  <c r="E11" i="1"/>
  <c r="E11" i="4" l="1"/>
  <c r="E12" i="3"/>
  <c r="E53" i="3"/>
  <c r="E12" i="1"/>
  <c r="E62" i="1"/>
  <c r="E40" i="1"/>
  <c r="O8" i="1"/>
  <c r="E12" i="4" l="1"/>
  <c r="E54" i="3"/>
  <c r="E13" i="3"/>
  <c r="E63" i="1"/>
  <c r="E41" i="1"/>
  <c r="O9" i="1"/>
  <c r="E13" i="1"/>
  <c r="E13" i="4" l="1"/>
  <c r="E55" i="3"/>
  <c r="E14" i="3"/>
  <c r="O10" i="1"/>
  <c r="E42" i="1"/>
  <c r="E14" i="1"/>
  <c r="E64" i="1"/>
  <c r="E14" i="4" l="1"/>
  <c r="E15" i="3"/>
  <c r="E56" i="3"/>
  <c r="E43" i="1"/>
  <c r="E65" i="1"/>
  <c r="E15" i="1"/>
  <c r="O11" i="1"/>
  <c r="E15" i="4" l="1"/>
  <c r="E16" i="3"/>
  <c r="E57" i="3"/>
  <c r="E44" i="1"/>
  <c r="O12" i="1"/>
  <c r="E16" i="1"/>
  <c r="E66" i="1"/>
  <c r="E16" i="4" l="1"/>
  <c r="E58" i="3"/>
  <c r="E17" i="3"/>
  <c r="E67" i="1"/>
  <c r="E17" i="1"/>
  <c r="O13" i="1"/>
  <c r="E45" i="1"/>
  <c r="E17" i="4" l="1"/>
  <c r="E18" i="3"/>
  <c r="E59" i="3"/>
  <c r="E68" i="1"/>
  <c r="O14" i="1"/>
  <c r="E18" i="1"/>
  <c r="E46" i="1"/>
  <c r="E18" i="4" l="1"/>
  <c r="E60" i="3"/>
  <c r="E19" i="3"/>
  <c r="E19" i="1"/>
  <c r="O15" i="1"/>
  <c r="E69" i="1"/>
  <c r="E47" i="1"/>
  <c r="E19" i="4" l="1"/>
  <c r="E61" i="3"/>
  <c r="E20" i="3"/>
  <c r="E70" i="1"/>
  <c r="O16" i="1"/>
  <c r="E48" i="1"/>
  <c r="E20" i="1"/>
  <c r="E20" i="4" l="1"/>
  <c r="E21" i="3"/>
  <c r="E62" i="3"/>
  <c r="O17" i="1"/>
  <c r="E71" i="1"/>
  <c r="E21" i="1"/>
  <c r="E49" i="1"/>
  <c r="E21" i="4" l="1"/>
  <c r="E22" i="3"/>
  <c r="E63" i="3"/>
  <c r="E22" i="1"/>
  <c r="E50" i="1"/>
  <c r="E72" i="1"/>
  <c r="O18" i="1"/>
  <c r="E22" i="4" l="1"/>
  <c r="E64" i="3"/>
  <c r="E23" i="3"/>
  <c r="O19" i="1"/>
  <c r="E73" i="1"/>
  <c r="E51" i="1"/>
  <c r="E23" i="1"/>
  <c r="E23" i="4" l="1"/>
  <c r="E65" i="3"/>
  <c r="E24" i="3"/>
  <c r="E24" i="1"/>
  <c r="E52" i="1"/>
  <c r="E74" i="1"/>
  <c r="O20" i="1"/>
  <c r="E24" i="4" l="1"/>
  <c r="E25" i="3"/>
  <c r="E66" i="3"/>
  <c r="E25" i="1"/>
  <c r="E75" i="1"/>
  <c r="O21" i="1"/>
  <c r="E25" i="4" l="1"/>
  <c r="E26" i="3"/>
  <c r="E67" i="3"/>
  <c r="E76" i="1"/>
  <c r="E26" i="1"/>
  <c r="O22" i="1"/>
  <c r="E26" i="4" l="1"/>
  <c r="E68" i="3"/>
  <c r="E27" i="3"/>
  <c r="O23" i="1"/>
  <c r="E27" i="1"/>
  <c r="E77" i="1"/>
  <c r="F3" i="4" l="1"/>
  <c r="F27" i="4"/>
  <c r="F26" i="4"/>
  <c r="F28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AF7" i="4" s="1"/>
  <c r="F17" i="4"/>
  <c r="F18" i="4"/>
  <c r="F19" i="4"/>
  <c r="F20" i="4"/>
  <c r="F21" i="4"/>
  <c r="F22" i="4"/>
  <c r="F23" i="4"/>
  <c r="F24" i="4"/>
  <c r="F25" i="4"/>
  <c r="E28" i="3"/>
  <c r="E69" i="3"/>
  <c r="O24" i="1"/>
  <c r="F28" i="1"/>
  <c r="F54" i="1"/>
  <c r="F29" i="1"/>
  <c r="F30" i="1"/>
  <c r="F3" i="1"/>
  <c r="F32" i="1"/>
  <c r="F33" i="1"/>
  <c r="F31" i="1"/>
  <c r="F4" i="1"/>
  <c r="F5" i="1"/>
  <c r="F55" i="1"/>
  <c r="F34" i="1"/>
  <c r="F6" i="1"/>
  <c r="F56" i="1"/>
  <c r="F35" i="1"/>
  <c r="F57" i="1"/>
  <c r="F7" i="1"/>
  <c r="F58" i="1"/>
  <c r="F8" i="1"/>
  <c r="F36" i="1"/>
  <c r="F37" i="1"/>
  <c r="F9" i="1"/>
  <c r="F59" i="1"/>
  <c r="F38" i="1"/>
  <c r="F10" i="1"/>
  <c r="F60" i="1"/>
  <c r="F61" i="1"/>
  <c r="F39" i="1"/>
  <c r="F11" i="1"/>
  <c r="F62" i="1"/>
  <c r="F12" i="1"/>
  <c r="F40" i="1"/>
  <c r="F13" i="1"/>
  <c r="F41" i="1"/>
  <c r="F63" i="1"/>
  <c r="F64" i="1"/>
  <c r="F14" i="1"/>
  <c r="F42" i="1"/>
  <c r="F43" i="1"/>
  <c r="F65" i="1"/>
  <c r="F15" i="1"/>
  <c r="F44" i="1"/>
  <c r="F16" i="1"/>
  <c r="F66" i="1"/>
  <c r="F45" i="1"/>
  <c r="F67" i="1"/>
  <c r="F17" i="1"/>
  <c r="F46" i="1"/>
  <c r="F18" i="1"/>
  <c r="F68" i="1"/>
  <c r="F47" i="1"/>
  <c r="F19" i="1"/>
  <c r="F69" i="1"/>
  <c r="F70" i="1"/>
  <c r="F48" i="1"/>
  <c r="F20" i="1"/>
  <c r="F71" i="1"/>
  <c r="F49" i="1"/>
  <c r="F21" i="1"/>
  <c r="F22" i="1"/>
  <c r="F72" i="1"/>
  <c r="F50" i="1"/>
  <c r="F73" i="1"/>
  <c r="F23" i="1"/>
  <c r="F51" i="1"/>
  <c r="F24" i="1"/>
  <c r="AF8" i="1" s="1"/>
  <c r="F74" i="1"/>
  <c r="F75" i="1"/>
  <c r="F25" i="1"/>
  <c r="F76" i="1"/>
  <c r="F77" i="1"/>
  <c r="E78" i="1"/>
  <c r="F26" i="1"/>
  <c r="AF4" i="4" l="1"/>
  <c r="AF6" i="4"/>
  <c r="AF8" i="4"/>
  <c r="AB3" i="4"/>
  <c r="AB4" i="4"/>
  <c r="AF6" i="1"/>
  <c r="AB8" i="4"/>
  <c r="AA8" i="4"/>
  <c r="AB6" i="4"/>
  <c r="AA6" i="4"/>
  <c r="AA5" i="4"/>
  <c r="AB5" i="4"/>
  <c r="AB7" i="4"/>
  <c r="AA7" i="4"/>
  <c r="AA3" i="4"/>
  <c r="AA4" i="4"/>
  <c r="E70" i="3"/>
  <c r="E29" i="3"/>
  <c r="O25" i="1"/>
  <c r="AA10" i="4" l="1"/>
  <c r="AB10" i="4"/>
  <c r="E30" i="3"/>
  <c r="E71" i="3"/>
  <c r="O26" i="1"/>
  <c r="E72" i="3" l="1"/>
  <c r="E31" i="3"/>
  <c r="O27" i="1"/>
  <c r="E32" i="3" l="1"/>
  <c r="E73" i="3"/>
  <c r="O79" i="1"/>
  <c r="E33" i="3" l="1"/>
  <c r="E74" i="3"/>
  <c r="E75" i="3" l="1"/>
  <c r="E34" i="3"/>
  <c r="E35" i="3" l="1"/>
  <c r="E76" i="3"/>
  <c r="E77" i="3" l="1"/>
  <c r="E36" i="3"/>
  <c r="E37" i="3" l="1"/>
  <c r="E78" i="3"/>
  <c r="E79" i="3" l="1"/>
  <c r="E38" i="3"/>
  <c r="E39" i="3" l="1"/>
  <c r="E80" i="3"/>
  <c r="E81" i="3" l="1"/>
  <c r="E40" i="3"/>
  <c r="E41" i="3" l="1"/>
  <c r="E82" i="3"/>
  <c r="E42" i="3" l="1"/>
  <c r="F41" i="3" s="1"/>
  <c r="F44" i="3" l="1"/>
  <c r="F4" i="3"/>
  <c r="F3" i="3"/>
  <c r="F46" i="3"/>
  <c r="F45" i="3"/>
  <c r="F5" i="3"/>
  <c r="F47" i="3"/>
  <c r="M47" i="3" s="1"/>
  <c r="U47" i="3" s="1"/>
  <c r="F6" i="3"/>
  <c r="F7" i="3"/>
  <c r="F48" i="3"/>
  <c r="M48" i="3" s="1"/>
  <c r="U48" i="3" s="1"/>
  <c r="F49" i="3"/>
  <c r="M49" i="3" s="1"/>
  <c r="U49" i="3" s="1"/>
  <c r="F8" i="3"/>
  <c r="F50" i="3"/>
  <c r="M50" i="3" s="1"/>
  <c r="U50" i="3" s="1"/>
  <c r="F9" i="3"/>
  <c r="F51" i="3"/>
  <c r="M51" i="3" s="1"/>
  <c r="U51" i="3" s="1"/>
  <c r="F10" i="3"/>
  <c r="F11" i="3"/>
  <c r="F52" i="3"/>
  <c r="M52" i="3" s="1"/>
  <c r="U52" i="3" s="1"/>
  <c r="F53" i="3"/>
  <c r="M53" i="3" s="1"/>
  <c r="U53" i="3" s="1"/>
  <c r="F12" i="3"/>
  <c r="F54" i="3"/>
  <c r="M54" i="3" s="1"/>
  <c r="U54" i="3" s="1"/>
  <c r="F13" i="3"/>
  <c r="F14" i="3"/>
  <c r="F55" i="3"/>
  <c r="M55" i="3" s="1"/>
  <c r="U55" i="3" s="1"/>
  <c r="F56" i="3"/>
  <c r="M56" i="3" s="1"/>
  <c r="U56" i="3" s="1"/>
  <c r="F15" i="3"/>
  <c r="F16" i="3"/>
  <c r="F57" i="3"/>
  <c r="M57" i="3" s="1"/>
  <c r="U57" i="3" s="1"/>
  <c r="F17" i="3"/>
  <c r="F58" i="3"/>
  <c r="M58" i="3" s="1"/>
  <c r="U58" i="3" s="1"/>
  <c r="F59" i="3"/>
  <c r="M59" i="3" s="1"/>
  <c r="U59" i="3" s="1"/>
  <c r="F18" i="3"/>
  <c r="F60" i="3"/>
  <c r="M60" i="3" s="1"/>
  <c r="U60" i="3" s="1"/>
  <c r="F19" i="3"/>
  <c r="F20" i="3"/>
  <c r="F61" i="3"/>
  <c r="M61" i="3" s="1"/>
  <c r="U61" i="3" s="1"/>
  <c r="F21" i="3"/>
  <c r="F62" i="3"/>
  <c r="M62" i="3" s="1"/>
  <c r="U62" i="3" s="1"/>
  <c r="F63" i="3"/>
  <c r="M63" i="3" s="1"/>
  <c r="U63" i="3" s="1"/>
  <c r="F22" i="3"/>
  <c r="F64" i="3"/>
  <c r="M64" i="3" s="1"/>
  <c r="U64" i="3" s="1"/>
  <c r="F23" i="3"/>
  <c r="F24" i="3"/>
  <c r="F65" i="3"/>
  <c r="M65" i="3" s="1"/>
  <c r="U65" i="3" s="1"/>
  <c r="F25" i="3"/>
  <c r="F66" i="3"/>
  <c r="M66" i="3" s="1"/>
  <c r="U66" i="3" s="1"/>
  <c r="F67" i="3"/>
  <c r="M67" i="3" s="1"/>
  <c r="U67" i="3" s="1"/>
  <c r="F26" i="3"/>
  <c r="F27" i="3"/>
  <c r="F68" i="3"/>
  <c r="F69" i="3"/>
  <c r="F28" i="3"/>
  <c r="F29" i="3"/>
  <c r="F70" i="3"/>
  <c r="F71" i="3"/>
  <c r="F30" i="3"/>
  <c r="F31" i="3"/>
  <c r="F72" i="3"/>
  <c r="F32" i="3"/>
  <c r="F73" i="3"/>
  <c r="F74" i="3"/>
  <c r="F33" i="3"/>
  <c r="F75" i="3"/>
  <c r="F34" i="3"/>
  <c r="F76" i="3"/>
  <c r="F35" i="3"/>
  <c r="F36" i="3"/>
  <c r="F77" i="3"/>
  <c r="F78" i="3"/>
  <c r="F37" i="3"/>
  <c r="F38" i="3"/>
  <c r="F79" i="3"/>
  <c r="F80" i="3"/>
  <c r="F39" i="3"/>
  <c r="F40" i="3"/>
  <c r="F81" i="3"/>
  <c r="F82" i="3"/>
  <c r="W7" i="3" l="1"/>
  <c r="W6" i="3"/>
  <c r="W25" i="3"/>
  <c r="W30" i="3"/>
  <c r="W22" i="3"/>
  <c r="P8" i="3"/>
  <c r="P22" i="3"/>
  <c r="M22" i="3"/>
  <c r="U22" i="3" s="1"/>
  <c r="P18" i="3"/>
  <c r="M18" i="3"/>
  <c r="U18" i="3" s="1"/>
  <c r="P14" i="3"/>
  <c r="M14" i="3"/>
  <c r="U14" i="3" s="1"/>
  <c r="M13" i="3"/>
  <c r="U13" i="3" s="1"/>
  <c r="P13" i="3"/>
  <c r="M9" i="3"/>
  <c r="U9" i="3" s="1"/>
  <c r="P9" i="3"/>
  <c r="M25" i="3"/>
  <c r="U25" i="3" s="1"/>
  <c r="P25" i="3"/>
  <c r="M17" i="3"/>
  <c r="U17" i="3" s="1"/>
  <c r="P17" i="3"/>
  <c r="P20" i="3"/>
  <c r="M20" i="3"/>
  <c r="U20" i="3" s="1"/>
  <c r="P16" i="3"/>
  <c r="M16" i="3"/>
  <c r="U16" i="3" s="1"/>
  <c r="M6" i="3"/>
  <c r="P12" i="3"/>
  <c r="M12" i="3"/>
  <c r="U12" i="3" s="1"/>
  <c r="M23" i="3"/>
  <c r="U23" i="3" s="1"/>
  <c r="P23" i="3"/>
  <c r="M19" i="3"/>
  <c r="U19" i="3" s="1"/>
  <c r="P19" i="3"/>
  <c r="M15" i="3"/>
  <c r="U15" i="3" s="1"/>
  <c r="P15" i="3"/>
  <c r="P26" i="3"/>
  <c r="M26" i="3"/>
  <c r="U26" i="3" s="1"/>
  <c r="P10" i="3"/>
  <c r="M10" i="3"/>
  <c r="U10" i="3" s="1"/>
  <c r="M21" i="3"/>
  <c r="U21" i="3" s="1"/>
  <c r="P21" i="3"/>
  <c r="P24" i="3"/>
  <c r="M24" i="3"/>
  <c r="U24" i="3" s="1"/>
  <c r="M11" i="3"/>
  <c r="U11" i="3" s="1"/>
  <c r="P11" i="3"/>
  <c r="M7" i="3"/>
  <c r="U7" i="3" s="1"/>
  <c r="P7" i="3"/>
  <c r="W24" i="3" l="1"/>
  <c r="W26" i="3"/>
  <c r="W34" i="3"/>
  <c r="W21" i="3"/>
  <c r="W29" i="3"/>
  <c r="W37" i="3"/>
  <c r="W33" i="3"/>
  <c r="W42" i="3"/>
  <c r="W13" i="3"/>
  <c r="W41" i="3"/>
  <c r="W27" i="3"/>
  <c r="W20" i="3"/>
  <c r="W23" i="3"/>
  <c r="W16" i="3"/>
  <c r="W9" i="3"/>
  <c r="W38" i="3"/>
  <c r="W36" i="3"/>
  <c r="W17" i="3"/>
  <c r="W35" i="3"/>
  <c r="W28" i="3"/>
  <c r="W12" i="3"/>
  <c r="W31" i="3"/>
  <c r="W32" i="3"/>
  <c r="W19" i="3"/>
  <c r="W18" i="3"/>
  <c r="W39" i="3"/>
  <c r="W15" i="3"/>
  <c r="W8" i="3"/>
  <c r="W11" i="3"/>
  <c r="W10" i="3"/>
  <c r="W40" i="3"/>
  <c r="W14" i="3"/>
  <c r="M8" i="3"/>
  <c r="N10" i="3" s="1"/>
  <c r="U6" i="3"/>
  <c r="N4" i="3" l="1"/>
  <c r="N15" i="3"/>
  <c r="N6" i="3"/>
  <c r="N11" i="3"/>
  <c r="N20" i="3"/>
  <c r="N37" i="3"/>
  <c r="N21" i="3"/>
  <c r="N30" i="3"/>
  <c r="N18" i="3"/>
  <c r="N25" i="3"/>
  <c r="N36" i="3"/>
  <c r="N17" i="3"/>
  <c r="N31" i="3"/>
  <c r="N27" i="3"/>
  <c r="N39" i="3"/>
  <c r="N14" i="3"/>
  <c r="N19" i="3"/>
  <c r="N22" i="3"/>
  <c r="N16" i="3"/>
  <c r="N33" i="3"/>
  <c r="N38" i="3"/>
  <c r="N7" i="3"/>
  <c r="N32" i="3"/>
  <c r="N8" i="3"/>
  <c r="N34" i="3"/>
  <c r="N35" i="3"/>
  <c r="N9" i="3"/>
  <c r="N12" i="3"/>
  <c r="U8" i="3"/>
  <c r="M85" i="3"/>
  <c r="U85" i="3" s="1"/>
  <c r="AF14" i="3" s="1"/>
  <c r="N29" i="3"/>
  <c r="N26" i="3"/>
  <c r="N41" i="3"/>
  <c r="N40" i="3"/>
  <c r="N28" i="3"/>
  <c r="N23" i="3"/>
  <c r="N3" i="3"/>
  <c r="O3" i="3" s="1"/>
  <c r="O4" i="3" s="1"/>
  <c r="N24" i="3"/>
  <c r="N13" i="3"/>
  <c r="N84" i="3"/>
  <c r="AA8" i="3" s="1"/>
  <c r="N42" i="3"/>
  <c r="N5" i="3"/>
  <c r="AA4" i="3" l="1"/>
  <c r="V23" i="3"/>
  <c r="V58" i="3"/>
  <c r="V59" i="3"/>
  <c r="V44" i="3"/>
  <c r="V84" i="3"/>
  <c r="AF8" i="3"/>
  <c r="V62" i="3"/>
  <c r="V83" i="3"/>
  <c r="V81" i="3"/>
  <c r="AF13" i="3"/>
  <c r="AF9" i="3"/>
  <c r="V55" i="3"/>
  <c r="V11" i="3"/>
  <c r="V63" i="3"/>
  <c r="V24" i="3"/>
  <c r="V3" i="3"/>
  <c r="V30" i="3"/>
  <c r="V8" i="3"/>
  <c r="V60" i="3"/>
  <c r="V28" i="3"/>
  <c r="V5" i="3"/>
  <c r="V77" i="3"/>
  <c r="V22" i="3"/>
  <c r="V79" i="3"/>
  <c r="V13" i="3"/>
  <c r="V66" i="3"/>
  <c r="V71" i="3"/>
  <c r="V21" i="3"/>
  <c r="V61" i="3"/>
  <c r="V33" i="3"/>
  <c r="V80" i="3"/>
  <c r="V29" i="3"/>
  <c r="V53" i="3"/>
  <c r="V68" i="3"/>
  <c r="V49" i="3"/>
  <c r="V52" i="3"/>
  <c r="V74" i="3"/>
  <c r="V27" i="3"/>
  <c r="AF4" i="3"/>
  <c r="V18" i="3"/>
  <c r="V64" i="3"/>
  <c r="V69" i="3"/>
  <c r="V34" i="3"/>
  <c r="V12" i="3"/>
  <c r="AA5" i="3"/>
  <c r="V7" i="3"/>
  <c r="V14" i="3"/>
  <c r="V67" i="3"/>
  <c r="V47" i="3"/>
  <c r="V50" i="3"/>
  <c r="V78" i="3"/>
  <c r="V76" i="3"/>
  <c r="V46" i="3"/>
  <c r="V38" i="3"/>
  <c r="V4" i="3"/>
  <c r="AF6" i="3"/>
  <c r="V19" i="3"/>
  <c r="V82" i="3"/>
  <c r="V36" i="3"/>
  <c r="V72" i="3"/>
  <c r="V85" i="3"/>
  <c r="AA6" i="3"/>
  <c r="V26" i="3"/>
  <c r="V54" i="3"/>
  <c r="V65" i="3"/>
  <c r="V41" i="3"/>
  <c r="V75" i="3"/>
  <c r="V16" i="3"/>
  <c r="V20" i="3"/>
  <c r="V10" i="3"/>
  <c r="V56" i="3"/>
  <c r="V51" i="3"/>
  <c r="V73" i="3"/>
  <c r="V42" i="3"/>
  <c r="V32" i="3"/>
  <c r="V31" i="3"/>
  <c r="V37" i="3"/>
  <c r="AA7" i="3"/>
  <c r="V6" i="3"/>
  <c r="V17" i="3"/>
  <c r="V9" i="3"/>
  <c r="V25" i="3"/>
  <c r="V57" i="3"/>
  <c r="V48" i="3"/>
  <c r="V45" i="3"/>
  <c r="V39" i="3"/>
  <c r="V35" i="3"/>
  <c r="V70" i="3"/>
  <c r="V40" i="3"/>
  <c r="AF15" i="3"/>
  <c r="N85" i="3"/>
  <c r="AA3" i="3"/>
  <c r="AF5" i="3"/>
  <c r="AF12" i="3"/>
  <c r="O5" i="3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85" i="3" s="1"/>
  <c r="AF7" i="3"/>
  <c r="AF16" i="3"/>
  <c r="V15" i="3"/>
  <c r="AF3" i="3"/>
  <c r="AA9" i="3" l="1"/>
</calcChain>
</file>

<file path=xl/sharedStrings.xml><?xml version="1.0" encoding="utf-8"?>
<sst xmlns="http://schemas.openxmlformats.org/spreadsheetml/2006/main" count="565" uniqueCount="239">
  <si>
    <t>Total Cell Density</t>
  </si>
  <si>
    <t>Viable Cell Density</t>
  </si>
  <si>
    <t>Cell Viability</t>
  </si>
  <si>
    <t xml:space="preserve">AAV qPCR </t>
  </si>
  <si>
    <t>Operation</t>
  </si>
  <si>
    <t>Sample ID</t>
  </si>
  <si>
    <t>Sample Details/Testing</t>
  </si>
  <si>
    <t>Process Date</t>
  </si>
  <si>
    <t>NTUs</t>
  </si>
  <si>
    <t>Total Cells/mL (x10^6)</t>
  </si>
  <si>
    <t>Viable Cells/mL (x10^6)</t>
  </si>
  <si>
    <t>(%)</t>
  </si>
  <si>
    <t>AAV qPCR (vg/mL)</t>
  </si>
  <si>
    <t>Flask</t>
  </si>
  <si>
    <t>Flask - T1</t>
  </si>
  <si>
    <t>T1</t>
  </si>
  <si>
    <t>Flask - T2</t>
  </si>
  <si>
    <t>T2</t>
  </si>
  <si>
    <t>Flask - T3</t>
  </si>
  <si>
    <t>T3</t>
  </si>
  <si>
    <t>Flask - T4</t>
  </si>
  <si>
    <t>T4</t>
  </si>
  <si>
    <t>Flask - T5</t>
  </si>
  <si>
    <t>T5</t>
  </si>
  <si>
    <t>Flask - T6</t>
  </si>
  <si>
    <t>T6</t>
  </si>
  <si>
    <t>Flask - T7</t>
  </si>
  <si>
    <t>T7</t>
  </si>
  <si>
    <t>Flask - T8</t>
  </si>
  <si>
    <t>T8</t>
  </si>
  <si>
    <t>Flask - T9</t>
  </si>
  <si>
    <t>T9</t>
  </si>
  <si>
    <t>Flask - T10</t>
  </si>
  <si>
    <t>T10</t>
  </si>
  <si>
    <t>Flask - T11</t>
  </si>
  <si>
    <t>T11</t>
  </si>
  <si>
    <t>Flask - T12</t>
  </si>
  <si>
    <t>T12</t>
  </si>
  <si>
    <t>Flask - T13</t>
  </si>
  <si>
    <t>T13</t>
  </si>
  <si>
    <t>Flask - T14</t>
  </si>
  <si>
    <t>T14</t>
  </si>
  <si>
    <t>Flask - T15</t>
  </si>
  <si>
    <t>T15</t>
  </si>
  <si>
    <t>Flask - T16</t>
  </si>
  <si>
    <t>T16</t>
  </si>
  <si>
    <t>Flask - T17</t>
  </si>
  <si>
    <t>T17</t>
  </si>
  <si>
    <t>Flask - T18</t>
  </si>
  <si>
    <t>T18</t>
  </si>
  <si>
    <t>Flask - T19</t>
  </si>
  <si>
    <t>T19</t>
  </si>
  <si>
    <t>Flask - T20</t>
  </si>
  <si>
    <t>T20</t>
  </si>
  <si>
    <t>Flask - T21</t>
  </si>
  <si>
    <t>T21</t>
  </si>
  <si>
    <t>Flask - T22</t>
  </si>
  <si>
    <t>T22</t>
  </si>
  <si>
    <t>Flask - T23</t>
  </si>
  <si>
    <t>T23</t>
  </si>
  <si>
    <t>Flask - T24</t>
  </si>
  <si>
    <t>T24</t>
  </si>
  <si>
    <t>Flask - T25</t>
  </si>
  <si>
    <t>T25</t>
  </si>
  <si>
    <t>Inward Outlet</t>
  </si>
  <si>
    <t>IW - T1</t>
  </si>
  <si>
    <t>IW - T2</t>
  </si>
  <si>
    <t>IW - T3</t>
  </si>
  <si>
    <t>IW - T4</t>
  </si>
  <si>
    <t>IW - T5</t>
  </si>
  <si>
    <t>IW - T6</t>
  </si>
  <si>
    <t>IW - T7</t>
  </si>
  <si>
    <t>IW - T8</t>
  </si>
  <si>
    <t>IW - T9</t>
  </si>
  <si>
    <t>IW - T10</t>
  </si>
  <si>
    <t>IW - T11</t>
  </si>
  <si>
    <t>IW - T12</t>
  </si>
  <si>
    <t>IW - T13</t>
  </si>
  <si>
    <t>IW - T14</t>
  </si>
  <si>
    <t>IW - T15</t>
  </si>
  <si>
    <t>IW - T16</t>
  </si>
  <si>
    <t>IW - T17</t>
  </si>
  <si>
    <t>IW - T18</t>
  </si>
  <si>
    <t>IW - T19</t>
  </si>
  <si>
    <t>IW - T20</t>
  </si>
  <si>
    <t>IW - T21</t>
  </si>
  <si>
    <t>IW - T22</t>
  </si>
  <si>
    <t>IW - T23</t>
  </si>
  <si>
    <t>IW - T24</t>
  </si>
  <si>
    <t>IW - T25</t>
  </si>
  <si>
    <t>Outward Outlet</t>
  </si>
  <si>
    <t>OW - T1</t>
  </si>
  <si>
    <t>OW - T2</t>
  </si>
  <si>
    <t>OW - T3</t>
  </si>
  <si>
    <t>OW - T4</t>
  </si>
  <si>
    <t>OW - T5</t>
  </si>
  <si>
    <t>OW - T6</t>
  </si>
  <si>
    <t>OW - T7</t>
  </si>
  <si>
    <t>OW - T8</t>
  </si>
  <si>
    <t>OW - T9</t>
  </si>
  <si>
    <t>OW - T10</t>
  </si>
  <si>
    <t>OW - T11</t>
  </si>
  <si>
    <t>OW - T12</t>
  </si>
  <si>
    <t>OW - T13</t>
  </si>
  <si>
    <t>OW - T14</t>
  </si>
  <si>
    <t>OW - T15</t>
  </si>
  <si>
    <t>OW - T16</t>
  </si>
  <si>
    <t>OW - T17</t>
  </si>
  <si>
    <t>OW - T18</t>
  </si>
  <si>
    <t>OW - T19</t>
  </si>
  <si>
    <t>OW - T20</t>
  </si>
  <si>
    <t>OW - T21</t>
  </si>
  <si>
    <t>OW - T22*</t>
  </si>
  <si>
    <t>OW - T23*</t>
  </si>
  <si>
    <t>OW - T24*</t>
  </si>
  <si>
    <t>OW - T25*</t>
  </si>
  <si>
    <t>Turbidity</t>
  </si>
  <si>
    <t>Total AAV in fraction (vg)</t>
  </si>
  <si>
    <t>Total cells in fraction (x10^6)</t>
  </si>
  <si>
    <t>Percentage of total cells in fraction (%)</t>
  </si>
  <si>
    <t>Cumulative Percentage of Cell Breakthrough (%)</t>
  </si>
  <si>
    <t>Cell Clarification Efficiency (%)</t>
  </si>
  <si>
    <t>Sum</t>
  </si>
  <si>
    <t>-</t>
  </si>
  <si>
    <t>Percentage of total AAV in fraction (%)</t>
  </si>
  <si>
    <t>Cumulative Percentage of AAV Recovery (%)</t>
  </si>
  <si>
    <t>Leftovers</t>
  </si>
  <si>
    <t>Volume Collected in Fraction (mL)</t>
  </si>
  <si>
    <t>OW - T22</t>
  </si>
  <si>
    <t>OW - T23</t>
  </si>
  <si>
    <t>OW - T24</t>
  </si>
  <si>
    <t>OW - T25</t>
  </si>
  <si>
    <t>OW - T26</t>
  </si>
  <si>
    <t>OW - T27</t>
  </si>
  <si>
    <t>OW - T28</t>
  </si>
  <si>
    <t>OW - T29</t>
  </si>
  <si>
    <t>OW - T30</t>
  </si>
  <si>
    <t>OW - T31</t>
  </si>
  <si>
    <t>OW - T32</t>
  </si>
  <si>
    <t>OW - T33</t>
  </si>
  <si>
    <t>OW - T34</t>
  </si>
  <si>
    <t>OW - T35</t>
  </si>
  <si>
    <t>OW - T36</t>
  </si>
  <si>
    <t>OW - T37</t>
  </si>
  <si>
    <t>OW - T38</t>
  </si>
  <si>
    <t>OW - T39</t>
  </si>
  <si>
    <t>OW - T40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</si>
  <si>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</si>
  <si>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</si>
  <si>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</si>
  <si>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</si>
  <si>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</si>
  <si>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</si>
  <si>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</si>
  <si>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</si>
  <si>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</si>
  <si>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</si>
  <si>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</si>
  <si>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</si>
  <si>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</si>
  <si>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</si>
  <si>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</si>
  <si>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Initial Flask</t>
  </si>
  <si>
    <t>Flask - T26</t>
  </si>
  <si>
    <t>Flask - T27</t>
  </si>
  <si>
    <t>Flask - T28</t>
  </si>
  <si>
    <t>Flask - T29</t>
  </si>
  <si>
    <t>Flask - T30</t>
  </si>
  <si>
    <t>Flask - T31</t>
  </si>
  <si>
    <t>Flask - T32</t>
  </si>
  <si>
    <t>Flask - T33</t>
  </si>
  <si>
    <t>Flask - T34</t>
  </si>
  <si>
    <t>Flask - T35</t>
  </si>
  <si>
    <t>Flask - T36</t>
  </si>
  <si>
    <t>Flask - T37</t>
  </si>
  <si>
    <t>Flask - T38</t>
  </si>
  <si>
    <t>Flask - T39</t>
  </si>
  <si>
    <t>Flask - T40</t>
  </si>
  <si>
    <t>OW - Bottle</t>
  </si>
  <si>
    <t>Bottle</t>
  </si>
  <si>
    <t>HRC Filtrate</t>
  </si>
  <si>
    <t>HRC</t>
  </si>
  <si>
    <t>a</t>
  </si>
  <si>
    <t>b</t>
  </si>
  <si>
    <t>c</t>
  </si>
  <si>
    <t>Estimated Cell Density</t>
  </si>
  <si>
    <t>y=a*e^(bx) + c Model</t>
  </si>
  <si>
    <t>Process Volume Remaining before sample (mL)</t>
  </si>
  <si>
    <t>Values in red are determined by a curve fit to predict what the total cell density would have been</t>
  </si>
  <si>
    <t>Volume Processed (mL)</t>
  </si>
  <si>
    <t>Percentage Processed (%)</t>
  </si>
  <si>
    <t>AAV divided by cells in fraction (vg/cell)</t>
  </si>
  <si>
    <t>Normalized AAV divided by cells in fraction ()</t>
  </si>
  <si>
    <t>Percentage Processed Range (%-%)</t>
  </si>
  <si>
    <t>0%-50%</t>
  </si>
  <si>
    <t>50%-60%</t>
  </si>
  <si>
    <t>60%-70%</t>
  </si>
  <si>
    <t>70%-80%</t>
  </si>
  <si>
    <t>80%-90%</t>
  </si>
  <si>
    <t>90%-100%</t>
  </si>
  <si>
    <t>0%-20%</t>
  </si>
  <si>
    <t>20%-40%</t>
  </si>
  <si>
    <t>40%-60%</t>
  </si>
  <si>
    <t>60%-80%</t>
  </si>
  <si>
    <t>80%-100%</t>
  </si>
  <si>
    <t>Material Left Behind and not Harvested</t>
  </si>
  <si>
    <t>Total volume with NTU &lt; 300</t>
  </si>
  <si>
    <t>Percentage of total volume with NTU &lt; 300</t>
  </si>
  <si>
    <t>Volume-weighted average titer</t>
  </si>
  <si>
    <t>HRC Filtrate titer</t>
  </si>
  <si>
    <t>Percentage recovery post-HRC</t>
  </si>
  <si>
    <t>Conditions</t>
  </si>
  <si>
    <t>Value</t>
  </si>
  <si>
    <t>Recoverable vectors in sample with NTU &lt; 300</t>
  </si>
  <si>
    <t>Outward Outlet (all)</t>
  </si>
  <si>
    <t>Outward Outlet (All)</t>
  </si>
  <si>
    <t>Flask (All)</t>
  </si>
  <si>
    <t>Inward Outlet (All)</t>
  </si>
  <si>
    <t>Outward Outlet (up to 20%)</t>
  </si>
  <si>
    <t>Flask (up to 20%)</t>
  </si>
  <si>
    <t>Inward Outlet (up to 20%)</t>
  </si>
  <si>
    <t>Sample Source (up to % process complete)</t>
  </si>
  <si>
    <t>Outward Outlet (up to 40%)</t>
  </si>
  <si>
    <t>Flask (up to 40%)</t>
  </si>
  <si>
    <t>Inward Outlet (up to 40%)</t>
  </si>
  <si>
    <t>Outward Outlet (up to 60%)</t>
  </si>
  <si>
    <t>Flask (up to 60%)</t>
  </si>
  <si>
    <t>Inward Outlet (up to 60%)</t>
  </si>
  <si>
    <t>Outward Outlet (up to 80%)</t>
  </si>
  <si>
    <t>Flask (up to 80%)</t>
  </si>
  <si>
    <t>Inward Outlet (up to 80%)</t>
  </si>
  <si>
    <t>Outward Outlet (up to 50%)</t>
  </si>
  <si>
    <t>Outward Outlet (up to 70%)</t>
  </si>
  <si>
    <t>Outward Outlet (up to 90%)</t>
  </si>
  <si>
    <t>This is cumulative because it goes from 0 - x%, normalized because it is a fold-increase in AAV/cell over baseline</t>
  </si>
  <si>
    <t>Outward Outlet (up to 66.7%)</t>
  </si>
  <si>
    <t>Cumulative total AAVs (vg)</t>
  </si>
  <si>
    <t>Cumulative Total Harvest Cell Density (M/mL)</t>
  </si>
  <si>
    <t>Cumulative Normalized AAV/cell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</si>
</sst>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00"/>
    <numFmt numFmtId="166" formatCode="0.0"/>
    <numFmt numFmtId="167" formatCode="0.0000"/>
    <numFmt numFmtId="168" formatCode="0.00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8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1" fillId="0" borderId="0"/>
    <xf numFmtId="9" fontId="2" fillId="0" borderId="0" applyFont="0" applyFill="0" applyBorder="0" applyAlignment="0" applyProtection="0"/>
  </cellStyleXfs>
  <cellXfs count="253">
    <xf numFmtId="0" fontId="0" fillId="0" borderId="0" xfId="0"/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" fontId="3" fillId="5" borderId="4" xfId="2" applyNumberFormat="1" applyFont="1" applyFill="1" applyBorder="1" applyAlignment="1">
      <alignment horizontal="center" vertical="center" wrapText="1"/>
    </xf>
    <xf numFmtId="11" fontId="3" fillId="5" borderId="4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1" fontId="3" fillId="5" borderId="6" xfId="2" applyNumberFormat="1" applyFont="1" applyFill="1" applyBorder="1" applyAlignment="1">
      <alignment horizontal="center" vertical="center" wrapText="1"/>
    </xf>
    <xf numFmtId="11" fontId="3" fillId="5" borderId="6" xfId="2" applyNumberFormat="1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1" fontId="3" fillId="5" borderId="2" xfId="2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7" fillId="0" borderId="0" xfId="0" applyFont="1"/>
    <xf numFmtId="0" fontId="4" fillId="0" borderId="6" xfId="2" applyFont="1" applyBorder="1" applyAlignment="1">
      <alignment horizontal="center" vertical="center" wrapText="1"/>
    </xf>
    <xf numFmtId="1" fontId="3" fillId="5" borderId="2" xfId="2" applyNumberFormat="1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64" fontId="3" fillId="3" borderId="8" xfId="2" applyNumberFormat="1" applyFont="1" applyFill="1" applyBorder="1" applyAlignment="1">
      <alignment horizontal="center" vertical="center" wrapText="1"/>
    </xf>
    <xf numFmtId="164" fontId="3" fillId="3" borderId="8" xfId="3" applyNumberFormat="1" applyFont="1" applyFill="1" applyBorder="1" applyAlignment="1">
      <alignment horizontal="center" vertical="center" wrapText="1"/>
    </xf>
    <xf numFmtId="164" fontId="3" fillId="2" borderId="8" xfId="3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3" fillId="5" borderId="4" xfId="2" applyNumberFormat="1" applyFont="1" applyFill="1" applyBorder="1" applyAlignment="1">
      <alignment horizontal="center" vertical="center" wrapText="1"/>
    </xf>
    <xf numFmtId="166" fontId="3" fillId="5" borderId="4" xfId="2" applyNumberFormat="1" applyFont="1" applyFill="1" applyBorder="1" applyAlignment="1">
      <alignment horizontal="center" vertical="center" wrapText="1"/>
    </xf>
    <xf numFmtId="1" fontId="3" fillId="5" borderId="4" xfId="2" quotePrefix="1" applyNumberFormat="1" applyFont="1" applyFill="1" applyBorder="1" applyAlignment="1">
      <alignment horizontal="center" vertical="center" wrapText="1"/>
    </xf>
    <xf numFmtId="2" fontId="3" fillId="5" borderId="4" xfId="2" applyNumberFormat="1" applyFont="1" applyFill="1" applyBorder="1" applyAlignment="1">
      <alignment horizontal="center" vertical="center" wrapText="1"/>
    </xf>
    <xf numFmtId="2" fontId="3" fillId="6" borderId="4" xfId="2" applyNumberFormat="1" applyFont="1" applyFill="1" applyBorder="1" applyAlignment="1">
      <alignment horizontal="center" vertical="center" wrapText="1"/>
    </xf>
    <xf numFmtId="1" fontId="3" fillId="5" borderId="6" xfId="2" quotePrefix="1" applyNumberFormat="1" applyFont="1" applyFill="1" applyBorder="1" applyAlignment="1">
      <alignment horizontal="center" vertical="center" wrapText="1"/>
    </xf>
    <xf numFmtId="165" fontId="3" fillId="5" borderId="6" xfId="2" applyNumberFormat="1" applyFont="1" applyFill="1" applyBorder="1" applyAlignment="1">
      <alignment horizontal="center" vertical="center" wrapText="1"/>
    </xf>
    <xf numFmtId="166" fontId="3" fillId="5" borderId="6" xfId="2" applyNumberFormat="1" applyFont="1" applyFill="1" applyBorder="1" applyAlignment="1">
      <alignment horizontal="center" vertical="center" wrapText="1"/>
    </xf>
    <xf numFmtId="2" fontId="3" fillId="5" borderId="2" xfId="2" applyNumberFormat="1" applyFont="1" applyFill="1" applyBorder="1" applyAlignment="1">
      <alignment horizontal="center" vertical="center" wrapText="1"/>
    </xf>
    <xf numFmtId="2" fontId="3" fillId="6" borderId="2" xfId="2" applyNumberFormat="1" applyFont="1" applyFill="1" applyBorder="1" applyAlignment="1">
      <alignment horizontal="center" vertical="center" wrapText="1"/>
    </xf>
    <xf numFmtId="165" fontId="3" fillId="5" borderId="2" xfId="2" applyNumberFormat="1" applyFont="1" applyFill="1" applyBorder="1" applyAlignment="1">
      <alignment horizontal="center" vertical="center" wrapText="1"/>
    </xf>
    <xf numFmtId="166" fontId="3" fillId="5" borderId="2" xfId="2" applyNumberFormat="1" applyFont="1" applyFill="1" applyBorder="1" applyAlignment="1">
      <alignment horizontal="center" vertical="center" wrapText="1"/>
    </xf>
    <xf numFmtId="2" fontId="3" fillId="5" borderId="6" xfId="2" applyNumberFormat="1" applyFont="1" applyFill="1" applyBorder="1" applyAlignment="1">
      <alignment horizontal="center" vertical="center" wrapText="1"/>
    </xf>
    <xf numFmtId="2" fontId="3" fillId="6" borderId="6" xfId="2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2" borderId="8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" fontId="3" fillId="6" borderId="4" xfId="2" applyNumberFormat="1" applyFont="1" applyFill="1" applyBorder="1" applyAlignment="1">
      <alignment horizontal="center" vertical="center" wrapText="1"/>
    </xf>
    <xf numFmtId="165" fontId="3" fillId="6" borderId="4" xfId="2" applyNumberFormat="1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 wrapText="1"/>
    </xf>
    <xf numFmtId="11" fontId="3" fillId="5" borderId="17" xfId="2" applyNumberFormat="1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6" fontId="3" fillId="6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1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8" xfId="0" applyFont="1" applyBorder="1"/>
    <xf numFmtId="0" fontId="5" fillId="6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1" fontId="5" fillId="0" borderId="6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1" fontId="5" fillId="0" borderId="12" xfId="0" applyNumberFormat="1" applyFont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6" fontId="3" fillId="0" borderId="4" xfId="2" applyNumberFormat="1" applyFont="1" applyBorder="1" applyAlignment="1">
      <alignment horizontal="center" vertical="center" wrapText="1"/>
    </xf>
    <xf numFmtId="11" fontId="3" fillId="0" borderId="4" xfId="2" applyNumberFormat="1" applyFont="1" applyBorder="1" applyAlignment="1">
      <alignment horizontal="center" vertical="center" wrapText="1"/>
    </xf>
    <xf numFmtId="1" fontId="3" fillId="0" borderId="4" xfId="2" quotePrefix="1" applyNumberFormat="1" applyFont="1" applyBorder="1" applyAlignment="1">
      <alignment horizontal="center" vertical="center" wrapText="1"/>
    </xf>
    <xf numFmtId="164" fontId="3" fillId="5" borderId="0" xfId="2" applyNumberFormat="1" applyFont="1" applyFill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4" fillId="5" borderId="12" xfId="2" applyFont="1" applyFill="1" applyBorder="1" applyAlignment="1">
      <alignment horizontal="center" vertical="center" wrapText="1"/>
    </xf>
    <xf numFmtId="164" fontId="4" fillId="5" borderId="0" xfId="2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4" fillId="5" borderId="19" xfId="2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164" fontId="3" fillId="5" borderId="19" xfId="2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11" fontId="6" fillId="0" borderId="19" xfId="0" applyNumberFormat="1" applyFont="1" applyBorder="1" applyAlignment="1">
      <alignment horizontal="center" vertical="center"/>
    </xf>
    <xf numFmtId="165" fontId="3" fillId="5" borderId="17" xfId="2" applyNumberFormat="1" applyFont="1" applyFill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164" fontId="3" fillId="5" borderId="12" xfId="2" applyNumberFormat="1" applyFont="1" applyFill="1" applyBorder="1" applyAlignment="1">
      <alignment vertical="center" wrapText="1"/>
    </xf>
    <xf numFmtId="166" fontId="3" fillId="5" borderId="17" xfId="2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/>
    </xf>
    <xf numFmtId="11" fontId="5" fillId="0" borderId="2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 vertical="center"/>
    </xf>
    <xf numFmtId="167" fontId="0" fillId="0" borderId="0" xfId="0" applyNumberFormat="1"/>
    <xf numFmtId="165" fontId="12" fillId="6" borderId="4" xfId="2" applyNumberFormat="1" applyFont="1" applyFill="1" applyBorder="1" applyAlignment="1">
      <alignment horizontal="center" vertical="center" wrapText="1"/>
    </xf>
    <xf numFmtId="2" fontId="12" fillId="6" borderId="4" xfId="2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3" fillId="0" borderId="0" xfId="0" applyFont="1"/>
    <xf numFmtId="166" fontId="3" fillId="3" borderId="8" xfId="2" applyNumberFormat="1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0" fillId="0" borderId="0" xfId="0" applyNumberFormat="1"/>
    <xf numFmtId="1" fontId="0" fillId="0" borderId="0" xfId="0" applyNumberFormat="1"/>
    <xf numFmtId="166" fontId="3" fillId="0" borderId="0" xfId="2" applyNumberFormat="1" applyFont="1" applyAlignment="1">
      <alignment vertical="center" wrapText="1"/>
    </xf>
    <xf numFmtId="166" fontId="3" fillId="5" borderId="12" xfId="2" applyNumberFormat="1" applyFont="1" applyFill="1" applyBorder="1" applyAlignment="1">
      <alignment vertical="center" wrapText="1"/>
    </xf>
    <xf numFmtId="166" fontId="3" fillId="5" borderId="0" xfId="2" applyNumberFormat="1" applyFont="1" applyFill="1" applyAlignment="1">
      <alignment vertical="center" wrapText="1"/>
    </xf>
    <xf numFmtId="166" fontId="3" fillId="5" borderId="19" xfId="2" applyNumberFormat="1" applyFont="1" applyFill="1" applyBorder="1" applyAlignment="1">
      <alignment horizontal="center" vertical="center" wrapText="1"/>
    </xf>
    <xf numFmtId="166" fontId="4" fillId="5" borderId="0" xfId="2" applyNumberFormat="1" applyFont="1" applyFill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166" fontId="3" fillId="0" borderId="2" xfId="2" applyNumberFormat="1" applyFont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66" fontId="3" fillId="0" borderId="6" xfId="2" applyNumberFormat="1" applyFont="1" applyBorder="1" applyAlignment="1">
      <alignment horizontal="center" vertical="center" wrapText="1"/>
    </xf>
    <xf numFmtId="1" fontId="3" fillId="6" borderId="6" xfId="2" quotePrefix="1" applyNumberFormat="1" applyFont="1" applyFill="1" applyBorder="1" applyAlignment="1">
      <alignment horizontal="center" vertical="center" wrapText="1"/>
    </xf>
    <xf numFmtId="165" fontId="3" fillId="0" borderId="6" xfId="2" applyNumberFormat="1" applyFont="1" applyBorder="1" applyAlignment="1">
      <alignment horizontal="center" vertical="center" wrapText="1"/>
    </xf>
    <xf numFmtId="2" fontId="5" fillId="6" borderId="6" xfId="0" applyNumberFormat="1" applyFont="1" applyFill="1" applyBorder="1" applyAlignment="1">
      <alignment horizontal="center" vertical="center"/>
    </xf>
    <xf numFmtId="11" fontId="3" fillId="0" borderId="6" xfId="2" applyNumberFormat="1" applyFont="1" applyBorder="1" applyAlignment="1">
      <alignment horizontal="center" vertical="center" wrapText="1"/>
    </xf>
    <xf numFmtId="167" fontId="14" fillId="0" borderId="0" xfId="0" applyNumberFormat="1" applyFont="1"/>
    <xf numFmtId="2" fontId="15" fillId="0" borderId="0" xfId="0" applyNumberFormat="1" applyFont="1"/>
    <xf numFmtId="2" fontId="13" fillId="0" borderId="0" xfId="0" applyNumberFormat="1" applyFont="1"/>
    <xf numFmtId="2" fontId="16" fillId="0" borderId="0" xfId="0" applyNumberFormat="1" applyFont="1"/>
    <xf numFmtId="168" fontId="0" fillId="0" borderId="0" xfId="0" applyNumberFormat="1"/>
    <xf numFmtId="165" fontId="6" fillId="6" borderId="4" xfId="0" applyNumberFormat="1" applyFont="1" applyFill="1" applyBorder="1" applyAlignment="1">
      <alignment horizontal="center"/>
    </xf>
    <xf numFmtId="166" fontId="5" fillId="0" borderId="4" xfId="0" applyNumberFormat="1" applyFont="1" applyBorder="1" applyAlignment="1">
      <alignment horizontal="center" vertical="center"/>
    </xf>
    <xf numFmtId="1" fontId="3" fillId="5" borderId="17" xfId="2" applyNumberFormat="1" applyFont="1" applyFill="1" applyBorder="1" applyAlignment="1">
      <alignment horizontal="center" vertical="center" wrapText="1"/>
    </xf>
    <xf numFmtId="1" fontId="3" fillId="0" borderId="0" xfId="2" applyNumberFormat="1" applyFont="1" applyAlignment="1">
      <alignment vertical="center" wrapText="1"/>
    </xf>
    <xf numFmtId="0" fontId="5" fillId="0" borderId="8" xfId="0" applyFont="1" applyBorder="1"/>
    <xf numFmtId="0" fontId="3" fillId="3" borderId="1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 wrapText="1"/>
    </xf>
    <xf numFmtId="164" fontId="3" fillId="3" borderId="12" xfId="2" applyNumberFormat="1" applyFont="1" applyFill="1" applyBorder="1" applyAlignment="1">
      <alignment horizontal="center" vertical="center" wrapText="1"/>
    </xf>
    <xf numFmtId="1" fontId="3" fillId="3" borderId="12" xfId="2" applyNumberFormat="1" applyFont="1" applyFill="1" applyBorder="1" applyAlignment="1">
      <alignment horizontal="center" vertical="center" wrapText="1"/>
    </xf>
    <xf numFmtId="166" fontId="3" fillId="3" borderId="12" xfId="2" applyNumberFormat="1" applyFont="1" applyFill="1" applyBorder="1" applyAlignment="1">
      <alignment horizontal="center" vertical="center" wrapText="1"/>
    </xf>
    <xf numFmtId="164" fontId="3" fillId="3" borderId="12" xfId="3" applyNumberFormat="1" applyFont="1" applyFill="1" applyBorder="1" applyAlignment="1">
      <alignment horizontal="center" vertical="center" wrapText="1"/>
    </xf>
    <xf numFmtId="164" fontId="3" fillId="3" borderId="19" xfId="3" applyNumberFormat="1" applyFont="1" applyFill="1" applyBorder="1" applyAlignment="1">
      <alignment horizontal="center" vertical="center" wrapText="1"/>
    </xf>
    <xf numFmtId="164" fontId="3" fillId="2" borderId="12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2" borderId="13" xfId="0" applyFont="1" applyFill="1" applyBorder="1" applyAlignment="1">
      <alignment horizontal="center" vertical="center"/>
    </xf>
    <xf numFmtId="164" fontId="3" fillId="2" borderId="14" xfId="3" applyNumberFormat="1" applyFont="1" applyFill="1" applyBorder="1" applyAlignment="1">
      <alignment horizontal="center" vertical="center" wrapText="1"/>
    </xf>
    <xf numFmtId="164" fontId="3" fillId="0" borderId="0" xfId="3" applyNumberFormat="1" applyFont="1" applyAlignment="1">
      <alignment vertical="center" wrapText="1"/>
    </xf>
    <xf numFmtId="2" fontId="5" fillId="0" borderId="17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2" fontId="8" fillId="0" borderId="0" xfId="0" applyNumberFormat="1" applyFont="1"/>
    <xf numFmtId="0" fontId="5" fillId="0" borderId="23" xfId="0" applyFont="1" applyBorder="1"/>
    <xf numFmtId="0" fontId="5" fillId="0" borderId="0" xfId="0" applyFont="1"/>
    <xf numFmtId="2" fontId="6" fillId="0" borderId="17" xfId="0" applyNumberFormat="1" applyFont="1" applyBorder="1" applyAlignment="1">
      <alignment horizontal="center"/>
    </xf>
    <xf numFmtId="2" fontId="5" fillId="0" borderId="17" xfId="1" applyNumberFormat="1" applyFont="1" applyBorder="1" applyAlignment="1">
      <alignment horizontal="center"/>
    </xf>
    <xf numFmtId="2" fontId="0" fillId="0" borderId="19" xfId="0" applyNumberFormat="1" applyBorder="1"/>
    <xf numFmtId="0" fontId="0" fillId="0" borderId="20" xfId="0" applyBorder="1"/>
    <xf numFmtId="0" fontId="3" fillId="0" borderId="8" xfId="2" applyFont="1" applyBorder="1" applyAlignment="1">
      <alignment horizontal="center" vertical="center" wrapText="1"/>
    </xf>
    <xf numFmtId="166" fontId="3" fillId="0" borderId="8" xfId="2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0" fillId="0" borderId="8" xfId="0" applyNumberFormat="1" applyBorder="1"/>
    <xf numFmtId="0" fontId="0" fillId="0" borderId="8" xfId="0" applyBorder="1"/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166" fontId="3" fillId="3" borderId="2" xfId="2" applyNumberFormat="1" applyFont="1" applyFill="1" applyBorder="1" applyAlignment="1">
      <alignment horizontal="center" vertical="center" wrapText="1"/>
    </xf>
    <xf numFmtId="164" fontId="3" fillId="3" borderId="2" xfId="3" applyNumberFormat="1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6" borderId="27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164" fontId="3" fillId="0" borderId="0" xfId="3" applyNumberFormat="1" applyFont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11" fontId="5" fillId="6" borderId="2" xfId="0" applyNumberFormat="1" applyFont="1" applyFill="1" applyBorder="1" applyAlignment="1">
      <alignment horizontal="center" vertical="center"/>
    </xf>
    <xf numFmtId="2" fontId="5" fillId="6" borderId="26" xfId="0" applyNumberFormat="1" applyFont="1" applyFill="1" applyBorder="1" applyAlignment="1">
      <alignment horizontal="center" vertical="center"/>
    </xf>
    <xf numFmtId="2" fontId="5" fillId="6" borderId="28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3" fillId="3" borderId="13" xfId="2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1" fontId="5" fillId="0" borderId="9" xfId="0" applyNumberFormat="1" applyFont="1" applyBorder="1" applyAlignment="1">
      <alignment horizontal="center" vertical="center"/>
    </xf>
    <xf numFmtId="11" fontId="5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11" fontId="0" fillId="0" borderId="0" xfId="0" applyNumberFormat="1"/>
    <xf numFmtId="2" fontId="5" fillId="6" borderId="3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6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3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" fontId="5" fillId="2" borderId="34" xfId="0" applyNumberFormat="1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5" fontId="5" fillId="2" borderId="34" xfId="0" applyNumberFormat="1" applyFont="1" applyFill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/>
    </xf>
    <xf numFmtId="167" fontId="5" fillId="2" borderId="34" xfId="0" applyNumberFormat="1" applyFont="1" applyFill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1" fontId="3" fillId="0" borderId="4" xfId="0" applyNumberFormat="1" applyFont="1" applyBorder="1" applyAlignment="1">
      <alignment horizontal="center" vertical="center"/>
    </xf>
    <xf numFmtId="165" fontId="3" fillId="0" borderId="35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4" fontId="3" fillId="2" borderId="8" xfId="3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textRotation="90" wrapText="1"/>
    </xf>
    <xf numFmtId="0" fontId="4" fillId="4" borderId="5" xfId="2" applyFont="1" applyFill="1" applyBorder="1" applyAlignment="1">
      <alignment horizontal="center" vertical="center" textRotation="90" wrapText="1"/>
    </xf>
    <xf numFmtId="0" fontId="4" fillId="4" borderId="9" xfId="2" applyFont="1" applyFill="1" applyBorder="1" applyAlignment="1">
      <alignment horizontal="center" vertical="center" textRotation="90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horizontal="center" vertical="center" wrapText="1"/>
    </xf>
    <xf numFmtId="164" fontId="3" fillId="5" borderId="2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textRotation="90" wrapText="1"/>
    </xf>
    <xf numFmtId="0" fontId="3" fillId="4" borderId="9" xfId="2" applyFont="1" applyFill="1" applyBorder="1" applyAlignment="1">
      <alignment horizontal="center" vertical="center" textRotation="90" wrapText="1"/>
    </xf>
    <xf numFmtId="0" fontId="3" fillId="4" borderId="5" xfId="2" applyFont="1" applyFill="1" applyBorder="1" applyAlignment="1">
      <alignment horizontal="center" vertical="center" textRotation="90" wrapText="1"/>
    </xf>
    <xf numFmtId="164" fontId="3" fillId="2" borderId="18" xfId="3" applyNumberFormat="1" applyFont="1" applyFill="1" applyBorder="1" applyAlignment="1">
      <alignment horizontal="center" vertical="center" wrapText="1"/>
    </xf>
    <xf numFmtId="164" fontId="3" fillId="2" borderId="19" xfId="3" applyNumberFormat="1" applyFont="1" applyFill="1" applyBorder="1" applyAlignment="1">
      <alignment horizontal="center" vertical="center" wrapText="1"/>
    </xf>
    <xf numFmtId="164" fontId="3" fillId="2" borderId="20" xfId="3" applyNumberFormat="1" applyFont="1" applyFill="1" applyBorder="1" applyAlignment="1">
      <alignment horizontal="center" vertical="center" wrapText="1"/>
    </xf>
    <xf numFmtId="0" fontId="3" fillId="4" borderId="24" xfId="2" applyFont="1" applyFill="1" applyBorder="1" applyAlignment="1">
      <alignment horizontal="center" vertical="center" textRotation="90" wrapText="1"/>
    </xf>
    <xf numFmtId="164" fontId="3" fillId="5" borderId="17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2" xr:uid="{4700CB5F-787F-411D-8AC8-600E9B15692C}"/>
    <cellStyle name="Normal 2 2 2" xfId="3" xr:uid="{42E83F32-8F37-4E3A-B643-990E3D7C55A0}"/>
    <cellStyle name="Normal 4" xfId="4" xr:uid="{CB911D44-4C17-470A-9CFE-A169E84ADC7D}"/>
    <cellStyle name="Normal 5" xfId="5" xr:uid="{7270E15C-7819-406A-A130-076E43A24D8C}"/>
    <cellStyle name="Percent" xfId="1" builtinId="5"/>
    <cellStyle name="Percent 2" xfId="6" xr:uid="{FD9ED5E4-9A10-4B82-9660-45187FC3E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Outward Outlet Total Cell Density vs Process Volume Remaining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Available Cell Density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('Study #2'!$F$3:$F$5,'Study #2'!$F$27:$F$42)</c:f>
              <c:numCache>
                <c:formatCode>0.0</c:formatCode>
                <c:ptCount val="19"/>
                <c:pt idx="0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62.5</c:v>
                </c:pt>
                <c:pt idx="4">
                  <c:v>65</c:v>
                </c:pt>
                <c:pt idx="5">
                  <c:v>67.5</c:v>
                </c:pt>
                <c:pt idx="6">
                  <c:v>70</c:v>
                </c:pt>
                <c:pt idx="7">
                  <c:v>72.5</c:v>
                </c:pt>
                <c:pt idx="8">
                  <c:v>75</c:v>
                </c:pt>
                <c:pt idx="9">
                  <c:v>77.5</c:v>
                </c:pt>
                <c:pt idx="10">
                  <c:v>80</c:v>
                </c:pt>
                <c:pt idx="11">
                  <c:v>82.5</c:v>
                </c:pt>
                <c:pt idx="12">
                  <c:v>85</c:v>
                </c:pt>
                <c:pt idx="13">
                  <c:v>87.5</c:v>
                </c:pt>
                <c:pt idx="14">
                  <c:v>90</c:v>
                </c:pt>
                <c:pt idx="15">
                  <c:v>92.5</c:v>
                </c:pt>
                <c:pt idx="16">
                  <c:v>95</c:v>
                </c:pt>
                <c:pt idx="17">
                  <c:v>97.5</c:v>
                </c:pt>
                <c:pt idx="18">
                  <c:v>100</c:v>
                </c:pt>
              </c:numCache>
            </c:numRef>
          </c:xVal>
          <c:yVal>
            <c:numRef>
              <c:f>('Study #2'!$J$3:$J$5,'Study #2'!$J$27:$J$42)</c:f>
              <c:numCache>
                <c:formatCode>0.000</c:formatCode>
                <c:ptCount val="19"/>
                <c:pt idx="0">
                  <c:v>4.3999999999999997E-2</c:v>
                </c:pt>
                <c:pt idx="1">
                  <c:v>3.1E-2</c:v>
                </c:pt>
                <c:pt idx="2">
                  <c:v>3.5000000000000003E-2</c:v>
                </c:pt>
                <c:pt idx="3">
                  <c:v>0.16</c:v>
                </c:pt>
                <c:pt idx="4">
                  <c:v>0.19</c:v>
                </c:pt>
                <c:pt idx="5">
                  <c:v>0.22</c:v>
                </c:pt>
                <c:pt idx="6">
                  <c:v>0.25</c:v>
                </c:pt>
                <c:pt idx="7">
                  <c:v>0.26</c:v>
                </c:pt>
                <c:pt idx="8">
                  <c:v>0.3</c:v>
                </c:pt>
                <c:pt idx="9">
                  <c:v>0.36</c:v>
                </c:pt>
                <c:pt idx="10">
                  <c:v>0.41</c:v>
                </c:pt>
                <c:pt idx="11">
                  <c:v>0.48</c:v>
                </c:pt>
                <c:pt idx="12">
                  <c:v>0.77</c:v>
                </c:pt>
                <c:pt idx="13">
                  <c:v>0.9</c:v>
                </c:pt>
                <c:pt idx="14">
                  <c:v>0.79</c:v>
                </c:pt>
                <c:pt idx="15">
                  <c:v>0.88</c:v>
                </c:pt>
                <c:pt idx="16">
                  <c:v>1.07</c:v>
                </c:pt>
                <c:pt idx="17">
                  <c:v>1.29</c:v>
                </c:pt>
                <c:pt idx="18">
                  <c:v>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52-4DCF-A2A5-3ADC21238ACB}"/>
            </c:ext>
          </c:extLst>
        </c:ser>
        <c:ser>
          <c:idx val="1"/>
          <c:order val="1"/>
          <c:tx>
            <c:v>Modeled Cell Density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'Study #2'!$F$3:$F$42</c:f>
              <c:numCache>
                <c:formatCode>0.0</c:formatCode>
                <c:ptCount val="40"/>
                <c:pt idx="0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10</c:v>
                </c:pt>
                <c:pt idx="4">
                  <c:v>12.5</c:v>
                </c:pt>
                <c:pt idx="5">
                  <c:v>15</c:v>
                </c:pt>
                <c:pt idx="6">
                  <c:v>17.5</c:v>
                </c:pt>
                <c:pt idx="7">
                  <c:v>20</c:v>
                </c:pt>
                <c:pt idx="8">
                  <c:v>22.5</c:v>
                </c:pt>
                <c:pt idx="9">
                  <c:v>25</c:v>
                </c:pt>
                <c:pt idx="10">
                  <c:v>27.500000000000004</c:v>
                </c:pt>
                <c:pt idx="11">
                  <c:v>30</c:v>
                </c:pt>
                <c:pt idx="12">
                  <c:v>32.5</c:v>
                </c:pt>
                <c:pt idx="13">
                  <c:v>35</c:v>
                </c:pt>
                <c:pt idx="14">
                  <c:v>37.5</c:v>
                </c:pt>
                <c:pt idx="15">
                  <c:v>40</c:v>
                </c:pt>
                <c:pt idx="16">
                  <c:v>42.5</c:v>
                </c:pt>
                <c:pt idx="17">
                  <c:v>45</c:v>
                </c:pt>
                <c:pt idx="18">
                  <c:v>47.5</c:v>
                </c:pt>
                <c:pt idx="19">
                  <c:v>50</c:v>
                </c:pt>
                <c:pt idx="20">
                  <c:v>52.5</c:v>
                </c:pt>
                <c:pt idx="21">
                  <c:v>55.000000000000007</c:v>
                </c:pt>
                <c:pt idx="22">
                  <c:v>57.499999999999993</c:v>
                </c:pt>
                <c:pt idx="23">
                  <c:v>60</c:v>
                </c:pt>
                <c:pt idx="24">
                  <c:v>62.5</c:v>
                </c:pt>
                <c:pt idx="25">
                  <c:v>65</c:v>
                </c:pt>
                <c:pt idx="26">
                  <c:v>67.5</c:v>
                </c:pt>
                <c:pt idx="27">
                  <c:v>70</c:v>
                </c:pt>
                <c:pt idx="28">
                  <c:v>72.5</c:v>
                </c:pt>
                <c:pt idx="29">
                  <c:v>75</c:v>
                </c:pt>
                <c:pt idx="30">
                  <c:v>77.5</c:v>
                </c:pt>
                <c:pt idx="31">
                  <c:v>80</c:v>
                </c:pt>
                <c:pt idx="32">
                  <c:v>82.5</c:v>
                </c:pt>
                <c:pt idx="33">
                  <c:v>85</c:v>
                </c:pt>
                <c:pt idx="34">
                  <c:v>87.5</c:v>
                </c:pt>
                <c:pt idx="35">
                  <c:v>90</c:v>
                </c:pt>
                <c:pt idx="36">
                  <c:v>92.5</c:v>
                </c:pt>
                <c:pt idx="37">
                  <c:v>95</c:v>
                </c:pt>
                <c:pt idx="38">
                  <c:v>97.5</c:v>
                </c:pt>
                <c:pt idx="39">
                  <c:v>100</c:v>
                </c:pt>
              </c:numCache>
            </c:numRef>
          </c:xVal>
          <c:yVal>
            <c:numRef>
              <c:f>'Study #2'!$AN$3:$AN$42</c:f>
              <c:numCache>
                <c:formatCode>0.0000</c:formatCode>
                <c:ptCount val="40"/>
                <c:pt idx="0">
                  <c:v>3.6260042477772578E-2</c:v>
                </c:pt>
                <c:pt idx="1">
                  <c:v>3.6872120175054555E-2</c:v>
                </c:pt>
                <c:pt idx="2">
                  <c:v>3.7581606860842297E-2</c:v>
                </c:pt>
                <c:pt idx="3">
                  <c:v>3.8404004670050777E-2</c:v>
                </c:pt>
                <c:pt idx="4">
                  <c:v>3.9357282821902172E-2</c:v>
                </c:pt>
                <c:pt idx="5">
                  <c:v>4.0462270243587825E-2</c:v>
                </c:pt>
                <c:pt idx="6">
                  <c:v>4.1743110677948107E-2</c:v>
                </c:pt>
                <c:pt idx="7">
                  <c:v>4.3227790219177262E-2</c:v>
                </c:pt>
                <c:pt idx="8">
                  <c:v>4.494874880309746E-2</c:v>
                </c:pt>
                <c:pt idx="9">
                  <c:v>4.6943589012936049E-2</c:v>
                </c:pt>
                <c:pt idx="10">
                  <c:v>4.9255897687863107E-2</c:v>
                </c:pt>
                <c:pt idx="11">
                  <c:v>5.1936198286263183E-2</c:v>
                </c:pt>
                <c:pt idx="12">
                  <c:v>5.5043054812678488E-2</c:v>
                </c:pt>
                <c:pt idx="13">
                  <c:v>5.864435142899501E-2</c:v>
                </c:pt>
                <c:pt idx="14">
                  <c:v>6.2818775709107127E-2</c:v>
                </c:pt>
                <c:pt idx="15">
                  <c:v>6.7657537945863114E-2</c:v>
                </c:pt>
                <c:pt idx="16">
                  <c:v>7.3266364076786994E-2</c:v>
                </c:pt>
                <c:pt idx="17">
                  <c:v>7.9767805773584471E-2</c:v>
                </c:pt>
                <c:pt idx="18">
                  <c:v>8.7303918170403311E-2</c:v>
                </c:pt>
                <c:pt idx="19">
                  <c:v>9.6039363738647368E-2</c:v>
                </c:pt>
                <c:pt idx="20">
                  <c:v>0.10616501012735646</c:v>
                </c:pt>
                <c:pt idx="21">
                  <c:v>0.11790210058120815</c:v>
                </c:pt>
                <c:pt idx="22">
                  <c:v>0.13150708805889721</c:v>
                </c:pt>
                <c:pt idx="23">
                  <c:v>0.14727723867636444</c:v>
                </c:pt>
                <c:pt idx="24">
                  <c:v>0.16555712690892938</c:v>
                </c:pt>
                <c:pt idx="25">
                  <c:v>0.18674616447112946</c:v>
                </c:pt>
                <c:pt idx="26">
                  <c:v>0.21130732737870631</c:v>
                </c:pt>
                <c:pt idx="27">
                  <c:v>0.23977727187720932</c:v>
                </c:pt>
                <c:pt idx="28">
                  <c:v>0.27277806026812867</c:v>
                </c:pt>
                <c:pt idx="29">
                  <c:v>0.31103075283939446</c:v>
                </c:pt>
                <c:pt idx="30">
                  <c:v>0.35537116288106502</c:v>
                </c:pt>
                <c:pt idx="31">
                  <c:v>0.40676811902998589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52-4DCF-A2A5-3ADC2123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138576"/>
        <c:axId val="908140376"/>
      </c:scatterChart>
      <c:valAx>
        <c:axId val="90813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Processed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140376"/>
        <c:crosses val="autoZero"/>
        <c:crossBetween val="midCat"/>
      </c:valAx>
      <c:valAx>
        <c:axId val="90814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Outward Outlet Total Cell Density (M/mL)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13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Flask Total Cell Density vs Process Volume Remaining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Available Cell Density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('Study #2'!$F$44:$F$46,'Study #2'!$F$68:$F$83)</c:f>
              <c:numCache>
                <c:formatCode>0.0</c:formatCode>
                <c:ptCount val="19"/>
                <c:pt idx="0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62.5</c:v>
                </c:pt>
                <c:pt idx="4">
                  <c:v>65</c:v>
                </c:pt>
                <c:pt idx="5">
                  <c:v>67.5</c:v>
                </c:pt>
                <c:pt idx="6">
                  <c:v>70</c:v>
                </c:pt>
                <c:pt idx="7">
                  <c:v>72.5</c:v>
                </c:pt>
                <c:pt idx="8">
                  <c:v>75</c:v>
                </c:pt>
                <c:pt idx="9">
                  <c:v>77.5</c:v>
                </c:pt>
                <c:pt idx="10">
                  <c:v>80</c:v>
                </c:pt>
                <c:pt idx="11">
                  <c:v>82.5</c:v>
                </c:pt>
                <c:pt idx="12">
                  <c:v>85</c:v>
                </c:pt>
                <c:pt idx="13">
                  <c:v>87.5</c:v>
                </c:pt>
                <c:pt idx="14">
                  <c:v>90</c:v>
                </c:pt>
                <c:pt idx="15">
                  <c:v>92.5</c:v>
                </c:pt>
                <c:pt idx="16">
                  <c:v>95</c:v>
                </c:pt>
                <c:pt idx="17">
                  <c:v>97.5</c:v>
                </c:pt>
                <c:pt idx="18">
                  <c:v>100</c:v>
                </c:pt>
              </c:numCache>
            </c:numRef>
          </c:xVal>
          <c:yVal>
            <c:numRef>
              <c:f>('Study #2'!$J$44:$J$46,'Study #2'!$J$68:$J$83)</c:f>
              <c:numCache>
                <c:formatCode>0.00</c:formatCode>
                <c:ptCount val="19"/>
                <c:pt idx="0">
                  <c:v>2.69</c:v>
                </c:pt>
                <c:pt idx="1">
                  <c:v>2.74</c:v>
                </c:pt>
                <c:pt idx="2">
                  <c:v>2.81</c:v>
                </c:pt>
                <c:pt idx="3">
                  <c:v>4.4800000000000004</c:v>
                </c:pt>
                <c:pt idx="4">
                  <c:v>4.6100000000000003</c:v>
                </c:pt>
                <c:pt idx="5">
                  <c:v>4.93</c:v>
                </c:pt>
                <c:pt idx="6">
                  <c:v>4.8600000000000003</c:v>
                </c:pt>
                <c:pt idx="7">
                  <c:v>5.07</c:v>
                </c:pt>
                <c:pt idx="8">
                  <c:v>5.28</c:v>
                </c:pt>
                <c:pt idx="9">
                  <c:v>5.43</c:v>
                </c:pt>
                <c:pt idx="10">
                  <c:v>5.64</c:v>
                </c:pt>
                <c:pt idx="11">
                  <c:v>5.86</c:v>
                </c:pt>
                <c:pt idx="12">
                  <c:v>5.89</c:v>
                </c:pt>
                <c:pt idx="13">
                  <c:v>6.23</c:v>
                </c:pt>
                <c:pt idx="14">
                  <c:v>6.43</c:v>
                </c:pt>
                <c:pt idx="15">
                  <c:v>6.79</c:v>
                </c:pt>
                <c:pt idx="16">
                  <c:v>7.16</c:v>
                </c:pt>
                <c:pt idx="17">
                  <c:v>7.34</c:v>
                </c:pt>
                <c:pt idx="18">
                  <c:v>7.51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56-4765-BA11-8CD5AED3F4E3}"/>
            </c:ext>
          </c:extLst>
        </c:ser>
        <c:ser>
          <c:idx val="1"/>
          <c:order val="1"/>
          <c:tx>
            <c:v>Modeled Cell Density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'Study #2'!$F$44:$F$75</c:f>
              <c:numCache>
                <c:formatCode>0.0</c:formatCode>
                <c:ptCount val="32"/>
                <c:pt idx="0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10</c:v>
                </c:pt>
                <c:pt idx="4">
                  <c:v>12.5</c:v>
                </c:pt>
                <c:pt idx="5">
                  <c:v>15</c:v>
                </c:pt>
                <c:pt idx="6">
                  <c:v>17.5</c:v>
                </c:pt>
                <c:pt idx="7">
                  <c:v>20</c:v>
                </c:pt>
                <c:pt idx="8">
                  <c:v>22.5</c:v>
                </c:pt>
                <c:pt idx="9">
                  <c:v>25</c:v>
                </c:pt>
                <c:pt idx="10">
                  <c:v>27.500000000000004</c:v>
                </c:pt>
                <c:pt idx="11">
                  <c:v>30</c:v>
                </c:pt>
                <c:pt idx="12">
                  <c:v>32.5</c:v>
                </c:pt>
                <c:pt idx="13">
                  <c:v>35</c:v>
                </c:pt>
                <c:pt idx="14">
                  <c:v>37.5</c:v>
                </c:pt>
                <c:pt idx="15">
                  <c:v>40</c:v>
                </c:pt>
                <c:pt idx="16">
                  <c:v>42.5</c:v>
                </c:pt>
                <c:pt idx="17">
                  <c:v>45</c:v>
                </c:pt>
                <c:pt idx="18">
                  <c:v>47.5</c:v>
                </c:pt>
                <c:pt idx="19">
                  <c:v>50</c:v>
                </c:pt>
                <c:pt idx="20">
                  <c:v>52.5</c:v>
                </c:pt>
                <c:pt idx="21">
                  <c:v>55.000000000000007</c:v>
                </c:pt>
                <c:pt idx="22">
                  <c:v>57.499999999999993</c:v>
                </c:pt>
                <c:pt idx="23">
                  <c:v>60</c:v>
                </c:pt>
                <c:pt idx="24">
                  <c:v>62.5</c:v>
                </c:pt>
                <c:pt idx="25">
                  <c:v>65</c:v>
                </c:pt>
                <c:pt idx="26">
                  <c:v>67.5</c:v>
                </c:pt>
                <c:pt idx="27">
                  <c:v>70</c:v>
                </c:pt>
                <c:pt idx="28">
                  <c:v>72.5</c:v>
                </c:pt>
                <c:pt idx="29">
                  <c:v>75</c:v>
                </c:pt>
                <c:pt idx="30">
                  <c:v>77.5</c:v>
                </c:pt>
                <c:pt idx="31">
                  <c:v>80</c:v>
                </c:pt>
              </c:numCache>
            </c:numRef>
          </c:xVal>
          <c:yVal>
            <c:numRef>
              <c:f>'Study #2'!$AN$44:$AN$75</c:f>
              <c:numCache>
                <c:formatCode>0.0000</c:formatCode>
                <c:ptCount val="32"/>
                <c:pt idx="0">
                  <c:v>2.7070664764603554</c:v>
                </c:pt>
                <c:pt idx="1">
                  <c:v>2.7452787589923475</c:v>
                </c:pt>
                <c:pt idx="2">
                  <c:v>2.7855656848609547</c:v>
                </c:pt>
                <c:pt idx="3">
                  <c:v>2.8280398918017147</c:v>
                </c:pt>
                <c:pt idx="4">
                  <c:v>2.8728201329432288</c:v>
                </c:pt>
                <c:pt idx="5">
                  <c:v>2.9200316088276153</c:v>
                </c:pt>
                <c:pt idx="6">
                  <c:v>2.9698063174572136</c:v>
                </c:pt>
                <c:pt idx="7">
                  <c:v>3.0222834233462237</c:v>
                </c:pt>
                <c:pt idx="8">
                  <c:v>3.0776096466091127</c:v>
                </c:pt>
                <c:pt idx="9">
                  <c:v>3.135939673173632</c:v>
                </c:pt>
                <c:pt idx="10">
                  <c:v>3.197436587265357</c:v>
                </c:pt>
                <c:pt idx="11">
                  <c:v>3.2622723273729299</c:v>
                </c:pt>
                <c:pt idx="12">
                  <c:v>3.3306281669688298</c:v>
                </c:pt>
                <c:pt idx="13">
                  <c:v>3.4026952213297106</c:v>
                </c:pt>
                <c:pt idx="14">
                  <c:v>3.4786749818733238</c:v>
                </c:pt>
                <c:pt idx="15">
                  <c:v>3.5587798795059711</c:v>
                </c:pt>
                <c:pt idx="16">
                  <c:v>3.6432338785555425</c:v>
                </c:pt>
                <c:pt idx="17">
                  <c:v>3.7322731029507068</c:v>
                </c:pt>
                <c:pt idx="18">
                  <c:v>3.8261464963969898</c:v>
                </c:pt>
                <c:pt idx="19">
                  <c:v>3.9251165183955115</c:v>
                </c:pt>
                <c:pt idx="20">
                  <c:v>4.029459878050373</c:v>
                </c:pt>
                <c:pt idx="21">
                  <c:v>4.1394683077163421</c:v>
                </c:pt>
                <c:pt idx="22">
                  <c:v>4.2554493786498622</c:v>
                </c:pt>
                <c:pt idx="23">
                  <c:v>4.3777273609438652</c:v>
                </c:pt>
                <c:pt idx="24">
                  <c:v>4.5066441301506517</c:v>
                </c:pt>
                <c:pt idx="25">
                  <c:v>4.6425601231276694</c:v>
                </c:pt>
                <c:pt idx="26">
                  <c:v>4.7858553457786304</c:v>
                </c:pt>
                <c:pt idx="27">
                  <c:v>4.9369304355074775</c:v>
                </c:pt>
                <c:pt idx="28">
                  <c:v>5.0962077813557283</c:v>
                </c:pt>
                <c:pt idx="29">
                  <c:v>5.2641327049549576</c:v>
                </c:pt>
                <c:pt idx="30">
                  <c:v>5.4411747055962341</c:v>
                </c:pt>
                <c:pt idx="31">
                  <c:v>5.6278287728975922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56-4765-BA11-8CD5AED3F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138576"/>
        <c:axId val="908140376"/>
      </c:scatterChart>
      <c:valAx>
        <c:axId val="90813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Processed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140376"/>
        <c:crosses val="autoZero"/>
        <c:crossBetween val="midCat"/>
      </c:valAx>
      <c:valAx>
        <c:axId val="90814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Flask</a:t>
                </a:r>
                <a:r>
                  <a:rPr lang="en-US" baseline="0"/>
                  <a:t> </a:t>
                </a:r>
                <a:r>
                  <a:rPr lang="en-US"/>
                  <a:t>Total Cell Density (M/mL)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13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163287</xdr:colOff>
      <xdr:row>7</xdr:row>
      <xdr:rowOff>152398</xdr:rowOff>
    </xdr:from>
    <xdr:to>
      <xdr:col>54</xdr:col>
      <xdr:colOff>116031</xdr:colOff>
      <xdr:row>31</xdr:row>
      <xdr:rowOff>119495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86B04F-9CE7-51EB-6AFA-927831FE9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192233</xdr:colOff>
      <xdr:row>50</xdr:row>
      <xdr:rowOff>93517</xdr:rowOff>
    </xdr:from>
    <xdr:to>
      <xdr:col>54</xdr:col>
      <xdr:colOff>141513</xdr:colOff>
      <xdr:row>74</xdr:row>
      <xdr:rowOff>24246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8ADBDA-CA61-4043-A39B-3B74A68F7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26DC-5D98-4E99-BAC3-A2209A457AC4}">
  <dimension ref="A1:AG79"/>
  <sheetViews>
    <sheetView tabSelected="1" zoomScale="56" zoomScaleNormal="70" workbookViewId="0">
      <selection activeCell="AF56" sqref="AF56"/>
    </sheetView>
  </sheetViews>
  <sheetFormatPr defaultRowHeight="14.5" x14ac:dyDescent="0.35"/>
  <cols>
    <col min="5" max="5" width="8.81640625" style="114"/>
    <col min="6" max="6" width="8.81640625" style="113" customWidth="1"/>
    <col min="7" max="7" width="11.1796875" customWidth="1"/>
    <col min="8" max="8" width="10.453125" customWidth="1"/>
    <col min="14" max="14" width="13.54296875" customWidth="1"/>
    <col min="15" max="15" width="17.54296875" customWidth="1"/>
    <col min="16" max="16" width="18.36328125" customWidth="1"/>
    <col min="19" max="19" width="13.1796875" customWidth="1"/>
    <col min="20" max="20" width="18.08984375" customWidth="1"/>
    <col min="21" max="21" width="14.54296875" style="11" customWidth="1"/>
    <col min="22" max="22" width="15.26953125" bestFit="1" customWidth="1"/>
    <col min="23" max="23" width="15.26953125" customWidth="1"/>
    <col min="24" max="24" width="16.26953125" bestFit="1" customWidth="1"/>
    <col min="25" max="25" width="8.81640625" customWidth="1"/>
    <col min="26" max="26" width="32.6328125" style="11" customWidth="1"/>
    <col min="27" max="27" width="13.90625" customWidth="1"/>
    <col min="28" max="28" width="14.453125" customWidth="1"/>
    <col min="31" max="31" width="24.6328125" customWidth="1"/>
    <col min="32" max="32" width="14.453125" customWidth="1"/>
    <col min="33" max="33" width="49.90625" customWidth="1"/>
  </cols>
  <sheetData>
    <row r="1" spans="1:33" ht="21.5" thickBot="1" x14ac:dyDescent="0.4">
      <c r="A1" s="60"/>
      <c r="B1" s="60"/>
      <c r="C1" s="60"/>
      <c r="D1" s="60"/>
      <c r="E1" s="138"/>
      <c r="F1" s="115"/>
      <c r="G1" s="60"/>
      <c r="H1" s="60"/>
      <c r="I1" s="151" t="s">
        <v>116</v>
      </c>
      <c r="J1" s="147" t="s">
        <v>0</v>
      </c>
      <c r="K1" s="147" t="s">
        <v>1</v>
      </c>
      <c r="L1" s="152" t="s">
        <v>2</v>
      </c>
      <c r="M1" s="150"/>
      <c r="N1" s="139"/>
      <c r="O1" s="157"/>
      <c r="P1" s="158"/>
      <c r="Q1" s="248" t="s">
        <v>3</v>
      </c>
      <c r="R1" s="249"/>
      <c r="S1" s="249"/>
      <c r="T1" s="250"/>
      <c r="U1" s="153"/>
      <c r="V1" s="153"/>
      <c r="W1" s="153"/>
    </row>
    <row r="2" spans="1:33" ht="53" thickBot="1" x14ac:dyDescent="0.4">
      <c r="A2" s="140" t="s">
        <v>4</v>
      </c>
      <c r="B2" s="141" t="s">
        <v>5</v>
      </c>
      <c r="C2" s="141" t="s">
        <v>6</v>
      </c>
      <c r="D2" s="142" t="s">
        <v>7</v>
      </c>
      <c r="E2" s="143" t="s">
        <v>189</v>
      </c>
      <c r="F2" s="144" t="s">
        <v>190</v>
      </c>
      <c r="G2" s="145" t="s">
        <v>187</v>
      </c>
      <c r="H2" s="146" t="s">
        <v>127</v>
      </c>
      <c r="I2" s="147" t="s">
        <v>8</v>
      </c>
      <c r="J2" s="147" t="s">
        <v>9</v>
      </c>
      <c r="K2" s="147" t="s">
        <v>10</v>
      </c>
      <c r="L2" s="147" t="s">
        <v>11</v>
      </c>
      <c r="M2" s="147" t="s">
        <v>118</v>
      </c>
      <c r="N2" s="148" t="s">
        <v>119</v>
      </c>
      <c r="O2" s="149" t="s">
        <v>120</v>
      </c>
      <c r="P2" s="149" t="s">
        <v>121</v>
      </c>
      <c r="Q2" s="147" t="s">
        <v>12</v>
      </c>
      <c r="R2" s="147" t="s">
        <v>117</v>
      </c>
      <c r="S2" s="148" t="s">
        <v>124</v>
      </c>
      <c r="T2" s="149" t="s">
        <v>125</v>
      </c>
      <c r="U2" s="149" t="s">
        <v>191</v>
      </c>
      <c r="V2" s="223" t="s">
        <v>192</v>
      </c>
      <c r="W2" s="227" t="s">
        <v>237</v>
      </c>
      <c r="X2" s="226" t="s">
        <v>236</v>
      </c>
      <c r="Z2" s="195" t="s">
        <v>193</v>
      </c>
      <c r="AA2" s="148" t="s">
        <v>119</v>
      </c>
      <c r="AB2" s="196" t="s">
        <v>124</v>
      </c>
      <c r="AE2" s="217" t="s">
        <v>221</v>
      </c>
      <c r="AF2" s="191" t="s">
        <v>238</v>
      </c>
      <c r="AG2" s="220" t="s">
        <v>234</v>
      </c>
    </row>
    <row r="3" spans="1:33" ht="15" thickBot="1" x14ac:dyDescent="0.4">
      <c r="A3" s="251" t="s">
        <v>90</v>
      </c>
      <c r="B3" s="52" t="s">
        <v>91</v>
      </c>
      <c r="C3" s="54" t="s">
        <v>15</v>
      </c>
      <c r="D3" s="252">
        <v>44956</v>
      </c>
      <c r="E3" s="137">
        <v>20</v>
      </c>
      <c r="F3" s="98">
        <f>E3/$E$27*100</f>
        <v>4</v>
      </c>
      <c r="G3" s="137">
        <v>500</v>
      </c>
      <c r="H3" s="137">
        <v>15</v>
      </c>
      <c r="I3" s="137">
        <v>329</v>
      </c>
      <c r="J3" s="95">
        <v>3.9993708411455157E-2</v>
      </c>
      <c r="K3" s="95">
        <v>8.2117863169312473E-3</v>
      </c>
      <c r="L3" s="98">
        <v>20.512821197509766</v>
      </c>
      <c r="M3" s="99">
        <f t="shared" ref="M3:M17" si="0">J3*H3</f>
        <v>0.59990562617182741</v>
      </c>
      <c r="N3" s="99">
        <f>M3/SUM($M$3:$M$27,$M$53)*100</f>
        <v>8.0167034034487744E-2</v>
      </c>
      <c r="O3" s="159">
        <f>N3</f>
        <v>8.0167034034487744E-2</v>
      </c>
      <c r="P3" s="99">
        <f t="shared" ref="P3:P26" si="1">100*(1-J3/J28)</f>
        <v>99.114038378597982</v>
      </c>
      <c r="Q3" s="53">
        <v>14746837000</v>
      </c>
      <c r="R3" s="53">
        <f>Q3*H3</f>
        <v>221202555000</v>
      </c>
      <c r="S3" s="160">
        <f>R3/SUM($R$3:$R$27,$R$53)*100</f>
        <v>2.9541467919347935</v>
      </c>
      <c r="T3" s="99">
        <f>S3</f>
        <v>2.9541467919347935</v>
      </c>
      <c r="U3" s="99">
        <f>R3/M3/10^6</f>
        <v>368728.92226658709</v>
      </c>
      <c r="V3" s="99">
        <f>U3/$U$79</f>
        <v>51.086945455908094</v>
      </c>
      <c r="W3" s="228">
        <f>SUM($J$3:J3)*15/SUM($H$3:H3)</f>
        <v>3.9993708411455157E-2</v>
      </c>
      <c r="X3" s="58">
        <f>R3</f>
        <v>221202555000</v>
      </c>
      <c r="Z3" s="202" t="s">
        <v>200</v>
      </c>
      <c r="AA3" s="154">
        <f>SUM(N3:N7)</f>
        <v>0.39055991448651067</v>
      </c>
      <c r="AB3" s="203">
        <f>SUM(S3:S7)</f>
        <v>14.897609426244779</v>
      </c>
      <c r="AE3" s="218" t="s">
        <v>218</v>
      </c>
      <c r="AF3" s="192">
        <f>SUM($R$3:R7)/SUM($M$3:M7)/10^6/$U$79</f>
        <v>52.881357850893394</v>
      </c>
    </row>
    <row r="4" spans="1:33" ht="15" thickBot="1" x14ac:dyDescent="0.4">
      <c r="A4" s="246"/>
      <c r="B4" s="1" t="s">
        <v>92</v>
      </c>
      <c r="C4" s="2" t="s">
        <v>17</v>
      </c>
      <c r="D4" s="242"/>
      <c r="E4" s="3">
        <f>E3+20</f>
        <v>40</v>
      </c>
      <c r="F4" s="22">
        <f>E4/$E$27*100</f>
        <v>8</v>
      </c>
      <c r="G4" s="3">
        <f>G3-20</f>
        <v>480</v>
      </c>
      <c r="H4" s="3">
        <v>15</v>
      </c>
      <c r="I4" s="3">
        <v>322</v>
      </c>
      <c r="J4" s="21">
        <v>3.9993708411455157E-2</v>
      </c>
      <c r="K4" s="21">
        <v>1.6413572633862495E-2</v>
      </c>
      <c r="L4" s="22">
        <v>41.025642395019531</v>
      </c>
      <c r="M4" s="35">
        <f t="shared" si="0"/>
        <v>0.59990562617182741</v>
      </c>
      <c r="N4" s="35">
        <f>M4/SUM($M$3:$M$27,$M$53)*100</f>
        <v>8.0167034034487744E-2</v>
      </c>
      <c r="O4" s="41">
        <f>N4+O3</f>
        <v>0.16033406806897549</v>
      </c>
      <c r="P4" s="35">
        <f t="shared" si="1"/>
        <v>98.820423273835914</v>
      </c>
      <c r="Q4" s="4">
        <v>15583473000</v>
      </c>
      <c r="R4" s="4">
        <f t="shared" ref="R4:R34" si="2">Q4*H4</f>
        <v>233752095000</v>
      </c>
      <c r="S4" s="102">
        <f>R4/SUM($R$3:$R$27,$R$53)*100</f>
        <v>3.1217451423754441</v>
      </c>
      <c r="T4" s="35">
        <f>S4+T3</f>
        <v>6.0758919343102376</v>
      </c>
      <c r="U4" s="99">
        <f t="shared" ref="U4:U67" si="3">R4/M4/10^6</f>
        <v>389648.11264005012</v>
      </c>
      <c r="V4" s="99">
        <f>U4/$U$79</f>
        <v>53.985273938039491</v>
      </c>
      <c r="W4" s="228">
        <f>SUM($J$3:J4)*15/SUM($H$3:H4)</f>
        <v>3.9993708411455157E-2</v>
      </c>
      <c r="X4" s="58">
        <f>R4+X3</f>
        <v>454954650000</v>
      </c>
      <c r="Z4" s="197" t="s">
        <v>201</v>
      </c>
      <c r="AA4" s="63">
        <f>SUM(N8:N12)</f>
        <v>0.54879884010210422</v>
      </c>
      <c r="AB4" s="70">
        <f>SUM(S8:S12)</f>
        <v>15.252052765466363</v>
      </c>
      <c r="AE4" s="218" t="s">
        <v>222</v>
      </c>
      <c r="AF4" s="192">
        <f>SUM($R$3:R12)/SUM($M$3:M12)/10^6/$U$79</f>
        <v>44.496376297316068</v>
      </c>
    </row>
    <row r="5" spans="1:33" ht="15" thickBot="1" x14ac:dyDescent="0.4">
      <c r="A5" s="246"/>
      <c r="B5" s="1" t="s">
        <v>93</v>
      </c>
      <c r="C5" s="2" t="s">
        <v>19</v>
      </c>
      <c r="D5" s="242"/>
      <c r="E5" s="3">
        <f t="shared" ref="E5:E27" si="4">E4+20</f>
        <v>60</v>
      </c>
      <c r="F5" s="22">
        <f t="shared" ref="F5:F26" si="5">E5/$E$27*100</f>
        <v>12</v>
      </c>
      <c r="G5" s="3">
        <f t="shared" ref="G5:G26" si="6">G4-20</f>
        <v>460</v>
      </c>
      <c r="H5" s="3">
        <v>15</v>
      </c>
      <c r="I5" s="3">
        <v>349</v>
      </c>
      <c r="J5" s="21">
        <v>2.6665806228518486E-2</v>
      </c>
      <c r="K5" s="21">
        <v>6.1613395048677917E-3</v>
      </c>
      <c r="L5" s="22">
        <v>23.076923370361328</v>
      </c>
      <c r="M5" s="35">
        <f t="shared" si="0"/>
        <v>0.39998709342777727</v>
      </c>
      <c r="N5" s="35">
        <f t="shared" ref="N5:N26" si="7">M5/SUM($M$3:$M$27,$M$53)*100</f>
        <v>5.3451372237999381E-2</v>
      </c>
      <c r="O5" s="41">
        <f t="shared" ref="O5:O26" si="8">N5+O4</f>
        <v>0.21378544030697488</v>
      </c>
      <c r="P5" s="35">
        <f t="shared" si="1"/>
        <v>99.256459978776306</v>
      </c>
      <c r="Q5" s="4">
        <v>15816502000</v>
      </c>
      <c r="R5" s="4">
        <f t="shared" si="2"/>
        <v>237247530000</v>
      </c>
      <c r="S5" s="102">
        <f t="shared" ref="S5:S26" si="9">R5/SUM($R$3:$R$27,$R$53)*100</f>
        <v>3.1684264661588273</v>
      </c>
      <c r="T5" s="35">
        <f t="shared" ref="T5:T27" si="10">S5+T4</f>
        <v>9.2443184004690657</v>
      </c>
      <c r="U5" s="99">
        <f t="shared" si="3"/>
        <v>593137.96344490803</v>
      </c>
      <c r="V5" s="99">
        <f t="shared" ref="V5:V28" si="11">U5/$U$79</f>
        <v>82.178546234110399</v>
      </c>
      <c r="W5" s="228">
        <f>SUM($J$3:J5)*15/SUM($H$3:H5)</f>
        <v>3.5551074350476268E-2</v>
      </c>
      <c r="X5" s="58">
        <f t="shared" ref="X5:X27" si="12">R5+X4</f>
        <v>692202180000</v>
      </c>
      <c r="Z5" s="197" t="s">
        <v>202</v>
      </c>
      <c r="AA5" s="63">
        <f>SUM(N13:N17)</f>
        <v>0.80979031884332253</v>
      </c>
      <c r="AB5" s="70">
        <f>SUM(S13:S17)</f>
        <v>16.230020979799388</v>
      </c>
      <c r="AE5" s="218" t="s">
        <v>225</v>
      </c>
      <c r="AF5" s="192">
        <f>SUM($R$3:R17)/SUM($M$3:M17)/10^6/$U$79</f>
        <v>36.759926489227368</v>
      </c>
    </row>
    <row r="6" spans="1:33" ht="15" thickBot="1" x14ac:dyDescent="0.4">
      <c r="A6" s="246"/>
      <c r="B6" s="1" t="s">
        <v>94</v>
      </c>
      <c r="C6" s="2" t="s">
        <v>21</v>
      </c>
      <c r="D6" s="242"/>
      <c r="E6" s="3">
        <f t="shared" si="4"/>
        <v>80</v>
      </c>
      <c r="F6" s="22">
        <f t="shared" si="5"/>
        <v>16</v>
      </c>
      <c r="G6" s="3">
        <f t="shared" si="6"/>
        <v>440</v>
      </c>
      <c r="H6" s="3">
        <v>15</v>
      </c>
      <c r="I6" s="3">
        <v>329</v>
      </c>
      <c r="J6" s="21">
        <v>4.1018930653333667E-2</v>
      </c>
      <c r="K6" s="21">
        <v>9.2370094901323314E-3</v>
      </c>
      <c r="L6" s="22">
        <v>22.5</v>
      </c>
      <c r="M6" s="35">
        <f t="shared" si="0"/>
        <v>0.61528395980000505</v>
      </c>
      <c r="N6" s="35">
        <f t="shared" si="7"/>
        <v>8.2222082931479937E-2</v>
      </c>
      <c r="O6" s="41">
        <f t="shared" si="8"/>
        <v>0.29600752323845481</v>
      </c>
      <c r="P6" s="35">
        <f t="shared" si="1"/>
        <v>98.923918687178315</v>
      </c>
      <c r="Q6" s="4">
        <v>14076992500</v>
      </c>
      <c r="R6" s="4">
        <f t="shared" si="2"/>
        <v>211154887500</v>
      </c>
      <c r="S6" s="102">
        <f t="shared" si="9"/>
        <v>2.8199607979640073</v>
      </c>
      <c r="T6" s="35">
        <f t="shared" si="10"/>
        <v>12.064279198433074</v>
      </c>
      <c r="U6" s="99">
        <f t="shared" si="3"/>
        <v>343182.82499780238</v>
      </c>
      <c r="V6" s="99">
        <f t="shared" si="11"/>
        <v>47.547564629040998</v>
      </c>
      <c r="W6" s="228">
        <f>SUM($J$3:J6)*15/SUM($H$3:H6)</f>
        <v>3.6918038426190618E-2</v>
      </c>
      <c r="X6" s="58">
        <f t="shared" si="12"/>
        <v>903357067500</v>
      </c>
      <c r="Z6" s="197" t="s">
        <v>203</v>
      </c>
      <c r="AA6" s="63">
        <f>SUM(N18:N22)</f>
        <v>1.7827315060884268</v>
      </c>
      <c r="AB6" s="70">
        <f>SUM(S18:S22)</f>
        <v>16.09741995007672</v>
      </c>
      <c r="AE6" s="44" t="s">
        <v>232</v>
      </c>
      <c r="AF6" s="178">
        <f>(SUM($R$3:R19)+(70-F19)*R20/(F20-F19))/(SUM($M$3:M19)+(70-F19)*M20/(F20-F19))/10^6/$U$79</f>
        <v>30.734527853053262</v>
      </c>
    </row>
    <row r="7" spans="1:33" ht="15" thickBot="1" x14ac:dyDescent="0.4">
      <c r="A7" s="246"/>
      <c r="B7" s="1" t="s">
        <v>95</v>
      </c>
      <c r="C7" s="2" t="s">
        <v>23</v>
      </c>
      <c r="D7" s="242"/>
      <c r="E7" s="3">
        <f t="shared" si="4"/>
        <v>100</v>
      </c>
      <c r="F7" s="22">
        <f t="shared" si="5"/>
        <v>20</v>
      </c>
      <c r="G7" s="3">
        <f t="shared" si="6"/>
        <v>420</v>
      </c>
      <c r="H7" s="3">
        <v>15</v>
      </c>
      <c r="I7" s="3">
        <v>347</v>
      </c>
      <c r="J7" s="21">
        <v>4.7170271555185321E-2</v>
      </c>
      <c r="K7" s="21">
        <v>1.2312679009735584E-2</v>
      </c>
      <c r="L7" s="22">
        <v>26.086956024169922</v>
      </c>
      <c r="M7" s="35">
        <f t="shared" si="0"/>
        <v>0.70755407332777986</v>
      </c>
      <c r="N7" s="35">
        <f t="shared" si="7"/>
        <v>9.4552391248055867E-2</v>
      </c>
      <c r="O7" s="41">
        <f t="shared" si="8"/>
        <v>0.39055991448651067</v>
      </c>
      <c r="P7" s="35">
        <f t="shared" si="1"/>
        <v>98.82690942151801</v>
      </c>
      <c r="Q7" s="4">
        <v>14143731500</v>
      </c>
      <c r="R7" s="4">
        <f t="shared" si="2"/>
        <v>212155972500</v>
      </c>
      <c r="S7" s="102">
        <f t="shared" si="9"/>
        <v>2.8333302278117052</v>
      </c>
      <c r="T7" s="35">
        <f t="shared" si="10"/>
        <v>14.897609426244779</v>
      </c>
      <c r="U7" s="99">
        <f t="shared" si="3"/>
        <v>299844.18222933065</v>
      </c>
      <c r="V7" s="99">
        <f t="shared" si="11"/>
        <v>41.543048179297259</v>
      </c>
      <c r="W7" s="228">
        <f>SUM($J$3:J7)*15/SUM($H$3:H7)</f>
        <v>3.8968485051989563E-2</v>
      </c>
      <c r="X7" s="58">
        <f t="shared" si="12"/>
        <v>1115513040000</v>
      </c>
      <c r="Z7" s="197" t="s">
        <v>204</v>
      </c>
      <c r="AA7" s="63">
        <f>SUM(N23:N27)</f>
        <v>17.69704668208875</v>
      </c>
      <c r="AB7" s="70">
        <f>SUM(S23:S27)</f>
        <v>16.386039696028693</v>
      </c>
      <c r="AE7" s="218" t="s">
        <v>228</v>
      </c>
      <c r="AF7" s="192">
        <f>SUM($R$3:R22)/SUM($M$3:M22)/10^6/$U$79</f>
        <v>24.523844555289791</v>
      </c>
    </row>
    <row r="8" spans="1:33" ht="15" thickBot="1" x14ac:dyDescent="0.4">
      <c r="A8" s="246"/>
      <c r="B8" s="1" t="s">
        <v>96</v>
      </c>
      <c r="C8" s="2" t="s">
        <v>25</v>
      </c>
      <c r="D8" s="242"/>
      <c r="E8" s="3">
        <f t="shared" si="4"/>
        <v>120</v>
      </c>
      <c r="F8" s="22">
        <f t="shared" si="5"/>
        <v>24</v>
      </c>
      <c r="G8" s="3">
        <f t="shared" si="6"/>
        <v>400</v>
      </c>
      <c r="H8" s="3">
        <v>15</v>
      </c>
      <c r="I8" s="3">
        <v>359</v>
      </c>
      <c r="J8" s="21">
        <v>4.4094601104259494E-2</v>
      </c>
      <c r="K8" s="21">
        <v>1.4363126287460327E-2</v>
      </c>
      <c r="L8" s="22">
        <v>32.558139801025391</v>
      </c>
      <c r="M8" s="35">
        <f t="shared" si="0"/>
        <v>0.66141901656389246</v>
      </c>
      <c r="N8" s="35">
        <f>M8/SUM($M$3:$M$27,$M$53)*100</f>
        <v>8.8387237089767909E-2</v>
      </c>
      <c r="O8" s="41">
        <f t="shared" si="8"/>
        <v>0.4789471515762786</v>
      </c>
      <c r="P8" s="35">
        <f t="shared" si="1"/>
        <v>98.944312137304493</v>
      </c>
      <c r="Q8" s="4">
        <v>14868076500</v>
      </c>
      <c r="R8" s="4">
        <f t="shared" si="2"/>
        <v>223021147500</v>
      </c>
      <c r="S8" s="102">
        <f t="shared" si="9"/>
        <v>2.9784339851804216</v>
      </c>
      <c r="T8" s="35">
        <f t="shared" si="10"/>
        <v>17.876043411425201</v>
      </c>
      <c r="U8" s="99">
        <f t="shared" si="3"/>
        <v>337185.87145952787</v>
      </c>
      <c r="V8" s="99">
        <f t="shared" si="11"/>
        <v>46.716693981769268</v>
      </c>
      <c r="W8" s="228">
        <f>SUM($J$3:J8)*15/SUM($H$3:H8)</f>
        <v>3.9822837727367881E-2</v>
      </c>
      <c r="X8" s="58">
        <f t="shared" si="12"/>
        <v>1338534187500</v>
      </c>
      <c r="Z8" s="198" t="s">
        <v>205</v>
      </c>
      <c r="AA8" s="186">
        <f>N53</f>
        <v>78.771072738390885</v>
      </c>
      <c r="AB8" s="199">
        <f>S53</f>
        <v>21.136857182384063</v>
      </c>
      <c r="AE8" s="44" t="s">
        <v>233</v>
      </c>
      <c r="AF8" s="178">
        <f>(SUM($R$3:R24)+(90-F24)*R25/(F25-F24))/(SUM($M$3:M24)+(90-F24)*M25/(F25-F24))/10^6/$U$79</f>
        <v>9.9331436918107201</v>
      </c>
    </row>
    <row r="9" spans="1:33" ht="15" thickBot="1" x14ac:dyDescent="0.4">
      <c r="A9" s="246"/>
      <c r="B9" s="1" t="s">
        <v>97</v>
      </c>
      <c r="C9" s="2" t="s">
        <v>27</v>
      </c>
      <c r="D9" s="242"/>
      <c r="E9" s="3">
        <f t="shared" si="4"/>
        <v>140</v>
      </c>
      <c r="F9" s="22">
        <f t="shared" si="5"/>
        <v>28.000000000000004</v>
      </c>
      <c r="G9" s="3">
        <f t="shared" si="6"/>
        <v>380</v>
      </c>
      <c r="H9" s="3">
        <v>15</v>
      </c>
      <c r="I9" s="3">
        <v>357</v>
      </c>
      <c r="J9" s="21">
        <v>5.3321612457036975E-2</v>
      </c>
      <c r="K9" s="21">
        <v>1.6413572633862495E-2</v>
      </c>
      <c r="L9" s="22">
        <v>30.769229888916016</v>
      </c>
      <c r="M9" s="35">
        <f t="shared" si="0"/>
        <v>0.79982418685555468</v>
      </c>
      <c r="N9" s="35">
        <f t="shared" si="7"/>
        <v>0.1068826995646318</v>
      </c>
      <c r="O9" s="41">
        <f t="shared" si="8"/>
        <v>0.58582985114091035</v>
      </c>
      <c r="P9" s="35">
        <f t="shared" si="1"/>
        <v>98.632077287476733</v>
      </c>
      <c r="Q9" s="4">
        <v>15430259500</v>
      </c>
      <c r="R9" s="4">
        <f t="shared" si="2"/>
        <v>231453892500</v>
      </c>
      <c r="S9" s="102">
        <f t="shared" si="9"/>
        <v>3.0910527864820345</v>
      </c>
      <c r="T9" s="35">
        <f t="shared" si="10"/>
        <v>20.967096197907235</v>
      </c>
      <c r="U9" s="99">
        <f t="shared" si="3"/>
        <v>289380.96184605599</v>
      </c>
      <c r="V9" s="99">
        <f t="shared" si="11"/>
        <v>40.093381671642526</v>
      </c>
      <c r="W9" s="228">
        <f>SUM($J$3:J9)*15/SUM($H$3:H9)</f>
        <v>4.175123411732061E-2</v>
      </c>
      <c r="X9" s="58">
        <f t="shared" si="12"/>
        <v>1569988080000</v>
      </c>
      <c r="Z9" s="200" t="s">
        <v>122</v>
      </c>
      <c r="AA9" s="49">
        <f>SUM(AA3:AA8)</f>
        <v>100</v>
      </c>
      <c r="AB9" s="178">
        <f>SUM(AB3:AB8)</f>
        <v>100.00000000000001</v>
      </c>
      <c r="AE9" s="44" t="s">
        <v>215</v>
      </c>
      <c r="AF9" s="178">
        <f>SUM(R3:R27)/SUM(M3:M27)/10^6/U79</f>
        <v>5.1501480339164223</v>
      </c>
    </row>
    <row r="10" spans="1:33" x14ac:dyDescent="0.35">
      <c r="A10" s="246"/>
      <c r="B10" s="1" t="s">
        <v>98</v>
      </c>
      <c r="C10" s="2" t="s">
        <v>29</v>
      </c>
      <c r="D10" s="242"/>
      <c r="E10" s="3">
        <f t="shared" si="4"/>
        <v>160</v>
      </c>
      <c r="F10" s="22">
        <f t="shared" si="5"/>
        <v>32</v>
      </c>
      <c r="G10" s="3">
        <f t="shared" si="6"/>
        <v>360</v>
      </c>
      <c r="H10" s="3">
        <v>15</v>
      </c>
      <c r="I10" s="3">
        <v>368</v>
      </c>
      <c r="J10" s="21">
        <v>4.2044156620502475E-2</v>
      </c>
      <c r="K10" s="21">
        <v>1.3337903114259243E-2</v>
      </c>
      <c r="L10" s="22">
        <v>31.707317352294922</v>
      </c>
      <c r="M10" s="35">
        <f t="shared" si="0"/>
        <v>0.63066234930753717</v>
      </c>
      <c r="N10" s="35">
        <f t="shared" si="7"/>
        <v>8.4277139295783524E-2</v>
      </c>
      <c r="O10" s="41">
        <f t="shared" si="8"/>
        <v>0.67010699043669386</v>
      </c>
      <c r="P10" s="35">
        <f t="shared" si="1"/>
        <v>98.998075306246164</v>
      </c>
      <c r="Q10" s="4">
        <v>14650307000</v>
      </c>
      <c r="R10" s="4">
        <f t="shared" si="2"/>
        <v>219754605000</v>
      </c>
      <c r="S10" s="102">
        <f t="shared" si="9"/>
        <v>2.9348095069410371</v>
      </c>
      <c r="T10" s="35">
        <f t="shared" si="10"/>
        <v>23.901905704848271</v>
      </c>
      <c r="U10" s="99">
        <f t="shared" si="3"/>
        <v>348450.4905696194</v>
      </c>
      <c r="V10" s="99">
        <f t="shared" si="11"/>
        <v>48.277393312110284</v>
      </c>
      <c r="W10" s="228">
        <f>SUM($J$3:J10)*15/SUM($H$3:H10)</f>
        <v>4.1787849430218342E-2</v>
      </c>
      <c r="X10" s="58">
        <f t="shared" si="12"/>
        <v>1789742685000</v>
      </c>
      <c r="AA10" s="131"/>
      <c r="AB10" s="11"/>
    </row>
    <row r="11" spans="1:33" ht="15" thickBot="1" x14ac:dyDescent="0.4">
      <c r="A11" s="246"/>
      <c r="B11" s="1" t="s">
        <v>99</v>
      </c>
      <c r="C11" s="2" t="s">
        <v>31</v>
      </c>
      <c r="D11" s="242"/>
      <c r="E11" s="3">
        <f t="shared" si="4"/>
        <v>180</v>
      </c>
      <c r="F11" s="22">
        <f t="shared" si="5"/>
        <v>36</v>
      </c>
      <c r="G11" s="3">
        <f t="shared" si="6"/>
        <v>340</v>
      </c>
      <c r="H11" s="3">
        <v>15</v>
      </c>
      <c r="I11" s="3">
        <v>366</v>
      </c>
      <c r="J11" s="21">
        <v>5.8447727391719821E-2</v>
      </c>
      <c r="K11" s="21">
        <v>2.5640582123994827E-2</v>
      </c>
      <c r="L11" s="22">
        <v>43.859649658203125</v>
      </c>
      <c r="M11" s="35">
        <f t="shared" si="0"/>
        <v>0.87671591087579737</v>
      </c>
      <c r="N11" s="35">
        <f t="shared" si="7"/>
        <v>0.11715795151690414</v>
      </c>
      <c r="O11" s="41">
        <f t="shared" si="8"/>
        <v>0.78726494195359797</v>
      </c>
      <c r="P11" s="35">
        <f t="shared" si="1"/>
        <v>98.554188513145121</v>
      </c>
      <c r="Q11" s="4">
        <v>14848376500</v>
      </c>
      <c r="R11" s="4">
        <f t="shared" si="2"/>
        <v>222725647500</v>
      </c>
      <c r="S11" s="102">
        <f t="shared" si="9"/>
        <v>2.974487600487818</v>
      </c>
      <c r="T11" s="35">
        <f t="shared" si="10"/>
        <v>26.876393305336091</v>
      </c>
      <c r="U11" s="99">
        <f t="shared" si="3"/>
        <v>254045.40369012774</v>
      </c>
      <c r="V11" s="99">
        <f t="shared" si="11"/>
        <v>35.197682899033509</v>
      </c>
      <c r="W11" s="228">
        <f>SUM($J$3:J11)*15/SUM($H$3:H11)</f>
        <v>4.3638946981496285E-2</v>
      </c>
      <c r="X11" s="58">
        <f t="shared" si="12"/>
        <v>2012468332500</v>
      </c>
      <c r="AB11" s="11"/>
    </row>
    <row r="12" spans="1:33" x14ac:dyDescent="0.35">
      <c r="A12" s="246"/>
      <c r="B12" s="1" t="s">
        <v>100</v>
      </c>
      <c r="C12" s="2" t="s">
        <v>33</v>
      </c>
      <c r="D12" s="242"/>
      <c r="E12" s="3">
        <f t="shared" si="4"/>
        <v>200</v>
      </c>
      <c r="F12" s="22">
        <f t="shared" si="5"/>
        <v>40</v>
      </c>
      <c r="G12" s="3">
        <f t="shared" si="6"/>
        <v>320</v>
      </c>
      <c r="H12" s="3">
        <v>15</v>
      </c>
      <c r="I12" s="3">
        <v>384</v>
      </c>
      <c r="J12" s="21">
        <v>7.587652040481567E-2</v>
      </c>
      <c r="K12" s="21">
        <v>2.153968943119049E-2</v>
      </c>
      <c r="L12" s="22">
        <v>28.378377914428711</v>
      </c>
      <c r="M12" s="35">
        <f t="shared" si="0"/>
        <v>1.138147806072235</v>
      </c>
      <c r="N12" s="35">
        <f>M12/SUM($M$3:$M$27,$M$53)*100</f>
        <v>0.15209381263501692</v>
      </c>
      <c r="O12" s="41">
        <f t="shared" si="8"/>
        <v>0.93935875458861484</v>
      </c>
      <c r="P12" s="35">
        <f t="shared" si="1"/>
        <v>98.083690263867922</v>
      </c>
      <c r="Q12" s="4">
        <v>16339866000</v>
      </c>
      <c r="R12" s="4">
        <f t="shared" si="2"/>
        <v>245097990000</v>
      </c>
      <c r="S12" s="102">
        <f t="shared" si="9"/>
        <v>3.273268886375051</v>
      </c>
      <c r="T12" s="35">
        <f t="shared" si="10"/>
        <v>30.14966219171114</v>
      </c>
      <c r="U12" s="99">
        <f t="shared" si="3"/>
        <v>215348.11971903438</v>
      </c>
      <c r="V12" s="99">
        <f t="shared" si="11"/>
        <v>29.836221087546598</v>
      </c>
      <c r="W12" s="228">
        <f>SUM($J$3:J12)*15/SUM($H$3:H12)</f>
        <v>4.6862704323828226E-2</v>
      </c>
      <c r="X12" s="58">
        <f t="shared" si="12"/>
        <v>2257566322500</v>
      </c>
      <c r="AA12" s="131"/>
      <c r="AB12" s="11"/>
      <c r="AE12" s="218" t="s">
        <v>219</v>
      </c>
      <c r="AF12" s="192">
        <f>SUM($R$28:R32)/SUM($M$28:M32)/10^6/$U$79</f>
        <v>0.81710103679078405</v>
      </c>
    </row>
    <row r="13" spans="1:33" ht="15" thickBot="1" x14ac:dyDescent="0.4">
      <c r="A13" s="246"/>
      <c r="B13" s="1" t="s">
        <v>101</v>
      </c>
      <c r="C13" s="2" t="s">
        <v>35</v>
      </c>
      <c r="D13" s="242"/>
      <c r="E13" s="3">
        <f t="shared" si="4"/>
        <v>220</v>
      </c>
      <c r="F13" s="22">
        <f t="shared" si="5"/>
        <v>44</v>
      </c>
      <c r="G13" s="3">
        <f t="shared" si="6"/>
        <v>300</v>
      </c>
      <c r="H13" s="3">
        <v>15</v>
      </c>
      <c r="I13" s="3">
        <v>377</v>
      </c>
      <c r="J13" s="21">
        <v>7.1775631437301632E-2</v>
      </c>
      <c r="K13" s="21">
        <v>1.3337903114259243E-2</v>
      </c>
      <c r="L13" s="22">
        <v>18.571428298950195</v>
      </c>
      <c r="M13" s="35">
        <f t="shared" si="0"/>
        <v>1.0766344715595244</v>
      </c>
      <c r="N13" s="35">
        <f t="shared" si="7"/>
        <v>0.14387361704704815</v>
      </c>
      <c r="O13" s="41">
        <f t="shared" si="8"/>
        <v>1.0832323716356629</v>
      </c>
      <c r="P13" s="35">
        <f t="shared" si="1"/>
        <v>98.289565463379091</v>
      </c>
      <c r="Q13" s="4">
        <v>19664616500</v>
      </c>
      <c r="R13" s="4">
        <f t="shared" si="2"/>
        <v>294969247500</v>
      </c>
      <c r="S13" s="102">
        <f t="shared" si="9"/>
        <v>3.9392965249499263</v>
      </c>
      <c r="T13" s="35">
        <f t="shared" si="10"/>
        <v>34.088958716661068</v>
      </c>
      <c r="U13" s="99">
        <f t="shared" si="3"/>
        <v>273973.43786766526</v>
      </c>
      <c r="V13" s="99">
        <f t="shared" si="11"/>
        <v>37.958687891029456</v>
      </c>
      <c r="W13" s="228">
        <f>SUM($J$3:J13)*15/SUM($H$3:H13)</f>
        <v>4.9127515879598536E-2</v>
      </c>
      <c r="X13" s="58">
        <f t="shared" si="12"/>
        <v>2552535570000</v>
      </c>
      <c r="AA13" s="131"/>
      <c r="AB13" s="11"/>
      <c r="AE13" s="212" t="s">
        <v>220</v>
      </c>
      <c r="AF13" s="177">
        <f>SUM($R$54:R58)/SUM($M$54:M58)/10^6/$U$79</f>
        <v>0.63772149383593846</v>
      </c>
    </row>
    <row r="14" spans="1:33" x14ac:dyDescent="0.35">
      <c r="A14" s="246"/>
      <c r="B14" s="1" t="s">
        <v>102</v>
      </c>
      <c r="C14" s="2" t="s">
        <v>37</v>
      </c>
      <c r="D14" s="242"/>
      <c r="E14" s="3">
        <f t="shared" si="4"/>
        <v>240</v>
      </c>
      <c r="F14" s="22">
        <f t="shared" si="5"/>
        <v>48</v>
      </c>
      <c r="G14" s="3">
        <f t="shared" si="6"/>
        <v>280</v>
      </c>
      <c r="H14" s="3">
        <v>15</v>
      </c>
      <c r="I14" s="3">
        <v>387</v>
      </c>
      <c r="J14" s="21">
        <v>6.0498175600767139E-2</v>
      </c>
      <c r="K14" s="21">
        <v>1.9489243084788322E-2</v>
      </c>
      <c r="L14" s="22">
        <v>32.203388214111328</v>
      </c>
      <c r="M14" s="35">
        <f t="shared" si="0"/>
        <v>0.90747263401150713</v>
      </c>
      <c r="N14" s="35">
        <f t="shared" si="7"/>
        <v>0.12126805677819992</v>
      </c>
      <c r="O14" s="41">
        <f t="shared" si="8"/>
        <v>1.2045004284138627</v>
      </c>
      <c r="P14" s="35">
        <f t="shared" si="1"/>
        <v>98.605002552739322</v>
      </c>
      <c r="Q14" s="4">
        <v>15433463500</v>
      </c>
      <c r="R14" s="4">
        <f t="shared" si="2"/>
        <v>231501952500</v>
      </c>
      <c r="S14" s="102">
        <f t="shared" si="9"/>
        <v>3.0916946248858466</v>
      </c>
      <c r="T14" s="35">
        <f t="shared" si="10"/>
        <v>37.180653341546915</v>
      </c>
      <c r="U14" s="99">
        <f t="shared" si="3"/>
        <v>255106.26306893618</v>
      </c>
      <c r="V14" s="99">
        <f t="shared" si="11"/>
        <v>35.344663680710276</v>
      </c>
      <c r="W14" s="228">
        <f>SUM($J$3:J14)*15/SUM($H$3:H14)</f>
        <v>5.0075070856362577E-2</v>
      </c>
      <c r="X14" s="58">
        <f t="shared" si="12"/>
        <v>2784037522500</v>
      </c>
      <c r="AA14" s="131"/>
      <c r="AB14" s="11"/>
      <c r="AE14" s="208" t="s">
        <v>223</v>
      </c>
      <c r="AF14" s="70">
        <f>SUM($R$28:R37)/SUM($M$28:M37)/10^6/$U$79</f>
        <v>0.78858001462669292</v>
      </c>
    </row>
    <row r="15" spans="1:33" ht="15" thickBot="1" x14ac:dyDescent="0.4">
      <c r="A15" s="246"/>
      <c r="B15" s="1" t="s">
        <v>103</v>
      </c>
      <c r="C15" s="2" t="s">
        <v>39</v>
      </c>
      <c r="D15" s="242"/>
      <c r="E15" s="3">
        <f t="shared" si="4"/>
        <v>260</v>
      </c>
      <c r="F15" s="22">
        <f t="shared" si="5"/>
        <v>52</v>
      </c>
      <c r="G15" s="3">
        <f t="shared" si="6"/>
        <v>260</v>
      </c>
      <c r="H15" s="3">
        <v>15</v>
      </c>
      <c r="I15" s="3">
        <v>401</v>
      </c>
      <c r="J15" s="21">
        <v>8.1002639064788814E-2</v>
      </c>
      <c r="K15" s="21">
        <v>1.8464018980264663E-2</v>
      </c>
      <c r="L15" s="22">
        <v>22.784811019897461</v>
      </c>
      <c r="M15" s="35">
        <f t="shared" si="0"/>
        <v>1.2150395859718321</v>
      </c>
      <c r="N15" s="35">
        <f t="shared" si="7"/>
        <v>0.16236907205460066</v>
      </c>
      <c r="O15" s="41">
        <f t="shared" si="8"/>
        <v>1.3668695004684634</v>
      </c>
      <c r="P15" s="35">
        <f t="shared" si="1"/>
        <v>98.281686076200472</v>
      </c>
      <c r="Q15" s="4">
        <v>14468991000</v>
      </c>
      <c r="R15" s="4">
        <f t="shared" si="2"/>
        <v>217034865000</v>
      </c>
      <c r="S15" s="102">
        <f t="shared" si="9"/>
        <v>2.8984875431377857</v>
      </c>
      <c r="T15" s="35">
        <f t="shared" si="10"/>
        <v>40.079140884684698</v>
      </c>
      <c r="U15" s="99">
        <f t="shared" si="3"/>
        <v>178623.69877143364</v>
      </c>
      <c r="V15" s="99">
        <f t="shared" si="11"/>
        <v>24.748097057792677</v>
      </c>
      <c r="W15" s="228">
        <f>SUM($J$3:J15)*15/SUM($H$3:H15)</f>
        <v>5.2454114564703058E-2</v>
      </c>
      <c r="X15" s="58">
        <f t="shared" si="12"/>
        <v>3001072387500</v>
      </c>
      <c r="AA15" s="131"/>
      <c r="AB15" s="11"/>
      <c r="AE15" s="212" t="s">
        <v>224</v>
      </c>
      <c r="AF15" s="177">
        <f>SUM($R$54:R63)/SUM($M$54:M63)/10^6/$U$79</f>
        <v>0.60434021497121271</v>
      </c>
    </row>
    <row r="16" spans="1:33" x14ac:dyDescent="0.35">
      <c r="A16" s="246"/>
      <c r="B16" s="1" t="s">
        <v>104</v>
      </c>
      <c r="C16" s="2" t="s">
        <v>41</v>
      </c>
      <c r="D16" s="242"/>
      <c r="E16" s="3">
        <f t="shared" si="4"/>
        <v>280</v>
      </c>
      <c r="F16" s="22">
        <f t="shared" si="5"/>
        <v>56.000000000000007</v>
      </c>
      <c r="G16" s="3">
        <f t="shared" si="6"/>
        <v>240</v>
      </c>
      <c r="H16" s="3">
        <v>15</v>
      </c>
      <c r="I16" s="3">
        <v>402</v>
      </c>
      <c r="J16" s="21">
        <v>9.843143207788467E-2</v>
      </c>
      <c r="K16" s="21">
        <v>2.7691028470396995E-2</v>
      </c>
      <c r="L16" s="22">
        <v>28.125</v>
      </c>
      <c r="M16" s="35">
        <f t="shared" si="0"/>
        <v>1.47647148116827</v>
      </c>
      <c r="N16" s="35">
        <f t="shared" si="7"/>
        <v>0.19730493317271347</v>
      </c>
      <c r="O16" s="41">
        <f t="shared" si="8"/>
        <v>1.5641744336411769</v>
      </c>
      <c r="P16" s="35">
        <f t="shared" si="1"/>
        <v>98.032223102037136</v>
      </c>
      <c r="Q16" s="4">
        <v>15178015000</v>
      </c>
      <c r="R16" s="4">
        <f t="shared" si="2"/>
        <v>227670225000</v>
      </c>
      <c r="S16" s="102">
        <f t="shared" si="9"/>
        <v>3.0405221350305949</v>
      </c>
      <c r="T16" s="35">
        <f t="shared" si="10"/>
        <v>43.11966301971529</v>
      </c>
      <c r="U16" s="99">
        <f>R16/M16/10^6</f>
        <v>154198.86391564712</v>
      </c>
      <c r="V16" s="99">
        <f t="shared" si="11"/>
        <v>21.364065779809579</v>
      </c>
      <c r="W16" s="228">
        <f>SUM($J$3:J16)*15/SUM($H$3:H16)</f>
        <v>5.5738208672787455E-2</v>
      </c>
      <c r="X16" s="58">
        <f t="shared" si="12"/>
        <v>3228742612500</v>
      </c>
      <c r="AA16" s="131"/>
      <c r="AB16" s="11"/>
      <c r="AE16" s="208" t="s">
        <v>226</v>
      </c>
      <c r="AF16" s="70">
        <f>SUM($R$28:R42)/SUM($M$28:M42)/10^6/$U$79</f>
        <v>0.67945023379035574</v>
      </c>
    </row>
    <row r="17" spans="1:32" ht="15" thickBot="1" x14ac:dyDescent="0.4">
      <c r="A17" s="246"/>
      <c r="B17" s="1" t="s">
        <v>105</v>
      </c>
      <c r="C17" s="2" t="s">
        <v>43</v>
      </c>
      <c r="D17" s="242"/>
      <c r="E17" s="3">
        <f t="shared" si="4"/>
        <v>300</v>
      </c>
      <c r="F17" s="22">
        <f t="shared" si="5"/>
        <v>60</v>
      </c>
      <c r="G17" s="3">
        <f t="shared" si="6"/>
        <v>220</v>
      </c>
      <c r="H17" s="3">
        <v>15</v>
      </c>
      <c r="I17" s="3">
        <v>426</v>
      </c>
      <c r="J17" s="21">
        <v>9.2280098626613613E-2</v>
      </c>
      <c r="K17" s="21">
        <v>2.5640582123994827E-2</v>
      </c>
      <c r="L17" s="22">
        <v>27.777778625488281</v>
      </c>
      <c r="M17" s="35">
        <f t="shared" si="0"/>
        <v>1.3842014793992041</v>
      </c>
      <c r="N17" s="35">
        <f t="shared" si="7"/>
        <v>0.18497463979076031</v>
      </c>
      <c r="O17" s="41">
        <f t="shared" si="8"/>
        <v>1.7491490734319373</v>
      </c>
      <c r="P17" s="35">
        <f t="shared" si="1"/>
        <v>98.172426981750576</v>
      </c>
      <c r="Q17" s="4">
        <v>16273729500</v>
      </c>
      <c r="R17" s="4">
        <f t="shared" si="2"/>
        <v>244105942500</v>
      </c>
      <c r="S17" s="102">
        <f t="shared" si="9"/>
        <v>3.2600201517952363</v>
      </c>
      <c r="T17" s="35">
        <f t="shared" si="10"/>
        <v>46.379683171510528</v>
      </c>
      <c r="U17" s="99">
        <f t="shared" si="3"/>
        <v>176351.4532623901</v>
      </c>
      <c r="V17" s="99">
        <f t="shared" si="11"/>
        <v>24.433280195395824</v>
      </c>
      <c r="W17" s="228">
        <f>SUM($J$3:J17)*15/SUM($H$3:H17)</f>
        <v>5.8174334669709199E-2</v>
      </c>
      <c r="X17" s="58">
        <f t="shared" si="12"/>
        <v>3472848555000</v>
      </c>
      <c r="AA17" s="131"/>
      <c r="AB17" s="11"/>
      <c r="AE17" s="212" t="s">
        <v>227</v>
      </c>
      <c r="AF17" s="177">
        <f>SUM($R$54:R68)/SUM($M$54:M68)/10^6/$U$79</f>
        <v>0.5771038691368412</v>
      </c>
    </row>
    <row r="18" spans="1:32" x14ac:dyDescent="0.35">
      <c r="A18" s="246"/>
      <c r="B18" s="1" t="s">
        <v>106</v>
      </c>
      <c r="C18" s="2" t="s">
        <v>45</v>
      </c>
      <c r="D18" s="242"/>
      <c r="E18" s="3">
        <f t="shared" si="4"/>
        <v>320</v>
      </c>
      <c r="F18" s="22">
        <f t="shared" si="5"/>
        <v>64</v>
      </c>
      <c r="G18" s="3">
        <f t="shared" si="6"/>
        <v>200</v>
      </c>
      <c r="H18" s="3">
        <v>15</v>
      </c>
      <c r="I18" s="3">
        <v>441</v>
      </c>
      <c r="J18" s="21">
        <v>0.14158081839084624</v>
      </c>
      <c r="K18" s="21">
        <v>2.8716252574920654E-2</v>
      </c>
      <c r="L18" s="22">
        <v>20.28985595703125</v>
      </c>
      <c r="M18" s="35">
        <f t="shared" ref="M18:M27" si="13">J18*H18</f>
        <v>2.1237122758626938</v>
      </c>
      <c r="N18" s="35">
        <f t="shared" si="7"/>
        <v>0.28379749559104789</v>
      </c>
      <c r="O18" s="41">
        <f t="shared" si="8"/>
        <v>2.0329465690229851</v>
      </c>
      <c r="P18" s="35">
        <f t="shared" si="1"/>
        <v>97.40031994815736</v>
      </c>
      <c r="Q18" s="4">
        <v>15565548500</v>
      </c>
      <c r="R18" s="4">
        <f t="shared" si="2"/>
        <v>233483227500</v>
      </c>
      <c r="S18" s="102">
        <f t="shared" si="9"/>
        <v>3.1181544331154156</v>
      </c>
      <c r="T18" s="35">
        <f t="shared" si="10"/>
        <v>49.497837604625943</v>
      </c>
      <c r="U18" s="99">
        <f t="shared" si="3"/>
        <v>109941.082958215</v>
      </c>
      <c r="V18" s="99">
        <f t="shared" si="11"/>
        <v>15.232203847543827</v>
      </c>
      <c r="W18" s="228">
        <f>SUM($J$3:J18)*15/SUM($H$3:H18)</f>
        <v>6.3387239902280262E-2</v>
      </c>
      <c r="X18" s="58">
        <f t="shared" si="12"/>
        <v>3706331782500</v>
      </c>
      <c r="AA18" s="131"/>
      <c r="AB18" s="11"/>
      <c r="AE18" s="208" t="s">
        <v>229</v>
      </c>
      <c r="AF18" s="70">
        <f>SUM($R$28:R47)/SUM($M$28:M47)/10^6/$U$79</f>
        <v>0.6085391253303164</v>
      </c>
    </row>
    <row r="19" spans="1:32" ht="15" thickBot="1" x14ac:dyDescent="0.4">
      <c r="A19" s="246"/>
      <c r="B19" s="1" t="s">
        <v>107</v>
      </c>
      <c r="C19" s="2" t="s">
        <v>47</v>
      </c>
      <c r="D19" s="242"/>
      <c r="E19" s="3">
        <f t="shared" si="4"/>
        <v>340</v>
      </c>
      <c r="F19" s="22">
        <f t="shared" si="5"/>
        <v>68</v>
      </c>
      <c r="G19" s="3">
        <f t="shared" si="6"/>
        <v>180</v>
      </c>
      <c r="H19" s="3">
        <v>15</v>
      </c>
      <c r="I19" s="3">
        <v>461</v>
      </c>
      <c r="J19" s="21">
        <v>0.13953037390708922</v>
      </c>
      <c r="K19" s="21">
        <v>2.5640582123994827E-2</v>
      </c>
      <c r="L19" s="22">
        <v>18.382352828979492</v>
      </c>
      <c r="M19" s="35">
        <f t="shared" si="13"/>
        <v>2.0929556086063386</v>
      </c>
      <c r="N19" s="35">
        <f t="shared" si="7"/>
        <v>0.27968739779706353</v>
      </c>
      <c r="O19" s="41">
        <f t="shared" si="8"/>
        <v>2.3126339668200488</v>
      </c>
      <c r="P19" s="35">
        <f t="shared" si="1"/>
        <v>97.161143504247974</v>
      </c>
      <c r="Q19" s="4">
        <v>15187714000</v>
      </c>
      <c r="R19" s="4">
        <f t="shared" si="2"/>
        <v>227815710000</v>
      </c>
      <c r="S19" s="102">
        <f t="shared" si="9"/>
        <v>3.0424650784383895</v>
      </c>
      <c r="T19" s="35">
        <f t="shared" si="10"/>
        <v>52.540302683064333</v>
      </c>
      <c r="U19" s="99">
        <f t="shared" si="3"/>
        <v>108848.80169613266</v>
      </c>
      <c r="V19" s="99">
        <f t="shared" si="11"/>
        <v>15.080869602007843</v>
      </c>
      <c r="W19" s="237">
        <f>SUM($J$3:J19)*15/SUM($H$3:H19)</f>
        <v>6.7866247784916081E-2</v>
      </c>
      <c r="X19" s="235">
        <f t="shared" si="12"/>
        <v>3934147492500</v>
      </c>
      <c r="AA19" s="131"/>
      <c r="AB19" s="11"/>
      <c r="AE19" s="212" t="s">
        <v>230</v>
      </c>
      <c r="AF19" s="177">
        <f>SUM($R$54:R73)/SUM($M$54:M73)/10^6/$U$79</f>
        <v>0.53622034892085535</v>
      </c>
    </row>
    <row r="20" spans="1:32" x14ac:dyDescent="0.35">
      <c r="A20" s="246"/>
      <c r="B20" s="1" t="s">
        <v>108</v>
      </c>
      <c r="C20" s="2" t="s">
        <v>49</v>
      </c>
      <c r="D20" s="242"/>
      <c r="E20" s="3">
        <f t="shared" si="4"/>
        <v>360</v>
      </c>
      <c r="F20" s="22">
        <f t="shared" si="5"/>
        <v>72</v>
      </c>
      <c r="G20" s="3">
        <f t="shared" si="6"/>
        <v>160</v>
      </c>
      <c r="H20" s="3">
        <v>15</v>
      </c>
      <c r="I20" s="3">
        <v>472</v>
      </c>
      <c r="J20" s="21">
        <v>0.13235381076335906</v>
      </c>
      <c r="K20" s="21">
        <v>3.1791923025846484E-2</v>
      </c>
      <c r="L20" s="22">
        <v>24.031007766723633</v>
      </c>
      <c r="M20" s="35">
        <f t="shared" si="13"/>
        <v>1.9853071614503859</v>
      </c>
      <c r="N20" s="35">
        <f t="shared" si="7"/>
        <v>0.26530204058349538</v>
      </c>
      <c r="O20" s="41">
        <f t="shared" si="8"/>
        <v>2.5779360074035442</v>
      </c>
      <c r="P20" s="35">
        <f t="shared" si="1"/>
        <v>97.61685029519802</v>
      </c>
      <c r="Q20" s="4">
        <v>16673622500</v>
      </c>
      <c r="R20" s="4">
        <f t="shared" si="2"/>
        <v>250104337500</v>
      </c>
      <c r="S20" s="102">
        <f t="shared" si="9"/>
        <v>3.3401283555454491</v>
      </c>
      <c r="T20" s="35">
        <f t="shared" si="10"/>
        <v>55.880431038609785</v>
      </c>
      <c r="U20" s="99">
        <f t="shared" si="3"/>
        <v>125977.65341121511</v>
      </c>
      <c r="V20" s="99">
        <f t="shared" si="11"/>
        <v>17.454051255108805</v>
      </c>
      <c r="W20" s="237">
        <f>SUM($J$3:J20)*15/SUM($H$3:H20)</f>
        <v>7.144889017260736E-2</v>
      </c>
      <c r="X20" s="235">
        <f t="shared" si="12"/>
        <v>4184251830000</v>
      </c>
      <c r="AA20" s="131"/>
      <c r="AB20" s="11"/>
      <c r="AE20" s="218" t="s">
        <v>216</v>
      </c>
      <c r="AF20" s="192">
        <f>SUM(R28:R52)/SUM(M28:M52)/10^6/U79</f>
        <v>0.55215855916900702</v>
      </c>
    </row>
    <row r="21" spans="1:32" ht="15" thickBot="1" x14ac:dyDescent="0.4">
      <c r="A21" s="246"/>
      <c r="B21" s="1" t="s">
        <v>109</v>
      </c>
      <c r="C21" s="2" t="s">
        <v>51</v>
      </c>
      <c r="D21" s="242"/>
      <c r="E21" s="3">
        <f t="shared" si="4"/>
        <v>380</v>
      </c>
      <c r="F21" s="22">
        <f t="shared" si="5"/>
        <v>76</v>
      </c>
      <c r="G21" s="3">
        <f t="shared" si="6"/>
        <v>140</v>
      </c>
      <c r="H21" s="3">
        <v>15</v>
      </c>
      <c r="I21" s="3">
        <v>505</v>
      </c>
      <c r="J21" s="21">
        <v>0.22564911673068999</v>
      </c>
      <c r="K21" s="21">
        <v>3.2817145267724994E-2</v>
      </c>
      <c r="L21" s="22">
        <v>14.545454978942871</v>
      </c>
      <c r="M21" s="35">
        <f t="shared" si="13"/>
        <v>3.3847367509603501</v>
      </c>
      <c r="N21" s="35">
        <f t="shared" si="7"/>
        <v>0.45231165449063543</v>
      </c>
      <c r="O21" s="41">
        <f t="shared" si="8"/>
        <v>3.0302476618941796</v>
      </c>
      <c r="P21" s="35">
        <f t="shared" si="1"/>
        <v>95.996842042410364</v>
      </c>
      <c r="Q21" s="4">
        <v>17449224500</v>
      </c>
      <c r="R21" s="4">
        <f t="shared" si="2"/>
        <v>261738367500</v>
      </c>
      <c r="S21" s="102">
        <f t="shared" si="9"/>
        <v>3.4955001251064886</v>
      </c>
      <c r="T21" s="35">
        <f t="shared" si="10"/>
        <v>59.375931163716274</v>
      </c>
      <c r="U21" s="99">
        <f t="shared" si="3"/>
        <v>77329.017515390835</v>
      </c>
      <c r="V21" s="99">
        <f t="shared" si="11"/>
        <v>10.713841690757205</v>
      </c>
      <c r="W21" s="237">
        <f>SUM($J$3:J21)*15/SUM($H$3:H21)</f>
        <v>7.9564691570401178E-2</v>
      </c>
      <c r="X21" s="235">
        <f t="shared" si="12"/>
        <v>4445990197500</v>
      </c>
      <c r="AA21" s="131"/>
      <c r="AB21" s="11"/>
      <c r="AE21" s="212" t="s">
        <v>217</v>
      </c>
      <c r="AF21" s="177">
        <f>SUM(R54:R78)/SUM(M54:M78)/10^6/U79</f>
        <v>0.49032291039833253</v>
      </c>
    </row>
    <row r="22" spans="1:32" x14ac:dyDescent="0.35">
      <c r="A22" s="246"/>
      <c r="B22" s="1" t="s">
        <v>110</v>
      </c>
      <c r="C22" s="2" t="s">
        <v>53</v>
      </c>
      <c r="D22" s="242"/>
      <c r="E22" s="3">
        <f t="shared" si="4"/>
        <v>400</v>
      </c>
      <c r="F22" s="22">
        <f t="shared" si="5"/>
        <v>80</v>
      </c>
      <c r="G22" s="3">
        <f t="shared" si="6"/>
        <v>120</v>
      </c>
      <c r="H22" s="3">
        <v>15</v>
      </c>
      <c r="I22" s="3">
        <v>537</v>
      </c>
      <c r="J22" s="21">
        <v>0.2502544952392578</v>
      </c>
      <c r="K22" s="21">
        <v>4.2044156620502475E-2</v>
      </c>
      <c r="L22" s="22">
        <v>16.803277969360352</v>
      </c>
      <c r="M22" s="35">
        <f t="shared" si="13"/>
        <v>3.7538174285888672</v>
      </c>
      <c r="N22" s="35">
        <f t="shared" si="7"/>
        <v>0.50163291762618467</v>
      </c>
      <c r="O22" s="41">
        <f t="shared" si="8"/>
        <v>3.5318805795203643</v>
      </c>
      <c r="P22" s="35">
        <f t="shared" si="1"/>
        <v>95.641191134627164</v>
      </c>
      <c r="Q22" s="4">
        <v>15480773500</v>
      </c>
      <c r="R22" s="4">
        <f t="shared" si="2"/>
        <v>232211602500</v>
      </c>
      <c r="S22" s="102">
        <f t="shared" si="9"/>
        <v>3.1011719578709767</v>
      </c>
      <c r="T22" s="35">
        <f t="shared" si="10"/>
        <v>62.477103121587248</v>
      </c>
      <c r="U22" s="99">
        <f t="shared" si="3"/>
        <v>61860.121574237783</v>
      </c>
      <c r="V22" s="99">
        <f t="shared" si="11"/>
        <v>8.5706448990570525</v>
      </c>
      <c r="W22" s="237">
        <f>SUM($J$3:J22)*15/SUM($H$3:H22)</f>
        <v>8.8099181753844014E-2</v>
      </c>
      <c r="X22" s="235">
        <f t="shared" si="12"/>
        <v>4678201800000</v>
      </c>
      <c r="AA22" s="131"/>
      <c r="AB22" s="11"/>
    </row>
    <row r="23" spans="1:32" x14ac:dyDescent="0.35">
      <c r="A23" s="246"/>
      <c r="B23" s="1" t="s">
        <v>111</v>
      </c>
      <c r="C23" s="2" t="s">
        <v>55</v>
      </c>
      <c r="D23" s="242"/>
      <c r="E23" s="3">
        <f t="shared" si="4"/>
        <v>420</v>
      </c>
      <c r="F23" s="22">
        <f t="shared" si="5"/>
        <v>84</v>
      </c>
      <c r="G23" s="3">
        <f t="shared" si="6"/>
        <v>100</v>
      </c>
      <c r="H23" s="3">
        <v>15</v>
      </c>
      <c r="I23" s="3">
        <v>848</v>
      </c>
      <c r="J23" s="21">
        <v>0.85411099920272826</v>
      </c>
      <c r="K23" s="21">
        <v>7.9977416822910305E-2</v>
      </c>
      <c r="L23" s="22">
        <v>9.3637456893920898</v>
      </c>
      <c r="M23" s="35">
        <f t="shared" si="13"/>
        <v>12.811664988040924</v>
      </c>
      <c r="N23" s="35">
        <f t="shared" si="7"/>
        <v>1.7120579276590302</v>
      </c>
      <c r="O23" s="41">
        <f t="shared" si="8"/>
        <v>5.2439385071793945</v>
      </c>
      <c r="P23" s="35">
        <f t="shared" si="1"/>
        <v>86.519669793798286</v>
      </c>
      <c r="Q23" s="4">
        <v>15381935500</v>
      </c>
      <c r="R23" s="4">
        <f t="shared" si="2"/>
        <v>230729032500</v>
      </c>
      <c r="S23" s="102">
        <f t="shared" si="9"/>
        <v>3.0813723248634881</v>
      </c>
      <c r="T23" s="35">
        <f t="shared" si="10"/>
        <v>65.558475446450743</v>
      </c>
      <c r="U23" s="99">
        <f t="shared" si="3"/>
        <v>18009.293305388059</v>
      </c>
      <c r="V23" s="99">
        <f t="shared" si="11"/>
        <v>2.4951657687612352</v>
      </c>
      <c r="W23" s="237">
        <f>SUM($J$3:J23)*15/SUM($H$3:H23)</f>
        <v>0.12457593496569566</v>
      </c>
      <c r="X23" s="235">
        <f t="shared" si="12"/>
        <v>4908930832500</v>
      </c>
      <c r="AA23" s="131"/>
      <c r="AB23" s="11"/>
    </row>
    <row r="24" spans="1:32" x14ac:dyDescent="0.35">
      <c r="A24" s="246"/>
      <c r="B24" s="1" t="s">
        <v>112</v>
      </c>
      <c r="C24" s="2" t="s">
        <v>57</v>
      </c>
      <c r="D24" s="242"/>
      <c r="E24" s="3">
        <f t="shared" si="4"/>
        <v>440</v>
      </c>
      <c r="F24" s="22">
        <f t="shared" si="5"/>
        <v>88</v>
      </c>
      <c r="G24" s="3">
        <f t="shared" si="6"/>
        <v>80</v>
      </c>
      <c r="H24" s="3">
        <v>15</v>
      </c>
      <c r="I24" s="23">
        <v>1000</v>
      </c>
      <c r="J24" s="21">
        <v>1.3615965677261352</v>
      </c>
      <c r="K24" s="21">
        <v>0.12312679568529129</v>
      </c>
      <c r="L24" s="22">
        <v>9.0361442565917969</v>
      </c>
      <c r="M24" s="35">
        <f t="shared" si="13"/>
        <v>20.423948515892029</v>
      </c>
      <c r="N24" s="35">
        <f t="shared" si="7"/>
        <v>2.7293082517668732</v>
      </c>
      <c r="O24" s="41">
        <f t="shared" si="8"/>
        <v>7.9732467589462672</v>
      </c>
      <c r="P24" s="35">
        <f t="shared" si="1"/>
        <v>78.771149761315414</v>
      </c>
      <c r="Q24" s="4">
        <v>15928426500</v>
      </c>
      <c r="R24" s="4">
        <f t="shared" si="2"/>
        <v>238926397500</v>
      </c>
      <c r="S24" s="102">
        <f t="shared" si="9"/>
        <v>3.1908476404495518</v>
      </c>
      <c r="T24" s="35">
        <f t="shared" si="10"/>
        <v>68.74932308690029</v>
      </c>
      <c r="U24" s="99">
        <f t="shared" si="3"/>
        <v>11698.345073387232</v>
      </c>
      <c r="V24" s="99">
        <f t="shared" si="11"/>
        <v>1.6207915370859969</v>
      </c>
      <c r="W24" s="237">
        <f>SUM($J$3:J24)*15/SUM($H$3:H24)</f>
        <v>0.18080414554571564</v>
      </c>
      <c r="X24" s="235">
        <f t="shared" si="12"/>
        <v>5147857230000</v>
      </c>
      <c r="AA24" s="131"/>
      <c r="AB24" s="11"/>
    </row>
    <row r="25" spans="1:32" x14ac:dyDescent="0.35">
      <c r="A25" s="246"/>
      <c r="B25" s="1" t="s">
        <v>113</v>
      </c>
      <c r="C25" s="2" t="s">
        <v>59</v>
      </c>
      <c r="D25" s="242"/>
      <c r="E25" s="3">
        <f t="shared" si="4"/>
        <v>460</v>
      </c>
      <c r="F25" s="22">
        <f t="shared" si="5"/>
        <v>92</v>
      </c>
      <c r="G25" s="3">
        <f t="shared" si="6"/>
        <v>60</v>
      </c>
      <c r="H25" s="3">
        <v>15</v>
      </c>
      <c r="I25" s="23">
        <v>1000</v>
      </c>
      <c r="J25" s="21">
        <v>1.8455018831253052</v>
      </c>
      <c r="K25" s="21">
        <v>0.12927813658714293</v>
      </c>
      <c r="L25" s="22">
        <v>7</v>
      </c>
      <c r="M25" s="35">
        <f t="shared" si="13"/>
        <v>27.682528246879578</v>
      </c>
      <c r="N25" s="35">
        <f t="shared" si="7"/>
        <v>3.6992921674860639</v>
      </c>
      <c r="O25" s="41">
        <f t="shared" si="8"/>
        <v>11.672538926432331</v>
      </c>
      <c r="P25" s="35">
        <f t="shared" si="1"/>
        <v>72.816807874106331</v>
      </c>
      <c r="Q25" s="4">
        <v>16285533500</v>
      </c>
      <c r="R25" s="4">
        <f t="shared" si="2"/>
        <v>244283002500</v>
      </c>
      <c r="S25" s="102">
        <f t="shared" si="9"/>
        <v>3.262384777425261</v>
      </c>
      <c r="T25" s="35">
        <f t="shared" si="10"/>
        <v>72.011707864325558</v>
      </c>
      <c r="U25" s="99">
        <f t="shared" si="3"/>
        <v>8824.446969634575</v>
      </c>
      <c r="V25" s="99">
        <f t="shared" si="11"/>
        <v>1.2226164366090633</v>
      </c>
      <c r="W25" s="237">
        <f>SUM($J$3:J25)*15/SUM($H$3:H25)</f>
        <v>0.25318230804917602</v>
      </c>
      <c r="X25" s="235">
        <f t="shared" si="12"/>
        <v>5392140232500</v>
      </c>
      <c r="AA25" s="131"/>
      <c r="AB25" s="11"/>
    </row>
    <row r="26" spans="1:32" x14ac:dyDescent="0.35">
      <c r="A26" s="246"/>
      <c r="B26" s="1" t="s">
        <v>114</v>
      </c>
      <c r="C26" s="2" t="s">
        <v>61</v>
      </c>
      <c r="D26" s="242"/>
      <c r="E26" s="3">
        <f t="shared" si="4"/>
        <v>480</v>
      </c>
      <c r="F26" s="22">
        <f t="shared" si="5"/>
        <v>96</v>
      </c>
      <c r="G26" s="3">
        <f t="shared" si="6"/>
        <v>40</v>
      </c>
      <c r="H26" s="3">
        <v>15</v>
      </c>
      <c r="I26" s="23">
        <v>1000</v>
      </c>
      <c r="J26" s="21">
        <v>2.253540856933594</v>
      </c>
      <c r="K26" s="21">
        <v>0.16516095230579375</v>
      </c>
      <c r="L26" s="22">
        <v>7.3248405456542969</v>
      </c>
      <c r="M26" s="35">
        <f t="shared" si="13"/>
        <v>33.803112854003906</v>
      </c>
      <c r="N26" s="35">
        <f t="shared" si="7"/>
        <v>4.5172026739125499</v>
      </c>
      <c r="O26" s="41">
        <f t="shared" si="8"/>
        <v>16.189741600344881</v>
      </c>
      <c r="P26" s="35">
        <f t="shared" si="1"/>
        <v>65.847354491802207</v>
      </c>
      <c r="Q26" s="4">
        <v>17291420000</v>
      </c>
      <c r="R26" s="4">
        <f t="shared" si="2"/>
        <v>259371300000</v>
      </c>
      <c r="S26" s="102">
        <f t="shared" si="9"/>
        <v>3.4638880812880162</v>
      </c>
      <c r="T26" s="35">
        <f t="shared" si="10"/>
        <v>75.475595945613577</v>
      </c>
      <c r="U26" s="99">
        <f t="shared" si="3"/>
        <v>7673.0004458532594</v>
      </c>
      <c r="V26" s="99">
        <f t="shared" si="11"/>
        <v>1.0630849157448496</v>
      </c>
      <c r="W26" s="228">
        <f>SUM($J$3:J26)*15/SUM($H$3:H26)</f>
        <v>0.33653058091936011</v>
      </c>
      <c r="X26" s="58">
        <f t="shared" si="12"/>
        <v>5651511532500</v>
      </c>
      <c r="AA26" s="133"/>
      <c r="AB26" s="11"/>
    </row>
    <row r="27" spans="1:32" ht="15" thickBot="1" x14ac:dyDescent="0.4">
      <c r="A27" s="247"/>
      <c r="B27" s="5" t="s">
        <v>115</v>
      </c>
      <c r="C27" s="13" t="s">
        <v>63</v>
      </c>
      <c r="D27" s="243"/>
      <c r="E27" s="6">
        <f t="shared" si="4"/>
        <v>500</v>
      </c>
      <c r="F27" s="28">
        <v>100</v>
      </c>
      <c r="G27" s="6">
        <v>20</v>
      </c>
      <c r="H27" s="6">
        <v>15</v>
      </c>
      <c r="I27" s="26">
        <v>1000</v>
      </c>
      <c r="J27" s="27">
        <v>2.5139475894927981</v>
      </c>
      <c r="K27" s="27">
        <v>0.16003483364582061</v>
      </c>
      <c r="L27" s="28">
        <v>6.3621535301208496</v>
      </c>
      <c r="M27" s="36">
        <f t="shared" si="13"/>
        <v>37.709213842391968</v>
      </c>
      <c r="N27" s="36">
        <f>M27/SUM($M$3:$M$27,$M$53)*100</f>
        <v>5.0391856612642325</v>
      </c>
      <c r="O27" s="42">
        <f>N27+O26</f>
        <v>21.228927261609115</v>
      </c>
      <c r="P27" s="36">
        <f>100*(1-J27/J53)</f>
        <v>62.281789969411491</v>
      </c>
      <c r="Q27" s="7">
        <v>16910331500</v>
      </c>
      <c r="R27" s="7">
        <f t="shared" si="2"/>
        <v>253654972500</v>
      </c>
      <c r="S27" s="103">
        <f>R27/SUM($R$3:$R$27,$R$53)*100</f>
        <v>3.3875468720023743</v>
      </c>
      <c r="T27" s="42">
        <f t="shared" si="10"/>
        <v>78.863142817615952</v>
      </c>
      <c r="U27" s="99">
        <f t="shared" si="3"/>
        <v>6726.6046319651987</v>
      </c>
      <c r="V27" s="99">
        <f t="shared" si="11"/>
        <v>0.93196292231238531</v>
      </c>
      <c r="W27" s="228">
        <f>SUM($J$3:J27)*15/SUM($H$3:H27)</f>
        <v>0.42362726126229761</v>
      </c>
      <c r="X27" s="58">
        <f t="shared" si="12"/>
        <v>5905166505000</v>
      </c>
      <c r="AA27" s="133"/>
      <c r="AB27" s="11"/>
      <c r="AE27" s="221"/>
      <c r="AF27" s="222"/>
    </row>
    <row r="28" spans="1:32" ht="14.4" customHeight="1" x14ac:dyDescent="0.35">
      <c r="A28" s="245" t="s">
        <v>13</v>
      </c>
      <c r="B28" s="8" t="s">
        <v>14</v>
      </c>
      <c r="C28" s="9" t="s">
        <v>15</v>
      </c>
      <c r="D28" s="244">
        <v>44956</v>
      </c>
      <c r="E28" s="14">
        <v>20</v>
      </c>
      <c r="F28" s="32">
        <f>E28/$E$27*100</f>
        <v>4</v>
      </c>
      <c r="G28" s="14">
        <v>500</v>
      </c>
      <c r="H28" s="29">
        <v>2.5</v>
      </c>
      <c r="I28" s="30"/>
      <c r="J28" s="29">
        <v>4.5141581130981443</v>
      </c>
      <c r="K28" s="31">
        <v>0.14465647766590117</v>
      </c>
      <c r="L28" s="32">
        <v>3.202362060546875</v>
      </c>
      <c r="M28" s="37">
        <f t="shared" ref="M28:M51" si="14">J28*H28</f>
        <v>11.285395282745361</v>
      </c>
      <c r="N28" s="38"/>
      <c r="O28" s="38"/>
      <c r="P28" s="38"/>
      <c r="Q28" s="10">
        <v>34929017500</v>
      </c>
      <c r="R28" s="10">
        <f t="shared" si="2"/>
        <v>87322543750</v>
      </c>
      <c r="S28" s="74"/>
      <c r="T28" s="74"/>
      <c r="U28" s="99">
        <f t="shared" si="3"/>
        <v>7737.6592987850872</v>
      </c>
      <c r="V28" s="99">
        <f t="shared" si="11"/>
        <v>1.0720433214827692</v>
      </c>
      <c r="W28" s="225"/>
      <c r="AA28" s="133"/>
      <c r="AB28" s="11"/>
    </row>
    <row r="29" spans="1:32" x14ac:dyDescent="0.35">
      <c r="A29" s="246"/>
      <c r="B29" s="1" t="s">
        <v>16</v>
      </c>
      <c r="C29" s="2" t="s">
        <v>17</v>
      </c>
      <c r="D29" s="242"/>
      <c r="E29" s="3">
        <f>E28+20</f>
        <v>40</v>
      </c>
      <c r="F29" s="22">
        <f>E29/$E$27*100</f>
        <v>8</v>
      </c>
      <c r="G29" s="3">
        <f>G28-20</f>
        <v>480</v>
      </c>
      <c r="H29" s="24">
        <v>2.5</v>
      </c>
      <c r="I29" s="25"/>
      <c r="J29" s="24">
        <v>3.3905135227203371</v>
      </c>
      <c r="K29" s="21">
        <v>9.6380987594127651E-2</v>
      </c>
      <c r="L29" s="22">
        <v>2.8424553871154785</v>
      </c>
      <c r="M29" s="35">
        <f t="shared" si="14"/>
        <v>8.4762838068008435</v>
      </c>
      <c r="N29" s="39"/>
      <c r="O29" s="39"/>
      <c r="P29" s="39"/>
      <c r="Q29" s="4">
        <v>17213480000</v>
      </c>
      <c r="R29" s="4">
        <f t="shared" si="2"/>
        <v>43033700000</v>
      </c>
      <c r="S29" s="75"/>
      <c r="T29" s="75"/>
      <c r="U29" s="99">
        <f t="shared" si="3"/>
        <v>5076.9536486582047</v>
      </c>
      <c r="V29" s="99">
        <f>U29/$U$79</f>
        <v>0.7034057771678035</v>
      </c>
      <c r="W29" s="225"/>
      <c r="AA29" s="133"/>
      <c r="AB29" s="11"/>
    </row>
    <row r="30" spans="1:32" x14ac:dyDescent="0.35">
      <c r="A30" s="246"/>
      <c r="B30" s="1" t="s">
        <v>18</v>
      </c>
      <c r="C30" s="2" t="s">
        <v>19</v>
      </c>
      <c r="D30" s="242"/>
      <c r="E30" s="3">
        <f t="shared" ref="E30:E52" si="15">E29+20</f>
        <v>60</v>
      </c>
      <c r="F30" s="22">
        <f t="shared" ref="F30:F51" si="16">E30/$E$27*100</f>
        <v>12</v>
      </c>
      <c r="G30" s="3">
        <f t="shared" ref="G30:G51" si="17">G29-20</f>
        <v>460</v>
      </c>
      <c r="H30" s="24">
        <v>2.5</v>
      </c>
      <c r="I30" s="25"/>
      <c r="J30" s="24">
        <v>3.5863309932708742</v>
      </c>
      <c r="K30" s="21">
        <v>0.1015971062541008</v>
      </c>
      <c r="L30" s="22">
        <v>2.8301887512207031</v>
      </c>
      <c r="M30" s="35">
        <f t="shared" si="14"/>
        <v>8.9658274831771863</v>
      </c>
      <c r="N30" s="39"/>
      <c r="O30" s="39"/>
      <c r="P30" s="39"/>
      <c r="Q30" s="4">
        <v>20657538500</v>
      </c>
      <c r="R30" s="4">
        <f t="shared" si="2"/>
        <v>51643846250</v>
      </c>
      <c r="S30" s="75"/>
      <c r="T30" s="75"/>
      <c r="U30" s="99">
        <f t="shared" si="3"/>
        <v>5760.0758376068115</v>
      </c>
      <c r="V30" s="99">
        <f>U30/$U$79</f>
        <v>0.79805152882735653</v>
      </c>
      <c r="W30" s="225"/>
      <c r="AA30" s="133"/>
      <c r="AB30" s="11"/>
    </row>
    <row r="31" spans="1:32" x14ac:dyDescent="0.35">
      <c r="A31" s="246"/>
      <c r="B31" s="1" t="s">
        <v>20</v>
      </c>
      <c r="C31" s="2" t="s">
        <v>21</v>
      </c>
      <c r="D31" s="242"/>
      <c r="E31" s="3">
        <f t="shared" si="15"/>
        <v>80</v>
      </c>
      <c r="F31" s="22">
        <f t="shared" si="16"/>
        <v>16</v>
      </c>
      <c r="G31" s="3">
        <f t="shared" si="17"/>
        <v>440</v>
      </c>
      <c r="H31" s="24">
        <v>2.5</v>
      </c>
      <c r="I31" s="25"/>
      <c r="J31" s="24">
        <v>3.8118802143096926</v>
      </c>
      <c r="K31" s="21">
        <v>0.11800067702531815</v>
      </c>
      <c r="L31" s="22">
        <v>3.0930607318878174</v>
      </c>
      <c r="M31" s="35">
        <f t="shared" si="14"/>
        <v>9.5297005357742322</v>
      </c>
      <c r="N31" s="39"/>
      <c r="O31" s="39"/>
      <c r="P31" s="39"/>
      <c r="Q31" s="4">
        <v>19342132000</v>
      </c>
      <c r="R31" s="4">
        <f t="shared" si="2"/>
        <v>48355330000</v>
      </c>
      <c r="S31" s="75"/>
      <c r="T31" s="75"/>
      <c r="U31" s="99">
        <f t="shared" si="3"/>
        <v>5074.1709897887586</v>
      </c>
      <c r="V31" s="99">
        <f t="shared" ref="V31:V41" si="18">U31/$U$79</f>
        <v>0.70302024315270117</v>
      </c>
      <c r="W31" s="225"/>
      <c r="Z31" s="216"/>
      <c r="AA31" s="133"/>
      <c r="AB31" s="11"/>
    </row>
    <row r="32" spans="1:32" x14ac:dyDescent="0.35">
      <c r="A32" s="246"/>
      <c r="B32" s="1" t="s">
        <v>22</v>
      </c>
      <c r="C32" s="2" t="s">
        <v>23</v>
      </c>
      <c r="D32" s="242"/>
      <c r="E32" s="3">
        <f t="shared" si="15"/>
        <v>100</v>
      </c>
      <c r="F32" s="22">
        <f t="shared" si="16"/>
        <v>20</v>
      </c>
      <c r="G32" s="3">
        <f t="shared" si="17"/>
        <v>420</v>
      </c>
      <c r="H32" s="24">
        <v>2.5</v>
      </c>
      <c r="I32" s="25"/>
      <c r="J32" s="24">
        <v>4.0210255218505857</v>
      </c>
      <c r="K32" s="21">
        <v>0.16106006333827971</v>
      </c>
      <c r="L32" s="22">
        <v>4.0030598640441895</v>
      </c>
      <c r="M32" s="35">
        <f t="shared" si="14"/>
        <v>10.052563804626464</v>
      </c>
      <c r="N32" s="39"/>
      <c r="O32" s="39"/>
      <c r="P32" s="39"/>
      <c r="Q32" s="4">
        <v>21821914500</v>
      </c>
      <c r="R32" s="4">
        <f t="shared" si="2"/>
        <v>54554786250</v>
      </c>
      <c r="S32" s="75"/>
      <c r="T32" s="75"/>
      <c r="U32" s="99">
        <f t="shared" si="3"/>
        <v>5426.9524979182315</v>
      </c>
      <c r="V32" s="99">
        <f t="shared" si="18"/>
        <v>0.75189769370059523</v>
      </c>
      <c r="W32" s="225"/>
      <c r="AA32" s="133"/>
      <c r="AB32" s="11"/>
    </row>
    <row r="33" spans="1:28" x14ac:dyDescent="0.35">
      <c r="A33" s="246"/>
      <c r="B33" s="1" t="s">
        <v>24</v>
      </c>
      <c r="C33" s="2" t="s">
        <v>25</v>
      </c>
      <c r="D33" s="242"/>
      <c r="E33" s="3">
        <f t="shared" si="15"/>
        <v>120</v>
      </c>
      <c r="F33" s="22">
        <f t="shared" si="16"/>
        <v>24</v>
      </c>
      <c r="G33" s="3">
        <f t="shared" si="17"/>
        <v>400</v>
      </c>
      <c r="H33" s="24">
        <v>2.5</v>
      </c>
      <c r="I33" s="25"/>
      <c r="J33" s="24">
        <v>4.1768597198486326</v>
      </c>
      <c r="K33" s="21">
        <v>0.1241520179271698</v>
      </c>
      <c r="L33" s="22">
        <v>2.9700539112091064</v>
      </c>
      <c r="M33" s="35">
        <f t="shared" si="14"/>
        <v>10.442149299621581</v>
      </c>
      <c r="N33" s="39"/>
      <c r="O33" s="39"/>
      <c r="P33" s="39"/>
      <c r="Q33" s="4">
        <v>22038296500</v>
      </c>
      <c r="R33" s="4">
        <f t="shared" si="2"/>
        <v>55095741250</v>
      </c>
      <c r="S33" s="75"/>
      <c r="T33" s="75"/>
      <c r="U33" s="99">
        <f t="shared" si="3"/>
        <v>5276.2836145233669</v>
      </c>
      <c r="V33" s="99">
        <f t="shared" si="18"/>
        <v>0.73102270244528211</v>
      </c>
      <c r="W33" s="225"/>
      <c r="AA33" s="133"/>
      <c r="AB33" s="11"/>
    </row>
    <row r="34" spans="1:28" x14ac:dyDescent="0.35">
      <c r="A34" s="246"/>
      <c r="B34" s="1" t="s">
        <v>26</v>
      </c>
      <c r="C34" s="2" t="s">
        <v>27</v>
      </c>
      <c r="D34" s="242"/>
      <c r="E34" s="3">
        <f t="shared" si="15"/>
        <v>140</v>
      </c>
      <c r="F34" s="22">
        <f t="shared" si="16"/>
        <v>28.000000000000004</v>
      </c>
      <c r="G34" s="3">
        <f t="shared" si="17"/>
        <v>380</v>
      </c>
      <c r="H34" s="24">
        <v>2.5</v>
      </c>
      <c r="I34" s="25"/>
      <c r="J34" s="24">
        <v>3.8979989124298098</v>
      </c>
      <c r="K34" s="21">
        <v>0.11389978805780411</v>
      </c>
      <c r="L34" s="22">
        <v>2.9195160865783691</v>
      </c>
      <c r="M34" s="35">
        <f t="shared" si="14"/>
        <v>9.7449972810745251</v>
      </c>
      <c r="N34" s="39"/>
      <c r="O34" s="39"/>
      <c r="P34" s="39"/>
      <c r="Q34" s="4">
        <v>29265821500</v>
      </c>
      <c r="R34" s="4">
        <f t="shared" si="2"/>
        <v>73164553750</v>
      </c>
      <c r="S34" s="75"/>
      <c r="T34" s="75"/>
      <c r="U34" s="99">
        <f t="shared" si="3"/>
        <v>7507.9090983525202</v>
      </c>
      <c r="V34" s="99">
        <f t="shared" si="18"/>
        <v>1.0402117095608365</v>
      </c>
      <c r="W34" s="225"/>
      <c r="AA34" s="133"/>
      <c r="AB34" s="11"/>
    </row>
    <row r="35" spans="1:28" x14ac:dyDescent="0.35">
      <c r="A35" s="246"/>
      <c r="B35" s="1" t="s">
        <v>28</v>
      </c>
      <c r="C35" s="2" t="s">
        <v>29</v>
      </c>
      <c r="D35" s="242"/>
      <c r="E35" s="3">
        <f t="shared" si="15"/>
        <v>160</v>
      </c>
      <c r="F35" s="22">
        <f t="shared" si="16"/>
        <v>32</v>
      </c>
      <c r="G35" s="3">
        <f t="shared" si="17"/>
        <v>360</v>
      </c>
      <c r="H35" s="24">
        <v>2.5</v>
      </c>
      <c r="I35" s="25"/>
      <c r="J35" s="24">
        <v>4.1963389945983884</v>
      </c>
      <c r="K35" s="21">
        <v>0.15080782601833342</v>
      </c>
      <c r="L35" s="22">
        <v>3.5914976596832275</v>
      </c>
      <c r="M35" s="35">
        <f t="shared" si="14"/>
        <v>10.490847486495971</v>
      </c>
      <c r="N35" s="39"/>
      <c r="O35" s="39"/>
      <c r="P35" s="39"/>
      <c r="Q35" s="4">
        <v>24419607500</v>
      </c>
      <c r="R35" s="4">
        <f t="shared" ref="R35:R66" si="19">Q35*H35</f>
        <v>61049018750</v>
      </c>
      <c r="S35" s="75"/>
      <c r="T35" s="75"/>
      <c r="U35" s="99">
        <f t="shared" si="3"/>
        <v>5819.2647284772293</v>
      </c>
      <c r="V35" s="99">
        <f t="shared" si="18"/>
        <v>0.80625207794866072</v>
      </c>
      <c r="W35" s="225"/>
      <c r="AA35" s="133"/>
      <c r="AB35" s="11"/>
    </row>
    <row r="36" spans="1:28" x14ac:dyDescent="0.35">
      <c r="A36" s="246"/>
      <c r="B36" s="1" t="s">
        <v>30</v>
      </c>
      <c r="C36" s="2" t="s">
        <v>31</v>
      </c>
      <c r="D36" s="242"/>
      <c r="E36" s="3">
        <f t="shared" si="15"/>
        <v>180</v>
      </c>
      <c r="F36" s="22">
        <f t="shared" si="16"/>
        <v>36</v>
      </c>
      <c r="G36" s="3">
        <f t="shared" si="17"/>
        <v>340</v>
      </c>
      <c r="H36" s="24">
        <v>2.5</v>
      </c>
      <c r="I36" s="25"/>
      <c r="J36" s="24">
        <v>4.042555196380615</v>
      </c>
      <c r="K36" s="21">
        <v>0.15695915946960448</v>
      </c>
      <c r="L36" s="22">
        <v>3.8802940845489502</v>
      </c>
      <c r="M36" s="35">
        <f t="shared" si="14"/>
        <v>10.106387990951538</v>
      </c>
      <c r="N36" s="39"/>
      <c r="O36" s="39"/>
      <c r="P36" s="39"/>
      <c r="Q36" s="4">
        <v>18784666500</v>
      </c>
      <c r="R36" s="4">
        <f t="shared" si="19"/>
        <v>46961666250</v>
      </c>
      <c r="S36" s="75"/>
      <c r="T36" s="75"/>
      <c r="U36" s="99">
        <f t="shared" si="3"/>
        <v>4646.7309875739757</v>
      </c>
      <c r="V36" s="99">
        <f t="shared" si="18"/>
        <v>0.64379894869988297</v>
      </c>
      <c r="W36" s="225"/>
      <c r="X36" s="11"/>
      <c r="AA36" s="133"/>
      <c r="AB36" s="11"/>
    </row>
    <row r="37" spans="1:28" x14ac:dyDescent="0.35">
      <c r="A37" s="246"/>
      <c r="B37" s="1" t="s">
        <v>32</v>
      </c>
      <c r="C37" s="2" t="s">
        <v>33</v>
      </c>
      <c r="D37" s="242"/>
      <c r="E37" s="3">
        <f t="shared" si="15"/>
        <v>200</v>
      </c>
      <c r="F37" s="22">
        <f t="shared" si="16"/>
        <v>40</v>
      </c>
      <c r="G37" s="3">
        <f t="shared" si="17"/>
        <v>320</v>
      </c>
      <c r="H37" s="24">
        <v>2.5</v>
      </c>
      <c r="I37" s="25"/>
      <c r="J37" s="24">
        <v>3.9595123363494875</v>
      </c>
      <c r="K37" s="21">
        <v>0.1364546997308731</v>
      </c>
      <c r="L37" s="22">
        <v>3.4438114166259766</v>
      </c>
      <c r="M37" s="35">
        <f t="shared" si="14"/>
        <v>9.8987808408737195</v>
      </c>
      <c r="N37" s="39"/>
      <c r="O37" s="39"/>
      <c r="P37" s="39"/>
      <c r="Q37" s="4">
        <v>16903294000</v>
      </c>
      <c r="R37" s="4">
        <f t="shared" si="19"/>
        <v>42258235000</v>
      </c>
      <c r="S37" s="75"/>
      <c r="T37" s="75"/>
      <c r="U37" s="99">
        <f t="shared" si="3"/>
        <v>4269.0343062762531</v>
      </c>
      <c r="V37" s="99">
        <f t="shared" si="18"/>
        <v>0.59146953109487099</v>
      </c>
      <c r="W37" s="225"/>
      <c r="AA37" s="133"/>
      <c r="AB37" s="11"/>
    </row>
    <row r="38" spans="1:28" x14ac:dyDescent="0.35">
      <c r="A38" s="246"/>
      <c r="B38" s="1" t="s">
        <v>34</v>
      </c>
      <c r="C38" s="2" t="s">
        <v>35</v>
      </c>
      <c r="D38" s="242"/>
      <c r="E38" s="3">
        <f t="shared" si="15"/>
        <v>220</v>
      </c>
      <c r="F38" s="22">
        <f t="shared" si="16"/>
        <v>44</v>
      </c>
      <c r="G38" s="3">
        <f t="shared" si="17"/>
        <v>300</v>
      </c>
      <c r="H38" s="24">
        <v>2.5</v>
      </c>
      <c r="I38" s="25"/>
      <c r="J38" s="24">
        <v>4.1963389945983884</v>
      </c>
      <c r="K38" s="21">
        <v>0.16926184127330779</v>
      </c>
      <c r="L38" s="22">
        <v>4.0312728881835938</v>
      </c>
      <c r="M38" s="35">
        <f t="shared" si="14"/>
        <v>10.490847486495971</v>
      </c>
      <c r="N38" s="39"/>
      <c r="O38" s="39"/>
      <c r="P38" s="39"/>
      <c r="Q38" s="4">
        <v>15503037000</v>
      </c>
      <c r="R38" s="4">
        <f t="shared" si="19"/>
        <v>38757592500</v>
      </c>
      <c r="S38" s="75"/>
      <c r="T38" s="75"/>
      <c r="U38" s="99">
        <f t="shared" si="3"/>
        <v>3694.4195928774629</v>
      </c>
      <c r="V38" s="99">
        <f t="shared" si="18"/>
        <v>0.51185735871327875</v>
      </c>
      <c r="W38" s="225"/>
      <c r="AA38" s="133"/>
      <c r="AB38" s="11"/>
    </row>
    <row r="39" spans="1:28" x14ac:dyDescent="0.35">
      <c r="A39" s="246"/>
      <c r="B39" s="1" t="s">
        <v>36</v>
      </c>
      <c r="C39" s="2" t="s">
        <v>37</v>
      </c>
      <c r="D39" s="242"/>
      <c r="E39" s="3">
        <f t="shared" si="15"/>
        <v>240</v>
      </c>
      <c r="F39" s="22">
        <f t="shared" si="16"/>
        <v>48</v>
      </c>
      <c r="G39" s="3">
        <f t="shared" si="17"/>
        <v>280</v>
      </c>
      <c r="H39" s="24">
        <v>2.5</v>
      </c>
      <c r="I39" s="25"/>
      <c r="J39" s="24">
        <v>4.3367947174072263</v>
      </c>
      <c r="K39" s="21">
        <v>0.16003483364582061</v>
      </c>
      <c r="L39" s="22">
        <v>3.6879432201385498</v>
      </c>
      <c r="M39" s="35">
        <f t="shared" si="14"/>
        <v>10.841986793518066</v>
      </c>
      <c r="N39" s="39"/>
      <c r="O39" s="39"/>
      <c r="P39" s="39"/>
      <c r="Q39" s="4">
        <v>17351858000</v>
      </c>
      <c r="R39" s="4">
        <f t="shared" si="19"/>
        <v>43379645000</v>
      </c>
      <c r="S39" s="75"/>
      <c r="T39" s="75"/>
      <c r="U39" s="99">
        <f t="shared" si="3"/>
        <v>4001.0789374817105</v>
      </c>
      <c r="V39" s="99">
        <f t="shared" si="18"/>
        <v>0.55434463938288447</v>
      </c>
      <c r="W39" s="225"/>
      <c r="AA39" s="133"/>
      <c r="AB39" s="11"/>
    </row>
    <row r="40" spans="1:28" x14ac:dyDescent="0.35">
      <c r="A40" s="246"/>
      <c r="B40" s="1" t="s">
        <v>38</v>
      </c>
      <c r="C40" s="2" t="s">
        <v>39</v>
      </c>
      <c r="D40" s="242"/>
      <c r="E40" s="3">
        <f t="shared" si="15"/>
        <v>260</v>
      </c>
      <c r="F40" s="22">
        <f t="shared" si="16"/>
        <v>52</v>
      </c>
      <c r="G40" s="3">
        <f t="shared" si="17"/>
        <v>260</v>
      </c>
      <c r="H40" s="24">
        <v>2.5</v>
      </c>
      <c r="I40" s="25"/>
      <c r="J40" s="24">
        <v>4.7140768600463865</v>
      </c>
      <c r="K40" s="21">
        <v>0.15593394467830657</v>
      </c>
      <c r="L40" s="22">
        <v>3.3057851791381836</v>
      </c>
      <c r="M40" s="35">
        <f t="shared" si="14"/>
        <v>11.785192150115966</v>
      </c>
      <c r="N40" s="39"/>
      <c r="O40" s="39"/>
      <c r="P40" s="39"/>
      <c r="Q40" s="4">
        <v>14772285500</v>
      </c>
      <c r="R40" s="4">
        <f t="shared" si="19"/>
        <v>36930713750</v>
      </c>
      <c r="S40" s="75"/>
      <c r="T40" s="75"/>
      <c r="U40" s="99">
        <f t="shared" si="3"/>
        <v>3133.6539344958073</v>
      </c>
      <c r="V40" s="99">
        <f t="shared" si="18"/>
        <v>0.43416395612584086</v>
      </c>
      <c r="W40" s="225"/>
      <c r="AA40" s="133"/>
      <c r="AB40" s="11"/>
    </row>
    <row r="41" spans="1:28" x14ac:dyDescent="0.35">
      <c r="A41" s="246"/>
      <c r="B41" s="1" t="s">
        <v>40</v>
      </c>
      <c r="C41" s="2" t="s">
        <v>41</v>
      </c>
      <c r="D41" s="242"/>
      <c r="E41" s="3">
        <f t="shared" si="15"/>
        <v>280</v>
      </c>
      <c r="F41" s="22">
        <f t="shared" si="16"/>
        <v>56.000000000000007</v>
      </c>
      <c r="G41" s="3">
        <f t="shared" si="17"/>
        <v>240</v>
      </c>
      <c r="H41" s="24">
        <v>2.5</v>
      </c>
      <c r="I41" s="25"/>
      <c r="J41" s="24">
        <v>5.0021642280578611</v>
      </c>
      <c r="K41" s="21">
        <v>0.19899332354068755</v>
      </c>
      <c r="L41" s="22">
        <v>3.9762246608734131</v>
      </c>
      <c r="M41" s="35">
        <f t="shared" si="14"/>
        <v>12.505410570144653</v>
      </c>
      <c r="N41" s="39"/>
      <c r="O41" s="39"/>
      <c r="P41" s="39"/>
      <c r="Q41" s="4">
        <v>17935414000</v>
      </c>
      <c r="R41" s="4">
        <f t="shared" si="19"/>
        <v>44838535000</v>
      </c>
      <c r="S41" s="75"/>
      <c r="T41" s="75"/>
      <c r="U41" s="99">
        <f t="shared" si="3"/>
        <v>3585.5308187199603</v>
      </c>
      <c r="V41" s="99">
        <f t="shared" si="18"/>
        <v>0.49677095097517571</v>
      </c>
      <c r="W41" s="225"/>
      <c r="AA41" s="133"/>
      <c r="AB41" s="11"/>
    </row>
    <row r="42" spans="1:28" x14ac:dyDescent="0.35">
      <c r="A42" s="246"/>
      <c r="B42" s="1" t="s">
        <v>42</v>
      </c>
      <c r="C42" s="2" t="s">
        <v>43</v>
      </c>
      <c r="D42" s="242"/>
      <c r="E42" s="3">
        <f t="shared" si="15"/>
        <v>300</v>
      </c>
      <c r="F42" s="22">
        <f t="shared" si="16"/>
        <v>60</v>
      </c>
      <c r="G42" s="3">
        <f t="shared" si="17"/>
        <v>220</v>
      </c>
      <c r="H42" s="24">
        <v>2.5</v>
      </c>
      <c r="I42" s="25"/>
      <c r="J42" s="24">
        <v>5.0493248535156248</v>
      </c>
      <c r="K42" s="21">
        <v>0.17848884890079497</v>
      </c>
      <c r="L42" s="22">
        <v>3.5329949855804443</v>
      </c>
      <c r="M42" s="35">
        <f t="shared" si="14"/>
        <v>12.623312133789062</v>
      </c>
      <c r="N42" s="39"/>
      <c r="O42" s="39"/>
      <c r="P42" s="39"/>
      <c r="Q42" s="4">
        <v>17506165500</v>
      </c>
      <c r="R42" s="4">
        <f t="shared" si="19"/>
        <v>43765413750</v>
      </c>
      <c r="S42" s="75"/>
      <c r="T42" s="75"/>
      <c r="U42" s="99">
        <f t="shared" si="3"/>
        <v>3467.0309413368841</v>
      </c>
      <c r="V42" s="99">
        <f>U42/$U$79</f>
        <v>0.48035293652925659</v>
      </c>
      <c r="W42" s="225"/>
      <c r="AA42" s="133"/>
      <c r="AB42" s="11"/>
    </row>
    <row r="43" spans="1:28" x14ac:dyDescent="0.35">
      <c r="A43" s="246"/>
      <c r="B43" s="1" t="s">
        <v>44</v>
      </c>
      <c r="C43" s="2" t="s">
        <v>45</v>
      </c>
      <c r="D43" s="242"/>
      <c r="E43" s="3">
        <f t="shared" si="15"/>
        <v>320</v>
      </c>
      <c r="F43" s="22">
        <f t="shared" si="16"/>
        <v>64</v>
      </c>
      <c r="G43" s="3">
        <f t="shared" si="17"/>
        <v>200</v>
      </c>
      <c r="H43" s="24">
        <v>2.5</v>
      </c>
      <c r="I43" s="25"/>
      <c r="J43" s="24">
        <v>5.4460862709045408</v>
      </c>
      <c r="K43" s="21">
        <v>0.23487613925933837</v>
      </c>
      <c r="L43" s="22">
        <v>4.3109941482543945</v>
      </c>
      <c r="M43" s="35">
        <f t="shared" si="14"/>
        <v>13.615215677261352</v>
      </c>
      <c r="N43" s="39"/>
      <c r="O43" s="39"/>
      <c r="P43" s="39"/>
      <c r="Q43" s="4">
        <v>18704740500</v>
      </c>
      <c r="R43" s="4">
        <f t="shared" si="19"/>
        <v>46761851250</v>
      </c>
      <c r="S43" s="75"/>
      <c r="T43" s="75"/>
      <c r="U43" s="99">
        <f t="shared" si="3"/>
        <v>3434.5288652383629</v>
      </c>
      <c r="V43" s="99">
        <f>U43/$U$79</f>
        <v>0.47584981326286835</v>
      </c>
      <c r="W43" s="225"/>
      <c r="AA43" s="133"/>
      <c r="AB43" s="11"/>
    </row>
    <row r="44" spans="1:28" x14ac:dyDescent="0.35">
      <c r="A44" s="246"/>
      <c r="B44" s="1" t="s">
        <v>46</v>
      </c>
      <c r="C44" s="2" t="s">
        <v>47</v>
      </c>
      <c r="D44" s="242"/>
      <c r="E44" s="3">
        <f t="shared" si="15"/>
        <v>340</v>
      </c>
      <c r="F44" s="22">
        <f t="shared" si="16"/>
        <v>68</v>
      </c>
      <c r="G44" s="3">
        <f t="shared" si="17"/>
        <v>180</v>
      </c>
      <c r="H44" s="24">
        <v>2.5</v>
      </c>
      <c r="I44" s="25"/>
      <c r="J44" s="24">
        <v>4.9150203300476072</v>
      </c>
      <c r="K44" s="21">
        <v>0.1928419751882553</v>
      </c>
      <c r="L44" s="22">
        <v>3.9215686321258545</v>
      </c>
      <c r="M44" s="35">
        <f t="shared" si="14"/>
        <v>12.287550825119018</v>
      </c>
      <c r="N44" s="39"/>
      <c r="O44" s="39"/>
      <c r="P44" s="39"/>
      <c r="Q44" s="4">
        <v>18140627500</v>
      </c>
      <c r="R44" s="4">
        <f t="shared" si="19"/>
        <v>45351568750</v>
      </c>
      <c r="S44" s="75"/>
      <c r="T44" s="75"/>
      <c r="U44" s="99">
        <f t="shared" si="3"/>
        <v>3690.8550284316502</v>
      </c>
      <c r="V44" s="99">
        <f t="shared" ref="V44:V79" si="20">U44/$U$79</f>
        <v>0.51136349262786862</v>
      </c>
      <c r="W44" s="225"/>
      <c r="AA44" s="133"/>
      <c r="AB44" s="11"/>
    </row>
    <row r="45" spans="1:28" x14ac:dyDescent="0.35">
      <c r="A45" s="246"/>
      <c r="B45" s="1" t="s">
        <v>48</v>
      </c>
      <c r="C45" s="2" t="s">
        <v>49</v>
      </c>
      <c r="D45" s="242"/>
      <c r="E45" s="3">
        <f t="shared" si="15"/>
        <v>360</v>
      </c>
      <c r="F45" s="22">
        <f t="shared" si="16"/>
        <v>72</v>
      </c>
      <c r="G45" s="3">
        <f t="shared" si="17"/>
        <v>160</v>
      </c>
      <c r="H45" s="24">
        <v>2.5</v>
      </c>
      <c r="I45" s="25"/>
      <c r="J45" s="24">
        <v>5.5537346435546873</v>
      </c>
      <c r="K45" s="21">
        <v>0.2276995761156082</v>
      </c>
      <c r="L45" s="22">
        <v>4.0982093811035156</v>
      </c>
      <c r="M45" s="35">
        <f t="shared" si="14"/>
        <v>13.884336608886718</v>
      </c>
      <c r="N45" s="39"/>
      <c r="O45" s="39"/>
      <c r="P45" s="39"/>
      <c r="Q45" s="4">
        <v>15685786000</v>
      </c>
      <c r="R45" s="4">
        <f t="shared" si="19"/>
        <v>39214465000</v>
      </c>
      <c r="S45" s="75"/>
      <c r="T45" s="75"/>
      <c r="U45" s="99">
        <f t="shared" si="3"/>
        <v>2824.367206345361</v>
      </c>
      <c r="V45" s="99">
        <f t="shared" si="20"/>
        <v>0.39131265464904885</v>
      </c>
      <c r="W45" s="225"/>
      <c r="AA45" s="133"/>
      <c r="AB45" s="11"/>
    </row>
    <row r="46" spans="1:28" x14ac:dyDescent="0.35">
      <c r="A46" s="246"/>
      <c r="B46" s="1" t="s">
        <v>50</v>
      </c>
      <c r="C46" s="2" t="s">
        <v>51</v>
      </c>
      <c r="D46" s="242"/>
      <c r="E46" s="3">
        <f t="shared" si="15"/>
        <v>380</v>
      </c>
      <c r="F46" s="22">
        <f t="shared" si="16"/>
        <v>76</v>
      </c>
      <c r="G46" s="3">
        <f t="shared" si="17"/>
        <v>140</v>
      </c>
      <c r="H46" s="24">
        <v>2.5</v>
      </c>
      <c r="I46" s="25"/>
      <c r="J46" s="24">
        <v>5.6367777420043943</v>
      </c>
      <c r="K46" s="21">
        <v>0.25230492482185363</v>
      </c>
      <c r="L46" s="22">
        <v>4.4743542671203613</v>
      </c>
      <c r="M46" s="35">
        <f t="shared" si="14"/>
        <v>14.091944355010986</v>
      </c>
      <c r="N46" s="39"/>
      <c r="O46" s="39"/>
      <c r="P46" s="39"/>
      <c r="Q46" s="4">
        <v>17315353500</v>
      </c>
      <c r="R46" s="4">
        <f t="shared" si="19"/>
        <v>43288383750</v>
      </c>
      <c r="S46" s="75"/>
      <c r="T46" s="75"/>
      <c r="U46" s="99">
        <f t="shared" si="3"/>
        <v>3071.8531566303686</v>
      </c>
      <c r="V46" s="99">
        <f t="shared" si="20"/>
        <v>0.42560153322574157</v>
      </c>
      <c r="W46" s="225"/>
      <c r="AA46" s="133"/>
      <c r="AB46" s="11"/>
    </row>
    <row r="47" spans="1:28" x14ac:dyDescent="0.35">
      <c r="A47" s="246"/>
      <c r="B47" s="1" t="s">
        <v>52</v>
      </c>
      <c r="C47" s="2" t="s">
        <v>53</v>
      </c>
      <c r="D47" s="242"/>
      <c r="E47" s="3">
        <f t="shared" si="15"/>
        <v>400</v>
      </c>
      <c r="F47" s="22">
        <f t="shared" si="16"/>
        <v>80</v>
      </c>
      <c r="G47" s="3">
        <f t="shared" si="17"/>
        <v>120</v>
      </c>
      <c r="H47" s="24">
        <v>2.5</v>
      </c>
      <c r="I47" s="25"/>
      <c r="J47" s="24">
        <v>5.7413505149841306</v>
      </c>
      <c r="K47" s="21">
        <v>0.25127969512939452</v>
      </c>
      <c r="L47" s="22">
        <v>4.375</v>
      </c>
      <c r="M47" s="35">
        <f t="shared" si="14"/>
        <v>14.353376287460327</v>
      </c>
      <c r="N47" s="39"/>
      <c r="O47" s="39"/>
      <c r="P47" s="39"/>
      <c r="Q47" s="4">
        <v>17839742500</v>
      </c>
      <c r="R47" s="4">
        <f t="shared" si="19"/>
        <v>44599356250</v>
      </c>
      <c r="S47" s="75"/>
      <c r="T47" s="75"/>
      <c r="U47" s="99">
        <f t="shared" si="3"/>
        <v>3107.2380014842743</v>
      </c>
      <c r="V47" s="99">
        <f t="shared" si="20"/>
        <v>0.43050406061064334</v>
      </c>
      <c r="W47" s="225"/>
      <c r="AA47" s="133"/>
      <c r="AB47" s="11"/>
    </row>
    <row r="48" spans="1:28" x14ac:dyDescent="0.35">
      <c r="A48" s="246"/>
      <c r="B48" s="1" t="s">
        <v>54</v>
      </c>
      <c r="C48" s="2" t="s">
        <v>55</v>
      </c>
      <c r="D48" s="242"/>
      <c r="E48" s="3">
        <f t="shared" si="15"/>
        <v>420</v>
      </c>
      <c r="F48" s="22">
        <f t="shared" si="16"/>
        <v>84</v>
      </c>
      <c r="G48" s="3">
        <f t="shared" si="17"/>
        <v>100</v>
      </c>
      <c r="H48" s="24">
        <v>2.5</v>
      </c>
      <c r="I48" s="25"/>
      <c r="J48" s="24">
        <v>6.3359798027038572</v>
      </c>
      <c r="K48" s="21">
        <v>0.29126341471672057</v>
      </c>
      <c r="L48" s="22">
        <v>4.5954694747924805</v>
      </c>
      <c r="M48" s="35">
        <f t="shared" si="14"/>
        <v>15.839949506759643</v>
      </c>
      <c r="N48" s="39"/>
      <c r="O48" s="39"/>
      <c r="P48" s="39"/>
      <c r="Q48" s="4">
        <v>16903994500</v>
      </c>
      <c r="R48" s="4">
        <f t="shared" si="19"/>
        <v>42259986250</v>
      </c>
      <c r="S48" s="75"/>
      <c r="T48" s="75"/>
      <c r="U48" s="99">
        <f t="shared" si="3"/>
        <v>2667.9369294684743</v>
      </c>
      <c r="V48" s="99">
        <f t="shared" si="20"/>
        <v>0.36963942930687105</v>
      </c>
      <c r="W48" s="225"/>
      <c r="AA48" s="133"/>
      <c r="AB48" s="11"/>
    </row>
    <row r="49" spans="1:28" x14ac:dyDescent="0.35">
      <c r="A49" s="246"/>
      <c r="B49" s="1" t="s">
        <v>56</v>
      </c>
      <c r="C49" s="2" t="s">
        <v>57</v>
      </c>
      <c r="D49" s="242"/>
      <c r="E49" s="3">
        <f t="shared" si="15"/>
        <v>440</v>
      </c>
      <c r="F49" s="22">
        <f t="shared" si="16"/>
        <v>88</v>
      </c>
      <c r="G49" s="3">
        <f t="shared" si="17"/>
        <v>80</v>
      </c>
      <c r="H49" s="24">
        <v>2.5</v>
      </c>
      <c r="I49" s="25"/>
      <c r="J49" s="24">
        <v>6.4138969017028806</v>
      </c>
      <c r="K49" s="21">
        <v>0.28101117739677428</v>
      </c>
      <c r="L49" s="22">
        <v>4.3797955513000488</v>
      </c>
      <c r="M49" s="35">
        <f t="shared" si="14"/>
        <v>16.034742254257203</v>
      </c>
      <c r="N49" s="39"/>
      <c r="O49" s="39"/>
      <c r="P49" s="39"/>
      <c r="Q49" s="4">
        <v>16463329000</v>
      </c>
      <c r="R49" s="4">
        <f t="shared" si="19"/>
        <v>41158322500</v>
      </c>
      <c r="S49" s="75"/>
      <c r="T49" s="75"/>
      <c r="U49" s="99">
        <f t="shared" si="3"/>
        <v>2566.821583245126</v>
      </c>
      <c r="V49" s="99">
        <f t="shared" si="20"/>
        <v>0.35563002059134663</v>
      </c>
      <c r="W49" s="225"/>
      <c r="AA49" s="133"/>
      <c r="AB49" s="11"/>
    </row>
    <row r="50" spans="1:28" x14ac:dyDescent="0.35">
      <c r="A50" s="246"/>
      <c r="B50" s="1" t="s">
        <v>58</v>
      </c>
      <c r="C50" s="2" t="s">
        <v>59</v>
      </c>
      <c r="D50" s="242"/>
      <c r="E50" s="3">
        <f t="shared" si="15"/>
        <v>460</v>
      </c>
      <c r="F50" s="22">
        <f t="shared" si="16"/>
        <v>92</v>
      </c>
      <c r="G50" s="3">
        <f t="shared" si="17"/>
        <v>60</v>
      </c>
      <c r="H50" s="24">
        <v>2.5</v>
      </c>
      <c r="I50" s="25"/>
      <c r="J50" s="24">
        <v>6.7891286445617673</v>
      </c>
      <c r="K50" s="21">
        <v>0.31586877832412719</v>
      </c>
      <c r="L50" s="22">
        <v>4.6511626243591309</v>
      </c>
      <c r="M50" s="35">
        <f t="shared" si="14"/>
        <v>16.97282161140442</v>
      </c>
      <c r="N50" s="39"/>
      <c r="O50" s="39"/>
      <c r="P50" s="39"/>
      <c r="Q50" s="4">
        <v>24419607500</v>
      </c>
      <c r="R50" s="4">
        <f t="shared" si="19"/>
        <v>61049018750</v>
      </c>
      <c r="S50" s="75"/>
      <c r="T50" s="75"/>
      <c r="U50" s="99">
        <f t="shared" si="3"/>
        <v>3596.8691681163841</v>
      </c>
      <c r="V50" s="99">
        <f t="shared" si="20"/>
        <v>0.49834186554736198</v>
      </c>
      <c r="W50" s="225"/>
      <c r="AA50" s="133"/>
      <c r="AB50" s="11"/>
    </row>
    <row r="51" spans="1:28" x14ac:dyDescent="0.35">
      <c r="A51" s="246"/>
      <c r="B51" s="1" t="s">
        <v>60</v>
      </c>
      <c r="C51" s="2" t="s">
        <v>61</v>
      </c>
      <c r="D51" s="242"/>
      <c r="E51" s="3">
        <f t="shared" si="15"/>
        <v>480</v>
      </c>
      <c r="F51" s="22">
        <f t="shared" si="16"/>
        <v>96</v>
      </c>
      <c r="G51" s="3">
        <f t="shared" si="17"/>
        <v>40</v>
      </c>
      <c r="H51" s="24">
        <v>2.5</v>
      </c>
      <c r="I51" s="25"/>
      <c r="J51" s="24">
        <v>6.5984371734619138</v>
      </c>
      <c r="K51" s="21">
        <v>0.27691028842926024</v>
      </c>
      <c r="L51" s="22">
        <v>4.1951522827148438</v>
      </c>
      <c r="M51" s="35">
        <f t="shared" si="14"/>
        <v>16.496092933654786</v>
      </c>
      <c r="N51" s="39"/>
      <c r="O51" s="39"/>
      <c r="P51" s="39"/>
      <c r="Q51" s="4">
        <v>18344085500</v>
      </c>
      <c r="R51" s="4">
        <f t="shared" si="19"/>
        <v>45860213750</v>
      </c>
      <c r="S51" s="75"/>
      <c r="T51" s="75"/>
      <c r="U51" s="99">
        <f t="shared" si="3"/>
        <v>2780.0651908572545</v>
      </c>
      <c r="V51" s="99">
        <f t="shared" si="20"/>
        <v>0.38517466407614942</v>
      </c>
      <c r="W51" s="225"/>
      <c r="AA51" s="133"/>
      <c r="AB51" s="11"/>
    </row>
    <row r="52" spans="1:28" x14ac:dyDescent="0.35">
      <c r="A52" s="246"/>
      <c r="B52" s="1" t="s">
        <v>62</v>
      </c>
      <c r="C52" s="2" t="s">
        <v>63</v>
      </c>
      <c r="D52" s="242"/>
      <c r="E52" s="3">
        <f t="shared" si="15"/>
        <v>500</v>
      </c>
      <c r="F52" s="22">
        <v>100</v>
      </c>
      <c r="G52" s="3">
        <v>20</v>
      </c>
      <c r="H52" s="24">
        <v>2.5</v>
      </c>
      <c r="I52" s="25"/>
      <c r="J52" s="24">
        <v>6.6650765968322752</v>
      </c>
      <c r="K52" s="21">
        <v>0.30971742997169494</v>
      </c>
      <c r="L52" s="22">
        <v>4.6454391479492188</v>
      </c>
      <c r="M52" s="35">
        <v>16.66269149208069</v>
      </c>
      <c r="N52" s="135"/>
      <c r="O52" s="39"/>
      <c r="P52" s="39"/>
      <c r="Q52" s="4">
        <v>17895743500</v>
      </c>
      <c r="R52" s="4">
        <f t="shared" si="19"/>
        <v>44739358750</v>
      </c>
      <c r="S52" s="75"/>
      <c r="T52" s="75"/>
      <c r="U52" s="99">
        <f t="shared" si="3"/>
        <v>2685.0019260851923</v>
      </c>
      <c r="V52" s="99">
        <f t="shared" si="20"/>
        <v>0.37200376391345563</v>
      </c>
      <c r="W52" s="225"/>
      <c r="AA52" s="133"/>
      <c r="AB52" s="11"/>
    </row>
    <row r="53" spans="1:28" ht="15" thickBot="1" x14ac:dyDescent="0.4">
      <c r="A53" s="247"/>
      <c r="B53" s="5" t="s">
        <v>126</v>
      </c>
      <c r="C53" s="13" t="s">
        <v>123</v>
      </c>
      <c r="D53" s="243"/>
      <c r="E53" s="6">
        <v>500</v>
      </c>
      <c r="F53" s="28">
        <v>100</v>
      </c>
      <c r="G53" s="6">
        <v>0</v>
      </c>
      <c r="H53" s="33">
        <v>88.44</v>
      </c>
      <c r="I53" s="34"/>
      <c r="J53" s="33">
        <v>6.6650765968322752</v>
      </c>
      <c r="K53" s="27">
        <v>0.30971742997169494</v>
      </c>
      <c r="L53" s="28">
        <v>4.6454391479492188</v>
      </c>
      <c r="M53" s="36">
        <f t="shared" ref="M53:M78" si="21">J53*H53</f>
        <v>589.45937422384645</v>
      </c>
      <c r="N53" s="42">
        <f>M53/SUM($M$3:$M$27,$M$53)*100</f>
        <v>78.771072738390885</v>
      </c>
      <c r="O53" s="40"/>
      <c r="P53" s="40"/>
      <c r="Q53" s="7">
        <v>17895743500</v>
      </c>
      <c r="R53" s="7">
        <f t="shared" si="19"/>
        <v>1582699555140</v>
      </c>
      <c r="S53" s="42">
        <f>R53/SUM(R3:R27,R53)*100</f>
        <v>21.136857182384063</v>
      </c>
      <c r="T53" s="76"/>
      <c r="U53" s="99">
        <f t="shared" si="3"/>
        <v>2685.0019260851927</v>
      </c>
      <c r="V53" s="99">
        <f>U53/$U$79</f>
        <v>0.37200376391345569</v>
      </c>
      <c r="W53" s="225"/>
      <c r="AA53" s="132"/>
      <c r="AB53" s="11"/>
    </row>
    <row r="54" spans="1:28" ht="17.149999999999999" customHeight="1" x14ac:dyDescent="0.35">
      <c r="A54" s="245" t="s">
        <v>64</v>
      </c>
      <c r="B54" s="8" t="s">
        <v>65</v>
      </c>
      <c r="C54" s="9" t="s">
        <v>15</v>
      </c>
      <c r="D54" s="244">
        <v>44956</v>
      </c>
      <c r="E54" s="14">
        <v>20</v>
      </c>
      <c r="F54" s="32">
        <f>E54/$E$27*100</f>
        <v>4</v>
      </c>
      <c r="G54" s="14">
        <v>500</v>
      </c>
      <c r="H54" s="29">
        <v>2.5</v>
      </c>
      <c r="I54" s="30"/>
      <c r="J54" s="29">
        <v>3.2961929870605471</v>
      </c>
      <c r="K54" s="31">
        <v>9.9456661770343777E-2</v>
      </c>
      <c r="L54" s="32">
        <v>3.0171072483062744</v>
      </c>
      <c r="M54" s="37">
        <f t="shared" si="21"/>
        <v>8.2404824676513684</v>
      </c>
      <c r="N54" s="38"/>
      <c r="O54" s="38"/>
      <c r="P54" s="38"/>
      <c r="Q54" s="10">
        <v>16067176500</v>
      </c>
      <c r="R54" s="10">
        <f t="shared" si="19"/>
        <v>40167941250</v>
      </c>
      <c r="S54" s="74"/>
      <c r="T54" s="74"/>
      <c r="U54" s="99">
        <f t="shared" si="3"/>
        <v>4874.4647425296107</v>
      </c>
      <c r="V54" s="99">
        <f t="shared" si="20"/>
        <v>0.67535118454395993</v>
      </c>
      <c r="W54" s="225"/>
      <c r="AA54" s="133"/>
      <c r="AB54" s="11"/>
    </row>
    <row r="55" spans="1:28" x14ac:dyDescent="0.35">
      <c r="A55" s="246"/>
      <c r="B55" s="1" t="s">
        <v>66</v>
      </c>
      <c r="C55" s="2" t="s">
        <v>17</v>
      </c>
      <c r="D55" s="242"/>
      <c r="E55" s="3">
        <f>E54+20</f>
        <v>40</v>
      </c>
      <c r="F55" s="22">
        <f>E55/$E$27*100</f>
        <v>8</v>
      </c>
      <c r="G55" s="3">
        <f>G54-20</f>
        <v>480</v>
      </c>
      <c r="H55" s="24">
        <v>2.5</v>
      </c>
      <c r="I55" s="25"/>
      <c r="J55" s="24">
        <v>3.1885443759918215</v>
      </c>
      <c r="K55" s="21">
        <v>9.3305320868492123E-2</v>
      </c>
      <c r="L55" s="22">
        <v>2.9260449409484863</v>
      </c>
      <c r="M55" s="35">
        <f t="shared" si="21"/>
        <v>7.9713609399795535</v>
      </c>
      <c r="N55" s="39"/>
      <c r="O55" s="39"/>
      <c r="P55" s="39"/>
      <c r="Q55" s="4">
        <v>15059563500</v>
      </c>
      <c r="R55" s="4">
        <f t="shared" si="19"/>
        <v>37648908750</v>
      </c>
      <c r="S55" s="75"/>
      <c r="T55" s="75"/>
      <c r="U55" s="99">
        <f t="shared" si="3"/>
        <v>4723.0214556181627</v>
      </c>
      <c r="V55" s="99">
        <f t="shared" si="20"/>
        <v>0.65436890061963304</v>
      </c>
      <c r="W55" s="225"/>
      <c r="AA55" s="133"/>
      <c r="AB55" s="11"/>
    </row>
    <row r="56" spans="1:28" x14ac:dyDescent="0.35">
      <c r="A56" s="246"/>
      <c r="B56" s="1" t="s">
        <v>67</v>
      </c>
      <c r="C56" s="2" t="s">
        <v>19</v>
      </c>
      <c r="D56" s="242"/>
      <c r="E56" s="3">
        <f t="shared" ref="E56:E78" si="22">E55+20</f>
        <v>60</v>
      </c>
      <c r="F56" s="22">
        <f t="shared" ref="F56:F77" si="23">E56/$E$27*100</f>
        <v>12</v>
      </c>
      <c r="G56" s="3">
        <f t="shared" ref="G56:G77" si="24">G55-20</f>
        <v>460</v>
      </c>
      <c r="H56" s="24">
        <v>2.5</v>
      </c>
      <c r="I56" s="25"/>
      <c r="J56" s="24">
        <v>3.2028976512908938</v>
      </c>
      <c r="K56" s="21">
        <v>0.10672322491407395</v>
      </c>
      <c r="L56" s="22">
        <v>3.3290653228759766</v>
      </c>
      <c r="M56" s="35">
        <f t="shared" si="21"/>
        <v>8.0072441282272351</v>
      </c>
      <c r="N56" s="39"/>
      <c r="O56" s="39"/>
      <c r="P56" s="39"/>
      <c r="Q56" s="4">
        <v>15814619000</v>
      </c>
      <c r="R56" s="4">
        <f t="shared" si="19"/>
        <v>39536547500</v>
      </c>
      <c r="S56" s="75"/>
      <c r="T56" s="75"/>
      <c r="U56" s="99">
        <f t="shared" si="3"/>
        <v>4937.5973639451404</v>
      </c>
      <c r="V56" s="99">
        <f t="shared" si="20"/>
        <v>0.68409813275436326</v>
      </c>
      <c r="W56" s="225"/>
      <c r="AA56" s="133"/>
      <c r="AB56" s="11"/>
    </row>
    <row r="57" spans="1:28" x14ac:dyDescent="0.35">
      <c r="A57" s="246"/>
      <c r="B57" s="1" t="s">
        <v>68</v>
      </c>
      <c r="C57" s="2" t="s">
        <v>21</v>
      </c>
      <c r="D57" s="242"/>
      <c r="E57" s="3">
        <f t="shared" si="22"/>
        <v>80</v>
      </c>
      <c r="F57" s="22">
        <f t="shared" si="23"/>
        <v>16</v>
      </c>
      <c r="G57" s="3">
        <f t="shared" si="24"/>
        <v>440</v>
      </c>
      <c r="H57" s="24">
        <v>2.5</v>
      </c>
      <c r="I57" s="25"/>
      <c r="J57" s="24">
        <v>3.3966647220611574</v>
      </c>
      <c r="K57" s="21">
        <v>0.10774844715595246</v>
      </c>
      <c r="L57" s="22">
        <v>3.1693329811096191</v>
      </c>
      <c r="M57" s="35">
        <f t="shared" si="21"/>
        <v>8.4916618051528943</v>
      </c>
      <c r="N57" s="39"/>
      <c r="O57" s="39"/>
      <c r="P57" s="39"/>
      <c r="Q57" s="4">
        <v>17703206000</v>
      </c>
      <c r="R57" s="4">
        <f t="shared" si="19"/>
        <v>44258015000</v>
      </c>
      <c r="S57" s="75"/>
      <c r="T57" s="75"/>
      <c r="U57" s="99">
        <f t="shared" si="3"/>
        <v>5211.9380182031546</v>
      </c>
      <c r="V57" s="99">
        <f t="shared" si="20"/>
        <v>0.72210769803138386</v>
      </c>
      <c r="W57" s="225"/>
      <c r="AA57" s="133"/>
      <c r="AB57" s="11"/>
    </row>
    <row r="58" spans="1:28" x14ac:dyDescent="0.35">
      <c r="A58" s="246"/>
      <c r="B58" s="1" t="s">
        <v>69</v>
      </c>
      <c r="C58" s="2" t="s">
        <v>23</v>
      </c>
      <c r="D58" s="242"/>
      <c r="E58" s="3">
        <f t="shared" si="22"/>
        <v>100</v>
      </c>
      <c r="F58" s="22">
        <f t="shared" si="23"/>
        <v>20</v>
      </c>
      <c r="G58" s="3">
        <f t="shared" si="24"/>
        <v>420</v>
      </c>
      <c r="H58" s="24">
        <v>2.5</v>
      </c>
      <c r="I58" s="25"/>
      <c r="J58" s="24">
        <v>4.2475999427795408</v>
      </c>
      <c r="K58" s="21">
        <v>0.11492501029968262</v>
      </c>
      <c r="L58" s="22">
        <v>2.703355073928833</v>
      </c>
      <c r="M58" s="35">
        <f t="shared" si="21"/>
        <v>10.618999856948852</v>
      </c>
      <c r="N58" s="39"/>
      <c r="O58" s="39"/>
      <c r="P58" s="39"/>
      <c r="Q58" s="4">
        <v>15131845000</v>
      </c>
      <c r="R58" s="4">
        <f t="shared" si="19"/>
        <v>37829612500</v>
      </c>
      <c r="S58" s="75"/>
      <c r="T58" s="75"/>
      <c r="U58" s="99">
        <f t="shared" si="3"/>
        <v>3562.4458997657007</v>
      </c>
      <c r="V58" s="99">
        <f t="shared" si="20"/>
        <v>0.49357256342200823</v>
      </c>
      <c r="W58" s="225"/>
      <c r="AA58" s="133"/>
      <c r="AB58" s="11"/>
    </row>
    <row r="59" spans="1:28" x14ac:dyDescent="0.35">
      <c r="A59" s="246"/>
      <c r="B59" s="1" t="s">
        <v>70</v>
      </c>
      <c r="C59" s="2" t="s">
        <v>25</v>
      </c>
      <c r="D59" s="242"/>
      <c r="E59" s="3">
        <f t="shared" si="22"/>
        <v>120</v>
      </c>
      <c r="F59" s="22">
        <f t="shared" si="23"/>
        <v>24</v>
      </c>
      <c r="G59" s="3">
        <f t="shared" si="24"/>
        <v>400</v>
      </c>
      <c r="H59" s="24">
        <v>2.5</v>
      </c>
      <c r="I59" s="25"/>
      <c r="J59" s="24">
        <v>3.4581781459808352</v>
      </c>
      <c r="K59" s="21">
        <v>0.11492501029968262</v>
      </c>
      <c r="L59" s="22">
        <v>3.320486307144165</v>
      </c>
      <c r="M59" s="35">
        <f t="shared" si="21"/>
        <v>8.6454453649520886</v>
      </c>
      <c r="N59" s="39"/>
      <c r="O59" s="39"/>
      <c r="P59" s="39"/>
      <c r="Q59" s="4">
        <v>15426919000</v>
      </c>
      <c r="R59" s="4">
        <f t="shared" si="19"/>
        <v>38567297500</v>
      </c>
      <c r="S59" s="75"/>
      <c r="T59" s="75"/>
      <c r="U59" s="99">
        <f t="shared" si="3"/>
        <v>4460.9960357101545</v>
      </c>
      <c r="V59" s="99">
        <f t="shared" si="20"/>
        <v>0.61806559614159751</v>
      </c>
      <c r="W59" s="225"/>
      <c r="AA59" s="133"/>
      <c r="AB59" s="11"/>
    </row>
    <row r="60" spans="1:28" x14ac:dyDescent="0.35">
      <c r="A60" s="246"/>
      <c r="B60" s="1" t="s">
        <v>71</v>
      </c>
      <c r="C60" s="2" t="s">
        <v>27</v>
      </c>
      <c r="D60" s="242"/>
      <c r="E60" s="3">
        <f t="shared" si="22"/>
        <v>140</v>
      </c>
      <c r="F60" s="22">
        <f t="shared" si="23"/>
        <v>28.000000000000004</v>
      </c>
      <c r="G60" s="3">
        <f t="shared" si="24"/>
        <v>380</v>
      </c>
      <c r="H60" s="24">
        <v>2.5</v>
      </c>
      <c r="I60" s="25"/>
      <c r="J60" s="24">
        <v>3.8682674003601076</v>
      </c>
      <c r="K60" s="21">
        <v>0.13440425524711608</v>
      </c>
      <c r="L60" s="22">
        <v>3.4720382690429688</v>
      </c>
      <c r="M60" s="35">
        <f t="shared" si="21"/>
        <v>9.6706685009002697</v>
      </c>
      <c r="N60" s="39"/>
      <c r="O60" s="39"/>
      <c r="P60" s="39"/>
      <c r="Q60" s="4">
        <v>16206529500</v>
      </c>
      <c r="R60" s="4">
        <f t="shared" si="19"/>
        <v>40516323750</v>
      </c>
      <c r="S60" s="75"/>
      <c r="T60" s="75"/>
      <c r="U60" s="99">
        <f t="shared" si="3"/>
        <v>4189.6094097557188</v>
      </c>
      <c r="V60" s="99">
        <f t="shared" si="20"/>
        <v>0.58046530790715989</v>
      </c>
      <c r="W60" s="225"/>
      <c r="AA60" s="133"/>
      <c r="AB60" s="11"/>
    </row>
    <row r="61" spans="1:28" x14ac:dyDescent="0.35">
      <c r="A61" s="246"/>
      <c r="B61" s="1" t="s">
        <v>72</v>
      </c>
      <c r="C61" s="2" t="s">
        <v>29</v>
      </c>
      <c r="D61" s="242"/>
      <c r="E61" s="3">
        <f t="shared" si="22"/>
        <v>160</v>
      </c>
      <c r="F61" s="22">
        <f t="shared" si="23"/>
        <v>32</v>
      </c>
      <c r="G61" s="3">
        <f t="shared" si="24"/>
        <v>360</v>
      </c>
      <c r="H61" s="24">
        <v>2.5</v>
      </c>
      <c r="I61" s="25"/>
      <c r="J61" s="24">
        <v>3.6950048042297365</v>
      </c>
      <c r="K61" s="21">
        <v>0.13850514421463012</v>
      </c>
      <c r="L61" s="22">
        <v>3.745837926864624</v>
      </c>
      <c r="M61" s="35">
        <f t="shared" si="21"/>
        <v>9.237512010574342</v>
      </c>
      <c r="N61" s="39"/>
      <c r="O61" s="39"/>
      <c r="P61" s="39"/>
      <c r="Q61" s="4">
        <v>18335286000</v>
      </c>
      <c r="R61" s="4">
        <f t="shared" si="19"/>
        <v>45838215000</v>
      </c>
      <c r="S61" s="75"/>
      <c r="T61" s="75"/>
      <c r="U61" s="99">
        <f t="shared" si="3"/>
        <v>4962.1819108357522</v>
      </c>
      <c r="V61" s="99">
        <f t="shared" si="20"/>
        <v>0.68750429194127638</v>
      </c>
      <c r="W61" s="225"/>
      <c r="X61" s="11"/>
      <c r="AA61" s="133"/>
      <c r="AB61" s="11"/>
    </row>
    <row r="62" spans="1:28" x14ac:dyDescent="0.35">
      <c r="A62" s="246"/>
      <c r="B62" s="1" t="s">
        <v>73</v>
      </c>
      <c r="C62" s="2" t="s">
        <v>31</v>
      </c>
      <c r="D62" s="242"/>
      <c r="E62" s="3">
        <f t="shared" si="22"/>
        <v>180</v>
      </c>
      <c r="F62" s="22">
        <f t="shared" si="23"/>
        <v>36</v>
      </c>
      <c r="G62" s="3">
        <f t="shared" si="24"/>
        <v>340</v>
      </c>
      <c r="H62" s="24">
        <v>2.5</v>
      </c>
      <c r="I62" s="25"/>
      <c r="J62" s="24">
        <v>4.3972824645996091</v>
      </c>
      <c r="K62" s="21">
        <v>0.14465647766590117</v>
      </c>
      <c r="L62" s="22">
        <v>3.2874796390533447</v>
      </c>
      <c r="M62" s="35">
        <f t="shared" si="21"/>
        <v>10.993206161499023</v>
      </c>
      <c r="N62" s="39"/>
      <c r="O62" s="39"/>
      <c r="P62" s="39"/>
      <c r="Q62" s="4">
        <v>15420255500</v>
      </c>
      <c r="R62" s="4">
        <f t="shared" si="19"/>
        <v>38550638750</v>
      </c>
      <c r="S62" s="75"/>
      <c r="T62" s="75"/>
      <c r="U62" s="99">
        <f t="shared" si="3"/>
        <v>3506.7693795295177</v>
      </c>
      <c r="V62" s="99">
        <f t="shared" si="20"/>
        <v>0.48585864899675402</v>
      </c>
      <c r="W62" s="225"/>
      <c r="Y62" s="11"/>
      <c r="AA62" s="133"/>
      <c r="AB62" s="11"/>
    </row>
    <row r="63" spans="1:28" x14ac:dyDescent="0.35">
      <c r="A63" s="246"/>
      <c r="B63" s="1" t="s">
        <v>74</v>
      </c>
      <c r="C63" s="2" t="s">
        <v>33</v>
      </c>
      <c r="D63" s="242"/>
      <c r="E63" s="3">
        <f t="shared" si="22"/>
        <v>200</v>
      </c>
      <c r="F63" s="22">
        <f t="shared" si="23"/>
        <v>40</v>
      </c>
      <c r="G63" s="3">
        <f t="shared" si="24"/>
        <v>320</v>
      </c>
      <c r="H63" s="24">
        <v>2.5</v>
      </c>
      <c r="I63" s="25"/>
      <c r="J63" s="24">
        <v>4.1081698966979978</v>
      </c>
      <c r="K63" s="21">
        <v>0.15593394467830657</v>
      </c>
      <c r="L63" s="22">
        <v>3.7933616638183594</v>
      </c>
      <c r="M63" s="35">
        <f t="shared" si="21"/>
        <v>10.270424741744995</v>
      </c>
      <c r="N63" s="39"/>
      <c r="O63" s="39"/>
      <c r="P63" s="39"/>
      <c r="Q63" s="4">
        <v>15610142000</v>
      </c>
      <c r="R63" s="4">
        <f t="shared" si="19"/>
        <v>39025355000</v>
      </c>
      <c r="S63" s="75"/>
      <c r="T63" s="75"/>
      <c r="U63" s="99">
        <f t="shared" si="3"/>
        <v>3799.7800462310197</v>
      </c>
      <c r="V63" s="99">
        <f t="shared" si="20"/>
        <v>0.52645492187864218</v>
      </c>
      <c r="W63" s="225"/>
      <c r="AA63" s="133"/>
      <c r="AB63" s="11"/>
    </row>
    <row r="64" spans="1:28" x14ac:dyDescent="0.35">
      <c r="A64" s="246"/>
      <c r="B64" s="1" t="s">
        <v>75</v>
      </c>
      <c r="C64" s="2" t="s">
        <v>35</v>
      </c>
      <c r="D64" s="242"/>
      <c r="E64" s="3">
        <f t="shared" si="22"/>
        <v>220</v>
      </c>
      <c r="F64" s="22">
        <f t="shared" si="23"/>
        <v>44</v>
      </c>
      <c r="G64" s="3">
        <f t="shared" si="24"/>
        <v>300</v>
      </c>
      <c r="H64" s="24">
        <v>2.5</v>
      </c>
      <c r="I64" s="25"/>
      <c r="J64" s="24">
        <v>4.4239386154174802</v>
      </c>
      <c r="K64" s="21">
        <v>0.16823662648200988</v>
      </c>
      <c r="L64" s="22">
        <v>3.8006951808929443</v>
      </c>
      <c r="M64" s="35">
        <f t="shared" si="21"/>
        <v>11.059846538543701</v>
      </c>
      <c r="N64" s="39"/>
      <c r="O64" s="39"/>
      <c r="P64" s="39"/>
      <c r="Q64" s="4">
        <v>17092070500</v>
      </c>
      <c r="R64" s="4">
        <f t="shared" si="19"/>
        <v>42730176250</v>
      </c>
      <c r="S64" s="75"/>
      <c r="T64" s="75"/>
      <c r="U64" s="99">
        <f t="shared" si="3"/>
        <v>3863.5415148921652</v>
      </c>
      <c r="V64" s="99">
        <f t="shared" si="20"/>
        <v>0.53528899611306169</v>
      </c>
      <c r="W64" s="225"/>
      <c r="AA64" s="133"/>
      <c r="AB64" s="11"/>
    </row>
    <row r="65" spans="1:28" x14ac:dyDescent="0.35">
      <c r="A65" s="246"/>
      <c r="B65" s="1" t="s">
        <v>76</v>
      </c>
      <c r="C65" s="2" t="s">
        <v>37</v>
      </c>
      <c r="D65" s="242"/>
      <c r="E65" s="3">
        <f t="shared" si="22"/>
        <v>240</v>
      </c>
      <c r="F65" s="22">
        <f t="shared" si="23"/>
        <v>48</v>
      </c>
      <c r="G65" s="3">
        <f t="shared" si="24"/>
        <v>280</v>
      </c>
      <c r="H65" s="24">
        <v>2.5</v>
      </c>
      <c r="I65" s="25"/>
      <c r="J65" s="24">
        <v>4.1799353195190427</v>
      </c>
      <c r="K65" s="21">
        <v>0.14465647766590117</v>
      </c>
      <c r="L65" s="22">
        <v>3.4584252834320068</v>
      </c>
      <c r="M65" s="35">
        <f t="shared" si="21"/>
        <v>10.449838298797607</v>
      </c>
      <c r="N65" s="39"/>
      <c r="O65" s="39"/>
      <c r="P65" s="39"/>
      <c r="Q65" s="4">
        <v>19405871500</v>
      </c>
      <c r="R65" s="4">
        <f t="shared" si="19"/>
        <v>48514678750</v>
      </c>
      <c r="S65" s="75"/>
      <c r="T65" s="75"/>
      <c r="U65" s="99">
        <f t="shared" si="3"/>
        <v>4642.6248294753286</v>
      </c>
      <c r="V65" s="99">
        <f t="shared" si="20"/>
        <v>0.6432300454700266</v>
      </c>
      <c r="W65" s="225"/>
      <c r="AA65" s="133"/>
      <c r="AB65" s="11"/>
    </row>
    <row r="66" spans="1:28" x14ac:dyDescent="0.35">
      <c r="A66" s="246"/>
      <c r="B66" s="1" t="s">
        <v>77</v>
      </c>
      <c r="C66" s="2" t="s">
        <v>39</v>
      </c>
      <c r="D66" s="242"/>
      <c r="E66" s="3">
        <f t="shared" si="22"/>
        <v>260</v>
      </c>
      <c r="F66" s="22">
        <f t="shared" si="23"/>
        <v>52</v>
      </c>
      <c r="G66" s="3">
        <f t="shared" si="24"/>
        <v>260</v>
      </c>
      <c r="H66" s="24">
        <v>2.5</v>
      </c>
      <c r="I66" s="25"/>
      <c r="J66" s="24">
        <v>4.545940263366699</v>
      </c>
      <c r="K66" s="21">
        <v>0.17643840441703795</v>
      </c>
      <c r="L66" s="22">
        <v>3.8791158199310303</v>
      </c>
      <c r="M66" s="35">
        <f t="shared" si="21"/>
        <v>11.364850658416747</v>
      </c>
      <c r="N66" s="39"/>
      <c r="O66" s="39"/>
      <c r="P66" s="39"/>
      <c r="Q66" s="4">
        <v>17437954000</v>
      </c>
      <c r="R66" s="4">
        <f t="shared" si="19"/>
        <v>43594885000</v>
      </c>
      <c r="S66" s="75"/>
      <c r="T66" s="75"/>
      <c r="U66" s="99">
        <f t="shared" si="3"/>
        <v>3835.939979353258</v>
      </c>
      <c r="V66" s="99">
        <f t="shared" si="20"/>
        <v>0.53146483680408296</v>
      </c>
      <c r="W66" s="225"/>
      <c r="AA66" s="133"/>
      <c r="AB66" s="11"/>
    </row>
    <row r="67" spans="1:28" x14ac:dyDescent="0.35">
      <c r="A67" s="246"/>
      <c r="B67" s="1" t="s">
        <v>78</v>
      </c>
      <c r="C67" s="2" t="s">
        <v>41</v>
      </c>
      <c r="D67" s="242"/>
      <c r="E67" s="3">
        <f t="shared" si="22"/>
        <v>280</v>
      </c>
      <c r="F67" s="22">
        <f t="shared" si="23"/>
        <v>56.000000000000007</v>
      </c>
      <c r="G67" s="3">
        <f t="shared" si="24"/>
        <v>240</v>
      </c>
      <c r="H67" s="24">
        <v>2.5</v>
      </c>
      <c r="I67" s="25"/>
      <c r="J67" s="24">
        <v>4.4936536384582517</v>
      </c>
      <c r="K67" s="21">
        <v>0.14978259632587432</v>
      </c>
      <c r="L67" s="22">
        <v>3.3310518264770508</v>
      </c>
      <c r="M67" s="35">
        <f t="shared" si="21"/>
        <v>11.234134096145629</v>
      </c>
      <c r="N67" s="39"/>
      <c r="O67" s="39"/>
      <c r="P67" s="39"/>
      <c r="Q67" s="4">
        <v>16069738500</v>
      </c>
      <c r="R67" s="4">
        <f t="shared" ref="R67:R78" si="25">Q67*H67</f>
        <v>40174346250</v>
      </c>
      <c r="S67" s="75"/>
      <c r="T67" s="75"/>
      <c r="U67" s="99">
        <f t="shared" si="3"/>
        <v>3576.0963778938335</v>
      </c>
      <c r="V67" s="99">
        <f t="shared" si="20"/>
        <v>0.49546382062877214</v>
      </c>
      <c r="W67" s="225"/>
      <c r="AA67" s="133"/>
      <c r="AB67" s="11"/>
    </row>
    <row r="68" spans="1:28" x14ac:dyDescent="0.35">
      <c r="A68" s="246"/>
      <c r="B68" s="1" t="s">
        <v>79</v>
      </c>
      <c r="C68" s="2" t="s">
        <v>43</v>
      </c>
      <c r="D68" s="242"/>
      <c r="E68" s="3">
        <f t="shared" si="22"/>
        <v>300</v>
      </c>
      <c r="F68" s="22">
        <f t="shared" si="23"/>
        <v>60</v>
      </c>
      <c r="G68" s="3">
        <f t="shared" si="24"/>
        <v>220</v>
      </c>
      <c r="H68" s="24">
        <v>2.5</v>
      </c>
      <c r="I68" s="25"/>
      <c r="J68" s="24">
        <v>4.7366317344665525</v>
      </c>
      <c r="K68" s="21">
        <v>0.19079153070449828</v>
      </c>
      <c r="L68" s="22">
        <v>4.0259737968444824</v>
      </c>
      <c r="M68" s="35">
        <f t="shared" si="21"/>
        <v>11.841579336166381</v>
      </c>
      <c r="N68" s="39"/>
      <c r="O68" s="39"/>
      <c r="P68" s="39"/>
      <c r="Q68" s="4">
        <v>15969444000</v>
      </c>
      <c r="R68" s="4">
        <f t="shared" si="25"/>
        <v>39923610000</v>
      </c>
      <c r="S68" s="75"/>
      <c r="T68" s="75"/>
      <c r="U68" s="99">
        <f t="shared" ref="U68:U78" si="26">R68/M68/10^6</f>
        <v>3371.4767993882274</v>
      </c>
      <c r="V68" s="99">
        <f t="shared" si="20"/>
        <v>0.46711402592845541</v>
      </c>
      <c r="W68" s="225"/>
      <c r="AA68" s="133"/>
      <c r="AB68" s="11"/>
    </row>
    <row r="69" spans="1:28" x14ac:dyDescent="0.35">
      <c r="A69" s="246"/>
      <c r="B69" s="1" t="s">
        <v>80</v>
      </c>
      <c r="C69" s="2" t="s">
        <v>45</v>
      </c>
      <c r="D69" s="242"/>
      <c r="E69" s="3">
        <f t="shared" si="22"/>
        <v>320</v>
      </c>
      <c r="F69" s="22">
        <f t="shared" si="23"/>
        <v>64</v>
      </c>
      <c r="G69" s="3">
        <f t="shared" si="24"/>
        <v>200</v>
      </c>
      <c r="H69" s="24">
        <v>2.5</v>
      </c>
      <c r="I69" s="25"/>
      <c r="J69" s="24">
        <v>4.9611552787780759</v>
      </c>
      <c r="K69" s="21">
        <v>0.20719510147571563</v>
      </c>
      <c r="L69" s="22">
        <v>4.1744160652160645</v>
      </c>
      <c r="M69" s="35">
        <f t="shared" si="21"/>
        <v>12.40288819694519</v>
      </c>
      <c r="N69" s="39"/>
      <c r="O69" s="39"/>
      <c r="P69" s="39"/>
      <c r="Q69" s="4">
        <v>18218969500</v>
      </c>
      <c r="R69" s="4">
        <f t="shared" si="25"/>
        <v>45547423750</v>
      </c>
      <c r="S69" s="75"/>
      <c r="T69" s="75"/>
      <c r="U69" s="99">
        <f t="shared" si="26"/>
        <v>3672.3239802498783</v>
      </c>
      <c r="V69" s="99">
        <f t="shared" si="20"/>
        <v>0.50879603835310316</v>
      </c>
      <c r="W69" s="225"/>
      <c r="AA69" s="133"/>
      <c r="AB69" s="11"/>
    </row>
    <row r="70" spans="1:28" x14ac:dyDescent="0.35">
      <c r="A70" s="246"/>
      <c r="B70" s="1" t="s">
        <v>81</v>
      </c>
      <c r="C70" s="2" t="s">
        <v>47</v>
      </c>
      <c r="D70" s="242"/>
      <c r="E70" s="3">
        <f t="shared" si="22"/>
        <v>340</v>
      </c>
      <c r="F70" s="22">
        <f t="shared" si="23"/>
        <v>68</v>
      </c>
      <c r="G70" s="3">
        <f t="shared" si="24"/>
        <v>180</v>
      </c>
      <c r="H70" s="24">
        <v>2.5</v>
      </c>
      <c r="I70" s="25"/>
      <c r="J70" s="24">
        <v>5.1867044998168943</v>
      </c>
      <c r="K70" s="21">
        <v>0.2153968943119049</v>
      </c>
      <c r="L70" s="22">
        <v>4.1510181427001953</v>
      </c>
      <c r="M70" s="35">
        <f t="shared" si="21"/>
        <v>12.966761249542236</v>
      </c>
      <c r="N70" s="39"/>
      <c r="O70" s="39"/>
      <c r="P70" s="39"/>
      <c r="Q70" s="4">
        <v>16946006000</v>
      </c>
      <c r="R70" s="4">
        <f t="shared" si="25"/>
        <v>42365015000</v>
      </c>
      <c r="S70" s="75"/>
      <c r="T70" s="75"/>
      <c r="U70" s="99">
        <f t="shared" si="26"/>
        <v>3267.2009752239105</v>
      </c>
      <c r="V70" s="99">
        <f t="shared" si="20"/>
        <v>0.45266673682320624</v>
      </c>
      <c r="W70" s="225"/>
      <c r="AA70" s="133"/>
      <c r="AB70" s="11"/>
    </row>
    <row r="71" spans="1:28" x14ac:dyDescent="0.35">
      <c r="A71" s="246"/>
      <c r="B71" s="1" t="s">
        <v>82</v>
      </c>
      <c r="C71" s="2" t="s">
        <v>49</v>
      </c>
      <c r="D71" s="242"/>
      <c r="E71" s="3">
        <f t="shared" si="22"/>
        <v>360</v>
      </c>
      <c r="F71" s="22">
        <f t="shared" si="23"/>
        <v>72</v>
      </c>
      <c r="G71" s="3">
        <f t="shared" si="24"/>
        <v>160</v>
      </c>
      <c r="H71" s="24">
        <v>2.5</v>
      </c>
      <c r="I71" s="25"/>
      <c r="J71" s="24">
        <v>5.1795281005859373</v>
      </c>
      <c r="K71" s="21">
        <v>0.20719510147571563</v>
      </c>
      <c r="L71" s="22">
        <v>3.9984164237976074</v>
      </c>
      <c r="M71" s="35">
        <f t="shared" si="21"/>
        <v>12.948820251464843</v>
      </c>
      <c r="N71" s="39"/>
      <c r="O71" s="39"/>
      <c r="P71" s="39"/>
      <c r="Q71" s="4">
        <v>17168202500</v>
      </c>
      <c r="R71" s="4">
        <f t="shared" si="25"/>
        <v>42920506250</v>
      </c>
      <c r="S71" s="75"/>
      <c r="T71" s="75"/>
      <c r="U71" s="99">
        <f t="shared" si="26"/>
        <v>3314.6267703534299</v>
      </c>
      <c r="V71" s="99">
        <f t="shared" si="20"/>
        <v>0.45923752328088785</v>
      </c>
      <c r="W71" s="225"/>
      <c r="AA71" s="133"/>
      <c r="AB71" s="11"/>
    </row>
    <row r="72" spans="1:28" x14ac:dyDescent="0.35">
      <c r="A72" s="246"/>
      <c r="B72" s="1" t="s">
        <v>83</v>
      </c>
      <c r="C72" s="2" t="s">
        <v>51</v>
      </c>
      <c r="D72" s="242"/>
      <c r="E72" s="3">
        <f t="shared" si="22"/>
        <v>380</v>
      </c>
      <c r="F72" s="22">
        <f t="shared" si="23"/>
        <v>76</v>
      </c>
      <c r="G72" s="3">
        <f t="shared" si="24"/>
        <v>140</v>
      </c>
      <c r="H72" s="24">
        <v>2.5</v>
      </c>
      <c r="I72" s="25"/>
      <c r="J72" s="24">
        <v>5.8469484878540037</v>
      </c>
      <c r="K72" s="21">
        <v>0.23692658374309539</v>
      </c>
      <c r="L72" s="22">
        <v>4.0504999160766602</v>
      </c>
      <c r="M72" s="35">
        <f t="shared" si="21"/>
        <v>14.617371219635009</v>
      </c>
      <c r="N72" s="39"/>
      <c r="O72" s="39"/>
      <c r="P72" s="39"/>
      <c r="Q72" s="4">
        <v>16860238000</v>
      </c>
      <c r="R72" s="4">
        <f t="shared" si="25"/>
        <v>42150595000</v>
      </c>
      <c r="S72" s="75"/>
      <c r="T72" s="75"/>
      <c r="U72" s="99">
        <f t="shared" si="26"/>
        <v>2883.5961245467015</v>
      </c>
      <c r="V72" s="99">
        <f t="shared" si="20"/>
        <v>0.39951874950855837</v>
      </c>
      <c r="W72" s="225"/>
      <c r="AA72" s="133"/>
      <c r="AB72" s="11"/>
    </row>
    <row r="73" spans="1:28" x14ac:dyDescent="0.35">
      <c r="A73" s="246"/>
      <c r="B73" s="1" t="s">
        <v>84</v>
      </c>
      <c r="C73" s="2" t="s">
        <v>53</v>
      </c>
      <c r="D73" s="242"/>
      <c r="E73" s="3">
        <f t="shared" si="22"/>
        <v>400</v>
      </c>
      <c r="F73" s="22">
        <f t="shared" si="23"/>
        <v>80</v>
      </c>
      <c r="G73" s="3">
        <f t="shared" si="24"/>
        <v>120</v>
      </c>
      <c r="H73" s="24">
        <v>2.5</v>
      </c>
      <c r="I73" s="25"/>
      <c r="J73" s="24">
        <v>5.8336204124450681</v>
      </c>
      <c r="K73" s="21">
        <v>0.2605067027568817</v>
      </c>
      <c r="L73" s="22">
        <v>4.4639720916748047</v>
      </c>
      <c r="M73" s="35">
        <f t="shared" si="21"/>
        <v>14.58405103111267</v>
      </c>
      <c r="N73" s="39"/>
      <c r="O73" s="39"/>
      <c r="P73" s="39"/>
      <c r="Q73" s="4">
        <v>17854051500</v>
      </c>
      <c r="R73" s="4">
        <f t="shared" si="25"/>
        <v>44635128750</v>
      </c>
      <c r="S73" s="75"/>
      <c r="T73" s="75"/>
      <c r="U73" s="99">
        <f t="shared" si="26"/>
        <v>3060.5439225890186</v>
      </c>
      <c r="V73" s="99">
        <f t="shared" si="20"/>
        <v>0.42403465255072681</v>
      </c>
      <c r="W73" s="225"/>
      <c r="AA73" s="133"/>
      <c r="AB73" s="11"/>
    </row>
    <row r="74" spans="1:28" x14ac:dyDescent="0.35">
      <c r="A74" s="246"/>
      <c r="B74" s="1" t="s">
        <v>85</v>
      </c>
      <c r="C74" s="2" t="s">
        <v>55</v>
      </c>
      <c r="D74" s="242"/>
      <c r="E74" s="3">
        <f t="shared" si="22"/>
        <v>420</v>
      </c>
      <c r="F74" s="22">
        <f t="shared" si="23"/>
        <v>84</v>
      </c>
      <c r="G74" s="3">
        <f t="shared" si="24"/>
        <v>100</v>
      </c>
      <c r="H74" s="24">
        <v>2.5</v>
      </c>
      <c r="I74" s="25"/>
      <c r="J74" s="24">
        <v>6.1873224807739255</v>
      </c>
      <c r="K74" s="21">
        <v>0.27998594770431517</v>
      </c>
      <c r="L74" s="22">
        <v>4.5236124992370605</v>
      </c>
      <c r="M74" s="35">
        <f t="shared" si="21"/>
        <v>15.468306201934814</v>
      </c>
      <c r="N74" s="39"/>
      <c r="O74" s="39"/>
      <c r="P74" s="39"/>
      <c r="Q74" s="4">
        <v>16651774000</v>
      </c>
      <c r="R74" s="4">
        <f t="shared" si="25"/>
        <v>41629435000</v>
      </c>
      <c r="S74" s="75"/>
      <c r="T74" s="75"/>
      <c r="U74" s="99">
        <f t="shared" si="26"/>
        <v>2691.2730105376945</v>
      </c>
      <c r="V74" s="99">
        <f t="shared" si="20"/>
        <v>0.37287261506677727</v>
      </c>
      <c r="W74" s="225"/>
      <c r="AA74" s="133"/>
      <c r="AB74" s="11"/>
    </row>
    <row r="75" spans="1:28" x14ac:dyDescent="0.35">
      <c r="A75" s="246"/>
      <c r="B75" s="1" t="s">
        <v>86</v>
      </c>
      <c r="C75" s="2" t="s">
        <v>57</v>
      </c>
      <c r="D75" s="242"/>
      <c r="E75" s="3">
        <f t="shared" si="22"/>
        <v>440</v>
      </c>
      <c r="F75" s="22">
        <f t="shared" si="23"/>
        <v>88</v>
      </c>
      <c r="G75" s="3">
        <f t="shared" si="24"/>
        <v>80</v>
      </c>
      <c r="H75" s="24">
        <v>2.5</v>
      </c>
      <c r="I75" s="25"/>
      <c r="J75" s="24">
        <v>6.0530184341430662</v>
      </c>
      <c r="K75" s="21">
        <v>0.27793551812171935</v>
      </c>
      <c r="L75" s="22">
        <v>4.5901083946228027</v>
      </c>
      <c r="M75" s="35">
        <f t="shared" si="21"/>
        <v>15.132546085357665</v>
      </c>
      <c r="N75" s="39"/>
      <c r="O75" s="39"/>
      <c r="P75" s="39"/>
      <c r="Q75" s="4">
        <v>15977545000</v>
      </c>
      <c r="R75" s="4">
        <f t="shared" si="25"/>
        <v>39943862500</v>
      </c>
      <c r="S75" s="75"/>
      <c r="T75" s="75"/>
      <c r="U75" s="99">
        <f t="shared" si="26"/>
        <v>2639.5995937953826</v>
      </c>
      <c r="V75" s="99">
        <f t="shared" si="20"/>
        <v>0.36571332578074095</v>
      </c>
      <c r="W75" s="225"/>
      <c r="AA75" s="133"/>
      <c r="AB75" s="11"/>
    </row>
    <row r="76" spans="1:28" x14ac:dyDescent="0.35">
      <c r="A76" s="246"/>
      <c r="B76" s="1" t="s">
        <v>87</v>
      </c>
      <c r="C76" s="2" t="s">
        <v>59</v>
      </c>
      <c r="D76" s="242"/>
      <c r="E76" s="3">
        <f t="shared" si="22"/>
        <v>460</v>
      </c>
      <c r="F76" s="22">
        <f t="shared" si="23"/>
        <v>92</v>
      </c>
      <c r="G76" s="3">
        <f t="shared" si="24"/>
        <v>60</v>
      </c>
      <c r="H76" s="24">
        <v>2.5</v>
      </c>
      <c r="I76" s="25"/>
      <c r="J76" s="24">
        <v>6.2560123039245603</v>
      </c>
      <c r="K76" s="21">
        <v>0.29536430368423461</v>
      </c>
      <c r="L76" s="22">
        <v>4.719764232635498</v>
      </c>
      <c r="M76" s="35">
        <f t="shared" si="21"/>
        <v>15.640030759811401</v>
      </c>
      <c r="N76" s="39"/>
      <c r="O76" s="39"/>
      <c r="P76" s="39"/>
      <c r="Q76" s="4">
        <v>16845064500</v>
      </c>
      <c r="R76" s="4">
        <f t="shared" si="25"/>
        <v>42112661250</v>
      </c>
      <c r="S76" s="75"/>
      <c r="T76" s="75"/>
      <c r="U76" s="99">
        <f t="shared" si="26"/>
        <v>2692.6201039330836</v>
      </c>
      <c r="V76" s="99">
        <f t="shared" si="20"/>
        <v>0.37305925322467176</v>
      </c>
      <c r="W76" s="225"/>
      <c r="AA76" s="133"/>
      <c r="AB76" s="11"/>
    </row>
    <row r="77" spans="1:28" x14ac:dyDescent="0.35">
      <c r="A77" s="246"/>
      <c r="B77" s="1" t="s">
        <v>88</v>
      </c>
      <c r="C77" s="2" t="s">
        <v>61</v>
      </c>
      <c r="D77" s="242"/>
      <c r="E77" s="3">
        <f t="shared" si="22"/>
        <v>480</v>
      </c>
      <c r="F77" s="22">
        <f t="shared" si="23"/>
        <v>96</v>
      </c>
      <c r="G77" s="3">
        <f t="shared" si="24"/>
        <v>40</v>
      </c>
      <c r="H77" s="24">
        <v>2.5</v>
      </c>
      <c r="I77" s="25"/>
      <c r="J77" s="24">
        <v>6.6825054718017576</v>
      </c>
      <c r="K77" s="21">
        <v>0.3056165410041809</v>
      </c>
      <c r="L77" s="22">
        <v>4.5719547271728516</v>
      </c>
      <c r="M77" s="35">
        <f t="shared" si="21"/>
        <v>16.706263679504396</v>
      </c>
      <c r="N77" s="39"/>
      <c r="O77" s="39"/>
      <c r="P77" s="39"/>
      <c r="Q77" s="4">
        <v>19426380000</v>
      </c>
      <c r="R77" s="4">
        <f t="shared" si="25"/>
        <v>48565950000</v>
      </c>
      <c r="S77" s="75"/>
      <c r="T77" s="75"/>
      <c r="U77" s="99">
        <f t="shared" si="26"/>
        <v>2907.0503693522901</v>
      </c>
      <c r="V77" s="99">
        <f t="shared" si="20"/>
        <v>0.40276830671098018</v>
      </c>
      <c r="W77" s="225"/>
      <c r="AA77" s="133"/>
      <c r="AB77" s="11"/>
    </row>
    <row r="78" spans="1:28" ht="15" thickBot="1" x14ac:dyDescent="0.4">
      <c r="A78" s="247"/>
      <c r="B78" s="5" t="s">
        <v>89</v>
      </c>
      <c r="C78" s="13" t="s">
        <v>63</v>
      </c>
      <c r="D78" s="243"/>
      <c r="E78" s="6">
        <f t="shared" si="22"/>
        <v>500</v>
      </c>
      <c r="F78" s="28">
        <v>100</v>
      </c>
      <c r="G78" s="6">
        <v>20</v>
      </c>
      <c r="H78" s="33">
        <v>2.5</v>
      </c>
      <c r="I78" s="34"/>
      <c r="J78" s="33">
        <v>7.4052876068115232</v>
      </c>
      <c r="K78" s="27">
        <v>0.35995338687896727</v>
      </c>
      <c r="L78" s="28">
        <v>4.8594765663146973</v>
      </c>
      <c r="M78" s="36">
        <f t="shared" si="21"/>
        <v>18.51321901702881</v>
      </c>
      <c r="N78" s="40"/>
      <c r="O78" s="40"/>
      <c r="P78" s="40"/>
      <c r="Q78" s="7">
        <v>17843001500</v>
      </c>
      <c r="R78" s="7">
        <f t="shared" si="25"/>
        <v>44607503750</v>
      </c>
      <c r="S78" s="76"/>
      <c r="T78" s="76"/>
      <c r="U78" s="99">
        <f t="shared" si="26"/>
        <v>2409.4947350306379</v>
      </c>
      <c r="V78" s="99">
        <f t="shared" si="20"/>
        <v>0.33383257637656227</v>
      </c>
      <c r="W78" s="225"/>
      <c r="AA78" s="133"/>
      <c r="AB78" s="11"/>
    </row>
    <row r="79" spans="1:28" ht="15" thickBot="1" x14ac:dyDescent="0.4">
      <c r="A79" s="44"/>
      <c r="B79" s="45" t="s">
        <v>123</v>
      </c>
      <c r="C79" s="46" t="s">
        <v>123</v>
      </c>
      <c r="D79" s="47"/>
      <c r="E79" s="193"/>
      <c r="F79" s="194"/>
      <c r="G79" s="47"/>
      <c r="H79" s="48">
        <f>SUM(H3:H78)</f>
        <v>588.44000000000005</v>
      </c>
      <c r="I79" s="47"/>
      <c r="J79" s="47"/>
      <c r="K79" s="47"/>
      <c r="L79" s="47"/>
      <c r="M79" s="49">
        <f>SUM(M3:M78)</f>
        <v>1352.8755142933471</v>
      </c>
      <c r="N79" s="72">
        <f>SUM(N3:N78)</f>
        <v>100</v>
      </c>
      <c r="O79" s="72">
        <f>SUM(O27,N53)</f>
        <v>100</v>
      </c>
      <c r="P79" s="47"/>
      <c r="Q79" s="47"/>
      <c r="R79" s="73">
        <f>SUM(R3:R78)</f>
        <v>9764614538890</v>
      </c>
      <c r="S79" s="49">
        <f>SUM(S3:S78)</f>
        <v>100.00000000000001</v>
      </c>
      <c r="T79" s="155"/>
      <c r="U79" s="99">
        <f>R79/M79/10^6</f>
        <v>7217.6740843671714</v>
      </c>
      <c r="V79" s="99">
        <f t="shared" si="20"/>
        <v>1</v>
      </c>
      <c r="W79" s="225"/>
    </row>
  </sheetData>
  <mergeCells count="7">
    <mergeCell ref="A54:A78"/>
    <mergeCell ref="Q1:T1"/>
    <mergeCell ref="D54:D78"/>
    <mergeCell ref="A28:A53"/>
    <mergeCell ref="D28:D53"/>
    <mergeCell ref="A3:A27"/>
    <mergeCell ref="D3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D2CC-0128-4046-83C3-D19B3F3DF764}">
  <dimension ref="A1:AT85"/>
  <sheetViews>
    <sheetView zoomScale="23" zoomScaleNormal="50" workbookViewId="0">
      <selection activeCell="J41" sqref="J41"/>
    </sheetView>
  </sheetViews>
  <sheetFormatPr defaultRowHeight="14.5" x14ac:dyDescent="0.35"/>
  <cols>
    <col min="4" max="4" width="8.90625" bestFit="1" customWidth="1"/>
    <col min="5" max="6" width="8.90625" style="113" customWidth="1"/>
    <col min="7" max="7" width="11.1796875" customWidth="1"/>
    <col min="8" max="8" width="10.453125" customWidth="1"/>
    <col min="9" max="12" width="8.90625" bestFit="1" customWidth="1"/>
    <col min="14" max="14" width="13.54296875" customWidth="1"/>
    <col min="15" max="15" width="17.54296875" customWidth="1"/>
    <col min="16" max="16" width="18.36328125" customWidth="1"/>
    <col min="17" max="17" width="8.90625" bestFit="1" customWidth="1"/>
    <col min="18" max="18" width="9.26953125" bestFit="1" customWidth="1"/>
    <col min="19" max="19" width="13.1796875" customWidth="1"/>
    <col min="20" max="23" width="18.08984375" customWidth="1"/>
    <col min="24" max="24" width="17.26953125" style="11" bestFit="1" customWidth="1"/>
    <col min="26" max="26" width="35" customWidth="1"/>
    <col min="27" max="27" width="13.81640625" customWidth="1"/>
    <col min="28" max="28" width="13.90625" customWidth="1"/>
    <col min="31" max="31" width="24.7265625" customWidth="1"/>
    <col min="32" max="32" width="14.7265625" customWidth="1"/>
    <col min="33" max="33" width="36.90625" customWidth="1"/>
    <col min="40" max="40" width="10.453125" customWidth="1"/>
    <col min="43" max="43" width="9.1796875" bestFit="1" customWidth="1"/>
  </cols>
  <sheetData>
    <row r="1" spans="1:46" ht="21.5" thickBot="1" x14ac:dyDescent="0.4">
      <c r="A1" s="60"/>
      <c r="B1" s="60"/>
      <c r="C1" s="60"/>
      <c r="D1" s="60"/>
      <c r="E1" s="115"/>
      <c r="F1" s="115"/>
      <c r="G1" s="60"/>
      <c r="H1" s="60"/>
      <c r="I1" s="65" t="s">
        <v>116</v>
      </c>
      <c r="J1" s="19" t="s">
        <v>0</v>
      </c>
      <c r="K1" s="19" t="s">
        <v>1</v>
      </c>
      <c r="L1" s="19" t="s">
        <v>2</v>
      </c>
      <c r="M1" s="61"/>
      <c r="N1" s="61"/>
      <c r="O1" s="61"/>
      <c r="P1" s="12"/>
      <c r="Q1" s="238" t="s">
        <v>3</v>
      </c>
      <c r="R1" s="238"/>
      <c r="S1" s="238"/>
      <c r="T1" s="238"/>
      <c r="U1" s="185"/>
      <c r="V1" s="185"/>
      <c r="W1" s="185"/>
    </row>
    <row r="2" spans="1:46" ht="53" thickBot="1" x14ac:dyDescent="0.4">
      <c r="A2" s="15" t="s">
        <v>4</v>
      </c>
      <c r="B2" s="16" t="s">
        <v>5</v>
      </c>
      <c r="C2" s="16" t="s">
        <v>6</v>
      </c>
      <c r="D2" s="17" t="s">
        <v>7</v>
      </c>
      <c r="E2" s="111" t="s">
        <v>189</v>
      </c>
      <c r="F2" s="111" t="s">
        <v>190</v>
      </c>
      <c r="G2" s="18" t="s">
        <v>187</v>
      </c>
      <c r="H2" s="18" t="s">
        <v>127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118</v>
      </c>
      <c r="N2" s="20" t="s">
        <v>119</v>
      </c>
      <c r="O2" s="43" t="s">
        <v>120</v>
      </c>
      <c r="P2" s="43" t="s">
        <v>121</v>
      </c>
      <c r="Q2" s="19" t="s">
        <v>12</v>
      </c>
      <c r="R2" s="19" t="s">
        <v>117</v>
      </c>
      <c r="S2" s="20" t="s">
        <v>124</v>
      </c>
      <c r="T2" s="43" t="s">
        <v>125</v>
      </c>
      <c r="U2" s="190" t="s">
        <v>191</v>
      </c>
      <c r="V2" s="191" t="s">
        <v>192</v>
      </c>
      <c r="W2" s="230" t="s">
        <v>237</v>
      </c>
      <c r="X2" s="224" t="s">
        <v>236</v>
      </c>
      <c r="Z2" s="195" t="s">
        <v>193</v>
      </c>
      <c r="AA2" s="148" t="s">
        <v>119</v>
      </c>
      <c r="AB2" s="196" t="s">
        <v>124</v>
      </c>
      <c r="AE2" s="219" t="s">
        <v>221</v>
      </c>
      <c r="AF2" s="191" t="s">
        <v>238</v>
      </c>
      <c r="AG2" s="220" t="s">
        <v>234</v>
      </c>
      <c r="AN2" s="11" t="s">
        <v>185</v>
      </c>
      <c r="AP2" t="s">
        <v>186</v>
      </c>
      <c r="AT2" s="110" t="s">
        <v>188</v>
      </c>
    </row>
    <row r="3" spans="1:46" ht="14.4" customHeight="1" thickBot="1" x14ac:dyDescent="0.4">
      <c r="A3" s="245" t="s">
        <v>90</v>
      </c>
      <c r="B3" s="8" t="s">
        <v>91</v>
      </c>
      <c r="C3" s="77" t="s">
        <v>15</v>
      </c>
      <c r="D3" s="244">
        <v>45013</v>
      </c>
      <c r="E3" s="32">
        <v>20</v>
      </c>
      <c r="F3" s="32">
        <f>E3/$E$42*100</f>
        <v>2.5</v>
      </c>
      <c r="G3" s="66">
        <v>800</v>
      </c>
      <c r="H3" s="66">
        <v>18</v>
      </c>
      <c r="I3" s="14">
        <v>301</v>
      </c>
      <c r="J3" s="31">
        <v>4.3999999999999997E-2</v>
      </c>
      <c r="K3" s="31">
        <v>6.0000000000000001E-3</v>
      </c>
      <c r="L3" s="32">
        <v>14</v>
      </c>
      <c r="M3" s="37">
        <f>J3*H3</f>
        <v>0.79199999999999993</v>
      </c>
      <c r="N3" s="78">
        <f>M3/SUM($M$3:$M$42,$M$84)*100</f>
        <v>8.9591373032151256E-2</v>
      </c>
      <c r="O3" s="78">
        <f>N3</f>
        <v>8.9591373032151256E-2</v>
      </c>
      <c r="P3" s="78">
        <f>100*(1-J3/J44)</f>
        <v>98.364312267657994</v>
      </c>
      <c r="Q3" s="10">
        <v>178675170500</v>
      </c>
      <c r="R3" s="100">
        <f>Q3*H3</f>
        <v>3216153069000</v>
      </c>
      <c r="S3" s="78">
        <f>R3/SUM($R$3:$R$42,$R$84)*100</f>
        <v>2.5765026691863668</v>
      </c>
      <c r="T3" s="180">
        <f>S3</f>
        <v>2.5765026691863668</v>
      </c>
      <c r="U3" s="78">
        <f>R3/M3/10^6</f>
        <v>4060799.3295454551</v>
      </c>
      <c r="V3" s="192">
        <f>U3/$U$85</f>
        <v>36.755925381759333</v>
      </c>
      <c r="W3" s="231">
        <f>SUM($J$3:J3)*18/SUM($H$3:H3)</f>
        <v>4.3999999999999997E-2</v>
      </c>
      <c r="X3" s="58">
        <f>R3</f>
        <v>3216153069000</v>
      </c>
      <c r="Z3" s="202" t="s">
        <v>200</v>
      </c>
      <c r="AA3" s="154">
        <f>SUM(N3:N10)</f>
        <v>0.63771639943095138</v>
      </c>
      <c r="AB3" s="203">
        <f>SUM(S3:S10)</f>
        <v>18.90978571943857</v>
      </c>
      <c r="AE3" s="218" t="s">
        <v>218</v>
      </c>
      <c r="AF3" s="192">
        <f>SUM($R$3:R10)/SUM($M$3:M10)/10^6/$U$85</f>
        <v>37.898496324578382</v>
      </c>
      <c r="AN3" s="105">
        <f t="shared" ref="AN3:AN34" si="0">$AQ$3*EXP($AQ$4*F3)+$AQ$5</f>
        <v>3.6260042477772578E-2</v>
      </c>
      <c r="AP3" t="s">
        <v>182</v>
      </c>
      <c r="AQ3" s="134">
        <v>3.3180000000000002E-3</v>
      </c>
    </row>
    <row r="4" spans="1:46" ht="14.4" customHeight="1" thickBot="1" x14ac:dyDescent="0.4">
      <c r="A4" s="246"/>
      <c r="B4" s="1" t="s">
        <v>92</v>
      </c>
      <c r="C4" s="55" t="s">
        <v>17</v>
      </c>
      <c r="D4" s="242"/>
      <c r="E4" s="22">
        <f>20+E3</f>
        <v>40</v>
      </c>
      <c r="F4" s="22">
        <f>E4/$E$42*100</f>
        <v>5</v>
      </c>
      <c r="G4" s="57">
        <f>G3-20</f>
        <v>780</v>
      </c>
      <c r="H4" s="57">
        <v>18</v>
      </c>
      <c r="I4" s="50"/>
      <c r="J4" s="21">
        <v>3.1E-2</v>
      </c>
      <c r="K4" s="21">
        <v>7.0000000000000001E-3</v>
      </c>
      <c r="L4" s="22">
        <v>23.3</v>
      </c>
      <c r="M4" s="35">
        <f t="shared" ref="M4:M67" si="1">J4*H4</f>
        <v>0.55800000000000005</v>
      </c>
      <c r="N4" s="63">
        <f t="shared" ref="N4:N42" si="2">M4/SUM($M$3:$M$42,$M$84)*100</f>
        <v>6.3121194636288389E-2</v>
      </c>
      <c r="O4" s="63">
        <f>N4+O3</f>
        <v>0.15271256766843966</v>
      </c>
      <c r="P4" s="63">
        <f>100*(1-J4/J45)</f>
        <v>98.868613138686129</v>
      </c>
      <c r="Q4" s="4">
        <v>184728765500</v>
      </c>
      <c r="R4" s="58">
        <f>Q4*H4</f>
        <v>3325117779000</v>
      </c>
      <c r="S4" s="63">
        <f>R4/SUM($R$3:$R$42,$R$84)*100</f>
        <v>2.6637957364437073</v>
      </c>
      <c r="T4" s="181">
        <f>S4+T3</f>
        <v>5.2402984056300745</v>
      </c>
      <c r="U4" s="63">
        <f t="shared" ref="U4:U67" si="3">R4/M4/10^6</f>
        <v>5958992.4354838701</v>
      </c>
      <c r="V4" s="70">
        <f t="shared" ref="V4:V67" si="4">U4/$U$85</f>
        <v>53.937233419911529</v>
      </c>
      <c r="W4" s="231">
        <f>SUM($J$3:J4)*18/SUM($H$3:H4)</f>
        <v>3.7499999999999999E-2</v>
      </c>
      <c r="X4" s="58">
        <f t="shared" ref="X4:X42" si="5">R4+X3</f>
        <v>6541270848000</v>
      </c>
      <c r="Z4" s="197" t="s">
        <v>201</v>
      </c>
      <c r="AA4" s="63">
        <f>SUM(N11:N18)</f>
        <v>0.89031051010395035</v>
      </c>
      <c r="AB4" s="70">
        <f>SUM(S11:S18)</f>
        <v>18.331995478427029</v>
      </c>
      <c r="AE4" s="218" t="s">
        <v>222</v>
      </c>
      <c r="AF4" s="192">
        <f>SUM($R$3:R18)/SUM($M$3:M18)/10^6/$U$85</f>
        <v>31.150311836209045</v>
      </c>
      <c r="AN4" s="105">
        <f t="shared" si="0"/>
        <v>3.6872120175054555E-2</v>
      </c>
      <c r="AP4" t="s">
        <v>183</v>
      </c>
      <c r="AQ4">
        <v>5.9073000000000001E-2</v>
      </c>
    </row>
    <row r="5" spans="1:46" ht="15" thickBot="1" x14ac:dyDescent="0.4">
      <c r="A5" s="246"/>
      <c r="B5" s="1" t="s">
        <v>93</v>
      </c>
      <c r="C5" s="55" t="s">
        <v>19</v>
      </c>
      <c r="D5" s="242"/>
      <c r="E5" s="22">
        <f t="shared" ref="E5:E41" si="6">20+E4</f>
        <v>60</v>
      </c>
      <c r="F5" s="22">
        <f t="shared" ref="F5:F41" si="7">E5/$E$42*100</f>
        <v>7.5</v>
      </c>
      <c r="G5" s="57">
        <f t="shared" ref="G5:G42" si="8">G4-20</f>
        <v>760</v>
      </c>
      <c r="H5" s="57">
        <v>18</v>
      </c>
      <c r="I5" s="50"/>
      <c r="J5" s="21">
        <v>3.5000000000000003E-2</v>
      </c>
      <c r="K5" s="21">
        <v>6.0000000000000001E-3</v>
      </c>
      <c r="L5" s="22">
        <v>18</v>
      </c>
      <c r="M5" s="35">
        <f t="shared" si="1"/>
        <v>0.63000000000000012</v>
      </c>
      <c r="N5" s="63">
        <f t="shared" si="2"/>
        <v>7.1265864911938509E-2</v>
      </c>
      <c r="O5" s="63">
        <f t="shared" ref="O5:O42" si="9">N5+O4</f>
        <v>0.22397843258037817</v>
      </c>
      <c r="P5" s="63">
        <f>100*(1-J5/J46)</f>
        <v>98.754448398576514</v>
      </c>
      <c r="Q5" s="4">
        <v>165517195500</v>
      </c>
      <c r="R5" s="58">
        <f t="shared" ref="R5:R41" si="10">Q5*H5</f>
        <v>2979309519000</v>
      </c>
      <c r="S5" s="63">
        <f t="shared" ref="S5:S42" si="11">R5/SUM($R$3:$R$42,$R$84)*100</f>
        <v>2.3867641755069249</v>
      </c>
      <c r="T5" s="181">
        <f t="shared" ref="T5:T42" si="12">S5+T4</f>
        <v>7.6270625811369994</v>
      </c>
      <c r="U5" s="63">
        <f t="shared" si="3"/>
        <v>4729062.728571428</v>
      </c>
      <c r="V5" s="70">
        <f t="shared" si="4"/>
        <v>42.804645753447573</v>
      </c>
      <c r="W5" s="231">
        <f>SUM($J$3:J5)*18/SUM($H$3:H5)</f>
        <v>3.6666666666666667E-2</v>
      </c>
      <c r="X5" s="58">
        <f t="shared" si="5"/>
        <v>9520580367000</v>
      </c>
      <c r="Z5" s="197" t="s">
        <v>202</v>
      </c>
      <c r="AA5" s="63">
        <f>SUM(N19:N26)</f>
        <v>1.7088106470901399</v>
      </c>
      <c r="AB5" s="70">
        <f>SUM(S19:S26)</f>
        <v>18.329670615081852</v>
      </c>
      <c r="AE5" s="218" t="s">
        <v>225</v>
      </c>
      <c r="AF5" s="192">
        <f>SUM($R$3:R26)/SUM($M$3:M26)/10^6/$U$85</f>
        <v>21.942888450469013</v>
      </c>
      <c r="AN5" s="105">
        <f t="shared" si="0"/>
        <v>3.7581606860842297E-2</v>
      </c>
      <c r="AP5" t="s">
        <v>184</v>
      </c>
      <c r="AQ5">
        <v>3.2413999999999998E-2</v>
      </c>
    </row>
    <row r="6" spans="1:46" ht="15" thickBot="1" x14ac:dyDescent="0.4">
      <c r="A6" s="246"/>
      <c r="B6" s="1" t="s">
        <v>94</v>
      </c>
      <c r="C6" s="55" t="s">
        <v>21</v>
      </c>
      <c r="D6" s="242"/>
      <c r="E6" s="22">
        <f t="shared" si="6"/>
        <v>80</v>
      </c>
      <c r="F6" s="22">
        <f t="shared" si="7"/>
        <v>10</v>
      </c>
      <c r="G6" s="57">
        <f t="shared" si="8"/>
        <v>740</v>
      </c>
      <c r="H6" s="57">
        <v>18</v>
      </c>
      <c r="I6" s="50"/>
      <c r="J6" s="106">
        <f>AN6</f>
        <v>3.8404004670050777E-2</v>
      </c>
      <c r="K6" s="51"/>
      <c r="L6" s="56"/>
      <c r="M6" s="35">
        <f>J6*H6</f>
        <v>0.691272084060914</v>
      </c>
      <c r="N6" s="63">
        <f>M6/SUM($M$3:$M$42,$M$84)*100</f>
        <v>7.8196988825522687E-2</v>
      </c>
      <c r="O6" s="104">
        <f>N6+O5</f>
        <v>0.30217542140590087</v>
      </c>
      <c r="P6" s="108">
        <f>100*(1-J6/J47)</f>
        <v>98.642027477003381</v>
      </c>
      <c r="Q6" s="4">
        <v>145531215500</v>
      </c>
      <c r="R6" s="58">
        <f t="shared" si="10"/>
        <v>2619561879000</v>
      </c>
      <c r="S6" s="63">
        <f t="shared" si="11"/>
        <v>2.09856559328531</v>
      </c>
      <c r="T6" s="181">
        <f t="shared" si="12"/>
        <v>9.7256281744223099</v>
      </c>
      <c r="U6" s="63">
        <f t="shared" si="3"/>
        <v>3789480.2052633842</v>
      </c>
      <c r="V6" s="70">
        <f t="shared" si="4"/>
        <v>34.30010703727779</v>
      </c>
      <c r="W6" s="231">
        <f>SUM($J$3:J6)*18/SUM($H$3:H6)</f>
        <v>3.7101001167512693E-2</v>
      </c>
      <c r="X6" s="58">
        <f t="shared" si="5"/>
        <v>12140142246000</v>
      </c>
      <c r="Z6" s="197" t="s">
        <v>203</v>
      </c>
      <c r="AA6" s="63">
        <f>SUM(N27:N34)</f>
        <v>4.3777602731619361</v>
      </c>
      <c r="AB6" s="70">
        <f>SUM(S27:S34)</f>
        <v>17.752625868381976</v>
      </c>
      <c r="AE6" s="44" t="s">
        <v>232</v>
      </c>
      <c r="AF6" s="178">
        <f>SUM($R$3:R30)/SUM($M$3:M30)/10^6/$U$85</f>
        <v>16.920154372463735</v>
      </c>
      <c r="AN6" s="130">
        <f t="shared" si="0"/>
        <v>3.8404004670050777E-2</v>
      </c>
    </row>
    <row r="7" spans="1:46" ht="15" thickBot="1" x14ac:dyDescent="0.4">
      <c r="A7" s="246"/>
      <c r="B7" s="1" t="s">
        <v>95</v>
      </c>
      <c r="C7" s="55" t="s">
        <v>23</v>
      </c>
      <c r="D7" s="242"/>
      <c r="E7" s="22">
        <f t="shared" si="6"/>
        <v>100</v>
      </c>
      <c r="F7" s="22">
        <f t="shared" si="7"/>
        <v>12.5</v>
      </c>
      <c r="G7" s="57">
        <f t="shared" si="8"/>
        <v>720</v>
      </c>
      <c r="H7" s="57">
        <v>18</v>
      </c>
      <c r="I7" s="3">
        <v>322</v>
      </c>
      <c r="J7" s="106">
        <f t="shared" ref="J7:J26" si="13">AN7</f>
        <v>3.9357282821902172E-2</v>
      </c>
      <c r="K7" s="51"/>
      <c r="L7" s="56"/>
      <c r="M7" s="35">
        <f t="shared" si="1"/>
        <v>0.70843109079423905</v>
      </c>
      <c r="N7" s="63">
        <f t="shared" si="2"/>
        <v>8.013802288247536E-2</v>
      </c>
      <c r="O7" s="104">
        <f t="shared" si="9"/>
        <v>0.38231344428837621</v>
      </c>
      <c r="P7" s="108">
        <f t="shared" ref="P7:P26" si="14">100*(1-J7/J48)</f>
        <v>98.630012287557307</v>
      </c>
      <c r="Q7" s="4">
        <v>123657325500</v>
      </c>
      <c r="R7" s="58">
        <f t="shared" si="10"/>
        <v>2225831859000</v>
      </c>
      <c r="S7" s="63">
        <f t="shared" si="11"/>
        <v>1.7831432779586875</v>
      </c>
      <c r="T7" s="181">
        <f t="shared" si="12"/>
        <v>11.508771452380998</v>
      </c>
      <c r="U7" s="63">
        <f t="shared" si="3"/>
        <v>3141917.2420913465</v>
      </c>
      <c r="V7" s="70">
        <f t="shared" si="4"/>
        <v>28.438754622947425</v>
      </c>
      <c r="W7" s="231">
        <f>SUM($J$3:J7)*18/SUM($H$3:H7)</f>
        <v>3.7552257498390591E-2</v>
      </c>
      <c r="X7" s="58">
        <f t="shared" si="5"/>
        <v>14365974105000</v>
      </c>
      <c r="Z7" s="197" t="s">
        <v>204</v>
      </c>
      <c r="AA7" s="63">
        <f>SUM(N35:N42)</f>
        <v>16.452233956813231</v>
      </c>
      <c r="AB7" s="70">
        <f>SUM(S35:S42)</f>
        <v>15.703446848875441</v>
      </c>
      <c r="AE7" s="218" t="s">
        <v>228</v>
      </c>
      <c r="AF7" s="192">
        <f>SUM($R$3:R34)/SUM($M$3:M34)/10^6/$U$85</f>
        <v>12.307294559966374</v>
      </c>
      <c r="AN7" s="130">
        <f t="shared" si="0"/>
        <v>3.9357282821902172E-2</v>
      </c>
    </row>
    <row r="8" spans="1:46" ht="15" thickBot="1" x14ac:dyDescent="0.4">
      <c r="A8" s="246"/>
      <c r="B8" s="1" t="s">
        <v>96</v>
      </c>
      <c r="C8" s="55" t="s">
        <v>25</v>
      </c>
      <c r="D8" s="242"/>
      <c r="E8" s="22">
        <f t="shared" si="6"/>
        <v>120</v>
      </c>
      <c r="F8" s="22">
        <f t="shared" si="7"/>
        <v>15</v>
      </c>
      <c r="G8" s="57">
        <f t="shared" si="8"/>
        <v>700</v>
      </c>
      <c r="H8" s="57">
        <v>18</v>
      </c>
      <c r="I8" s="50"/>
      <c r="J8" s="106">
        <f t="shared" si="13"/>
        <v>4.0462270243587825E-2</v>
      </c>
      <c r="K8" s="51"/>
      <c r="L8" s="56"/>
      <c r="M8" s="35">
        <f t="shared" si="1"/>
        <v>0.72832086438458088</v>
      </c>
      <c r="N8" s="63">
        <f t="shared" si="2"/>
        <v>8.238796243456796E-2</v>
      </c>
      <c r="O8" s="104">
        <f t="shared" si="9"/>
        <v>0.46470140672294419</v>
      </c>
      <c r="P8" s="108">
        <f t="shared" si="14"/>
        <v>98.614320813471153</v>
      </c>
      <c r="Q8" s="4">
        <v>182265994500</v>
      </c>
      <c r="R8" s="58">
        <f t="shared" si="10"/>
        <v>3280787901000</v>
      </c>
      <c r="S8" s="63">
        <f t="shared" si="11"/>
        <v>2.6282824861284109</v>
      </c>
      <c r="T8" s="181">
        <f t="shared" si="12"/>
        <v>14.137053938509409</v>
      </c>
      <c r="U8" s="63">
        <f t="shared" si="3"/>
        <v>4504591.3984246654</v>
      </c>
      <c r="V8" s="70">
        <f t="shared" si="4"/>
        <v>40.772865605832592</v>
      </c>
      <c r="W8" s="231">
        <f>SUM($J$3:J8)*18/SUM($H$3:H8)</f>
        <v>3.8037259622590129E-2</v>
      </c>
      <c r="X8" s="58">
        <f t="shared" si="5"/>
        <v>17646762006000</v>
      </c>
      <c r="Z8" s="198" t="s">
        <v>205</v>
      </c>
      <c r="AA8" s="186">
        <f>N84</f>
        <v>75.933168213399796</v>
      </c>
      <c r="AB8" s="199">
        <f>S84</f>
        <v>10.972475469795132</v>
      </c>
      <c r="AE8" s="44" t="s">
        <v>233</v>
      </c>
      <c r="AF8" s="178">
        <f>SUM($R$3:R38)/SUM($M$3:M38)/10^6/$U$85</f>
        <v>7.6759890176496546</v>
      </c>
      <c r="AN8" s="130">
        <f t="shared" si="0"/>
        <v>4.0462270243587825E-2</v>
      </c>
    </row>
    <row r="9" spans="1:46" ht="15" thickBot="1" x14ac:dyDescent="0.4">
      <c r="A9" s="246"/>
      <c r="B9" s="1" t="s">
        <v>97</v>
      </c>
      <c r="C9" s="55" t="s">
        <v>27</v>
      </c>
      <c r="D9" s="242"/>
      <c r="E9" s="22">
        <f t="shared" si="6"/>
        <v>140</v>
      </c>
      <c r="F9" s="22">
        <f t="shared" si="7"/>
        <v>17.5</v>
      </c>
      <c r="G9" s="57">
        <f t="shared" si="8"/>
        <v>680</v>
      </c>
      <c r="H9" s="57">
        <v>18</v>
      </c>
      <c r="I9" s="50"/>
      <c r="J9" s="106">
        <f t="shared" si="13"/>
        <v>4.1743110677948107E-2</v>
      </c>
      <c r="K9" s="51"/>
      <c r="L9" s="56"/>
      <c r="M9" s="35">
        <f t="shared" si="1"/>
        <v>0.75137599220306595</v>
      </c>
      <c r="N9" s="63">
        <f t="shared" si="2"/>
        <v>8.4995968187964205E-2</v>
      </c>
      <c r="O9" s="104">
        <f t="shared" si="9"/>
        <v>0.54969737491090842</v>
      </c>
      <c r="P9" s="108">
        <f t="shared" si="14"/>
        <v>98.594416395689763</v>
      </c>
      <c r="Q9" s="4">
        <v>163458265000</v>
      </c>
      <c r="R9" s="58">
        <f t="shared" si="10"/>
        <v>2942248770000</v>
      </c>
      <c r="S9" s="63">
        <f t="shared" si="11"/>
        <v>2.3570743203688309</v>
      </c>
      <c r="T9" s="181">
        <f t="shared" si="12"/>
        <v>16.494128258878241</v>
      </c>
      <c r="U9" s="63">
        <f t="shared" si="3"/>
        <v>3915814.1869468079</v>
      </c>
      <c r="V9" s="70">
        <f t="shared" si="4"/>
        <v>35.443606636027042</v>
      </c>
      <c r="W9" s="231">
        <f>SUM($J$3:J9)*18/SUM($H$3:H9)</f>
        <v>3.8566666916212695E-2</v>
      </c>
      <c r="X9" s="58">
        <f t="shared" si="5"/>
        <v>20589010776000</v>
      </c>
      <c r="Z9" s="200" t="s">
        <v>122</v>
      </c>
      <c r="AA9" s="49">
        <f>SUM(AA3:AA8)</f>
        <v>100</v>
      </c>
      <c r="AB9" s="178">
        <f>SUM(AB3:AB8)</f>
        <v>100</v>
      </c>
      <c r="AE9" s="44" t="s">
        <v>215</v>
      </c>
      <c r="AF9" s="178">
        <f>SUM($R$3:R42)/SUM($M$3:M42)/10^6/$U$85</f>
        <v>4.7279005431896666</v>
      </c>
      <c r="AN9" s="130">
        <f t="shared" si="0"/>
        <v>4.1743110677948107E-2</v>
      </c>
    </row>
    <row r="10" spans="1:46" x14ac:dyDescent="0.35">
      <c r="A10" s="246"/>
      <c r="B10" s="1" t="s">
        <v>98</v>
      </c>
      <c r="C10" s="55" t="s">
        <v>29</v>
      </c>
      <c r="D10" s="242"/>
      <c r="E10" s="22">
        <f t="shared" si="6"/>
        <v>160</v>
      </c>
      <c r="F10" s="22">
        <f t="shared" si="7"/>
        <v>20</v>
      </c>
      <c r="G10" s="57">
        <f t="shared" si="8"/>
        <v>660</v>
      </c>
      <c r="H10" s="57">
        <v>18</v>
      </c>
      <c r="I10" s="50"/>
      <c r="J10" s="106">
        <f t="shared" si="13"/>
        <v>4.3227790219177262E-2</v>
      </c>
      <c r="K10" s="51"/>
      <c r="L10" s="56"/>
      <c r="M10" s="35">
        <f t="shared" si="1"/>
        <v>0.77810022394519074</v>
      </c>
      <c r="N10" s="63">
        <f t="shared" si="2"/>
        <v>8.8019024520042954E-2</v>
      </c>
      <c r="O10" s="104">
        <f t="shared" si="9"/>
        <v>0.63771639943095138</v>
      </c>
      <c r="P10" s="108">
        <f t="shared" si="14"/>
        <v>98.569697670137231</v>
      </c>
      <c r="Q10" s="4">
        <v>167520885500</v>
      </c>
      <c r="R10" s="58">
        <f t="shared" si="10"/>
        <v>3015375939000</v>
      </c>
      <c r="S10" s="63">
        <f t="shared" si="11"/>
        <v>2.4156574605603285</v>
      </c>
      <c r="T10" s="181">
        <f t="shared" si="12"/>
        <v>18.90978571943857</v>
      </c>
      <c r="U10" s="63">
        <f t="shared" si="3"/>
        <v>3875305.3221231336</v>
      </c>
      <c r="V10" s="70">
        <f t="shared" si="4"/>
        <v>35.076944633813454</v>
      </c>
      <c r="W10" s="231">
        <f>SUM($J$3:J10)*18/SUM($H$3:H10)</f>
        <v>3.9149307329083269E-2</v>
      </c>
      <c r="X10" s="58">
        <f t="shared" si="5"/>
        <v>23604386715000</v>
      </c>
      <c r="Z10" s="11"/>
      <c r="AN10" s="130">
        <f>$AQ$3*EXP($AQ$4*F10)+$AQ$5</f>
        <v>4.3227790219177262E-2</v>
      </c>
    </row>
    <row r="11" spans="1:46" ht="15" thickBot="1" x14ac:dyDescent="0.4">
      <c r="A11" s="246"/>
      <c r="B11" s="1" t="s">
        <v>99</v>
      </c>
      <c r="C11" s="55" t="s">
        <v>31</v>
      </c>
      <c r="D11" s="242"/>
      <c r="E11" s="22">
        <f t="shared" si="6"/>
        <v>180</v>
      </c>
      <c r="F11" s="22">
        <f t="shared" si="7"/>
        <v>22.5</v>
      </c>
      <c r="G11" s="57">
        <f t="shared" si="8"/>
        <v>640</v>
      </c>
      <c r="H11" s="57">
        <v>18</v>
      </c>
      <c r="I11" s="50"/>
      <c r="J11" s="106">
        <f t="shared" si="13"/>
        <v>4.494874880309746E-2</v>
      </c>
      <c r="K11" s="51"/>
      <c r="L11" s="56"/>
      <c r="M11" s="35">
        <f t="shared" si="1"/>
        <v>0.80907747845575428</v>
      </c>
      <c r="N11" s="63">
        <f t="shared" si="2"/>
        <v>9.1523184576062885E-2</v>
      </c>
      <c r="O11" s="104">
        <f t="shared" si="9"/>
        <v>0.72923958400701427</v>
      </c>
      <c r="P11" s="108">
        <f t="shared" si="14"/>
        <v>98.539491554667379</v>
      </c>
      <c r="Q11" s="4">
        <v>158700562000</v>
      </c>
      <c r="R11" s="58">
        <f t="shared" si="10"/>
        <v>2856610116000</v>
      </c>
      <c r="S11" s="63">
        <f t="shared" si="11"/>
        <v>2.2884680644218358</v>
      </c>
      <c r="T11" s="181">
        <f t="shared" si="12"/>
        <v>21.198253783860405</v>
      </c>
      <c r="U11" s="63">
        <f t="shared" si="3"/>
        <v>3530700.3248344879</v>
      </c>
      <c r="V11" s="70">
        <f t="shared" si="4"/>
        <v>31.957786424156087</v>
      </c>
      <c r="W11" s="231">
        <f>SUM($J$3:J11)*18/SUM($H$3:H11)</f>
        <v>3.9793689715084846E-2</v>
      </c>
      <c r="X11" s="58">
        <f t="shared" si="5"/>
        <v>26460996831000</v>
      </c>
      <c r="Z11" s="11"/>
      <c r="AN11" s="130">
        <f t="shared" si="0"/>
        <v>4.494874880309746E-2</v>
      </c>
    </row>
    <row r="12" spans="1:46" ht="15" thickBot="1" x14ac:dyDescent="0.4">
      <c r="A12" s="246"/>
      <c r="B12" s="1" t="s">
        <v>100</v>
      </c>
      <c r="C12" s="55" t="s">
        <v>33</v>
      </c>
      <c r="D12" s="242"/>
      <c r="E12" s="22">
        <f t="shared" si="6"/>
        <v>200</v>
      </c>
      <c r="F12" s="22">
        <f t="shared" si="7"/>
        <v>25</v>
      </c>
      <c r="G12" s="57">
        <f t="shared" si="8"/>
        <v>620</v>
      </c>
      <c r="H12" s="57">
        <v>18</v>
      </c>
      <c r="I12" s="3">
        <v>343</v>
      </c>
      <c r="J12" s="106">
        <f t="shared" si="13"/>
        <v>4.6943589012936049E-2</v>
      </c>
      <c r="K12" s="51"/>
      <c r="L12" s="56"/>
      <c r="M12" s="35">
        <f t="shared" si="1"/>
        <v>0.84498460223284888</v>
      </c>
      <c r="N12" s="63">
        <f t="shared" si="2"/>
        <v>9.5585013516498868E-2</v>
      </c>
      <c r="O12" s="104">
        <f t="shared" si="9"/>
        <v>0.82482459752351311</v>
      </c>
      <c r="P12" s="108">
        <f t="shared" si="14"/>
        <v>98.50304553322519</v>
      </c>
      <c r="Q12" s="4">
        <v>163860136000</v>
      </c>
      <c r="R12" s="58">
        <f t="shared" si="10"/>
        <v>2949482448000</v>
      </c>
      <c r="S12" s="63">
        <f t="shared" si="11"/>
        <v>2.3628693152820643</v>
      </c>
      <c r="T12" s="181">
        <f t="shared" si="12"/>
        <v>23.56112309914247</v>
      </c>
      <c r="U12" s="63">
        <f t="shared" si="3"/>
        <v>3490575.3787774034</v>
      </c>
      <c r="V12" s="70">
        <f t="shared" si="4"/>
        <v>31.594599424864889</v>
      </c>
      <c r="W12" s="231">
        <f>SUM($J$3:J12)*18/SUM($H$3:H12)</f>
        <v>4.0508679644869969E-2</v>
      </c>
      <c r="X12" s="58">
        <f t="shared" si="5"/>
        <v>29410479279000</v>
      </c>
      <c r="Z12" s="11"/>
      <c r="AE12" s="44" t="s">
        <v>219</v>
      </c>
      <c r="AF12" s="178">
        <f>SUM($R$44:R51)/SUM($M$44:M51)/10^6/$U$85</f>
        <v>0.38834309425087543</v>
      </c>
      <c r="AN12" s="130">
        <f t="shared" si="0"/>
        <v>4.6943589012936049E-2</v>
      </c>
    </row>
    <row r="13" spans="1:46" ht="15" thickBot="1" x14ac:dyDescent="0.4">
      <c r="A13" s="246"/>
      <c r="B13" s="1" t="s">
        <v>101</v>
      </c>
      <c r="C13" s="55" t="s">
        <v>35</v>
      </c>
      <c r="D13" s="242"/>
      <c r="E13" s="22">
        <f t="shared" si="6"/>
        <v>220</v>
      </c>
      <c r="F13" s="22">
        <f t="shared" si="7"/>
        <v>27.500000000000004</v>
      </c>
      <c r="G13" s="57">
        <f t="shared" si="8"/>
        <v>600</v>
      </c>
      <c r="H13" s="57">
        <v>18</v>
      </c>
      <c r="I13" s="50"/>
      <c r="J13" s="106">
        <f t="shared" si="13"/>
        <v>4.9255897687863107E-2</v>
      </c>
      <c r="K13" s="51"/>
      <c r="L13" s="56"/>
      <c r="M13" s="35">
        <f t="shared" si="1"/>
        <v>0.88660615838153589</v>
      </c>
      <c r="N13" s="63">
        <f t="shared" si="2"/>
        <v>0.10029326144970045</v>
      </c>
      <c r="O13" s="104">
        <f t="shared" si="9"/>
        <v>0.92511785897321352</v>
      </c>
      <c r="P13" s="108">
        <f t="shared" si="14"/>
        <v>98.459519169698694</v>
      </c>
      <c r="Q13" s="4">
        <v>161523385000</v>
      </c>
      <c r="R13" s="58">
        <f t="shared" si="10"/>
        <v>2907420930000</v>
      </c>
      <c r="S13" s="63">
        <f t="shared" si="11"/>
        <v>2.3291732780997525</v>
      </c>
      <c r="T13" s="181">
        <f t="shared" si="12"/>
        <v>25.890296377242223</v>
      </c>
      <c r="U13" s="63">
        <f t="shared" si="3"/>
        <v>3279269.9469935792</v>
      </c>
      <c r="V13" s="70">
        <f t="shared" si="4"/>
        <v>29.681989110216307</v>
      </c>
      <c r="W13" s="231">
        <f>SUM($J$3:J13)*18/SUM($H$3:H13)</f>
        <v>4.1303881285142063E-2</v>
      </c>
      <c r="X13" s="58">
        <f t="shared" si="5"/>
        <v>32317900209000</v>
      </c>
      <c r="Z13" s="11"/>
      <c r="AE13" s="212" t="s">
        <v>223</v>
      </c>
      <c r="AF13" s="177">
        <f>SUM($R$44:R59)/SUM($M$44:M59)/10^6/$U$85</f>
        <v>0.38724165952952183</v>
      </c>
      <c r="AN13" s="130">
        <f t="shared" si="0"/>
        <v>4.9255897687863107E-2</v>
      </c>
    </row>
    <row r="14" spans="1:46" ht="15" thickBot="1" x14ac:dyDescent="0.4">
      <c r="A14" s="246"/>
      <c r="B14" s="1" t="s">
        <v>102</v>
      </c>
      <c r="C14" s="55" t="s">
        <v>37</v>
      </c>
      <c r="D14" s="242"/>
      <c r="E14" s="22">
        <f t="shared" si="6"/>
        <v>240</v>
      </c>
      <c r="F14" s="22">
        <f t="shared" si="7"/>
        <v>30</v>
      </c>
      <c r="G14" s="57">
        <f t="shared" si="8"/>
        <v>580</v>
      </c>
      <c r="H14" s="57">
        <v>18</v>
      </c>
      <c r="I14" s="50"/>
      <c r="J14" s="106">
        <f t="shared" si="13"/>
        <v>5.1936198286263183E-2</v>
      </c>
      <c r="K14" s="51"/>
      <c r="L14" s="56"/>
      <c r="M14" s="35">
        <f t="shared" si="1"/>
        <v>0.93485156915273726</v>
      </c>
      <c r="N14" s="63">
        <f t="shared" si="2"/>
        <v>0.10575080260309952</v>
      </c>
      <c r="O14" s="104">
        <f t="shared" si="9"/>
        <v>1.030868661576313</v>
      </c>
      <c r="P14" s="108">
        <f t="shared" si="14"/>
        <v>98.407974777259426</v>
      </c>
      <c r="Q14" s="4">
        <v>130166195500</v>
      </c>
      <c r="R14" s="58">
        <f t="shared" si="10"/>
        <v>2342991519000</v>
      </c>
      <c r="S14" s="63">
        <f t="shared" si="11"/>
        <v>1.8770014278149771</v>
      </c>
      <c r="T14" s="181">
        <f t="shared" si="12"/>
        <v>27.767297805057201</v>
      </c>
      <c r="U14" s="63">
        <f t="shared" si="3"/>
        <v>2506271.1518187532</v>
      </c>
      <c r="V14" s="70">
        <f t="shared" si="4"/>
        <v>22.685266610556102</v>
      </c>
      <c r="W14" s="231">
        <f>SUM($J$3:J14)*18/SUM($H$3:H14)</f>
        <v>4.2189907701902167E-2</v>
      </c>
      <c r="X14" s="58">
        <f t="shared" si="5"/>
        <v>34660891728000</v>
      </c>
      <c r="Z14" s="11"/>
      <c r="AE14" s="212" t="s">
        <v>226</v>
      </c>
      <c r="AF14" s="177">
        <f>SUM($R$44:R67)/SUM($M$44:M67)/10^6/$U$85</f>
        <v>0.36601865390279587</v>
      </c>
      <c r="AN14" s="130">
        <f t="shared" si="0"/>
        <v>5.1936198286263183E-2</v>
      </c>
    </row>
    <row r="15" spans="1:46" ht="15" thickBot="1" x14ac:dyDescent="0.4">
      <c r="A15" s="246"/>
      <c r="B15" s="1" t="s">
        <v>103</v>
      </c>
      <c r="C15" s="55" t="s">
        <v>39</v>
      </c>
      <c r="D15" s="242"/>
      <c r="E15" s="22">
        <f t="shared" si="6"/>
        <v>260</v>
      </c>
      <c r="F15" s="22">
        <f t="shared" si="7"/>
        <v>32.5</v>
      </c>
      <c r="G15" s="57">
        <f t="shared" si="8"/>
        <v>560</v>
      </c>
      <c r="H15" s="57">
        <v>18</v>
      </c>
      <c r="I15" s="50"/>
      <c r="J15" s="106">
        <f t="shared" si="13"/>
        <v>5.5043054812678488E-2</v>
      </c>
      <c r="K15" s="51"/>
      <c r="L15" s="56"/>
      <c r="M15" s="35">
        <f t="shared" si="1"/>
        <v>0.99077498662821273</v>
      </c>
      <c r="N15" s="63">
        <f t="shared" si="2"/>
        <v>0.1120768831034506</v>
      </c>
      <c r="O15" s="104">
        <f t="shared" si="9"/>
        <v>1.1429455446797636</v>
      </c>
      <c r="P15" s="108">
        <f t="shared" si="14"/>
        <v>98.347367161589432</v>
      </c>
      <c r="Q15" s="4">
        <v>153739542500</v>
      </c>
      <c r="R15" s="58">
        <f t="shared" si="10"/>
        <v>2767311765000</v>
      </c>
      <c r="S15" s="63">
        <f t="shared" si="11"/>
        <v>2.2169299769088</v>
      </c>
      <c r="T15" s="181">
        <f t="shared" si="12"/>
        <v>29.984227781966002</v>
      </c>
      <c r="U15" s="63">
        <f t="shared" si="3"/>
        <v>2793077.9464040208</v>
      </c>
      <c r="V15" s="70">
        <f t="shared" si="4"/>
        <v>25.281270078163466</v>
      </c>
      <c r="W15" s="231">
        <f>SUM($J$3:J15)*18/SUM($H$3:H15)</f>
        <v>4.3178611325808039E-2</v>
      </c>
      <c r="X15" s="58">
        <f t="shared" si="5"/>
        <v>37428203493000</v>
      </c>
      <c r="Z15" s="11"/>
      <c r="AE15" s="212" t="s">
        <v>229</v>
      </c>
      <c r="AF15" s="177">
        <f>SUM($R$44:R75)/SUM($M$44:M75)/10^6/$U$85</f>
        <v>0.33448174480373366</v>
      </c>
      <c r="AN15" s="130">
        <f t="shared" si="0"/>
        <v>5.5043054812678488E-2</v>
      </c>
    </row>
    <row r="16" spans="1:46" ht="15" thickBot="1" x14ac:dyDescent="0.4">
      <c r="A16" s="246"/>
      <c r="B16" s="1" t="s">
        <v>104</v>
      </c>
      <c r="C16" s="55" t="s">
        <v>41</v>
      </c>
      <c r="D16" s="242"/>
      <c r="E16" s="22">
        <f t="shared" si="6"/>
        <v>280</v>
      </c>
      <c r="F16" s="22">
        <f t="shared" si="7"/>
        <v>35</v>
      </c>
      <c r="G16" s="57">
        <f t="shared" si="8"/>
        <v>540</v>
      </c>
      <c r="H16" s="57">
        <v>18</v>
      </c>
      <c r="I16" s="50"/>
      <c r="J16" s="106">
        <f t="shared" si="13"/>
        <v>5.864435142899501E-2</v>
      </c>
      <c r="K16" s="51"/>
      <c r="L16" s="56"/>
      <c r="M16" s="35">
        <f t="shared" si="1"/>
        <v>1.0555983257219101</v>
      </c>
      <c r="N16" s="63">
        <f t="shared" si="2"/>
        <v>0.11940972647962875</v>
      </c>
      <c r="O16" s="104">
        <f t="shared" si="9"/>
        <v>1.2623552711593924</v>
      </c>
      <c r="P16" s="108">
        <f t="shared" si="14"/>
        <v>98.276532348199027</v>
      </c>
      <c r="Q16" s="4">
        <v>179369842500</v>
      </c>
      <c r="R16" s="58">
        <f t="shared" si="10"/>
        <v>3228657165000</v>
      </c>
      <c r="S16" s="63">
        <f t="shared" si="11"/>
        <v>2.586519865516447</v>
      </c>
      <c r="T16" s="181">
        <f t="shared" si="12"/>
        <v>32.570747647482449</v>
      </c>
      <c r="U16" s="63">
        <f t="shared" si="3"/>
        <v>3058603.9086334878</v>
      </c>
      <c r="V16" s="70">
        <f t="shared" si="4"/>
        <v>27.68465218661121</v>
      </c>
      <c r="W16" s="231">
        <f>SUM($J$3:J16)*18/SUM($H$3:H16)</f>
        <v>4.4283307047464249E-2</v>
      </c>
      <c r="X16" s="58">
        <f t="shared" si="5"/>
        <v>40656860658000</v>
      </c>
      <c r="Z16" s="11"/>
      <c r="AE16" s="212" t="s">
        <v>216</v>
      </c>
      <c r="AF16" s="177">
        <f>SUM($R$44:R83)/SUM($M$44:M83)/10^6/$U$85</f>
        <v>0.29654029059771114</v>
      </c>
      <c r="AN16" s="130">
        <f t="shared" si="0"/>
        <v>5.864435142899501E-2</v>
      </c>
    </row>
    <row r="17" spans="1:40" x14ac:dyDescent="0.35">
      <c r="A17" s="246"/>
      <c r="B17" s="1" t="s">
        <v>105</v>
      </c>
      <c r="C17" s="55" t="s">
        <v>43</v>
      </c>
      <c r="D17" s="242"/>
      <c r="E17" s="22">
        <f t="shared" si="6"/>
        <v>300</v>
      </c>
      <c r="F17" s="22">
        <f t="shared" si="7"/>
        <v>37.5</v>
      </c>
      <c r="G17" s="57">
        <f t="shared" si="8"/>
        <v>520</v>
      </c>
      <c r="H17" s="57">
        <v>18</v>
      </c>
      <c r="I17" s="3">
        <v>357</v>
      </c>
      <c r="J17" s="106">
        <f t="shared" si="13"/>
        <v>6.2818775709107127E-2</v>
      </c>
      <c r="K17" s="51"/>
      <c r="L17" s="56"/>
      <c r="M17" s="35">
        <f t="shared" si="1"/>
        <v>1.1307379627639282</v>
      </c>
      <c r="N17" s="63">
        <f t="shared" si="2"/>
        <v>0.12790955381767408</v>
      </c>
      <c r="O17" s="104">
        <f t="shared" si="9"/>
        <v>1.3902648249770664</v>
      </c>
      <c r="P17" s="108">
        <f t="shared" si="14"/>
        <v>98.194175194968111</v>
      </c>
      <c r="Q17" s="4">
        <v>169086968000</v>
      </c>
      <c r="R17" s="58">
        <f t="shared" si="10"/>
        <v>3043565424000</v>
      </c>
      <c r="S17" s="63">
        <f t="shared" si="11"/>
        <v>2.4382404290283288</v>
      </c>
      <c r="T17" s="181">
        <f t="shared" si="12"/>
        <v>35.008988076510775</v>
      </c>
      <c r="U17" s="63">
        <f t="shared" si="3"/>
        <v>2691662.900005972</v>
      </c>
      <c r="V17" s="70">
        <f t="shared" si="4"/>
        <v>24.363321769101962</v>
      </c>
      <c r="W17" s="231">
        <f>SUM($J$3:J17)*18/SUM($H$3:H17)</f>
        <v>4.551900495824044E-2</v>
      </c>
      <c r="X17" s="58">
        <f t="shared" si="5"/>
        <v>43700426082000</v>
      </c>
      <c r="Z17" s="11"/>
      <c r="AN17" s="130">
        <f t="shared" si="0"/>
        <v>6.2818775709107127E-2</v>
      </c>
    </row>
    <row r="18" spans="1:40" x14ac:dyDescent="0.35">
      <c r="A18" s="246"/>
      <c r="B18" s="1" t="s">
        <v>106</v>
      </c>
      <c r="C18" s="55" t="s">
        <v>45</v>
      </c>
      <c r="D18" s="242"/>
      <c r="E18" s="22">
        <f t="shared" si="6"/>
        <v>320</v>
      </c>
      <c r="F18" s="22">
        <f t="shared" si="7"/>
        <v>40</v>
      </c>
      <c r="G18" s="57">
        <f t="shared" si="8"/>
        <v>500</v>
      </c>
      <c r="H18" s="57">
        <v>18</v>
      </c>
      <c r="I18" s="3">
        <v>370</v>
      </c>
      <c r="J18" s="106">
        <f t="shared" si="13"/>
        <v>6.7657537945863114E-2</v>
      </c>
      <c r="K18" s="51"/>
      <c r="L18" s="56"/>
      <c r="M18" s="35">
        <f t="shared" si="1"/>
        <v>1.2178356830255361</v>
      </c>
      <c r="N18" s="63">
        <f t="shared" si="2"/>
        <v>0.13776208455783526</v>
      </c>
      <c r="O18" s="104">
        <f t="shared" si="9"/>
        <v>1.5280269095349017</v>
      </c>
      <c r="P18" s="108">
        <f t="shared" si="14"/>
        <v>98.098855781008425</v>
      </c>
      <c r="Q18" s="4">
        <v>154839619000</v>
      </c>
      <c r="R18" s="58">
        <f t="shared" si="10"/>
        <v>2787113142000</v>
      </c>
      <c r="S18" s="63">
        <f t="shared" si="11"/>
        <v>2.2327931213548227</v>
      </c>
      <c r="T18" s="181">
        <f t="shared" si="12"/>
        <v>37.241781197865599</v>
      </c>
      <c r="U18" s="63">
        <f t="shared" si="3"/>
        <v>2288578.9773180415</v>
      </c>
      <c r="V18" s="70">
        <f t="shared" si="4"/>
        <v>20.714847322923699</v>
      </c>
      <c r="W18" s="231">
        <f>SUM($J$3:J18)*18/SUM($H$3:H18)</f>
        <v>4.6902663269966859E-2</v>
      </c>
      <c r="X18" s="58">
        <f t="shared" si="5"/>
        <v>46487539224000</v>
      </c>
      <c r="Z18" s="11"/>
      <c r="AN18" s="130">
        <f t="shared" si="0"/>
        <v>6.7657537945863114E-2</v>
      </c>
    </row>
    <row r="19" spans="1:40" x14ac:dyDescent="0.35">
      <c r="A19" s="246"/>
      <c r="B19" s="1" t="s">
        <v>107</v>
      </c>
      <c r="C19" s="55" t="s">
        <v>47</v>
      </c>
      <c r="D19" s="242"/>
      <c r="E19" s="22">
        <f t="shared" si="6"/>
        <v>340</v>
      </c>
      <c r="F19" s="22">
        <f t="shared" si="7"/>
        <v>42.5</v>
      </c>
      <c r="G19" s="57">
        <f t="shared" si="8"/>
        <v>480</v>
      </c>
      <c r="H19" s="57">
        <v>18</v>
      </c>
      <c r="I19" s="3">
        <v>372</v>
      </c>
      <c r="J19" s="106">
        <f t="shared" si="13"/>
        <v>7.3266364076786994E-2</v>
      </c>
      <c r="K19" s="51"/>
      <c r="L19" s="56"/>
      <c r="M19" s="35">
        <f t="shared" si="1"/>
        <v>1.3187945533821659</v>
      </c>
      <c r="N19" s="63">
        <f t="shared" si="2"/>
        <v>0.14918259442529158</v>
      </c>
      <c r="O19" s="104">
        <f t="shared" si="9"/>
        <v>1.6772095039601933</v>
      </c>
      <c r="P19" s="108">
        <f t="shared" si="14"/>
        <v>97.988974451845095</v>
      </c>
      <c r="Q19" s="4">
        <v>166128053000</v>
      </c>
      <c r="R19" s="58">
        <f t="shared" si="10"/>
        <v>2990304954000</v>
      </c>
      <c r="S19" s="63">
        <f t="shared" si="11"/>
        <v>2.3955727635991497</v>
      </c>
      <c r="T19" s="181">
        <f t="shared" si="12"/>
        <v>39.637353961464747</v>
      </c>
      <c r="U19" s="63">
        <f t="shared" si="3"/>
        <v>2267453.2180399871</v>
      </c>
      <c r="V19" s="70">
        <f t="shared" si="4"/>
        <v>20.523629592461727</v>
      </c>
      <c r="W19" s="231">
        <f>SUM($J$3:J19)*18/SUM($H$3:H19)</f>
        <v>4.845346919977981E-2</v>
      </c>
      <c r="X19" s="58">
        <f t="shared" si="5"/>
        <v>49477844178000</v>
      </c>
      <c r="Z19" s="11"/>
      <c r="AN19" s="130">
        <f t="shared" si="0"/>
        <v>7.3266364076786994E-2</v>
      </c>
    </row>
    <row r="20" spans="1:40" x14ac:dyDescent="0.35">
      <c r="A20" s="246"/>
      <c r="B20" s="1" t="s">
        <v>108</v>
      </c>
      <c r="C20" s="55" t="s">
        <v>49</v>
      </c>
      <c r="D20" s="242"/>
      <c r="E20" s="22">
        <f t="shared" si="6"/>
        <v>360</v>
      </c>
      <c r="F20" s="22">
        <f t="shared" si="7"/>
        <v>45</v>
      </c>
      <c r="G20" s="57">
        <f t="shared" si="8"/>
        <v>460</v>
      </c>
      <c r="H20" s="57">
        <v>18</v>
      </c>
      <c r="I20" s="3">
        <v>387</v>
      </c>
      <c r="J20" s="106">
        <f t="shared" si="13"/>
        <v>7.9767805773584471E-2</v>
      </c>
      <c r="K20" s="51"/>
      <c r="L20" s="56"/>
      <c r="M20" s="35">
        <f t="shared" si="1"/>
        <v>1.4358205039245204</v>
      </c>
      <c r="N20" s="63">
        <f t="shared" si="2"/>
        <v>0.16242061915948625</v>
      </c>
      <c r="O20" s="104">
        <f t="shared" si="9"/>
        <v>1.8396301231196794</v>
      </c>
      <c r="P20" s="108">
        <f t="shared" si="14"/>
        <v>97.862755388652545</v>
      </c>
      <c r="Q20" s="4">
        <v>167154291000</v>
      </c>
      <c r="R20" s="58">
        <f t="shared" si="10"/>
        <v>3008777238000</v>
      </c>
      <c r="S20" s="63">
        <f t="shared" si="11"/>
        <v>2.4103711541019894</v>
      </c>
      <c r="T20" s="181">
        <f t="shared" si="12"/>
        <v>42.047725115566735</v>
      </c>
      <c r="U20" s="63">
        <f t="shared" si="3"/>
        <v>2095510.7060918307</v>
      </c>
      <c r="V20" s="70">
        <f t="shared" si="4"/>
        <v>18.967308871775902</v>
      </c>
      <c r="W20" s="231">
        <f>SUM($J$3:J20)*18/SUM($H$3:H20)</f>
        <v>5.0193154564991169E-2</v>
      </c>
      <c r="X20" s="58">
        <f t="shared" si="5"/>
        <v>52486621416000</v>
      </c>
      <c r="Z20" s="11"/>
      <c r="AN20" s="130">
        <f t="shared" si="0"/>
        <v>7.9767805773584471E-2</v>
      </c>
    </row>
    <row r="21" spans="1:40" x14ac:dyDescent="0.35">
      <c r="A21" s="246"/>
      <c r="B21" s="1" t="s">
        <v>109</v>
      </c>
      <c r="C21" s="55" t="s">
        <v>51</v>
      </c>
      <c r="D21" s="242"/>
      <c r="E21" s="22">
        <f t="shared" si="6"/>
        <v>380</v>
      </c>
      <c r="F21" s="22">
        <f t="shared" si="7"/>
        <v>47.5</v>
      </c>
      <c r="G21" s="57">
        <f t="shared" si="8"/>
        <v>440</v>
      </c>
      <c r="H21" s="57">
        <v>18</v>
      </c>
      <c r="I21" s="3">
        <v>388</v>
      </c>
      <c r="J21" s="106">
        <f t="shared" si="13"/>
        <v>8.7303918170403311E-2</v>
      </c>
      <c r="K21" s="51"/>
      <c r="L21" s="56"/>
      <c r="M21" s="35">
        <f t="shared" si="1"/>
        <v>1.5714705270672595</v>
      </c>
      <c r="N21" s="63">
        <f t="shared" si="2"/>
        <v>0.17776540681756844</v>
      </c>
      <c r="O21" s="104">
        <f t="shared" si="9"/>
        <v>2.0173955299372479</v>
      </c>
      <c r="P21" s="108">
        <f t="shared" si="14"/>
        <v>97.718228555738378</v>
      </c>
      <c r="Q21" s="4">
        <v>162871188500</v>
      </c>
      <c r="R21" s="58">
        <f t="shared" si="10"/>
        <v>2931681393000</v>
      </c>
      <c r="S21" s="63">
        <f t="shared" si="11"/>
        <v>2.3486086551897594</v>
      </c>
      <c r="T21" s="181">
        <f t="shared" si="12"/>
        <v>44.396333770756492</v>
      </c>
      <c r="U21" s="63">
        <f t="shared" si="3"/>
        <v>1865565.6230926709</v>
      </c>
      <c r="V21" s="70">
        <f t="shared" si="4"/>
        <v>16.885983589059794</v>
      </c>
      <c r="W21" s="231">
        <f>SUM($J$3:J21)*18/SUM($H$3:H21)</f>
        <v>5.2146352649486555E-2</v>
      </c>
      <c r="X21" s="58">
        <f t="shared" si="5"/>
        <v>55418302809000</v>
      </c>
      <c r="Z21" s="11"/>
      <c r="AN21" s="130">
        <f t="shared" si="0"/>
        <v>8.7303918170403311E-2</v>
      </c>
    </row>
    <row r="22" spans="1:40" x14ac:dyDescent="0.35">
      <c r="A22" s="246"/>
      <c r="B22" s="1" t="s">
        <v>110</v>
      </c>
      <c r="C22" s="55" t="s">
        <v>53</v>
      </c>
      <c r="D22" s="242"/>
      <c r="E22" s="22">
        <f t="shared" si="6"/>
        <v>400</v>
      </c>
      <c r="F22" s="22">
        <f t="shared" si="7"/>
        <v>50</v>
      </c>
      <c r="G22" s="57">
        <f t="shared" si="8"/>
        <v>420</v>
      </c>
      <c r="H22" s="57">
        <v>18</v>
      </c>
      <c r="I22" s="3">
        <v>391</v>
      </c>
      <c r="J22" s="106">
        <f t="shared" si="13"/>
        <v>9.6039363738647368E-2</v>
      </c>
      <c r="K22" s="51"/>
      <c r="L22" s="56"/>
      <c r="M22" s="35">
        <f t="shared" si="1"/>
        <v>1.7287085472956527</v>
      </c>
      <c r="N22" s="63">
        <f t="shared" si="2"/>
        <v>0.19555223778362765</v>
      </c>
      <c r="O22" s="104">
        <f t="shared" si="9"/>
        <v>2.2129477677208755</v>
      </c>
      <c r="P22" s="108">
        <f t="shared" si="14"/>
        <v>97.553209865527606</v>
      </c>
      <c r="Q22" s="4">
        <v>141432022000</v>
      </c>
      <c r="R22" s="58">
        <f t="shared" si="10"/>
        <v>2545776396000</v>
      </c>
      <c r="S22" s="63">
        <f t="shared" si="11"/>
        <v>2.0394550690602249</v>
      </c>
      <c r="T22" s="181">
        <f t="shared" si="12"/>
        <v>46.435788839816716</v>
      </c>
      <c r="U22" s="63">
        <f t="shared" si="3"/>
        <v>1472646.3867969804</v>
      </c>
      <c r="V22" s="70">
        <f t="shared" si="4"/>
        <v>13.329513801137809</v>
      </c>
      <c r="W22" s="231">
        <f>SUM($J$3:J22)*18/SUM($H$3:H22)</f>
        <v>5.4341003203944596E-2</v>
      </c>
      <c r="X22" s="58">
        <f t="shared" si="5"/>
        <v>57964079205000</v>
      </c>
      <c r="Z22" s="11"/>
      <c r="AN22" s="130">
        <f t="shared" si="0"/>
        <v>9.6039363738647368E-2</v>
      </c>
    </row>
    <row r="23" spans="1:40" x14ac:dyDescent="0.35">
      <c r="A23" s="246"/>
      <c r="B23" s="1" t="s">
        <v>111</v>
      </c>
      <c r="C23" s="55" t="s">
        <v>55</v>
      </c>
      <c r="D23" s="242"/>
      <c r="E23" s="22">
        <f t="shared" si="6"/>
        <v>420</v>
      </c>
      <c r="F23" s="22">
        <f t="shared" si="7"/>
        <v>52.5</v>
      </c>
      <c r="G23" s="57">
        <f t="shared" si="8"/>
        <v>400</v>
      </c>
      <c r="H23" s="57">
        <v>18</v>
      </c>
      <c r="I23" s="3">
        <v>396</v>
      </c>
      <c r="J23" s="106">
        <f t="shared" si="13"/>
        <v>0.10616501012735646</v>
      </c>
      <c r="K23" s="51"/>
      <c r="L23" s="56"/>
      <c r="M23" s="35">
        <f t="shared" si="1"/>
        <v>1.9109701822924163</v>
      </c>
      <c r="N23" s="63">
        <f t="shared" si="2"/>
        <v>0.21616975057459337</v>
      </c>
      <c r="O23" s="104">
        <f t="shared" si="9"/>
        <v>2.429117518295469</v>
      </c>
      <c r="P23" s="108">
        <f t="shared" si="14"/>
        <v>97.365279383828394</v>
      </c>
      <c r="Q23" s="4">
        <v>156543223000</v>
      </c>
      <c r="R23" s="58">
        <f t="shared" si="10"/>
        <v>2817778014000</v>
      </c>
      <c r="S23" s="63">
        <f t="shared" si="11"/>
        <v>2.2573591550177738</v>
      </c>
      <c r="T23" s="181">
        <f t="shared" si="12"/>
        <v>48.69314799483449</v>
      </c>
      <c r="U23" s="63">
        <f t="shared" si="3"/>
        <v>1474527.4626000545</v>
      </c>
      <c r="V23" s="70">
        <f t="shared" si="4"/>
        <v>13.34654017359413</v>
      </c>
      <c r="W23" s="231">
        <f>SUM($J$3:J23)*18/SUM($H$3:H23)</f>
        <v>5.6808813057440399E-2</v>
      </c>
      <c r="X23" s="58">
        <f t="shared" si="5"/>
        <v>60781857219000</v>
      </c>
      <c r="Z23" s="11"/>
      <c r="AN23" s="130">
        <f t="shared" si="0"/>
        <v>0.10616501012735646</v>
      </c>
    </row>
    <row r="24" spans="1:40" x14ac:dyDescent="0.35">
      <c r="A24" s="246"/>
      <c r="B24" s="1" t="s">
        <v>128</v>
      </c>
      <c r="C24" s="55" t="s">
        <v>57</v>
      </c>
      <c r="D24" s="242"/>
      <c r="E24" s="22">
        <f t="shared" si="6"/>
        <v>440</v>
      </c>
      <c r="F24" s="22">
        <f t="shared" si="7"/>
        <v>55.000000000000007</v>
      </c>
      <c r="G24" s="57">
        <f t="shared" si="8"/>
        <v>380</v>
      </c>
      <c r="H24" s="57">
        <v>18</v>
      </c>
      <c r="I24" s="23">
        <v>408</v>
      </c>
      <c r="J24" s="106">
        <f t="shared" si="13"/>
        <v>0.11790210058120815</v>
      </c>
      <c r="K24" s="51"/>
      <c r="L24" s="56"/>
      <c r="M24" s="35">
        <f t="shared" si="1"/>
        <v>2.1222378104617468</v>
      </c>
      <c r="N24" s="63">
        <f t="shared" si="2"/>
        <v>0.24006843351011906</v>
      </c>
      <c r="O24" s="104">
        <f t="shared" si="9"/>
        <v>2.6691859518055878</v>
      </c>
      <c r="P24" s="108">
        <f t="shared" si="14"/>
        <v>97.151757380013564</v>
      </c>
      <c r="Q24" s="4">
        <v>154044097500</v>
      </c>
      <c r="R24" s="58">
        <f t="shared" si="10"/>
        <v>2772793755000</v>
      </c>
      <c r="S24" s="63">
        <f t="shared" si="11"/>
        <v>2.2213216714470967</v>
      </c>
      <c r="T24" s="181">
        <f t="shared" si="12"/>
        <v>50.91446966628159</v>
      </c>
      <c r="U24" s="63">
        <f t="shared" si="3"/>
        <v>1306542.4342791764</v>
      </c>
      <c r="V24" s="70">
        <f t="shared" si="4"/>
        <v>11.826040226381508</v>
      </c>
      <c r="W24" s="231">
        <f>SUM($J$3:J24)*18/SUM($H$3:H24)</f>
        <v>5.958578067215712E-2</v>
      </c>
      <c r="X24" s="58">
        <f t="shared" si="5"/>
        <v>63554650974000</v>
      </c>
      <c r="Z24" s="216"/>
      <c r="AN24" s="130">
        <f t="shared" si="0"/>
        <v>0.11790210058120815</v>
      </c>
    </row>
    <row r="25" spans="1:40" x14ac:dyDescent="0.35">
      <c r="A25" s="246"/>
      <c r="B25" s="1" t="s">
        <v>129</v>
      </c>
      <c r="C25" s="55" t="s">
        <v>59</v>
      </c>
      <c r="D25" s="242"/>
      <c r="E25" s="22">
        <f t="shared" si="6"/>
        <v>460</v>
      </c>
      <c r="F25" s="22">
        <f t="shared" si="7"/>
        <v>57.499999999999993</v>
      </c>
      <c r="G25" s="57">
        <f t="shared" si="8"/>
        <v>360</v>
      </c>
      <c r="H25" s="57">
        <v>18</v>
      </c>
      <c r="I25" s="23">
        <v>412</v>
      </c>
      <c r="J25" s="106">
        <f t="shared" si="13"/>
        <v>0.13150708805889721</v>
      </c>
      <c r="K25" s="51"/>
      <c r="L25" s="56"/>
      <c r="M25" s="35">
        <f t="shared" si="1"/>
        <v>2.3671275850601496</v>
      </c>
      <c r="N25" s="63">
        <f t="shared" si="2"/>
        <v>0.26777046778765051</v>
      </c>
      <c r="O25" s="104">
        <f t="shared" si="9"/>
        <v>2.9369564195932383</v>
      </c>
      <c r="P25" s="108">
        <f t="shared" si="14"/>
        <v>96.909678006776787</v>
      </c>
      <c r="Q25" s="4">
        <v>152528955500</v>
      </c>
      <c r="R25" s="58">
        <f t="shared" si="10"/>
        <v>2745521199000</v>
      </c>
      <c r="S25" s="63">
        <f t="shared" si="11"/>
        <v>2.1994732669022894</v>
      </c>
      <c r="T25" s="181">
        <f t="shared" si="12"/>
        <v>53.113942933183878</v>
      </c>
      <c r="U25" s="63">
        <f t="shared" si="3"/>
        <v>1159853.4934610359</v>
      </c>
      <c r="V25" s="70">
        <f t="shared" si="4"/>
        <v>10.498299718789275</v>
      </c>
      <c r="W25" s="231">
        <f>SUM($J$3:J25)*18/SUM($H$3:H25)</f>
        <v>6.2712794036797984E-2</v>
      </c>
      <c r="X25" s="58">
        <f t="shared" si="5"/>
        <v>66300172173000</v>
      </c>
      <c r="Z25" s="11"/>
      <c r="AN25" s="130">
        <f t="shared" si="0"/>
        <v>0.13150708805889721</v>
      </c>
    </row>
    <row r="26" spans="1:40" x14ac:dyDescent="0.35">
      <c r="A26" s="246"/>
      <c r="B26" s="1" t="s">
        <v>130</v>
      </c>
      <c r="C26" s="55" t="s">
        <v>61</v>
      </c>
      <c r="D26" s="242"/>
      <c r="E26" s="22">
        <f t="shared" si="6"/>
        <v>480</v>
      </c>
      <c r="F26" s="22">
        <f t="shared" si="7"/>
        <v>60</v>
      </c>
      <c r="G26" s="57">
        <f t="shared" si="8"/>
        <v>340</v>
      </c>
      <c r="H26" s="57">
        <v>18</v>
      </c>
      <c r="I26" s="23">
        <v>421</v>
      </c>
      <c r="J26" s="106">
        <f t="shared" si="13"/>
        <v>0.14727723867636444</v>
      </c>
      <c r="K26" s="51"/>
      <c r="L26" s="56"/>
      <c r="M26" s="35">
        <f t="shared" si="1"/>
        <v>2.6509902961745597</v>
      </c>
      <c r="N26" s="63">
        <f>M26/SUM($M$3:$M$42,$M$84)*100</f>
        <v>0.29988113703180319</v>
      </c>
      <c r="O26" s="104">
        <f t="shared" si="9"/>
        <v>3.2368375566250416</v>
      </c>
      <c r="P26" s="108">
        <f t="shared" si="14"/>
        <v>96.635760372144091</v>
      </c>
      <c r="Q26" s="4">
        <v>170423195500</v>
      </c>
      <c r="R26" s="58">
        <f t="shared" si="10"/>
        <v>3067617519000</v>
      </c>
      <c r="S26" s="63">
        <f t="shared" si="11"/>
        <v>2.4575088797635711</v>
      </c>
      <c r="T26" s="181">
        <f t="shared" si="12"/>
        <v>55.571451812947451</v>
      </c>
      <c r="U26" s="63">
        <f t="shared" si="3"/>
        <v>1157159.0901055515</v>
      </c>
      <c r="V26" s="70">
        <f t="shared" si="4"/>
        <v>10.473911592057183</v>
      </c>
      <c r="W26" s="231">
        <f>SUM($J$3:J26)*18/SUM($H$3:H26)</f>
        <v>6.6236312563446587E-2</v>
      </c>
      <c r="X26" s="58">
        <f t="shared" si="5"/>
        <v>69367789692000</v>
      </c>
      <c r="Z26" s="11"/>
      <c r="AN26" s="130">
        <f t="shared" si="0"/>
        <v>0.14727723867636444</v>
      </c>
    </row>
    <row r="27" spans="1:40" x14ac:dyDescent="0.35">
      <c r="A27" s="246"/>
      <c r="B27" s="1" t="s">
        <v>131</v>
      </c>
      <c r="C27" s="55" t="s">
        <v>63</v>
      </c>
      <c r="D27" s="242"/>
      <c r="E27" s="22">
        <f t="shared" si="6"/>
        <v>500</v>
      </c>
      <c r="F27" s="22">
        <f t="shared" si="7"/>
        <v>62.5</v>
      </c>
      <c r="G27" s="57">
        <f t="shared" si="8"/>
        <v>320</v>
      </c>
      <c r="H27" s="57">
        <v>18</v>
      </c>
      <c r="I27" s="23">
        <v>426</v>
      </c>
      <c r="J27" s="21">
        <v>0.16</v>
      </c>
      <c r="K27" s="21">
        <v>2.1000000000000001E-2</v>
      </c>
      <c r="L27" s="22">
        <v>11.7</v>
      </c>
      <c r="M27" s="35">
        <f t="shared" si="1"/>
        <v>2.88</v>
      </c>
      <c r="N27" s="63">
        <f t="shared" si="2"/>
        <v>0.32578681102600454</v>
      </c>
      <c r="O27" s="63">
        <f t="shared" si="9"/>
        <v>3.5626243676510461</v>
      </c>
      <c r="P27" s="109">
        <f>100*(1-J27/J68)</f>
        <v>96.428571428571431</v>
      </c>
      <c r="Q27" s="4">
        <v>197423167000</v>
      </c>
      <c r="R27" s="58">
        <f t="shared" si="10"/>
        <v>3553617006000</v>
      </c>
      <c r="S27" s="63">
        <f t="shared" si="11"/>
        <v>2.8468494828425301</v>
      </c>
      <c r="T27" s="181">
        <f t="shared" si="12"/>
        <v>58.418301295789981</v>
      </c>
      <c r="U27" s="63">
        <f t="shared" si="3"/>
        <v>1233894.79375</v>
      </c>
      <c r="V27" s="70">
        <f t="shared" si="4"/>
        <v>11.168477259646538</v>
      </c>
      <c r="W27" s="231">
        <f>SUM($J$3:J27)*18/SUM($H$3:H27)</f>
        <v>6.998686006090872E-2</v>
      </c>
      <c r="X27" s="58">
        <f t="shared" si="5"/>
        <v>72921406698000</v>
      </c>
      <c r="Z27" s="11"/>
      <c r="AN27" s="105">
        <f t="shared" si="0"/>
        <v>0.16555712690892938</v>
      </c>
    </row>
    <row r="28" spans="1:40" ht="14.4" customHeight="1" x14ac:dyDescent="0.35">
      <c r="A28" s="246"/>
      <c r="B28" s="1" t="s">
        <v>132</v>
      </c>
      <c r="C28" s="55" t="s">
        <v>147</v>
      </c>
      <c r="D28" s="242"/>
      <c r="E28" s="22">
        <f t="shared" si="6"/>
        <v>520</v>
      </c>
      <c r="F28" s="22">
        <f t="shared" si="7"/>
        <v>65</v>
      </c>
      <c r="G28" s="57">
        <f t="shared" si="8"/>
        <v>300</v>
      </c>
      <c r="H28" s="57">
        <v>18</v>
      </c>
      <c r="I28" s="23">
        <v>445</v>
      </c>
      <c r="J28" s="21">
        <v>0.19</v>
      </c>
      <c r="K28" s="21">
        <v>2.8000000000000001E-2</v>
      </c>
      <c r="L28" s="22">
        <v>14.3</v>
      </c>
      <c r="M28" s="35">
        <f t="shared" si="1"/>
        <v>3.42</v>
      </c>
      <c r="N28" s="63">
        <f t="shared" si="2"/>
        <v>0.38687183809338044</v>
      </c>
      <c r="O28" s="63">
        <f t="shared" si="9"/>
        <v>3.9494962057444267</v>
      </c>
      <c r="P28" s="109">
        <f t="shared" ref="P28:P41" si="15">100*(1-J28/J69)</f>
        <v>95.878524945770067</v>
      </c>
      <c r="Q28" s="4">
        <v>158209211000</v>
      </c>
      <c r="R28" s="58">
        <f t="shared" si="10"/>
        <v>2847765798000</v>
      </c>
      <c r="S28" s="63">
        <f t="shared" si="11"/>
        <v>2.2813827645479656</v>
      </c>
      <c r="T28" s="181">
        <f t="shared" si="12"/>
        <v>60.699684060337944</v>
      </c>
      <c r="U28" s="63">
        <f t="shared" si="3"/>
        <v>832680.05789473676</v>
      </c>
      <c r="V28" s="70">
        <f t="shared" si="4"/>
        <v>7.5369215740793223</v>
      </c>
      <c r="W28" s="231">
        <f>SUM($J$3:J28)*18/SUM($H$3:H28)</f>
        <v>7.4602750058566078E-2</v>
      </c>
      <c r="X28" s="58">
        <f t="shared" si="5"/>
        <v>75769172496000</v>
      </c>
      <c r="AN28" s="105">
        <f t="shared" si="0"/>
        <v>0.18674616447112946</v>
      </c>
    </row>
    <row r="29" spans="1:40" x14ac:dyDescent="0.35">
      <c r="A29" s="246"/>
      <c r="B29" s="1" t="s">
        <v>133</v>
      </c>
      <c r="C29" s="55" t="s">
        <v>148</v>
      </c>
      <c r="D29" s="242"/>
      <c r="E29" s="22">
        <f t="shared" si="6"/>
        <v>540</v>
      </c>
      <c r="F29" s="22">
        <f t="shared" si="7"/>
        <v>67.5</v>
      </c>
      <c r="G29" s="57">
        <f t="shared" si="8"/>
        <v>280</v>
      </c>
      <c r="H29" s="57">
        <v>18</v>
      </c>
      <c r="I29" s="23">
        <v>459</v>
      </c>
      <c r="J29" s="21">
        <v>0.22</v>
      </c>
      <c r="K29" s="21">
        <v>2.1000000000000001E-2</v>
      </c>
      <c r="L29" s="22">
        <v>9.1999999999999993</v>
      </c>
      <c r="M29" s="35">
        <f t="shared" si="1"/>
        <v>3.96</v>
      </c>
      <c r="N29" s="63">
        <f t="shared" si="2"/>
        <v>0.44795686516075628</v>
      </c>
      <c r="O29" s="63">
        <f t="shared" si="9"/>
        <v>4.3974530709051827</v>
      </c>
      <c r="P29" s="109">
        <f t="shared" si="15"/>
        <v>95.537525354969574</v>
      </c>
      <c r="Q29" s="4">
        <v>141562890000</v>
      </c>
      <c r="R29" s="58">
        <f t="shared" si="10"/>
        <v>2548132020000</v>
      </c>
      <c r="S29" s="63">
        <f t="shared" si="11"/>
        <v>2.0413421905352882</v>
      </c>
      <c r="T29" s="181">
        <f t="shared" si="12"/>
        <v>62.741026250873233</v>
      </c>
      <c r="U29" s="63">
        <f t="shared" si="3"/>
        <v>643467.68181818188</v>
      </c>
      <c r="V29" s="70">
        <f t="shared" si="4"/>
        <v>5.8242843783000104</v>
      </c>
      <c r="W29" s="231">
        <f>SUM($J$3:J29)*18/SUM($H$3:H29)</f>
        <v>7.9987833389730284E-2</v>
      </c>
      <c r="X29" s="58">
        <f t="shared" si="5"/>
        <v>78317304516000</v>
      </c>
      <c r="AN29" s="105">
        <f t="shared" si="0"/>
        <v>0.21130732737870631</v>
      </c>
    </row>
    <row r="30" spans="1:40" x14ac:dyDescent="0.35">
      <c r="A30" s="246"/>
      <c r="B30" s="1" t="s">
        <v>134</v>
      </c>
      <c r="C30" s="55" t="s">
        <v>149</v>
      </c>
      <c r="D30" s="242"/>
      <c r="E30" s="22">
        <f t="shared" si="6"/>
        <v>560</v>
      </c>
      <c r="F30" s="22">
        <f t="shared" si="7"/>
        <v>70</v>
      </c>
      <c r="G30" s="57">
        <f t="shared" si="8"/>
        <v>260</v>
      </c>
      <c r="H30" s="57">
        <v>18</v>
      </c>
      <c r="I30" s="23">
        <v>479</v>
      </c>
      <c r="J30" s="21">
        <v>0.25</v>
      </c>
      <c r="K30" s="21">
        <v>2.9000000000000001E-2</v>
      </c>
      <c r="L30" s="22">
        <v>11.3</v>
      </c>
      <c r="M30" s="35">
        <f t="shared" si="1"/>
        <v>4.5</v>
      </c>
      <c r="N30" s="63">
        <f t="shared" si="2"/>
        <v>0.50904189222813212</v>
      </c>
      <c r="O30" s="63">
        <f t="shared" si="9"/>
        <v>4.9064949631333148</v>
      </c>
      <c r="P30" s="109">
        <f t="shared" si="15"/>
        <v>94.855967078189295</v>
      </c>
      <c r="Q30" s="4">
        <v>153535928000</v>
      </c>
      <c r="R30" s="58">
        <f t="shared" si="10"/>
        <v>2763646704000</v>
      </c>
      <c r="S30" s="63">
        <f t="shared" si="11"/>
        <v>2.2139938481715671</v>
      </c>
      <c r="T30" s="181">
        <f t="shared" si="12"/>
        <v>64.955020099044802</v>
      </c>
      <c r="U30" s="63">
        <f t="shared" si="3"/>
        <v>614143.71200000006</v>
      </c>
      <c r="V30" s="70">
        <f t="shared" si="4"/>
        <v>5.5588613521750778</v>
      </c>
      <c r="W30" s="236">
        <f>SUM($J$3:J30)*18/SUM($H$3:H30)</f>
        <v>8.6059696482954209E-2</v>
      </c>
      <c r="X30" s="235">
        <f t="shared" si="5"/>
        <v>81080951220000</v>
      </c>
      <c r="AN30" s="105">
        <f t="shared" si="0"/>
        <v>0.23977727187720932</v>
      </c>
    </row>
    <row r="31" spans="1:40" x14ac:dyDescent="0.35">
      <c r="A31" s="246"/>
      <c r="B31" s="1" t="s">
        <v>135</v>
      </c>
      <c r="C31" s="55" t="s">
        <v>150</v>
      </c>
      <c r="D31" s="242"/>
      <c r="E31" s="22">
        <f t="shared" si="6"/>
        <v>580</v>
      </c>
      <c r="F31" s="22">
        <f t="shared" si="7"/>
        <v>72.5</v>
      </c>
      <c r="G31" s="57">
        <f t="shared" si="8"/>
        <v>240</v>
      </c>
      <c r="H31" s="57">
        <v>18</v>
      </c>
      <c r="I31" s="23">
        <v>498</v>
      </c>
      <c r="J31" s="21">
        <v>0.26</v>
      </c>
      <c r="K31" s="21">
        <v>3.2000000000000001E-2</v>
      </c>
      <c r="L31" s="22">
        <v>12.3</v>
      </c>
      <c r="M31" s="35">
        <f t="shared" si="1"/>
        <v>4.68</v>
      </c>
      <c r="N31" s="63">
        <f t="shared" si="2"/>
        <v>0.5294035679172574</v>
      </c>
      <c r="O31" s="63">
        <f t="shared" si="9"/>
        <v>5.4358985310505723</v>
      </c>
      <c r="P31" s="109">
        <f t="shared" si="15"/>
        <v>94.871794871794862</v>
      </c>
      <c r="Q31" s="4">
        <v>116096363000</v>
      </c>
      <c r="R31" s="58">
        <f t="shared" si="10"/>
        <v>2089734534000</v>
      </c>
      <c r="S31" s="63">
        <f t="shared" si="11"/>
        <v>1.6741139147385304</v>
      </c>
      <c r="T31" s="181">
        <f t="shared" si="12"/>
        <v>66.629134013783329</v>
      </c>
      <c r="U31" s="63">
        <f t="shared" si="3"/>
        <v>446524.47307692311</v>
      </c>
      <c r="V31" s="70">
        <f t="shared" si="4"/>
        <v>4.0416723116879334</v>
      </c>
      <c r="W31" s="236">
        <f>SUM($J$3:J31)*18/SUM($H$3:H31)</f>
        <v>9.2057637983541996E-2</v>
      </c>
      <c r="X31" s="235">
        <f t="shared" si="5"/>
        <v>83170685754000</v>
      </c>
      <c r="AN31" s="105">
        <f t="shared" si="0"/>
        <v>0.27277806026812867</v>
      </c>
    </row>
    <row r="32" spans="1:40" x14ac:dyDescent="0.35">
      <c r="A32" s="246"/>
      <c r="B32" s="1" t="s">
        <v>136</v>
      </c>
      <c r="C32" s="55" t="s">
        <v>151</v>
      </c>
      <c r="D32" s="242"/>
      <c r="E32" s="22">
        <f t="shared" si="6"/>
        <v>600</v>
      </c>
      <c r="F32" s="22">
        <f t="shared" si="7"/>
        <v>75</v>
      </c>
      <c r="G32" s="57">
        <f t="shared" si="8"/>
        <v>220</v>
      </c>
      <c r="H32" s="57">
        <v>18</v>
      </c>
      <c r="I32" s="23">
        <v>517</v>
      </c>
      <c r="J32" s="21">
        <v>0.3</v>
      </c>
      <c r="K32" s="21">
        <v>3.3000000000000002E-2</v>
      </c>
      <c r="L32" s="22">
        <v>10.9</v>
      </c>
      <c r="M32" s="35">
        <f t="shared" si="1"/>
        <v>5.3999999999999995</v>
      </c>
      <c r="N32" s="63">
        <f t="shared" si="2"/>
        <v>0.61085027067375852</v>
      </c>
      <c r="O32" s="63">
        <f t="shared" si="9"/>
        <v>6.0467488017243305</v>
      </c>
      <c r="P32" s="109">
        <f t="shared" si="15"/>
        <v>94.318181818181827</v>
      </c>
      <c r="Q32" s="4">
        <v>134281910000</v>
      </c>
      <c r="R32" s="58">
        <f t="shared" si="10"/>
        <v>2417074380000</v>
      </c>
      <c r="S32" s="63">
        <f t="shared" si="11"/>
        <v>1.9363501854805478</v>
      </c>
      <c r="T32" s="181">
        <f t="shared" si="12"/>
        <v>68.565484199263878</v>
      </c>
      <c r="U32" s="63">
        <f t="shared" si="3"/>
        <v>447606.3666666667</v>
      </c>
      <c r="V32" s="70">
        <f t="shared" si="4"/>
        <v>4.0514649650126842</v>
      </c>
      <c r="W32" s="236">
        <f>SUM($J$3:J32)*18/SUM($H$3:H32)</f>
        <v>9.8989050050757255E-2</v>
      </c>
      <c r="X32" s="235">
        <f t="shared" si="5"/>
        <v>85587760134000</v>
      </c>
      <c r="AN32" s="105">
        <f t="shared" si="0"/>
        <v>0.31103075283939446</v>
      </c>
    </row>
    <row r="33" spans="1:43" x14ac:dyDescent="0.35">
      <c r="A33" s="246"/>
      <c r="B33" s="1" t="s">
        <v>137</v>
      </c>
      <c r="C33" s="55" t="s">
        <v>152</v>
      </c>
      <c r="D33" s="242"/>
      <c r="E33" s="22">
        <f t="shared" si="6"/>
        <v>620</v>
      </c>
      <c r="F33" s="22">
        <f t="shared" si="7"/>
        <v>77.5</v>
      </c>
      <c r="G33" s="57">
        <f t="shared" si="8"/>
        <v>200</v>
      </c>
      <c r="H33" s="57">
        <v>18</v>
      </c>
      <c r="I33" s="23">
        <v>532</v>
      </c>
      <c r="J33" s="21">
        <v>0.36</v>
      </c>
      <c r="K33" s="21">
        <v>3.7999999999999999E-2</v>
      </c>
      <c r="L33" s="22">
        <v>10.5</v>
      </c>
      <c r="M33" s="35">
        <f t="shared" si="1"/>
        <v>6.4799999999999995</v>
      </c>
      <c r="N33" s="63">
        <f t="shared" si="2"/>
        <v>0.7330203248085102</v>
      </c>
      <c r="O33" s="63">
        <f t="shared" si="9"/>
        <v>6.779769126532841</v>
      </c>
      <c r="P33" s="109">
        <f t="shared" si="15"/>
        <v>93.370165745856355</v>
      </c>
      <c r="Q33" s="4">
        <v>175919649500</v>
      </c>
      <c r="R33" s="58">
        <f t="shared" si="10"/>
        <v>3166553691000</v>
      </c>
      <c r="S33" s="63">
        <f t="shared" si="11"/>
        <v>2.5367679528761391</v>
      </c>
      <c r="T33" s="181">
        <f t="shared" si="12"/>
        <v>71.102252152140011</v>
      </c>
      <c r="U33" s="63">
        <f t="shared" si="3"/>
        <v>488665.69305555563</v>
      </c>
      <c r="V33" s="70">
        <f t="shared" si="4"/>
        <v>4.4231094158957651</v>
      </c>
      <c r="W33" s="236">
        <f>SUM($J$3:J33)*18/SUM($H$3:H33)</f>
        <v>0.10740875811363605</v>
      </c>
      <c r="X33" s="235">
        <f t="shared" si="5"/>
        <v>88754313825000</v>
      </c>
      <c r="AN33" s="105">
        <f t="shared" si="0"/>
        <v>0.35537116288106502</v>
      </c>
    </row>
    <row r="34" spans="1:43" x14ac:dyDescent="0.35">
      <c r="A34" s="246"/>
      <c r="B34" s="1" t="s">
        <v>138</v>
      </c>
      <c r="C34" s="55" t="s">
        <v>153</v>
      </c>
      <c r="D34" s="242"/>
      <c r="E34" s="22">
        <f t="shared" si="6"/>
        <v>640</v>
      </c>
      <c r="F34" s="22">
        <f t="shared" si="7"/>
        <v>80</v>
      </c>
      <c r="G34" s="57">
        <f t="shared" si="8"/>
        <v>180</v>
      </c>
      <c r="H34" s="57">
        <v>18</v>
      </c>
      <c r="I34" s="23">
        <v>538</v>
      </c>
      <c r="J34" s="21">
        <v>0.41</v>
      </c>
      <c r="K34" s="21">
        <v>3.9E-2</v>
      </c>
      <c r="L34" s="22">
        <v>9.5</v>
      </c>
      <c r="M34" s="35">
        <f t="shared" si="1"/>
        <v>7.38</v>
      </c>
      <c r="N34" s="63">
        <f t="shared" si="2"/>
        <v>0.83482870325413661</v>
      </c>
      <c r="O34" s="63">
        <f t="shared" si="9"/>
        <v>7.6145978297869776</v>
      </c>
      <c r="P34" s="109">
        <f t="shared" si="15"/>
        <v>92.730496453900713</v>
      </c>
      <c r="Q34" s="4">
        <v>154079039000</v>
      </c>
      <c r="R34" s="58">
        <f t="shared" si="10"/>
        <v>2773422702000</v>
      </c>
      <c r="S34" s="63">
        <f t="shared" si="11"/>
        <v>2.2218255291894087</v>
      </c>
      <c r="T34" s="181">
        <f t="shared" si="12"/>
        <v>73.324077681329413</v>
      </c>
      <c r="U34" s="63">
        <f t="shared" si="3"/>
        <v>375802.5341463415</v>
      </c>
      <c r="V34" s="70">
        <f t="shared" si="4"/>
        <v>3.4015396434044289</v>
      </c>
      <c r="W34" s="231">
        <f>SUM($J$3:J34)*18/SUM($H$3:H34)</f>
        <v>0.11686473442258492</v>
      </c>
      <c r="X34" s="58">
        <f t="shared" si="5"/>
        <v>91527736527000</v>
      </c>
      <c r="AN34" s="105">
        <f t="shared" si="0"/>
        <v>0.40676811902998589</v>
      </c>
    </row>
    <row r="35" spans="1:43" x14ac:dyDescent="0.35">
      <c r="A35" s="246"/>
      <c r="B35" s="1" t="s">
        <v>139</v>
      </c>
      <c r="C35" s="55" t="s">
        <v>154</v>
      </c>
      <c r="D35" s="242"/>
      <c r="E35" s="22">
        <f t="shared" si="6"/>
        <v>660</v>
      </c>
      <c r="F35" s="22">
        <f t="shared" si="7"/>
        <v>82.5</v>
      </c>
      <c r="G35" s="57">
        <f t="shared" si="8"/>
        <v>160</v>
      </c>
      <c r="H35" s="57">
        <v>18</v>
      </c>
      <c r="I35" s="23">
        <v>607</v>
      </c>
      <c r="J35" s="21">
        <v>0.48</v>
      </c>
      <c r="K35" s="21">
        <v>0.04</v>
      </c>
      <c r="L35" s="22">
        <v>8.3000000000000007</v>
      </c>
      <c r="M35" s="35">
        <f t="shared" si="1"/>
        <v>8.64</v>
      </c>
      <c r="N35" s="63">
        <f t="shared" si="2"/>
        <v>0.97736043307801379</v>
      </c>
      <c r="O35" s="63">
        <f t="shared" si="9"/>
        <v>8.591958262864992</v>
      </c>
      <c r="P35" s="109">
        <f t="shared" si="15"/>
        <v>91.808873720136518</v>
      </c>
      <c r="Q35" s="4">
        <v>175676267000</v>
      </c>
      <c r="R35" s="58">
        <f t="shared" si="10"/>
        <v>3162172806000</v>
      </c>
      <c r="S35" s="63">
        <f t="shared" si="11"/>
        <v>2.5332583680853236</v>
      </c>
      <c r="T35" s="181">
        <f t="shared" si="12"/>
        <v>75.857336049414741</v>
      </c>
      <c r="U35" s="63">
        <f t="shared" si="3"/>
        <v>365992.22291666665</v>
      </c>
      <c r="V35" s="70">
        <f t="shared" si="4"/>
        <v>3.3127425770470214</v>
      </c>
      <c r="W35" s="231">
        <f>SUM($J$3:J35)*18/SUM($H$3:H35)</f>
        <v>0.1278688333794763</v>
      </c>
      <c r="X35" s="58">
        <f t="shared" si="5"/>
        <v>94689909333000</v>
      </c>
      <c r="Y35" s="105"/>
    </row>
    <row r="36" spans="1:43" x14ac:dyDescent="0.35">
      <c r="A36" s="246"/>
      <c r="B36" s="1" t="s">
        <v>140</v>
      </c>
      <c r="C36" s="55" t="s">
        <v>155</v>
      </c>
      <c r="D36" s="242"/>
      <c r="E36" s="22">
        <f t="shared" si="6"/>
        <v>680</v>
      </c>
      <c r="F36" s="22">
        <f t="shared" si="7"/>
        <v>85</v>
      </c>
      <c r="G36" s="57">
        <f t="shared" si="8"/>
        <v>140</v>
      </c>
      <c r="H36" s="57">
        <v>18</v>
      </c>
      <c r="I36" s="23">
        <v>641</v>
      </c>
      <c r="J36" s="21">
        <v>0.77</v>
      </c>
      <c r="K36" s="21">
        <v>7.0000000000000007E-2</v>
      </c>
      <c r="L36" s="22">
        <v>9</v>
      </c>
      <c r="M36" s="35">
        <f t="shared" si="1"/>
        <v>13.86</v>
      </c>
      <c r="N36" s="63">
        <f t="shared" si="2"/>
        <v>1.5678490280626469</v>
      </c>
      <c r="O36" s="63">
        <f t="shared" si="9"/>
        <v>10.159807290927638</v>
      </c>
      <c r="P36" s="109">
        <f t="shared" si="15"/>
        <v>86.926994906621388</v>
      </c>
      <c r="Q36" s="4">
        <v>133866829000</v>
      </c>
      <c r="R36" s="58">
        <f t="shared" si="10"/>
        <v>2409602922000</v>
      </c>
      <c r="S36" s="63">
        <f t="shared" si="11"/>
        <v>1.9303647018711814</v>
      </c>
      <c r="T36" s="181">
        <f t="shared" si="12"/>
        <v>77.787700751285925</v>
      </c>
      <c r="U36" s="63">
        <f t="shared" si="3"/>
        <v>173853.02467532468</v>
      </c>
      <c r="V36" s="70">
        <f t="shared" si="4"/>
        <v>1.5736135385627825</v>
      </c>
      <c r="W36" s="231">
        <f>SUM($J$3:J36)*18/SUM($H$3:H36)</f>
        <v>0.1467550441624329</v>
      </c>
      <c r="X36" s="58">
        <f t="shared" si="5"/>
        <v>97099512255000</v>
      </c>
      <c r="Y36" s="105"/>
    </row>
    <row r="37" spans="1:43" x14ac:dyDescent="0.35">
      <c r="A37" s="246"/>
      <c r="B37" s="1" t="s">
        <v>141</v>
      </c>
      <c r="C37" s="55" t="s">
        <v>156</v>
      </c>
      <c r="D37" s="242"/>
      <c r="E37" s="22">
        <f t="shared" si="6"/>
        <v>700</v>
      </c>
      <c r="F37" s="22">
        <f t="shared" si="7"/>
        <v>87.5</v>
      </c>
      <c r="G37" s="57">
        <f t="shared" si="8"/>
        <v>120</v>
      </c>
      <c r="H37" s="57">
        <v>18</v>
      </c>
      <c r="I37" s="23">
        <v>697</v>
      </c>
      <c r="J37" s="21">
        <v>0.9</v>
      </c>
      <c r="K37" s="21">
        <v>8.1000000000000003E-2</v>
      </c>
      <c r="L37" s="22">
        <v>9</v>
      </c>
      <c r="M37" s="35">
        <f t="shared" si="1"/>
        <v>16.2</v>
      </c>
      <c r="N37" s="63">
        <f t="shared" si="2"/>
        <v>1.8325508120212757</v>
      </c>
      <c r="O37" s="63">
        <f t="shared" si="9"/>
        <v>11.992358102948915</v>
      </c>
      <c r="P37" s="109">
        <f t="shared" si="15"/>
        <v>85.553772070625996</v>
      </c>
      <c r="Q37" s="4">
        <v>138654570000</v>
      </c>
      <c r="R37" s="58">
        <f t="shared" si="10"/>
        <v>2495782260000</v>
      </c>
      <c r="S37" s="63">
        <f t="shared" si="11"/>
        <v>1.9994041069063255</v>
      </c>
      <c r="T37" s="181">
        <f t="shared" si="12"/>
        <v>79.787104858192251</v>
      </c>
      <c r="U37" s="63">
        <f t="shared" si="3"/>
        <v>154060.63333333333</v>
      </c>
      <c r="V37" s="70">
        <f t="shared" si="4"/>
        <v>1.394464656715857</v>
      </c>
      <c r="W37" s="231">
        <f>SUM($J$3:J37)*18/SUM($H$3:H37)</f>
        <v>0.16827632861493483</v>
      </c>
      <c r="X37" s="58">
        <f t="shared" si="5"/>
        <v>99595294515000</v>
      </c>
      <c r="Y37" s="105"/>
    </row>
    <row r="38" spans="1:43" x14ac:dyDescent="0.35">
      <c r="A38" s="246"/>
      <c r="B38" s="1" t="s">
        <v>142</v>
      </c>
      <c r="C38" s="55" t="s">
        <v>157</v>
      </c>
      <c r="D38" s="242"/>
      <c r="E38" s="22">
        <f t="shared" si="6"/>
        <v>720</v>
      </c>
      <c r="F38" s="22">
        <f t="shared" si="7"/>
        <v>90</v>
      </c>
      <c r="G38" s="57">
        <f t="shared" si="8"/>
        <v>100</v>
      </c>
      <c r="H38" s="57">
        <v>18</v>
      </c>
      <c r="I38" s="23">
        <v>739</v>
      </c>
      <c r="J38" s="21">
        <v>0.79</v>
      </c>
      <c r="K38" s="21">
        <v>7.3999999999999996E-2</v>
      </c>
      <c r="L38" s="22">
        <v>9.4</v>
      </c>
      <c r="M38" s="35">
        <f t="shared" si="1"/>
        <v>14.22</v>
      </c>
      <c r="N38" s="63">
        <f t="shared" si="2"/>
        <v>1.6085723794408975</v>
      </c>
      <c r="O38" s="63">
        <f t="shared" si="9"/>
        <v>13.600930482389812</v>
      </c>
      <c r="P38" s="109">
        <f t="shared" si="15"/>
        <v>87.713841368584752</v>
      </c>
      <c r="Q38" s="4">
        <v>131585070000</v>
      </c>
      <c r="R38" s="58">
        <f t="shared" si="10"/>
        <v>2368531260000</v>
      </c>
      <c r="S38" s="63">
        <f t="shared" si="11"/>
        <v>1.8974616513942264</v>
      </c>
      <c r="T38" s="181">
        <f t="shared" si="12"/>
        <v>81.684566509586475</v>
      </c>
      <c r="U38" s="63">
        <f t="shared" si="3"/>
        <v>166563.37974683545</v>
      </c>
      <c r="V38" s="70">
        <f t="shared" si="4"/>
        <v>1.5076320350933505</v>
      </c>
      <c r="W38" s="231">
        <f>SUM($J$3:J38)*18/SUM($H$3:H38)</f>
        <v>0.18554643059785328</v>
      </c>
      <c r="X38" s="58">
        <f t="shared" si="5"/>
        <v>101963825775000</v>
      </c>
      <c r="Y38" s="105"/>
    </row>
    <row r="39" spans="1:43" x14ac:dyDescent="0.35">
      <c r="A39" s="246"/>
      <c r="B39" s="1" t="s">
        <v>143</v>
      </c>
      <c r="C39" s="55" t="s">
        <v>158</v>
      </c>
      <c r="D39" s="242"/>
      <c r="E39" s="22">
        <f t="shared" si="6"/>
        <v>740</v>
      </c>
      <c r="F39" s="22">
        <f t="shared" si="7"/>
        <v>92.5</v>
      </c>
      <c r="G39" s="57">
        <f t="shared" si="8"/>
        <v>80</v>
      </c>
      <c r="H39" s="57">
        <v>18</v>
      </c>
      <c r="I39" s="23">
        <v>797</v>
      </c>
      <c r="J39" s="21">
        <v>0.88</v>
      </c>
      <c r="K39" s="21">
        <v>6.5000000000000002E-2</v>
      </c>
      <c r="L39" s="22">
        <v>7.3</v>
      </c>
      <c r="M39" s="35">
        <f t="shared" si="1"/>
        <v>15.84</v>
      </c>
      <c r="N39" s="63">
        <f t="shared" si="2"/>
        <v>1.7918274606430251</v>
      </c>
      <c r="O39" s="63">
        <f t="shared" si="9"/>
        <v>15.392757943032837</v>
      </c>
      <c r="P39" s="109">
        <f t="shared" si="15"/>
        <v>87.039764359351992</v>
      </c>
      <c r="Q39" s="4">
        <v>117528640000</v>
      </c>
      <c r="R39" s="58">
        <f t="shared" si="10"/>
        <v>2115515520000</v>
      </c>
      <c r="S39" s="63">
        <f t="shared" si="11"/>
        <v>1.6947674028711428</v>
      </c>
      <c r="T39" s="181">
        <f t="shared" si="12"/>
        <v>83.379333912457611</v>
      </c>
      <c r="U39" s="63">
        <f t="shared" si="3"/>
        <v>133555.27272727274</v>
      </c>
      <c r="V39" s="70">
        <f t="shared" si="4"/>
        <v>1.2088624037606992</v>
      </c>
      <c r="W39" s="231">
        <f>SUM($J$3:J39)*18/SUM($H$3:H39)</f>
        <v>0.2043154459871005</v>
      </c>
      <c r="X39" s="58">
        <f t="shared" si="5"/>
        <v>104079341295000</v>
      </c>
      <c r="Y39" s="105"/>
    </row>
    <row r="40" spans="1:43" x14ac:dyDescent="0.35">
      <c r="A40" s="246"/>
      <c r="B40" s="1" t="s">
        <v>144</v>
      </c>
      <c r="C40" s="55" t="s">
        <v>159</v>
      </c>
      <c r="D40" s="242"/>
      <c r="E40" s="22">
        <f t="shared" si="6"/>
        <v>760</v>
      </c>
      <c r="F40" s="22">
        <f t="shared" si="7"/>
        <v>95</v>
      </c>
      <c r="G40" s="57">
        <f t="shared" si="8"/>
        <v>60</v>
      </c>
      <c r="H40" s="57">
        <v>18</v>
      </c>
      <c r="I40" s="23">
        <v>884</v>
      </c>
      <c r="J40" s="21">
        <v>1.07</v>
      </c>
      <c r="K40" s="21">
        <v>8.5999999999999993E-2</v>
      </c>
      <c r="L40" s="22">
        <v>8</v>
      </c>
      <c r="M40" s="35">
        <f t="shared" si="1"/>
        <v>19.260000000000002</v>
      </c>
      <c r="N40" s="63">
        <f t="shared" si="2"/>
        <v>2.1786992987364058</v>
      </c>
      <c r="O40" s="63">
        <f t="shared" si="9"/>
        <v>17.571457241769242</v>
      </c>
      <c r="P40" s="109">
        <f t="shared" si="15"/>
        <v>85.055865921787714</v>
      </c>
      <c r="Q40" s="4">
        <v>122209125000</v>
      </c>
      <c r="R40" s="58">
        <f t="shared" si="10"/>
        <v>2199764250000</v>
      </c>
      <c r="S40" s="63">
        <f t="shared" si="11"/>
        <v>1.7622601723580298</v>
      </c>
      <c r="T40" s="181">
        <f t="shared" si="12"/>
        <v>85.141594084815637</v>
      </c>
      <c r="U40" s="63">
        <f t="shared" si="3"/>
        <v>114214.13551401868</v>
      </c>
      <c r="V40" s="70">
        <f t="shared" si="4"/>
        <v>1.0337980042380785</v>
      </c>
      <c r="W40" s="231">
        <f>SUM($J$3:J40)*18/SUM($H$3:H40)</f>
        <v>0.22709661846112419</v>
      </c>
      <c r="X40" s="58">
        <f t="shared" si="5"/>
        <v>106279105545000</v>
      </c>
      <c r="Y40" s="105"/>
    </row>
    <row r="41" spans="1:43" x14ac:dyDescent="0.35">
      <c r="A41" s="246"/>
      <c r="B41" s="1" t="s">
        <v>145</v>
      </c>
      <c r="C41" s="55" t="s">
        <v>160</v>
      </c>
      <c r="D41" s="242"/>
      <c r="E41" s="22">
        <f t="shared" si="6"/>
        <v>780</v>
      </c>
      <c r="F41" s="22">
        <f t="shared" si="7"/>
        <v>97.5</v>
      </c>
      <c r="G41" s="57">
        <f t="shared" si="8"/>
        <v>40</v>
      </c>
      <c r="H41" s="57">
        <v>18</v>
      </c>
      <c r="I41" s="23">
        <v>922</v>
      </c>
      <c r="J41" s="21">
        <v>1.29</v>
      </c>
      <c r="K41" s="21">
        <v>9.8000000000000004E-2</v>
      </c>
      <c r="L41" s="22">
        <v>7.6</v>
      </c>
      <c r="M41" s="35">
        <f t="shared" si="1"/>
        <v>23.22</v>
      </c>
      <c r="N41" s="63">
        <f t="shared" si="2"/>
        <v>2.6266561638971617</v>
      </c>
      <c r="O41" s="63">
        <f t="shared" si="9"/>
        <v>20.198113405666405</v>
      </c>
      <c r="P41" s="109">
        <f t="shared" si="15"/>
        <v>82.425068119891009</v>
      </c>
      <c r="Q41" s="4">
        <v>131822311500</v>
      </c>
      <c r="R41" s="58">
        <f t="shared" si="10"/>
        <v>2372801607000</v>
      </c>
      <c r="S41" s="63">
        <f t="shared" si="11"/>
        <v>1.9008826827344023</v>
      </c>
      <c r="T41" s="181">
        <f t="shared" si="12"/>
        <v>87.042476767550042</v>
      </c>
      <c r="U41" s="63">
        <f t="shared" si="3"/>
        <v>102187.83837209303</v>
      </c>
      <c r="V41" s="70">
        <f t="shared" si="4"/>
        <v>0.92494315954006101</v>
      </c>
      <c r="W41" s="231">
        <f>SUM($J$3:J41)*18/SUM($H$3:H41)</f>
        <v>0.2543505513210953</v>
      </c>
      <c r="X41" s="58">
        <f t="shared" si="5"/>
        <v>108651907152000</v>
      </c>
      <c r="Y41" s="105"/>
    </row>
    <row r="42" spans="1:43" ht="15" thickBot="1" x14ac:dyDescent="0.4">
      <c r="A42" s="247"/>
      <c r="B42" s="5" t="s">
        <v>146</v>
      </c>
      <c r="C42" s="71" t="s">
        <v>161</v>
      </c>
      <c r="D42" s="243"/>
      <c r="E42" s="28">
        <f>E41+20</f>
        <v>800</v>
      </c>
      <c r="F42" s="28">
        <v>100</v>
      </c>
      <c r="G42" s="67">
        <f t="shared" si="8"/>
        <v>20</v>
      </c>
      <c r="H42" s="67">
        <v>18</v>
      </c>
      <c r="I42" s="26">
        <v>1000</v>
      </c>
      <c r="J42" s="27">
        <v>1.9</v>
      </c>
      <c r="K42" s="27">
        <v>0.12</v>
      </c>
      <c r="L42" s="28">
        <v>6.5</v>
      </c>
      <c r="M42" s="36">
        <f>J42*H42</f>
        <v>34.199999999999996</v>
      </c>
      <c r="N42" s="68">
        <f t="shared" si="2"/>
        <v>3.8687183809338035</v>
      </c>
      <c r="O42" s="101">
        <f t="shared" si="9"/>
        <v>24.066831786600208</v>
      </c>
      <c r="P42" s="68">
        <f>100*(1-J42/J83)</f>
        <v>74.700399467376826</v>
      </c>
      <c r="Q42" s="7">
        <v>137658987000</v>
      </c>
      <c r="R42" s="69">
        <f>Q42*H42</f>
        <v>2477861766000</v>
      </c>
      <c r="S42" s="68">
        <f t="shared" si="11"/>
        <v>1.9850477626548082</v>
      </c>
      <c r="T42" s="182">
        <f t="shared" si="12"/>
        <v>89.027524530204843</v>
      </c>
      <c r="U42" s="68">
        <f t="shared" si="3"/>
        <v>72452.098421052637</v>
      </c>
      <c r="V42" s="177">
        <f t="shared" si="4"/>
        <v>0.65579303659267041</v>
      </c>
      <c r="W42" s="231">
        <f>SUM($J$3:J42)*18/SUM($H$3:H42)</f>
        <v>0.29549178753806793</v>
      </c>
      <c r="X42" s="58">
        <f t="shared" si="5"/>
        <v>111129768918000</v>
      </c>
      <c r="Y42" s="105"/>
    </row>
    <row r="43" spans="1:43" x14ac:dyDescent="0.35">
      <c r="A43" s="245" t="s">
        <v>13</v>
      </c>
      <c r="B43" s="8" t="s">
        <v>162</v>
      </c>
      <c r="C43" s="9" t="s">
        <v>123</v>
      </c>
      <c r="D43" s="244">
        <v>45013</v>
      </c>
      <c r="E43" s="32">
        <v>0</v>
      </c>
      <c r="F43" s="32">
        <v>0</v>
      </c>
      <c r="G43" s="66">
        <v>800</v>
      </c>
      <c r="H43" s="120"/>
      <c r="I43" s="120"/>
      <c r="J43" s="29">
        <v>3.77</v>
      </c>
      <c r="K43" s="31">
        <v>6.3E-2</v>
      </c>
      <c r="L43" s="32">
        <v>1.7</v>
      </c>
      <c r="M43" s="37">
        <f t="shared" si="1"/>
        <v>0</v>
      </c>
      <c r="N43" s="122"/>
      <c r="O43" s="120"/>
      <c r="P43" s="120"/>
      <c r="Q43" s="10">
        <v>129369150000</v>
      </c>
      <c r="R43" s="187"/>
      <c r="S43" s="122"/>
      <c r="T43" s="188"/>
      <c r="U43" s="122"/>
      <c r="V43" s="123"/>
      <c r="W43" s="222"/>
      <c r="Y43" s="11"/>
    </row>
    <row r="44" spans="1:43" x14ac:dyDescent="0.35">
      <c r="A44" s="246"/>
      <c r="B44" s="1" t="s">
        <v>14</v>
      </c>
      <c r="C44" s="2" t="s">
        <v>15</v>
      </c>
      <c r="D44" s="242"/>
      <c r="E44" s="22">
        <v>20</v>
      </c>
      <c r="F44" s="22">
        <f>E44/$E$42*100</f>
        <v>2.5</v>
      </c>
      <c r="G44" s="57">
        <v>800</v>
      </c>
      <c r="H44" s="57">
        <v>2</v>
      </c>
      <c r="I44" s="62"/>
      <c r="J44" s="24">
        <v>2.69</v>
      </c>
      <c r="K44" s="21">
        <v>7.0000000000000007E-2</v>
      </c>
      <c r="L44" s="22">
        <v>2.6</v>
      </c>
      <c r="M44" s="35">
        <f t="shared" si="1"/>
        <v>5.38</v>
      </c>
      <c r="N44" s="64"/>
      <c r="O44" s="62"/>
      <c r="P44" s="62"/>
      <c r="Q44" s="4">
        <v>114673324000</v>
      </c>
      <c r="R44" s="58">
        <f t="shared" ref="R44:R84" si="16">Q44*H44</f>
        <v>229346648000</v>
      </c>
      <c r="S44" s="64"/>
      <c r="T44" s="183"/>
      <c r="U44" s="63">
        <f t="shared" si="3"/>
        <v>42629.488475836435</v>
      </c>
      <c r="V44" s="70">
        <f t="shared" si="4"/>
        <v>0.38585661844457669</v>
      </c>
      <c r="W44" s="222"/>
      <c r="AN44" s="105">
        <f t="shared" ref="AN44:AN75" si="17">$AQ$45*EXP($AQ$46*F44)+$AQ$47</f>
        <v>2.7070664764603554</v>
      </c>
      <c r="AP44" t="s">
        <v>186</v>
      </c>
    </row>
    <row r="45" spans="1:43" x14ac:dyDescent="0.35">
      <c r="A45" s="246"/>
      <c r="B45" s="1" t="s">
        <v>16</v>
      </c>
      <c r="C45" s="2" t="s">
        <v>17</v>
      </c>
      <c r="D45" s="242"/>
      <c r="E45" s="22">
        <f>20+E44</f>
        <v>40</v>
      </c>
      <c r="F45" s="22">
        <f>E45/$E$42*100</f>
        <v>5</v>
      </c>
      <c r="G45" s="57">
        <f>G44-20</f>
        <v>780</v>
      </c>
      <c r="H45" s="57">
        <v>2</v>
      </c>
      <c r="I45" s="62"/>
      <c r="J45" s="24">
        <v>2.74</v>
      </c>
      <c r="K45" s="21">
        <v>6.9000000000000006E-2</v>
      </c>
      <c r="L45" s="22">
        <v>2.5</v>
      </c>
      <c r="M45" s="35">
        <f t="shared" si="1"/>
        <v>5.48</v>
      </c>
      <c r="N45" s="64"/>
      <c r="O45" s="62"/>
      <c r="P45" s="62"/>
      <c r="Q45" s="4">
        <v>131769447000</v>
      </c>
      <c r="R45" s="58">
        <f t="shared" si="16"/>
        <v>263538894000</v>
      </c>
      <c r="S45" s="64"/>
      <c r="T45" s="183"/>
      <c r="U45" s="63">
        <f t="shared" si="3"/>
        <v>48091.039051094886</v>
      </c>
      <c r="V45" s="70">
        <f t="shared" si="4"/>
        <v>0.43529130583539011</v>
      </c>
      <c r="W45" s="222"/>
      <c r="AN45" s="105">
        <f t="shared" si="17"/>
        <v>2.7452787589923475</v>
      </c>
      <c r="AP45" t="s">
        <v>182</v>
      </c>
      <c r="AQ45">
        <v>0.66757699999999998</v>
      </c>
    </row>
    <row r="46" spans="1:43" x14ac:dyDescent="0.35">
      <c r="A46" s="246"/>
      <c r="B46" s="1" t="s">
        <v>18</v>
      </c>
      <c r="C46" s="1" t="s">
        <v>19</v>
      </c>
      <c r="D46" s="242"/>
      <c r="E46" s="22">
        <f t="shared" ref="E46:E82" si="18">20+E45</f>
        <v>60</v>
      </c>
      <c r="F46" s="22">
        <f t="shared" ref="F46:F82" si="19">E46/$E$42*100</f>
        <v>7.5</v>
      </c>
      <c r="G46" s="57">
        <f t="shared" ref="G46:G83" si="20">G45-20</f>
        <v>760</v>
      </c>
      <c r="H46" s="57">
        <v>2</v>
      </c>
      <c r="I46" s="62"/>
      <c r="J46" s="24">
        <v>2.81</v>
      </c>
      <c r="K46" s="21">
        <v>7.8E-2</v>
      </c>
      <c r="L46" s="22">
        <v>2.8</v>
      </c>
      <c r="M46" s="35">
        <f t="shared" si="1"/>
        <v>5.62</v>
      </c>
      <c r="N46" s="64"/>
      <c r="O46" s="62"/>
      <c r="P46" s="62"/>
      <c r="Q46" s="4">
        <v>110092976000</v>
      </c>
      <c r="R46" s="58">
        <f t="shared" si="16"/>
        <v>220185952000</v>
      </c>
      <c r="S46" s="64"/>
      <c r="T46" s="183"/>
      <c r="U46" s="63">
        <f t="shared" si="3"/>
        <v>39178.995017793597</v>
      </c>
      <c r="V46" s="70">
        <f t="shared" si="4"/>
        <v>0.35462481657953165</v>
      </c>
      <c r="W46" s="222"/>
      <c r="AN46" s="105">
        <f t="shared" si="17"/>
        <v>2.7855656848609547</v>
      </c>
      <c r="AP46" t="s">
        <v>183</v>
      </c>
      <c r="AQ46">
        <v>2.1148E-2</v>
      </c>
    </row>
    <row r="47" spans="1:43" x14ac:dyDescent="0.35">
      <c r="A47" s="246"/>
      <c r="B47" s="1" t="s">
        <v>20</v>
      </c>
      <c r="C47" s="2" t="s">
        <v>21</v>
      </c>
      <c r="D47" s="242"/>
      <c r="E47" s="22">
        <f t="shared" si="18"/>
        <v>80</v>
      </c>
      <c r="F47" s="22">
        <f t="shared" si="19"/>
        <v>10</v>
      </c>
      <c r="G47" s="57">
        <f t="shared" si="20"/>
        <v>740</v>
      </c>
      <c r="H47" s="57">
        <v>2</v>
      </c>
      <c r="I47" s="62"/>
      <c r="J47" s="107">
        <f t="shared" ref="J47:J67" si="21">AN47</f>
        <v>2.8280398918017147</v>
      </c>
      <c r="K47" s="51"/>
      <c r="L47" s="56"/>
      <c r="M47" s="35">
        <f t="shared" si="1"/>
        <v>5.6560797836034293</v>
      </c>
      <c r="N47" s="64"/>
      <c r="O47" s="62"/>
      <c r="P47" s="62"/>
      <c r="Q47" s="4">
        <v>105328660000</v>
      </c>
      <c r="R47" s="58">
        <f t="shared" si="16"/>
        <v>210657320000</v>
      </c>
      <c r="S47" s="64"/>
      <c r="T47" s="183"/>
      <c r="U47" s="63">
        <f t="shared" si="3"/>
        <v>37244.403908636596</v>
      </c>
      <c r="V47" s="70">
        <f t="shared" si="4"/>
        <v>0.33711405559830654</v>
      </c>
      <c r="W47" s="222"/>
      <c r="AN47" s="130">
        <f t="shared" si="17"/>
        <v>2.8280398918017147</v>
      </c>
      <c r="AP47" t="s">
        <v>184</v>
      </c>
      <c r="AQ47">
        <v>2.0032450000000002</v>
      </c>
    </row>
    <row r="48" spans="1:43" x14ac:dyDescent="0.35">
      <c r="A48" s="246"/>
      <c r="B48" s="1" t="s">
        <v>22</v>
      </c>
      <c r="C48" s="2" t="s">
        <v>23</v>
      </c>
      <c r="D48" s="242"/>
      <c r="E48" s="22">
        <f t="shared" si="18"/>
        <v>100</v>
      </c>
      <c r="F48" s="22">
        <f t="shared" si="19"/>
        <v>12.5</v>
      </c>
      <c r="G48" s="57">
        <f t="shared" si="20"/>
        <v>720</v>
      </c>
      <c r="H48" s="57">
        <v>2</v>
      </c>
      <c r="I48" s="62"/>
      <c r="J48" s="107">
        <f t="shared" si="21"/>
        <v>2.8728201329432288</v>
      </c>
      <c r="K48" s="51"/>
      <c r="L48" s="56"/>
      <c r="M48" s="35">
        <f t="shared" si="1"/>
        <v>5.7456402658864576</v>
      </c>
      <c r="N48" s="64"/>
      <c r="O48" s="62"/>
      <c r="P48" s="62"/>
      <c r="Q48" s="4">
        <v>125283353500</v>
      </c>
      <c r="R48" s="58">
        <f t="shared" si="16"/>
        <v>250566707000</v>
      </c>
      <c r="S48" s="64"/>
      <c r="T48" s="183"/>
      <c r="U48" s="63">
        <f t="shared" si="3"/>
        <v>43609.884260886924</v>
      </c>
      <c r="V48" s="70">
        <f t="shared" si="4"/>
        <v>0.39473057438170511</v>
      </c>
      <c r="W48" s="222"/>
      <c r="AN48" s="130">
        <f t="shared" si="17"/>
        <v>2.8728201329432288</v>
      </c>
    </row>
    <row r="49" spans="1:40" x14ac:dyDescent="0.35">
      <c r="A49" s="246"/>
      <c r="B49" s="1" t="s">
        <v>24</v>
      </c>
      <c r="C49" s="2" t="s">
        <v>25</v>
      </c>
      <c r="D49" s="242"/>
      <c r="E49" s="22">
        <f t="shared" si="18"/>
        <v>120</v>
      </c>
      <c r="F49" s="22">
        <f t="shared" si="19"/>
        <v>15</v>
      </c>
      <c r="G49" s="57">
        <f t="shared" si="20"/>
        <v>700</v>
      </c>
      <c r="H49" s="57">
        <v>2</v>
      </c>
      <c r="I49" s="62"/>
      <c r="J49" s="107">
        <f t="shared" si="21"/>
        <v>2.9200316088276153</v>
      </c>
      <c r="K49" s="51"/>
      <c r="L49" s="56"/>
      <c r="M49" s="35">
        <f t="shared" si="1"/>
        <v>5.8400632176552305</v>
      </c>
      <c r="N49" s="64"/>
      <c r="O49" s="62"/>
      <c r="P49" s="62"/>
      <c r="Q49" s="4">
        <v>110562738000</v>
      </c>
      <c r="R49" s="58">
        <f t="shared" si="16"/>
        <v>221125476000</v>
      </c>
      <c r="S49" s="64"/>
      <c r="T49" s="183"/>
      <c r="U49" s="63">
        <f t="shared" si="3"/>
        <v>37863.541499261592</v>
      </c>
      <c r="V49" s="70">
        <f t="shared" si="4"/>
        <v>0.34271811855125278</v>
      </c>
      <c r="W49" s="222"/>
      <c r="AN49" s="130">
        <f t="shared" si="17"/>
        <v>2.9200316088276153</v>
      </c>
    </row>
    <row r="50" spans="1:40" x14ac:dyDescent="0.35">
      <c r="A50" s="246"/>
      <c r="B50" s="1" t="s">
        <v>26</v>
      </c>
      <c r="C50" s="2" t="s">
        <v>27</v>
      </c>
      <c r="D50" s="242"/>
      <c r="E50" s="22">
        <f t="shared" si="18"/>
        <v>140</v>
      </c>
      <c r="F50" s="22">
        <f t="shared" si="19"/>
        <v>17.5</v>
      </c>
      <c r="G50" s="57">
        <f t="shared" si="20"/>
        <v>680</v>
      </c>
      <c r="H50" s="57">
        <v>2</v>
      </c>
      <c r="I50" s="62"/>
      <c r="J50" s="107">
        <f>AN50</f>
        <v>2.9698063174572136</v>
      </c>
      <c r="K50" s="51"/>
      <c r="L50" s="56"/>
      <c r="M50" s="35">
        <f t="shared" si="1"/>
        <v>5.9396126349144271</v>
      </c>
      <c r="N50" s="64"/>
      <c r="O50" s="62"/>
      <c r="P50" s="62"/>
      <c r="Q50" s="4">
        <v>143431153500</v>
      </c>
      <c r="R50" s="58">
        <f t="shared" si="16"/>
        <v>286862307000</v>
      </c>
      <c r="S50" s="64"/>
      <c r="T50" s="183"/>
      <c r="U50" s="63">
        <f t="shared" si="3"/>
        <v>48296.467233192365</v>
      </c>
      <c r="V50" s="70">
        <f t="shared" si="4"/>
        <v>0.43715071880306577</v>
      </c>
      <c r="W50" s="222"/>
      <c r="AN50" s="130">
        <f t="shared" si="17"/>
        <v>2.9698063174572136</v>
      </c>
    </row>
    <row r="51" spans="1:40" x14ac:dyDescent="0.35">
      <c r="A51" s="246"/>
      <c r="B51" s="1" t="s">
        <v>28</v>
      </c>
      <c r="C51" s="2" t="s">
        <v>29</v>
      </c>
      <c r="D51" s="242"/>
      <c r="E51" s="22">
        <f t="shared" si="18"/>
        <v>160</v>
      </c>
      <c r="F51" s="22">
        <f t="shared" si="19"/>
        <v>20</v>
      </c>
      <c r="G51" s="57">
        <f t="shared" si="20"/>
        <v>660</v>
      </c>
      <c r="H51" s="57">
        <v>2</v>
      </c>
      <c r="I51" s="62"/>
      <c r="J51" s="107">
        <f t="shared" si="21"/>
        <v>3.0222834233462237</v>
      </c>
      <c r="K51" s="51"/>
      <c r="L51" s="56"/>
      <c r="M51" s="35">
        <f t="shared" si="1"/>
        <v>6.0445668466924474</v>
      </c>
      <c r="N51" s="64"/>
      <c r="O51" s="62"/>
      <c r="P51" s="62"/>
      <c r="Q51" s="4">
        <v>139347109000</v>
      </c>
      <c r="R51" s="58">
        <f t="shared" si="16"/>
        <v>278694218000</v>
      </c>
      <c r="S51" s="64"/>
      <c r="T51" s="183"/>
      <c r="U51" s="63">
        <f t="shared" si="3"/>
        <v>46106.565626369054</v>
      </c>
      <c r="V51" s="70">
        <f t="shared" si="4"/>
        <v>0.41732903998526455</v>
      </c>
      <c r="W51" s="222"/>
      <c r="AN51" s="130">
        <f t="shared" si="17"/>
        <v>3.0222834233462237</v>
      </c>
    </row>
    <row r="52" spans="1:40" x14ac:dyDescent="0.35">
      <c r="A52" s="246"/>
      <c r="B52" s="1" t="s">
        <v>30</v>
      </c>
      <c r="C52" s="2" t="s">
        <v>31</v>
      </c>
      <c r="D52" s="242"/>
      <c r="E52" s="22">
        <f t="shared" si="18"/>
        <v>180</v>
      </c>
      <c r="F52" s="22">
        <f t="shared" si="19"/>
        <v>22.5</v>
      </c>
      <c r="G52" s="57">
        <f t="shared" si="20"/>
        <v>640</v>
      </c>
      <c r="H52" s="57">
        <v>2</v>
      </c>
      <c r="I52" s="62"/>
      <c r="J52" s="107">
        <f t="shared" si="21"/>
        <v>3.0776096466091127</v>
      </c>
      <c r="K52" s="51"/>
      <c r="L52" s="56"/>
      <c r="M52" s="35">
        <f t="shared" si="1"/>
        <v>6.1552192932182255</v>
      </c>
      <c r="N52" s="64"/>
      <c r="O52" s="62"/>
      <c r="P52" s="62"/>
      <c r="Q52" s="4">
        <v>160340234000</v>
      </c>
      <c r="R52" s="58">
        <f t="shared" si="16"/>
        <v>320680468000</v>
      </c>
      <c r="S52" s="64"/>
      <c r="T52" s="183"/>
      <c r="U52" s="63">
        <f t="shared" si="3"/>
        <v>52098.950942872718</v>
      </c>
      <c r="V52" s="70">
        <f t="shared" si="4"/>
        <v>0.47156852578049424</v>
      </c>
      <c r="W52" s="222"/>
      <c r="AN52" s="130">
        <f t="shared" si="17"/>
        <v>3.0776096466091127</v>
      </c>
    </row>
    <row r="53" spans="1:40" x14ac:dyDescent="0.35">
      <c r="A53" s="246"/>
      <c r="B53" s="1" t="s">
        <v>32</v>
      </c>
      <c r="C53" s="2" t="s">
        <v>33</v>
      </c>
      <c r="D53" s="242"/>
      <c r="E53" s="22">
        <f t="shared" si="18"/>
        <v>200</v>
      </c>
      <c r="F53" s="22">
        <f t="shared" si="19"/>
        <v>25</v>
      </c>
      <c r="G53" s="57">
        <f t="shared" si="20"/>
        <v>620</v>
      </c>
      <c r="H53" s="57">
        <v>2</v>
      </c>
      <c r="I53" s="62"/>
      <c r="J53" s="107">
        <f t="shared" si="21"/>
        <v>3.135939673173632</v>
      </c>
      <c r="K53" s="51"/>
      <c r="L53" s="56"/>
      <c r="M53" s="35">
        <f t="shared" si="1"/>
        <v>6.271879346347264</v>
      </c>
      <c r="N53" s="64"/>
      <c r="O53" s="62"/>
      <c r="P53" s="62"/>
      <c r="Q53" s="4">
        <v>159096375000</v>
      </c>
      <c r="R53" s="58">
        <f t="shared" si="16"/>
        <v>318192750000</v>
      </c>
      <c r="S53" s="64"/>
      <c r="T53" s="183"/>
      <c r="U53" s="63">
        <f t="shared" si="3"/>
        <v>50733.238384969118</v>
      </c>
      <c r="V53" s="70">
        <f t="shared" si="4"/>
        <v>0.45920691300489935</v>
      </c>
      <c r="W53" s="222"/>
      <c r="AN53" s="130">
        <f t="shared" si="17"/>
        <v>3.135939673173632</v>
      </c>
    </row>
    <row r="54" spans="1:40" ht="17.149999999999999" customHeight="1" x14ac:dyDescent="0.35">
      <c r="A54" s="246"/>
      <c r="B54" s="1" t="s">
        <v>34</v>
      </c>
      <c r="C54" s="2" t="s">
        <v>35</v>
      </c>
      <c r="D54" s="242"/>
      <c r="E54" s="22">
        <f t="shared" si="18"/>
        <v>220</v>
      </c>
      <c r="F54" s="22">
        <f t="shared" si="19"/>
        <v>27.500000000000004</v>
      </c>
      <c r="G54" s="57">
        <f t="shared" si="20"/>
        <v>600</v>
      </c>
      <c r="H54" s="57">
        <v>2</v>
      </c>
      <c r="I54" s="62"/>
      <c r="J54" s="107">
        <f t="shared" si="21"/>
        <v>3.197436587265357</v>
      </c>
      <c r="K54" s="51"/>
      <c r="L54" s="56"/>
      <c r="M54" s="35">
        <f t="shared" si="1"/>
        <v>6.3948731745307139</v>
      </c>
      <c r="N54" s="64"/>
      <c r="O54" s="62"/>
      <c r="P54" s="62"/>
      <c r="Q54" s="4">
        <v>167403883500</v>
      </c>
      <c r="R54" s="58">
        <f t="shared" si="16"/>
        <v>334807767000</v>
      </c>
      <c r="S54" s="64"/>
      <c r="T54" s="183"/>
      <c r="U54" s="63">
        <f t="shared" si="3"/>
        <v>52355.653953148147</v>
      </c>
      <c r="V54" s="70">
        <f t="shared" si="4"/>
        <v>0.47389204780787125</v>
      </c>
      <c r="W54" s="222"/>
      <c r="AN54" s="130">
        <f t="shared" si="17"/>
        <v>3.197436587265357</v>
      </c>
    </row>
    <row r="55" spans="1:40" x14ac:dyDescent="0.35">
      <c r="A55" s="246"/>
      <c r="B55" s="1" t="s">
        <v>36</v>
      </c>
      <c r="C55" s="2" t="s">
        <v>37</v>
      </c>
      <c r="D55" s="242"/>
      <c r="E55" s="22">
        <f t="shared" si="18"/>
        <v>240</v>
      </c>
      <c r="F55" s="22">
        <f t="shared" si="19"/>
        <v>30</v>
      </c>
      <c r="G55" s="57">
        <f t="shared" si="20"/>
        <v>580</v>
      </c>
      <c r="H55" s="57">
        <v>2</v>
      </c>
      <c r="I55" s="62"/>
      <c r="J55" s="107">
        <f t="shared" si="21"/>
        <v>3.2622723273729299</v>
      </c>
      <c r="K55" s="51"/>
      <c r="L55" s="56"/>
      <c r="M55" s="35">
        <f t="shared" si="1"/>
        <v>6.5245446547458599</v>
      </c>
      <c r="N55" s="64"/>
      <c r="O55" s="62"/>
      <c r="P55" s="62"/>
      <c r="Q55" s="4">
        <v>128727261000</v>
      </c>
      <c r="R55" s="58">
        <f t="shared" si="16"/>
        <v>257454522000</v>
      </c>
      <c r="S55" s="64"/>
      <c r="T55" s="183"/>
      <c r="U55" s="63">
        <f t="shared" si="3"/>
        <v>39459.385386033224</v>
      </c>
      <c r="V55" s="70">
        <f t="shared" si="4"/>
        <v>0.35716274239571166</v>
      </c>
      <c r="W55" s="222"/>
      <c r="AN55" s="130">
        <f t="shared" si="17"/>
        <v>3.2622723273729299</v>
      </c>
    </row>
    <row r="56" spans="1:40" x14ac:dyDescent="0.35">
      <c r="A56" s="246"/>
      <c r="B56" s="1" t="s">
        <v>38</v>
      </c>
      <c r="C56" s="2" t="s">
        <v>39</v>
      </c>
      <c r="D56" s="242"/>
      <c r="E56" s="22">
        <f t="shared" si="18"/>
        <v>260</v>
      </c>
      <c r="F56" s="22">
        <f t="shared" si="19"/>
        <v>32.5</v>
      </c>
      <c r="G56" s="57">
        <f t="shared" si="20"/>
        <v>560</v>
      </c>
      <c r="H56" s="57">
        <v>2</v>
      </c>
      <c r="I56" s="62"/>
      <c r="J56" s="107">
        <f t="shared" si="21"/>
        <v>3.3306281669688298</v>
      </c>
      <c r="K56" s="51"/>
      <c r="L56" s="56"/>
      <c r="M56" s="35">
        <f t="shared" si="1"/>
        <v>6.6612563339376596</v>
      </c>
      <c r="N56" s="64"/>
      <c r="O56" s="62"/>
      <c r="P56" s="62"/>
      <c r="Q56" s="4">
        <v>118824082000</v>
      </c>
      <c r="R56" s="58">
        <f t="shared" si="16"/>
        <v>237648164000</v>
      </c>
      <c r="S56" s="64"/>
      <c r="T56" s="183"/>
      <c r="U56" s="63">
        <f t="shared" si="3"/>
        <v>35676.177598696209</v>
      </c>
      <c r="V56" s="70">
        <f t="shared" si="4"/>
        <v>0.32291940953183057</v>
      </c>
      <c r="W56" s="222"/>
      <c r="AN56" s="130">
        <f t="shared" si="17"/>
        <v>3.3306281669688298</v>
      </c>
    </row>
    <row r="57" spans="1:40" x14ac:dyDescent="0.35">
      <c r="A57" s="246"/>
      <c r="B57" s="1" t="s">
        <v>40</v>
      </c>
      <c r="C57" s="2" t="s">
        <v>41</v>
      </c>
      <c r="D57" s="242"/>
      <c r="E57" s="22">
        <f t="shared" si="18"/>
        <v>280</v>
      </c>
      <c r="F57" s="22">
        <f t="shared" si="19"/>
        <v>35</v>
      </c>
      <c r="G57" s="57">
        <f t="shared" si="20"/>
        <v>540</v>
      </c>
      <c r="H57" s="57">
        <v>2</v>
      </c>
      <c r="I57" s="62"/>
      <c r="J57" s="107">
        <f t="shared" si="21"/>
        <v>3.4026952213297106</v>
      </c>
      <c r="K57" s="51"/>
      <c r="L57" s="56"/>
      <c r="M57" s="35">
        <f t="shared" si="1"/>
        <v>6.8053904426594212</v>
      </c>
      <c r="N57" s="64"/>
      <c r="O57" s="62"/>
      <c r="P57" s="62"/>
      <c r="Q57" s="4">
        <v>128817637000</v>
      </c>
      <c r="R57" s="58">
        <f t="shared" si="16"/>
        <v>257635274000</v>
      </c>
      <c r="S57" s="64"/>
      <c r="T57" s="183"/>
      <c r="U57" s="63">
        <f t="shared" si="3"/>
        <v>37857.530169763617</v>
      </c>
      <c r="V57" s="70">
        <f t="shared" si="4"/>
        <v>0.34266370759406384</v>
      </c>
      <c r="W57" s="222"/>
      <c r="AN57" s="130">
        <f t="shared" si="17"/>
        <v>3.4026952213297106</v>
      </c>
    </row>
    <row r="58" spans="1:40" x14ac:dyDescent="0.35">
      <c r="A58" s="246"/>
      <c r="B58" s="1" t="s">
        <v>42</v>
      </c>
      <c r="C58" s="2" t="s">
        <v>43</v>
      </c>
      <c r="D58" s="242"/>
      <c r="E58" s="22">
        <f t="shared" si="18"/>
        <v>300</v>
      </c>
      <c r="F58" s="22">
        <f t="shared" si="19"/>
        <v>37.5</v>
      </c>
      <c r="G58" s="57">
        <f t="shared" si="20"/>
        <v>520</v>
      </c>
      <c r="H58" s="57">
        <v>2</v>
      </c>
      <c r="I58" s="62"/>
      <c r="J58" s="107">
        <f t="shared" si="21"/>
        <v>3.4786749818733238</v>
      </c>
      <c r="K58" s="51"/>
      <c r="L58" s="56"/>
      <c r="M58" s="35">
        <f t="shared" si="1"/>
        <v>6.9573499637466476</v>
      </c>
      <c r="N58" s="64"/>
      <c r="O58" s="62"/>
      <c r="P58" s="62"/>
      <c r="Q58" s="4">
        <v>138242866000</v>
      </c>
      <c r="R58" s="58">
        <f t="shared" si="16"/>
        <v>276485732000</v>
      </c>
      <c r="S58" s="64"/>
      <c r="T58" s="183"/>
      <c r="U58" s="63">
        <f t="shared" si="3"/>
        <v>39740.092627323851</v>
      </c>
      <c r="V58" s="70">
        <f t="shared" si="4"/>
        <v>0.35970353635711944</v>
      </c>
      <c r="W58" s="222"/>
      <c r="AN58" s="130">
        <f t="shared" si="17"/>
        <v>3.4786749818733238</v>
      </c>
    </row>
    <row r="59" spans="1:40" x14ac:dyDescent="0.35">
      <c r="A59" s="246"/>
      <c r="B59" s="1" t="s">
        <v>44</v>
      </c>
      <c r="C59" s="2" t="s">
        <v>45</v>
      </c>
      <c r="D59" s="242"/>
      <c r="E59" s="22">
        <f t="shared" si="18"/>
        <v>320</v>
      </c>
      <c r="F59" s="22">
        <f t="shared" si="19"/>
        <v>40</v>
      </c>
      <c r="G59" s="57">
        <f t="shared" si="20"/>
        <v>500</v>
      </c>
      <c r="H59" s="57">
        <v>2</v>
      </c>
      <c r="I59" s="62"/>
      <c r="J59" s="107">
        <f t="shared" si="21"/>
        <v>3.5587798795059711</v>
      </c>
      <c r="K59" s="51"/>
      <c r="L59" s="56"/>
      <c r="M59" s="35">
        <f t="shared" si="1"/>
        <v>7.1175597590119422</v>
      </c>
      <c r="N59" s="64"/>
      <c r="O59" s="62"/>
      <c r="P59" s="62"/>
      <c r="Q59" s="4">
        <v>127108961000</v>
      </c>
      <c r="R59" s="58">
        <f t="shared" si="16"/>
        <v>254217922000</v>
      </c>
      <c r="S59" s="64"/>
      <c r="T59" s="183"/>
      <c r="U59" s="63">
        <f t="shared" si="3"/>
        <v>35717.005632178974</v>
      </c>
      <c r="V59" s="70">
        <f t="shared" si="4"/>
        <v>0.32328896045774258</v>
      </c>
      <c r="W59" s="222"/>
      <c r="AN59" s="130">
        <f t="shared" si="17"/>
        <v>3.5587798795059711</v>
      </c>
    </row>
    <row r="60" spans="1:40" x14ac:dyDescent="0.35">
      <c r="A60" s="246"/>
      <c r="B60" s="1" t="s">
        <v>46</v>
      </c>
      <c r="C60" s="2" t="s">
        <v>47</v>
      </c>
      <c r="D60" s="242"/>
      <c r="E60" s="22">
        <f t="shared" si="18"/>
        <v>340</v>
      </c>
      <c r="F60" s="22">
        <f t="shared" si="19"/>
        <v>42.5</v>
      </c>
      <c r="G60" s="57">
        <f t="shared" si="20"/>
        <v>480</v>
      </c>
      <c r="H60" s="57">
        <v>2</v>
      </c>
      <c r="I60" s="62"/>
      <c r="J60" s="107">
        <f t="shared" si="21"/>
        <v>3.6432338785555425</v>
      </c>
      <c r="K60" s="51"/>
      <c r="L60" s="56"/>
      <c r="M60" s="35">
        <f t="shared" si="1"/>
        <v>7.286467757111085</v>
      </c>
      <c r="N60" s="64"/>
      <c r="O60" s="62"/>
      <c r="P60" s="62"/>
      <c r="Q60" s="4">
        <v>116197058000</v>
      </c>
      <c r="R60" s="58">
        <f t="shared" si="16"/>
        <v>232394116000</v>
      </c>
      <c r="S60" s="64"/>
      <c r="T60" s="183"/>
      <c r="U60" s="63">
        <f t="shared" si="3"/>
        <v>31893.93321245394</v>
      </c>
      <c r="V60" s="70">
        <f t="shared" si="4"/>
        <v>0.28868479679812026</v>
      </c>
      <c r="W60" s="222"/>
      <c r="AN60" s="130">
        <f t="shared" si="17"/>
        <v>3.6432338785555425</v>
      </c>
    </row>
    <row r="61" spans="1:40" x14ac:dyDescent="0.35">
      <c r="A61" s="246"/>
      <c r="B61" s="1" t="s">
        <v>48</v>
      </c>
      <c r="C61" s="2" t="s">
        <v>49</v>
      </c>
      <c r="D61" s="242"/>
      <c r="E61" s="22">
        <f t="shared" si="18"/>
        <v>360</v>
      </c>
      <c r="F61" s="22">
        <f t="shared" si="19"/>
        <v>45</v>
      </c>
      <c r="G61" s="57">
        <f t="shared" si="20"/>
        <v>460</v>
      </c>
      <c r="H61" s="57">
        <v>2</v>
      </c>
      <c r="I61" s="62"/>
      <c r="J61" s="107">
        <f t="shared" si="21"/>
        <v>3.7322731029507068</v>
      </c>
      <c r="K61" s="51"/>
      <c r="L61" s="56"/>
      <c r="M61" s="35">
        <f t="shared" si="1"/>
        <v>7.4645462059014136</v>
      </c>
      <c r="N61" s="64"/>
      <c r="O61" s="62"/>
      <c r="P61" s="62"/>
      <c r="Q61" s="4">
        <v>126893093000</v>
      </c>
      <c r="R61" s="58">
        <f t="shared" si="16"/>
        <v>253786186000</v>
      </c>
      <c r="S61" s="64"/>
      <c r="T61" s="183"/>
      <c r="U61" s="63">
        <f t="shared" si="3"/>
        <v>33998.876689832607</v>
      </c>
      <c r="V61" s="70">
        <f t="shared" si="4"/>
        <v>0.30773748547062646</v>
      </c>
      <c r="W61" s="222"/>
      <c r="AN61" s="130">
        <f t="shared" si="17"/>
        <v>3.7322731029507068</v>
      </c>
    </row>
    <row r="62" spans="1:40" x14ac:dyDescent="0.35">
      <c r="A62" s="246"/>
      <c r="B62" s="1" t="s">
        <v>50</v>
      </c>
      <c r="C62" s="2" t="s">
        <v>51</v>
      </c>
      <c r="D62" s="242"/>
      <c r="E62" s="22">
        <f t="shared" si="18"/>
        <v>380</v>
      </c>
      <c r="F62" s="22">
        <f t="shared" si="19"/>
        <v>47.5</v>
      </c>
      <c r="G62" s="57">
        <f t="shared" si="20"/>
        <v>440</v>
      </c>
      <c r="H62" s="57">
        <v>2</v>
      </c>
      <c r="I62" s="62"/>
      <c r="J62" s="107">
        <f t="shared" si="21"/>
        <v>3.8261464963969898</v>
      </c>
      <c r="K62" s="51"/>
      <c r="L62" s="56"/>
      <c r="M62" s="35">
        <f t="shared" si="1"/>
        <v>7.6522929927939796</v>
      </c>
      <c r="N62" s="64"/>
      <c r="O62" s="62"/>
      <c r="P62" s="62"/>
      <c r="Q62" s="4">
        <v>151735836000</v>
      </c>
      <c r="R62" s="58">
        <f t="shared" si="16"/>
        <v>303471672000</v>
      </c>
      <c r="S62" s="64"/>
      <c r="T62" s="183"/>
      <c r="U62" s="63">
        <f t="shared" si="3"/>
        <v>39657.612729383676</v>
      </c>
      <c r="V62" s="70">
        <f t="shared" si="4"/>
        <v>0.35895697768032719</v>
      </c>
      <c r="W62" s="222"/>
      <c r="AN62" s="130">
        <f t="shared" si="17"/>
        <v>3.8261464963969898</v>
      </c>
    </row>
    <row r="63" spans="1:40" x14ac:dyDescent="0.35">
      <c r="A63" s="246"/>
      <c r="B63" s="1" t="s">
        <v>52</v>
      </c>
      <c r="C63" s="2" t="s">
        <v>53</v>
      </c>
      <c r="D63" s="242"/>
      <c r="E63" s="22">
        <f t="shared" si="18"/>
        <v>400</v>
      </c>
      <c r="F63" s="22">
        <f t="shared" si="19"/>
        <v>50</v>
      </c>
      <c r="G63" s="57">
        <f t="shared" si="20"/>
        <v>420</v>
      </c>
      <c r="H63" s="57">
        <v>2</v>
      </c>
      <c r="I63" s="62"/>
      <c r="J63" s="107">
        <f t="shared" si="21"/>
        <v>3.9251165183955115</v>
      </c>
      <c r="K63" s="51"/>
      <c r="L63" s="56"/>
      <c r="M63" s="35">
        <f t="shared" si="1"/>
        <v>7.8502330367910229</v>
      </c>
      <c r="N63" s="64"/>
      <c r="O63" s="62"/>
      <c r="P63" s="62"/>
      <c r="Q63" s="4">
        <v>171023315000</v>
      </c>
      <c r="R63" s="58">
        <f t="shared" si="16"/>
        <v>342046630000</v>
      </c>
      <c r="S63" s="64"/>
      <c r="T63" s="183"/>
      <c r="U63" s="63">
        <f t="shared" si="3"/>
        <v>43571.525634584221</v>
      </c>
      <c r="V63" s="70">
        <f t="shared" si="4"/>
        <v>0.39438337505179222</v>
      </c>
      <c r="W63" s="222"/>
      <c r="AN63" s="130">
        <f t="shared" si="17"/>
        <v>3.9251165183955115</v>
      </c>
    </row>
    <row r="64" spans="1:40" x14ac:dyDescent="0.35">
      <c r="A64" s="246"/>
      <c r="B64" s="1" t="s">
        <v>54</v>
      </c>
      <c r="C64" s="2" t="s">
        <v>55</v>
      </c>
      <c r="D64" s="242"/>
      <c r="E64" s="22">
        <f t="shared" si="18"/>
        <v>420</v>
      </c>
      <c r="F64" s="22">
        <f t="shared" si="19"/>
        <v>52.5</v>
      </c>
      <c r="G64" s="57">
        <f t="shared" si="20"/>
        <v>400</v>
      </c>
      <c r="H64" s="57">
        <v>2</v>
      </c>
      <c r="I64" s="62"/>
      <c r="J64" s="107">
        <f t="shared" si="21"/>
        <v>4.029459878050373</v>
      </c>
      <c r="K64" s="51"/>
      <c r="L64" s="56"/>
      <c r="M64" s="35">
        <f t="shared" si="1"/>
        <v>8.058919756100746</v>
      </c>
      <c r="N64" s="64"/>
      <c r="O64" s="62"/>
      <c r="P64" s="62"/>
      <c r="Q64" s="4">
        <v>148402036500</v>
      </c>
      <c r="R64" s="58">
        <f t="shared" si="16"/>
        <v>296804073000</v>
      </c>
      <c r="S64" s="64"/>
      <c r="T64" s="183"/>
      <c r="U64" s="63">
        <f t="shared" si="3"/>
        <v>36829.262727838191</v>
      </c>
      <c r="V64" s="70">
        <f t="shared" si="4"/>
        <v>0.33335644606727127</v>
      </c>
      <c r="W64" s="222"/>
      <c r="AN64" s="130">
        <f t="shared" si="17"/>
        <v>4.029459878050373</v>
      </c>
    </row>
    <row r="65" spans="1:40" x14ac:dyDescent="0.35">
      <c r="A65" s="246"/>
      <c r="B65" s="1" t="s">
        <v>56</v>
      </c>
      <c r="C65" s="2" t="s">
        <v>57</v>
      </c>
      <c r="D65" s="242"/>
      <c r="E65" s="22">
        <f t="shared" si="18"/>
        <v>440</v>
      </c>
      <c r="F65" s="22">
        <f t="shared" si="19"/>
        <v>55.000000000000007</v>
      </c>
      <c r="G65" s="57">
        <f t="shared" si="20"/>
        <v>380</v>
      </c>
      <c r="H65" s="57">
        <v>2</v>
      </c>
      <c r="I65" s="62"/>
      <c r="J65" s="107">
        <f t="shared" si="21"/>
        <v>4.1394683077163421</v>
      </c>
      <c r="K65" s="51"/>
      <c r="L65" s="56"/>
      <c r="M65" s="35">
        <f t="shared" si="1"/>
        <v>8.2789366154326842</v>
      </c>
      <c r="N65" s="64"/>
      <c r="O65" s="62"/>
      <c r="P65" s="62"/>
      <c r="Q65" s="4">
        <v>137267995500</v>
      </c>
      <c r="R65" s="58">
        <f t="shared" si="16"/>
        <v>274535991000</v>
      </c>
      <c r="S65" s="64"/>
      <c r="T65" s="183"/>
      <c r="U65" s="63">
        <f t="shared" si="3"/>
        <v>33160.779427667097</v>
      </c>
      <c r="V65" s="70">
        <f t="shared" si="4"/>
        <v>0.30015153060536587</v>
      </c>
      <c r="W65" s="222"/>
      <c r="AN65" s="130">
        <f t="shared" si="17"/>
        <v>4.1394683077163421</v>
      </c>
    </row>
    <row r="66" spans="1:40" x14ac:dyDescent="0.35">
      <c r="A66" s="246"/>
      <c r="B66" s="1" t="s">
        <v>58</v>
      </c>
      <c r="C66" s="2" t="s">
        <v>59</v>
      </c>
      <c r="D66" s="242"/>
      <c r="E66" s="22">
        <f t="shared" si="18"/>
        <v>460</v>
      </c>
      <c r="F66" s="22">
        <f t="shared" si="19"/>
        <v>57.499999999999993</v>
      </c>
      <c r="G66" s="57">
        <f t="shared" si="20"/>
        <v>360</v>
      </c>
      <c r="H66" s="57">
        <v>2</v>
      </c>
      <c r="I66" s="62"/>
      <c r="J66" s="107">
        <f t="shared" si="21"/>
        <v>4.2554493786498622</v>
      </c>
      <c r="K66" s="51"/>
      <c r="L66" s="56"/>
      <c r="M66" s="35">
        <f t="shared" si="1"/>
        <v>8.5108987572997243</v>
      </c>
      <c r="N66" s="64"/>
      <c r="O66" s="62"/>
      <c r="P66" s="62"/>
      <c r="Q66" s="4">
        <v>171378851000</v>
      </c>
      <c r="R66" s="58">
        <f t="shared" si="16"/>
        <v>342757702000</v>
      </c>
      <c r="S66" s="64"/>
      <c r="T66" s="183"/>
      <c r="U66" s="63">
        <f t="shared" si="3"/>
        <v>40272.797477002023</v>
      </c>
      <c r="V66" s="70">
        <f t="shared" si="4"/>
        <v>0.36452526186392104</v>
      </c>
      <c r="W66" s="222"/>
      <c r="AN66" s="130">
        <f t="shared" si="17"/>
        <v>4.2554493786498622</v>
      </c>
    </row>
    <row r="67" spans="1:40" x14ac:dyDescent="0.35">
      <c r="A67" s="246"/>
      <c r="B67" s="1" t="s">
        <v>60</v>
      </c>
      <c r="C67" s="2" t="s">
        <v>61</v>
      </c>
      <c r="D67" s="242"/>
      <c r="E67" s="22">
        <f t="shared" si="18"/>
        <v>480</v>
      </c>
      <c r="F67" s="22">
        <f t="shared" si="19"/>
        <v>60</v>
      </c>
      <c r="G67" s="57">
        <f t="shared" si="20"/>
        <v>340</v>
      </c>
      <c r="H67" s="57">
        <v>2</v>
      </c>
      <c r="I67" s="62"/>
      <c r="J67" s="107">
        <f t="shared" si="21"/>
        <v>4.3777273609438652</v>
      </c>
      <c r="K67" s="51"/>
      <c r="L67" s="56"/>
      <c r="M67" s="35">
        <f t="shared" si="1"/>
        <v>8.7554547218877303</v>
      </c>
      <c r="N67" s="64"/>
      <c r="O67" s="62"/>
      <c r="P67" s="62"/>
      <c r="Q67" s="4">
        <v>152647156000</v>
      </c>
      <c r="R67" s="58">
        <f t="shared" si="16"/>
        <v>305294312000</v>
      </c>
      <c r="S67" s="64"/>
      <c r="T67" s="183"/>
      <c r="U67" s="63">
        <f t="shared" si="3"/>
        <v>34869.041265988832</v>
      </c>
      <c r="V67" s="70">
        <f t="shared" si="4"/>
        <v>0.31561369447173176</v>
      </c>
      <c r="W67" s="222"/>
      <c r="AN67" s="130">
        <f t="shared" si="17"/>
        <v>4.3777273609438652</v>
      </c>
    </row>
    <row r="68" spans="1:40" x14ac:dyDescent="0.35">
      <c r="A68" s="246"/>
      <c r="B68" s="1" t="s">
        <v>62</v>
      </c>
      <c r="C68" s="2" t="s">
        <v>63</v>
      </c>
      <c r="D68" s="242"/>
      <c r="E68" s="22">
        <f t="shared" si="18"/>
        <v>500</v>
      </c>
      <c r="F68" s="22">
        <f t="shared" si="19"/>
        <v>62.5</v>
      </c>
      <c r="G68" s="57">
        <f t="shared" si="20"/>
        <v>320</v>
      </c>
      <c r="H68" s="57">
        <v>2</v>
      </c>
      <c r="I68" s="62"/>
      <c r="J68" s="24">
        <v>4.4800000000000004</v>
      </c>
      <c r="K68" s="21">
        <v>0.13</v>
      </c>
      <c r="L68" s="22">
        <v>2.9</v>
      </c>
      <c r="M68" s="35">
        <f t="shared" ref="M68:M84" si="22">J68*H68</f>
        <v>8.9600000000000009</v>
      </c>
      <c r="N68" s="64"/>
      <c r="O68" s="62"/>
      <c r="P68" s="62"/>
      <c r="Q68" s="4">
        <v>153629383000</v>
      </c>
      <c r="R68" s="58">
        <f t="shared" si="16"/>
        <v>307258766000</v>
      </c>
      <c r="S68" s="64"/>
      <c r="T68" s="183"/>
      <c r="U68" s="63">
        <f t="shared" ref="U68:U84" si="23">R68/M68/10^6</f>
        <v>34292.272991071426</v>
      </c>
      <c r="V68" s="70">
        <f t="shared" ref="V68:V85" si="24">U68/$U$85</f>
        <v>0.31039313320903006</v>
      </c>
      <c r="W68" s="222"/>
      <c r="AN68" s="105">
        <f t="shared" si="17"/>
        <v>4.5066441301506517</v>
      </c>
    </row>
    <row r="69" spans="1:40" x14ac:dyDescent="0.35">
      <c r="A69" s="246"/>
      <c r="B69" s="1" t="s">
        <v>163</v>
      </c>
      <c r="C69" s="2" t="s">
        <v>147</v>
      </c>
      <c r="D69" s="242"/>
      <c r="E69" s="22">
        <f t="shared" si="18"/>
        <v>520</v>
      </c>
      <c r="F69" s="22">
        <f t="shared" si="19"/>
        <v>65</v>
      </c>
      <c r="G69" s="57">
        <f t="shared" si="20"/>
        <v>300</v>
      </c>
      <c r="H69" s="57">
        <v>2</v>
      </c>
      <c r="I69" s="62"/>
      <c r="J69" s="24">
        <v>4.6100000000000003</v>
      </c>
      <c r="K69" s="21">
        <v>0.16</v>
      </c>
      <c r="L69" s="22">
        <v>3.5</v>
      </c>
      <c r="M69" s="35">
        <f t="shared" si="22"/>
        <v>9.2200000000000006</v>
      </c>
      <c r="N69" s="64"/>
      <c r="O69" s="62"/>
      <c r="P69" s="62"/>
      <c r="Q69" s="4">
        <v>159242508000</v>
      </c>
      <c r="R69" s="58">
        <f t="shared" si="16"/>
        <v>318485016000</v>
      </c>
      <c r="S69" s="64"/>
      <c r="T69" s="183"/>
      <c r="U69" s="63">
        <f t="shared" si="23"/>
        <v>34542.84338394794</v>
      </c>
      <c r="V69" s="70">
        <f t="shared" si="24"/>
        <v>0.3126611464537225</v>
      </c>
      <c r="W69" s="222"/>
      <c r="AN69" s="105">
        <f t="shared" si="17"/>
        <v>4.6425601231276694</v>
      </c>
    </row>
    <row r="70" spans="1:40" x14ac:dyDescent="0.35">
      <c r="A70" s="246"/>
      <c r="B70" s="1" t="s">
        <v>164</v>
      </c>
      <c r="C70" s="2" t="s">
        <v>148</v>
      </c>
      <c r="D70" s="242"/>
      <c r="E70" s="22">
        <f t="shared" si="18"/>
        <v>540</v>
      </c>
      <c r="F70" s="22">
        <f t="shared" si="19"/>
        <v>67.5</v>
      </c>
      <c r="G70" s="57">
        <f t="shared" si="20"/>
        <v>280</v>
      </c>
      <c r="H70" s="57">
        <v>2</v>
      </c>
      <c r="I70" s="62"/>
      <c r="J70" s="24">
        <v>4.93</v>
      </c>
      <c r="K70" s="21">
        <v>0.16</v>
      </c>
      <c r="L70" s="22">
        <v>3.3</v>
      </c>
      <c r="M70" s="35">
        <f t="shared" si="22"/>
        <v>9.86</v>
      </c>
      <c r="N70" s="64"/>
      <c r="O70" s="62"/>
      <c r="P70" s="62"/>
      <c r="Q70" s="4">
        <v>185787882000</v>
      </c>
      <c r="R70" s="58">
        <f t="shared" si="16"/>
        <v>371575764000</v>
      </c>
      <c r="S70" s="64"/>
      <c r="T70" s="183"/>
      <c r="U70" s="63">
        <f t="shared" si="23"/>
        <v>37685.168762677487</v>
      </c>
      <c r="V70" s="70">
        <f t="shared" si="24"/>
        <v>0.34110359528527318</v>
      </c>
      <c r="W70" s="222"/>
      <c r="AN70" s="105">
        <f t="shared" si="17"/>
        <v>4.7858553457786304</v>
      </c>
    </row>
    <row r="71" spans="1:40" x14ac:dyDescent="0.35">
      <c r="A71" s="246"/>
      <c r="B71" s="1" t="s">
        <v>165</v>
      </c>
      <c r="C71" s="2" t="s">
        <v>149</v>
      </c>
      <c r="D71" s="242"/>
      <c r="E71" s="22">
        <f t="shared" si="18"/>
        <v>560</v>
      </c>
      <c r="F71" s="22">
        <f t="shared" si="19"/>
        <v>70</v>
      </c>
      <c r="G71" s="57">
        <f t="shared" si="20"/>
        <v>260</v>
      </c>
      <c r="H71" s="57">
        <v>2</v>
      </c>
      <c r="I71" s="62"/>
      <c r="J71" s="24">
        <v>4.8600000000000003</v>
      </c>
      <c r="K71" s="21">
        <v>0.14000000000000001</v>
      </c>
      <c r="L71" s="22">
        <v>2.8</v>
      </c>
      <c r="M71" s="35">
        <f t="shared" si="22"/>
        <v>9.7200000000000006</v>
      </c>
      <c r="N71" s="64"/>
      <c r="O71" s="62"/>
      <c r="P71" s="62"/>
      <c r="Q71" s="4">
        <v>152190187000</v>
      </c>
      <c r="R71" s="58">
        <f t="shared" si="16"/>
        <v>304380374000</v>
      </c>
      <c r="S71" s="64"/>
      <c r="T71" s="183"/>
      <c r="U71" s="63">
        <f t="shared" si="23"/>
        <v>31314.853292181069</v>
      </c>
      <c r="V71" s="70">
        <f t="shared" si="24"/>
        <v>0.28344331190504451</v>
      </c>
      <c r="W71" s="222"/>
      <c r="AN71" s="105">
        <f t="shared" si="17"/>
        <v>4.9369304355074775</v>
      </c>
    </row>
    <row r="72" spans="1:40" x14ac:dyDescent="0.35">
      <c r="A72" s="246"/>
      <c r="B72" s="1" t="s">
        <v>166</v>
      </c>
      <c r="C72" s="2" t="s">
        <v>150</v>
      </c>
      <c r="D72" s="242"/>
      <c r="E72" s="22">
        <f t="shared" si="18"/>
        <v>580</v>
      </c>
      <c r="F72" s="22">
        <f t="shared" si="19"/>
        <v>72.5</v>
      </c>
      <c r="G72" s="57">
        <f t="shared" si="20"/>
        <v>240</v>
      </c>
      <c r="H72" s="57">
        <v>2</v>
      </c>
      <c r="I72" s="62"/>
      <c r="J72" s="24">
        <v>5.07</v>
      </c>
      <c r="K72" s="21">
        <v>0.18</v>
      </c>
      <c r="L72" s="22">
        <v>3.5</v>
      </c>
      <c r="M72" s="35">
        <f t="shared" si="22"/>
        <v>10.14</v>
      </c>
      <c r="N72" s="64"/>
      <c r="O72" s="62"/>
      <c r="P72" s="62"/>
      <c r="Q72" s="4">
        <v>142707543500</v>
      </c>
      <c r="R72" s="58">
        <f t="shared" si="16"/>
        <v>285415087000</v>
      </c>
      <c r="S72" s="64"/>
      <c r="T72" s="183"/>
      <c r="U72" s="63">
        <f t="shared" si="23"/>
        <v>28147.444477317553</v>
      </c>
      <c r="V72" s="70">
        <f t="shared" si="24"/>
        <v>0.25477382282056865</v>
      </c>
      <c r="W72" s="222"/>
      <c r="AN72" s="105">
        <f t="shared" si="17"/>
        <v>5.0962077813557283</v>
      </c>
    </row>
    <row r="73" spans="1:40" x14ac:dyDescent="0.35">
      <c r="A73" s="246"/>
      <c r="B73" s="1" t="s">
        <v>167</v>
      </c>
      <c r="C73" s="2" t="s">
        <v>151</v>
      </c>
      <c r="D73" s="242"/>
      <c r="E73" s="22">
        <f t="shared" si="18"/>
        <v>600</v>
      </c>
      <c r="F73" s="22">
        <f t="shared" si="19"/>
        <v>75</v>
      </c>
      <c r="G73" s="57">
        <f t="shared" si="20"/>
        <v>220</v>
      </c>
      <c r="H73" s="57">
        <v>2</v>
      </c>
      <c r="I73" s="62"/>
      <c r="J73" s="24">
        <v>5.28</v>
      </c>
      <c r="K73" s="21">
        <v>0.18</v>
      </c>
      <c r="L73" s="22">
        <v>3.3</v>
      </c>
      <c r="M73" s="35">
        <f t="shared" si="22"/>
        <v>10.56</v>
      </c>
      <c r="N73" s="64"/>
      <c r="O73" s="62"/>
      <c r="P73" s="62"/>
      <c r="Q73" s="4">
        <v>127922880000</v>
      </c>
      <c r="R73" s="58">
        <f t="shared" si="16"/>
        <v>255845760000</v>
      </c>
      <c r="S73" s="64"/>
      <c r="T73" s="183"/>
      <c r="U73" s="63">
        <f t="shared" si="23"/>
        <v>24227.81818181818</v>
      </c>
      <c r="V73" s="70">
        <f t="shared" si="24"/>
        <v>0.21929571125924632</v>
      </c>
      <c r="W73" s="222"/>
      <c r="AN73" s="105">
        <f t="shared" si="17"/>
        <v>5.2641327049549576</v>
      </c>
    </row>
    <row r="74" spans="1:40" x14ac:dyDescent="0.35">
      <c r="A74" s="246"/>
      <c r="B74" s="1" t="s">
        <v>168</v>
      </c>
      <c r="C74" s="2" t="s">
        <v>152</v>
      </c>
      <c r="D74" s="242"/>
      <c r="E74" s="22">
        <f t="shared" si="18"/>
        <v>620</v>
      </c>
      <c r="F74" s="22">
        <f t="shared" si="19"/>
        <v>77.5</v>
      </c>
      <c r="G74" s="57">
        <f t="shared" si="20"/>
        <v>200</v>
      </c>
      <c r="H74" s="57">
        <v>2</v>
      </c>
      <c r="I74" s="62"/>
      <c r="J74" s="24">
        <v>5.43</v>
      </c>
      <c r="K74" s="21">
        <v>0.17</v>
      </c>
      <c r="L74" s="22">
        <v>3.1</v>
      </c>
      <c r="M74" s="35">
        <f t="shared" si="22"/>
        <v>10.86</v>
      </c>
      <c r="N74" s="64"/>
      <c r="O74" s="62"/>
      <c r="P74" s="62"/>
      <c r="Q74" s="4">
        <v>144078590000</v>
      </c>
      <c r="R74" s="58">
        <f t="shared" si="16"/>
        <v>288157180000</v>
      </c>
      <c r="S74" s="64"/>
      <c r="T74" s="183"/>
      <c r="U74" s="63">
        <f t="shared" si="23"/>
        <v>26533.810313075508</v>
      </c>
      <c r="V74" s="70">
        <f t="shared" si="24"/>
        <v>0.24016817203088114</v>
      </c>
      <c r="W74" s="222"/>
      <c r="AN74" s="105">
        <f t="shared" si="17"/>
        <v>5.4411747055962341</v>
      </c>
    </row>
    <row r="75" spans="1:40" x14ac:dyDescent="0.35">
      <c r="A75" s="246"/>
      <c r="B75" s="1" t="s">
        <v>169</v>
      </c>
      <c r="C75" s="2" t="s">
        <v>153</v>
      </c>
      <c r="D75" s="242"/>
      <c r="E75" s="22">
        <f t="shared" si="18"/>
        <v>640</v>
      </c>
      <c r="F75" s="22">
        <f t="shared" si="19"/>
        <v>80</v>
      </c>
      <c r="G75" s="57">
        <f t="shared" si="20"/>
        <v>180</v>
      </c>
      <c r="H75" s="57">
        <v>2</v>
      </c>
      <c r="I75" s="62"/>
      <c r="J75" s="24">
        <v>5.64</v>
      </c>
      <c r="K75" s="21">
        <v>0.17</v>
      </c>
      <c r="L75" s="22">
        <v>3.1</v>
      </c>
      <c r="M75" s="35">
        <f t="shared" si="22"/>
        <v>11.28</v>
      </c>
      <c r="N75" s="64"/>
      <c r="O75" s="62"/>
      <c r="P75" s="62"/>
      <c r="Q75" s="4">
        <v>140663140000</v>
      </c>
      <c r="R75" s="58">
        <f t="shared" si="16"/>
        <v>281326280000</v>
      </c>
      <c r="S75" s="64"/>
      <c r="T75" s="183"/>
      <c r="U75" s="63">
        <f t="shared" si="23"/>
        <v>24940.273049645395</v>
      </c>
      <c r="V75" s="70">
        <f t="shared" si="24"/>
        <v>0.22574442636053144</v>
      </c>
      <c r="W75" s="222"/>
      <c r="AN75" s="105">
        <f t="shared" si="17"/>
        <v>5.6278287728975922</v>
      </c>
    </row>
    <row r="76" spans="1:40" x14ac:dyDescent="0.35">
      <c r="A76" s="246"/>
      <c r="B76" s="1" t="s">
        <v>170</v>
      </c>
      <c r="C76" s="2" t="s">
        <v>154</v>
      </c>
      <c r="D76" s="242"/>
      <c r="E76" s="22">
        <f t="shared" si="18"/>
        <v>660</v>
      </c>
      <c r="F76" s="22">
        <f t="shared" si="19"/>
        <v>82.5</v>
      </c>
      <c r="G76" s="57">
        <f t="shared" si="20"/>
        <v>160</v>
      </c>
      <c r="H76" s="57">
        <v>2</v>
      </c>
      <c r="I76" s="62"/>
      <c r="J76" s="24">
        <v>5.86</v>
      </c>
      <c r="K76" s="21">
        <v>0.19</v>
      </c>
      <c r="L76" s="22">
        <v>3.3</v>
      </c>
      <c r="M76" s="35">
        <f t="shared" si="22"/>
        <v>11.72</v>
      </c>
      <c r="N76" s="64"/>
      <c r="O76" s="62"/>
      <c r="P76" s="62"/>
      <c r="Q76" s="4">
        <v>152107726000</v>
      </c>
      <c r="R76" s="58">
        <f t="shared" si="16"/>
        <v>304215452000</v>
      </c>
      <c r="S76" s="64"/>
      <c r="T76" s="183"/>
      <c r="U76" s="63">
        <f t="shared" si="23"/>
        <v>25956.949829351535</v>
      </c>
      <c r="V76" s="70">
        <f t="shared" si="24"/>
        <v>0.23494677614924389</v>
      </c>
      <c r="W76" s="222"/>
      <c r="Y76" s="105"/>
    </row>
    <row r="77" spans="1:40" x14ac:dyDescent="0.35">
      <c r="A77" s="246"/>
      <c r="B77" s="1" t="s">
        <v>171</v>
      </c>
      <c r="C77" s="2" t="s">
        <v>155</v>
      </c>
      <c r="D77" s="242"/>
      <c r="E77" s="22">
        <f t="shared" si="18"/>
        <v>680</v>
      </c>
      <c r="F77" s="22">
        <f t="shared" si="19"/>
        <v>85</v>
      </c>
      <c r="G77" s="57">
        <f t="shared" si="20"/>
        <v>140</v>
      </c>
      <c r="H77" s="57">
        <v>2</v>
      </c>
      <c r="I77" s="62"/>
      <c r="J77" s="24">
        <v>5.89</v>
      </c>
      <c r="K77" s="21">
        <v>0.2</v>
      </c>
      <c r="L77" s="22">
        <v>3.3</v>
      </c>
      <c r="M77" s="35">
        <f t="shared" si="22"/>
        <v>11.78</v>
      </c>
      <c r="N77" s="64"/>
      <c r="O77" s="62"/>
      <c r="P77" s="62"/>
      <c r="Q77" s="4">
        <v>249875992000</v>
      </c>
      <c r="R77" s="58">
        <f t="shared" si="16"/>
        <v>499751984000</v>
      </c>
      <c r="S77" s="64"/>
      <c r="T77" s="183"/>
      <c r="U77" s="63">
        <f t="shared" si="23"/>
        <v>42423.767741935488</v>
      </c>
      <c r="V77" s="70">
        <f t="shared" si="24"/>
        <v>0.38399455747305106</v>
      </c>
      <c r="W77" s="222"/>
      <c r="X77" s="105"/>
    </row>
    <row r="78" spans="1:40" x14ac:dyDescent="0.35">
      <c r="A78" s="246"/>
      <c r="B78" s="1" t="s">
        <v>172</v>
      </c>
      <c r="C78" s="2" t="s">
        <v>156</v>
      </c>
      <c r="D78" s="242"/>
      <c r="E78" s="22">
        <f t="shared" si="18"/>
        <v>700</v>
      </c>
      <c r="F78" s="22">
        <f t="shared" si="19"/>
        <v>87.5</v>
      </c>
      <c r="G78" s="57">
        <f t="shared" si="20"/>
        <v>120</v>
      </c>
      <c r="H78" s="57">
        <v>2</v>
      </c>
      <c r="I78" s="62"/>
      <c r="J78" s="24">
        <v>6.23</v>
      </c>
      <c r="K78" s="21">
        <v>0.2</v>
      </c>
      <c r="L78" s="22">
        <v>3.1</v>
      </c>
      <c r="M78" s="35">
        <f t="shared" si="22"/>
        <v>12.46</v>
      </c>
      <c r="N78" s="64"/>
      <c r="O78" s="62"/>
      <c r="P78" s="62"/>
      <c r="Q78" s="4">
        <v>163461039000</v>
      </c>
      <c r="R78" s="58">
        <f t="shared" si="16"/>
        <v>326922078000</v>
      </c>
      <c r="S78" s="64"/>
      <c r="T78" s="183"/>
      <c r="U78" s="63">
        <f t="shared" si="23"/>
        <v>26237.726966292132</v>
      </c>
      <c r="V78" s="70">
        <f t="shared" si="24"/>
        <v>0.23748820276424676</v>
      </c>
      <c r="W78" s="222"/>
      <c r="X78" s="105"/>
    </row>
    <row r="79" spans="1:40" x14ac:dyDescent="0.35">
      <c r="A79" s="246"/>
      <c r="B79" s="1" t="s">
        <v>173</v>
      </c>
      <c r="C79" s="2" t="s">
        <v>157</v>
      </c>
      <c r="D79" s="242"/>
      <c r="E79" s="22">
        <f t="shared" si="18"/>
        <v>720</v>
      </c>
      <c r="F79" s="22">
        <f t="shared" si="19"/>
        <v>90</v>
      </c>
      <c r="G79" s="57">
        <f t="shared" si="20"/>
        <v>100</v>
      </c>
      <c r="H79" s="57">
        <v>2</v>
      </c>
      <c r="I79" s="62"/>
      <c r="J79" s="24">
        <v>6.43</v>
      </c>
      <c r="K79" s="21">
        <v>0.23</v>
      </c>
      <c r="L79" s="22">
        <v>3.5</v>
      </c>
      <c r="M79" s="35">
        <f t="shared" si="22"/>
        <v>12.86</v>
      </c>
      <c r="N79" s="64"/>
      <c r="O79" s="62"/>
      <c r="P79" s="62"/>
      <c r="Q79" s="4">
        <v>153141078000</v>
      </c>
      <c r="R79" s="58">
        <f t="shared" si="16"/>
        <v>306282156000</v>
      </c>
      <c r="S79" s="64"/>
      <c r="T79" s="183"/>
      <c r="U79" s="63">
        <f t="shared" si="23"/>
        <v>23816.652877138415</v>
      </c>
      <c r="V79" s="70">
        <f t="shared" si="24"/>
        <v>0.21557408897950922</v>
      </c>
      <c r="W79" s="222"/>
      <c r="X79" s="105"/>
    </row>
    <row r="80" spans="1:40" x14ac:dyDescent="0.35">
      <c r="A80" s="246"/>
      <c r="B80" s="1" t="s">
        <v>174</v>
      </c>
      <c r="C80" s="2" t="s">
        <v>158</v>
      </c>
      <c r="D80" s="242"/>
      <c r="E80" s="22">
        <f t="shared" si="18"/>
        <v>740</v>
      </c>
      <c r="F80" s="22">
        <f t="shared" si="19"/>
        <v>92.5</v>
      </c>
      <c r="G80" s="57">
        <f t="shared" si="20"/>
        <v>80</v>
      </c>
      <c r="H80" s="57">
        <v>2</v>
      </c>
      <c r="I80" s="62"/>
      <c r="J80" s="24">
        <v>6.79</v>
      </c>
      <c r="K80" s="21">
        <v>0.25</v>
      </c>
      <c r="L80" s="22">
        <v>3.7</v>
      </c>
      <c r="M80" s="35">
        <f t="shared" si="22"/>
        <v>13.58</v>
      </c>
      <c r="N80" s="64"/>
      <c r="O80" s="62"/>
      <c r="P80" s="62"/>
      <c r="Q80" s="4">
        <v>119448923000</v>
      </c>
      <c r="R80" s="58">
        <f t="shared" si="16"/>
        <v>238897846000</v>
      </c>
      <c r="S80" s="64"/>
      <c r="T80" s="183"/>
      <c r="U80" s="63">
        <f t="shared" si="23"/>
        <v>17591.88851251841</v>
      </c>
      <c r="V80" s="70">
        <f t="shared" si="24"/>
        <v>0.1592312471059075</v>
      </c>
      <c r="W80" s="222"/>
      <c r="X80" s="105"/>
    </row>
    <row r="81" spans="1:24" x14ac:dyDescent="0.35">
      <c r="A81" s="246"/>
      <c r="B81" s="1" t="s">
        <v>175</v>
      </c>
      <c r="C81" s="2" t="s">
        <v>159</v>
      </c>
      <c r="D81" s="242"/>
      <c r="E81" s="22">
        <f t="shared" si="18"/>
        <v>760</v>
      </c>
      <c r="F81" s="22">
        <f t="shared" si="19"/>
        <v>95</v>
      </c>
      <c r="G81" s="57">
        <f t="shared" si="20"/>
        <v>60</v>
      </c>
      <c r="H81" s="57">
        <v>2</v>
      </c>
      <c r="I81" s="62"/>
      <c r="J81" s="24">
        <v>7.16</v>
      </c>
      <c r="K81" s="21">
        <v>0.26</v>
      </c>
      <c r="L81" s="22">
        <v>3.6</v>
      </c>
      <c r="M81" s="35">
        <f t="shared" si="22"/>
        <v>14.32</v>
      </c>
      <c r="N81" s="64"/>
      <c r="O81" s="62"/>
      <c r="P81" s="62"/>
      <c r="Q81" s="4">
        <v>141504980500</v>
      </c>
      <c r="R81" s="58">
        <f t="shared" si="16"/>
        <v>283009961000</v>
      </c>
      <c r="S81" s="64"/>
      <c r="T81" s="183"/>
      <c r="U81" s="63">
        <f t="shared" si="23"/>
        <v>19763.265432960892</v>
      </c>
      <c r="V81" s="70">
        <f t="shared" si="24"/>
        <v>0.17888525154852344</v>
      </c>
      <c r="W81" s="222"/>
      <c r="X81" s="105"/>
    </row>
    <row r="82" spans="1:24" x14ac:dyDescent="0.35">
      <c r="A82" s="246"/>
      <c r="B82" s="1" t="s">
        <v>176</v>
      </c>
      <c r="C82" s="2" t="s">
        <v>160</v>
      </c>
      <c r="D82" s="242"/>
      <c r="E82" s="22">
        <f t="shared" si="18"/>
        <v>780</v>
      </c>
      <c r="F82" s="22">
        <f t="shared" si="19"/>
        <v>97.5</v>
      </c>
      <c r="G82" s="57">
        <f t="shared" si="20"/>
        <v>40</v>
      </c>
      <c r="H82" s="57">
        <v>2</v>
      </c>
      <c r="I82" s="62"/>
      <c r="J82" s="24">
        <v>7.34</v>
      </c>
      <c r="K82" s="21">
        <v>0.28999999999999998</v>
      </c>
      <c r="L82" s="22">
        <v>4</v>
      </c>
      <c r="M82" s="35">
        <f t="shared" si="22"/>
        <v>14.68</v>
      </c>
      <c r="N82" s="64"/>
      <c r="O82" s="62"/>
      <c r="P82" s="62"/>
      <c r="Q82" s="4">
        <v>133301608000</v>
      </c>
      <c r="R82" s="58">
        <f t="shared" si="16"/>
        <v>266603216000</v>
      </c>
      <c r="S82" s="64"/>
      <c r="T82" s="183"/>
      <c r="U82" s="63">
        <f t="shared" si="23"/>
        <v>18160.982016348775</v>
      </c>
      <c r="V82" s="70">
        <f t="shared" si="24"/>
        <v>0.16438234093362794</v>
      </c>
      <c r="W82" s="222"/>
      <c r="X82" s="105"/>
    </row>
    <row r="83" spans="1:24" x14ac:dyDescent="0.35">
      <c r="A83" s="246"/>
      <c r="B83" s="1" t="s">
        <v>177</v>
      </c>
      <c r="C83" s="2" t="s">
        <v>161</v>
      </c>
      <c r="D83" s="242"/>
      <c r="E83" s="22">
        <v>800</v>
      </c>
      <c r="F83" s="22">
        <v>100</v>
      </c>
      <c r="G83" s="57">
        <f t="shared" si="20"/>
        <v>20</v>
      </c>
      <c r="H83" s="57">
        <v>2</v>
      </c>
      <c r="I83" s="62"/>
      <c r="J83" s="24">
        <v>7.51</v>
      </c>
      <c r="K83" s="21">
        <v>0.31</v>
      </c>
      <c r="L83" s="22">
        <v>4.0999999999999996</v>
      </c>
      <c r="M83" s="35">
        <f t="shared" si="22"/>
        <v>15.02</v>
      </c>
      <c r="N83" s="64"/>
      <c r="O83" s="62"/>
      <c r="P83" s="62"/>
      <c r="Q83" s="4">
        <v>121005113000</v>
      </c>
      <c r="R83" s="58">
        <f t="shared" si="16"/>
        <v>242010226000</v>
      </c>
      <c r="S83" s="64"/>
      <c r="T83" s="183"/>
      <c r="U83" s="63">
        <f t="shared" si="23"/>
        <v>16112.531691078562</v>
      </c>
      <c r="V83" s="70">
        <f t="shared" si="24"/>
        <v>0.14584099446618246</v>
      </c>
      <c r="W83" s="222"/>
      <c r="X83" s="105"/>
    </row>
    <row r="84" spans="1:24" ht="15" thickBot="1" x14ac:dyDescent="0.4">
      <c r="A84" s="247"/>
      <c r="B84" s="5" t="s">
        <v>126</v>
      </c>
      <c r="C84" s="13" t="s">
        <v>123</v>
      </c>
      <c r="D84" s="243"/>
      <c r="E84" s="28">
        <v>800</v>
      </c>
      <c r="F84" s="28">
        <v>100</v>
      </c>
      <c r="G84" s="67">
        <v>0</v>
      </c>
      <c r="H84" s="67">
        <v>88.44</v>
      </c>
      <c r="I84" s="124"/>
      <c r="J84" s="33">
        <v>7.59</v>
      </c>
      <c r="K84" s="27">
        <v>0.31</v>
      </c>
      <c r="L84" s="28">
        <v>4</v>
      </c>
      <c r="M84" s="36">
        <f t="shared" si="22"/>
        <v>671.25959999999998</v>
      </c>
      <c r="N84" s="101">
        <f>M84/SUM($M$3:$M$42,$M$84)*100</f>
        <v>75.933168213399796</v>
      </c>
      <c r="O84" s="124"/>
      <c r="P84" s="124"/>
      <c r="Q84" s="7">
        <v>154868110000</v>
      </c>
      <c r="R84" s="69">
        <f t="shared" si="16"/>
        <v>13696535648400</v>
      </c>
      <c r="S84" s="101">
        <f>R84/SUM($R$3:$R$42,$R$84)*100</f>
        <v>10.972475469795132</v>
      </c>
      <c r="T84" s="189"/>
      <c r="U84" s="68">
        <f t="shared" si="23"/>
        <v>20404.230566534916</v>
      </c>
      <c r="V84" s="177">
        <f t="shared" si="24"/>
        <v>0.18468688435774511</v>
      </c>
      <c r="W84" s="222"/>
      <c r="X84" s="105"/>
    </row>
    <row r="85" spans="1:24" ht="15" thickBot="1" x14ac:dyDescent="0.4">
      <c r="A85" s="44"/>
      <c r="B85" s="45" t="s">
        <v>123</v>
      </c>
      <c r="C85" s="46" t="s">
        <v>123</v>
      </c>
      <c r="D85" s="47"/>
      <c r="E85" s="112"/>
      <c r="F85" s="112"/>
      <c r="G85" s="47"/>
      <c r="H85" s="48">
        <f>SUM(H3:H84)</f>
        <v>888.44</v>
      </c>
      <c r="I85" s="47"/>
      <c r="J85" s="47"/>
      <c r="K85" s="47"/>
      <c r="L85" s="47"/>
      <c r="M85" s="49">
        <f>SUM(M3:M84)</f>
        <v>1233.4854725876771</v>
      </c>
      <c r="N85" s="72">
        <f>SUM(N3:N84)</f>
        <v>100</v>
      </c>
      <c r="O85" s="72">
        <f>SUM(O42,N84)</f>
        <v>100</v>
      </c>
      <c r="P85" s="47"/>
      <c r="Q85" s="47"/>
      <c r="R85" s="73">
        <f>SUM(R3:R84)</f>
        <v>136275632515400</v>
      </c>
      <c r="S85" s="49">
        <f>SUM(S3:S84)</f>
        <v>99.999999999999972</v>
      </c>
      <c r="T85" s="184"/>
      <c r="U85" s="49">
        <f>R85/M85/10^6</f>
        <v>110480.12769012438</v>
      </c>
      <c r="V85" s="178">
        <f t="shared" si="24"/>
        <v>1</v>
      </c>
      <c r="W85" s="222"/>
    </row>
  </sheetData>
  <mergeCells count="5">
    <mergeCell ref="A3:A42"/>
    <mergeCell ref="D3:D42"/>
    <mergeCell ref="A43:A84"/>
    <mergeCell ref="D43:D84"/>
    <mergeCell ref="Q1:T1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1072-599B-4C67-957C-AFC39A96E83E}">
  <dimension ref="A1:AG37"/>
  <sheetViews>
    <sheetView zoomScale="69" zoomScaleNormal="100" workbookViewId="0">
      <selection activeCell="X33" sqref="X33"/>
    </sheetView>
  </sheetViews>
  <sheetFormatPr defaultRowHeight="14.5" x14ac:dyDescent="0.35"/>
  <cols>
    <col min="4" max="4" width="8.6328125" customWidth="1"/>
    <col min="5" max="6" width="9.81640625" style="113" customWidth="1"/>
    <col min="7" max="7" width="11.1796875" customWidth="1"/>
    <col min="8" max="8" width="10.453125" customWidth="1"/>
    <col min="9" max="12" width="8.90625" bestFit="1" customWidth="1"/>
    <col min="14" max="14" width="13.54296875" customWidth="1"/>
    <col min="15" max="15" width="17.54296875" customWidth="1"/>
    <col min="16" max="16" width="18.36328125" customWidth="1"/>
    <col min="17" max="18" width="9.26953125" bestFit="1" customWidth="1"/>
    <col min="19" max="19" width="13.1796875" customWidth="1"/>
    <col min="20" max="20" width="18.08984375" customWidth="1"/>
    <col min="21" max="21" width="16.26953125" style="11" bestFit="1" customWidth="1"/>
    <col min="22" max="23" width="14.6328125" customWidth="1"/>
    <col min="24" max="24" width="19.26953125" style="11" bestFit="1" customWidth="1"/>
    <col min="25" max="25" width="10.1796875" customWidth="1"/>
    <col min="26" max="26" width="32.81640625" customWidth="1"/>
    <col min="27" max="27" width="16.08984375" customWidth="1"/>
    <col min="28" max="28" width="15" customWidth="1"/>
    <col min="31" max="31" width="22.26953125" customWidth="1"/>
    <col min="32" max="32" width="14.08984375" customWidth="1"/>
    <col min="33" max="33" width="40.08984375" customWidth="1"/>
  </cols>
  <sheetData>
    <row r="1" spans="1:33" ht="21.5" thickBot="1" x14ac:dyDescent="0.4">
      <c r="A1" s="163"/>
      <c r="B1" s="163"/>
      <c r="C1" s="163"/>
      <c r="D1" s="163"/>
      <c r="E1" s="164"/>
      <c r="F1" s="164"/>
      <c r="G1" s="163"/>
      <c r="H1" s="163"/>
      <c r="I1" s="65" t="s">
        <v>116</v>
      </c>
      <c r="J1" s="19" t="s">
        <v>0</v>
      </c>
      <c r="K1" s="19" t="s">
        <v>1</v>
      </c>
      <c r="L1" s="19" t="s">
        <v>2</v>
      </c>
      <c r="M1" s="165"/>
      <c r="N1" s="165"/>
      <c r="O1" s="165"/>
      <c r="P1" s="165"/>
      <c r="Q1" s="238" t="s">
        <v>3</v>
      </c>
      <c r="R1" s="238"/>
      <c r="S1" s="238"/>
      <c r="T1" s="238"/>
      <c r="U1" s="166"/>
      <c r="V1" s="167"/>
    </row>
    <row r="2" spans="1:33" ht="53" thickBot="1" x14ac:dyDescent="0.4">
      <c r="A2" s="168" t="s">
        <v>4</v>
      </c>
      <c r="B2" s="169" t="s">
        <v>5</v>
      </c>
      <c r="C2" s="169" t="s">
        <v>6</v>
      </c>
      <c r="D2" s="170" t="s">
        <v>7</v>
      </c>
      <c r="E2" s="171" t="s">
        <v>189</v>
      </c>
      <c r="F2" s="171" t="s">
        <v>190</v>
      </c>
      <c r="G2" s="172" t="s">
        <v>187</v>
      </c>
      <c r="H2" s="172" t="s">
        <v>127</v>
      </c>
      <c r="I2" s="173" t="s">
        <v>8</v>
      </c>
      <c r="J2" s="173" t="s">
        <v>9</v>
      </c>
      <c r="K2" s="173" t="s">
        <v>10</v>
      </c>
      <c r="L2" s="173" t="s">
        <v>11</v>
      </c>
      <c r="M2" s="173" t="s">
        <v>118</v>
      </c>
      <c r="N2" s="174" t="s">
        <v>119</v>
      </c>
      <c r="O2" s="175" t="s">
        <v>120</v>
      </c>
      <c r="P2" s="175" t="s">
        <v>121</v>
      </c>
      <c r="Q2" s="173" t="s">
        <v>12</v>
      </c>
      <c r="R2" s="173" t="s">
        <v>117</v>
      </c>
      <c r="S2" s="174" t="s">
        <v>124</v>
      </c>
      <c r="T2" s="175" t="s">
        <v>125</v>
      </c>
      <c r="U2" s="175" t="s">
        <v>191</v>
      </c>
      <c r="V2" s="176" t="s">
        <v>192</v>
      </c>
      <c r="W2" s="232" t="s">
        <v>237</v>
      </c>
      <c r="X2" s="224" t="s">
        <v>236</v>
      </c>
      <c r="Z2" s="195" t="s">
        <v>193</v>
      </c>
      <c r="AA2" s="148" t="s">
        <v>119</v>
      </c>
      <c r="AB2" s="196" t="s">
        <v>124</v>
      </c>
      <c r="AE2" s="217" t="s">
        <v>221</v>
      </c>
      <c r="AF2" s="191" t="s">
        <v>238</v>
      </c>
      <c r="AG2" s="220" t="s">
        <v>234</v>
      </c>
    </row>
    <row r="3" spans="1:33" ht="14.4" customHeight="1" thickBot="1" x14ac:dyDescent="0.4">
      <c r="A3" s="241" t="s">
        <v>90</v>
      </c>
      <c r="B3" s="55" t="s">
        <v>178</v>
      </c>
      <c r="C3" s="55" t="s">
        <v>179</v>
      </c>
      <c r="D3" s="242">
        <v>45149</v>
      </c>
      <c r="E3" s="22">
        <v>250</v>
      </c>
      <c r="F3" s="22">
        <f>E3/$E$26*100</f>
        <v>52.083333333333336</v>
      </c>
      <c r="G3" s="57">
        <v>480</v>
      </c>
      <c r="H3" s="57">
        <v>250</v>
      </c>
      <c r="I3" s="57">
        <v>235</v>
      </c>
      <c r="J3" s="57">
        <v>5.2299999999999999E-2</v>
      </c>
      <c r="K3" s="57">
        <v>2.0999999999999999E-3</v>
      </c>
      <c r="L3" s="136">
        <f>K3/J3*100</f>
        <v>4.0152963671128106</v>
      </c>
      <c r="M3" s="63">
        <f>J3*H3</f>
        <v>13.074999999999999</v>
      </c>
      <c r="N3" s="63">
        <f>M3/SUM($M$3:$M$26,$M$28)*100</f>
        <v>1.7851993524948824</v>
      </c>
      <c r="O3" s="63">
        <f>N3</f>
        <v>1.7851993524948824</v>
      </c>
      <c r="P3" s="62"/>
      <c r="Q3" s="58">
        <v>63217591500</v>
      </c>
      <c r="R3" s="58">
        <f>H3*Q3</f>
        <v>15804397875000</v>
      </c>
      <c r="S3" s="63">
        <f>R3/SUM($R$3:$R$26,$R$28)*100</f>
        <v>44.494949635632693</v>
      </c>
      <c r="T3" s="63">
        <f>S3</f>
        <v>44.494949635632693</v>
      </c>
      <c r="U3" s="63">
        <f>R3/M3/10^6</f>
        <v>1208749.3594646272</v>
      </c>
      <c r="V3" s="181">
        <f>U3/$U$29</f>
        <v>24.924359049004444</v>
      </c>
      <c r="W3" s="229">
        <f>J3</f>
        <v>5.2299999999999999E-2</v>
      </c>
      <c r="X3" s="58">
        <f>R3</f>
        <v>15804397875000</v>
      </c>
      <c r="Y3" s="105"/>
      <c r="Z3" s="202" t="s">
        <v>194</v>
      </c>
      <c r="AA3" s="204">
        <f>N3*50/F3</f>
        <v>1.7137913783950871</v>
      </c>
      <c r="AB3" s="205">
        <f>S3*50/F3</f>
        <v>42.715151650207382</v>
      </c>
      <c r="AE3" s="44" t="s">
        <v>231</v>
      </c>
      <c r="AF3" s="178">
        <f>R3/M3/10^6/$U$29</f>
        <v>24.924359049004444</v>
      </c>
    </row>
    <row r="4" spans="1:33" ht="14.4" customHeight="1" thickBot="1" x14ac:dyDescent="0.4">
      <c r="A4" s="241"/>
      <c r="B4" s="1" t="s">
        <v>91</v>
      </c>
      <c r="C4" s="55" t="s">
        <v>15</v>
      </c>
      <c r="D4" s="242"/>
      <c r="E4" s="22">
        <f>10+E3</f>
        <v>260</v>
      </c>
      <c r="F4" s="22">
        <f>E4/$E$26*100</f>
        <v>54.166666666666664</v>
      </c>
      <c r="G4" s="57">
        <f>G3-250</f>
        <v>230</v>
      </c>
      <c r="H4" s="57">
        <v>10</v>
      </c>
      <c r="I4" s="79">
        <v>271</v>
      </c>
      <c r="J4" s="80">
        <v>7.4800000000000005E-2</v>
      </c>
      <c r="K4" s="80">
        <v>3.0999999999999999E-3</v>
      </c>
      <c r="L4" s="81">
        <f>K4/J4*100</f>
        <v>4.1443850267379672</v>
      </c>
      <c r="M4" s="63">
        <f>J4*H4</f>
        <v>0.748</v>
      </c>
      <c r="N4" s="63">
        <f t="shared" ref="N4:N26" si="0">M4/SUM($M$3:$M$26,$M$28)*100</f>
        <v>0.1021284218482732</v>
      </c>
      <c r="O4" s="63">
        <f>N4+O3</f>
        <v>1.8873277743431556</v>
      </c>
      <c r="P4" s="64"/>
      <c r="Q4" s="82">
        <v>72834186000</v>
      </c>
      <c r="R4" s="58">
        <f>H4*Q4</f>
        <v>728341860000</v>
      </c>
      <c r="S4" s="63">
        <f>R4/SUM($R$3:$R$26,$R$28)*100</f>
        <v>2.0505390103780234</v>
      </c>
      <c r="T4" s="63">
        <f>S4+T3</f>
        <v>46.545488646010718</v>
      </c>
      <c r="U4" s="63">
        <f t="shared" ref="U4:U26" si="1">R4/M4/10^6</f>
        <v>973719.06417112309</v>
      </c>
      <c r="V4" s="181">
        <f t="shared" ref="V4:V29" si="2">U4/$U$29</f>
        <v>20.078044615478358</v>
      </c>
      <c r="W4" s="229">
        <f>($J$3*250+SUM($J$4:J4)*10)/SUM($H$3:H4)</f>
        <v>5.3165384615384607E-2</v>
      </c>
      <c r="X4" s="58">
        <f>R4+X3</f>
        <v>16532739735000</v>
      </c>
      <c r="Y4" s="105"/>
      <c r="Z4" s="197" t="s">
        <v>195</v>
      </c>
      <c r="AA4" s="109">
        <f>N3*(F3-50)/F3 + SUM(N4:N6) + N7*(60-F6)/(F7-F6)</f>
        <v>0.51561199501045329</v>
      </c>
      <c r="AB4" s="70">
        <f>S3*(F3-50)/F3 + SUM(S4:S6) + S7*(60-F6)/(F7-F6)</f>
        <v>9.0609233191462728</v>
      </c>
      <c r="AE4" s="214" t="s">
        <v>225</v>
      </c>
      <c r="AF4" s="215">
        <f>(SUM($R$3:R6)+(60-F6)*R7/(F7-F6))/(SUM($M$3:M6)+(60-F6)*M7/(F7-F6))/10^6/$U$29</f>
        <v>23.224184365641634</v>
      </c>
    </row>
    <row r="5" spans="1:33" ht="14.4" customHeight="1" thickBot="1" x14ac:dyDescent="0.4">
      <c r="A5" s="241"/>
      <c r="B5" s="1" t="s">
        <v>92</v>
      </c>
      <c r="C5" s="55" t="s">
        <v>17</v>
      </c>
      <c r="D5" s="242"/>
      <c r="E5" s="22">
        <f t="shared" ref="E5:E26" si="3">10+E4</f>
        <v>270</v>
      </c>
      <c r="F5" s="22">
        <f t="shared" ref="F5:F28" si="4">E5/$E$26*100</f>
        <v>56.25</v>
      </c>
      <c r="G5" s="57">
        <f>G4-10</f>
        <v>220</v>
      </c>
      <c r="H5" s="57">
        <v>10</v>
      </c>
      <c r="I5" s="79">
        <v>276</v>
      </c>
      <c r="J5" s="80">
        <v>9.2299999999999993E-2</v>
      </c>
      <c r="K5" s="80">
        <v>2.0999999999999999E-3</v>
      </c>
      <c r="L5" s="81">
        <f t="shared" ref="L5:L28" si="5">K5/J5*100</f>
        <v>2.2751895991332609</v>
      </c>
      <c r="M5" s="63">
        <f t="shared" ref="M5:M27" si="6">J5*H5</f>
        <v>0.92299999999999993</v>
      </c>
      <c r="N5" s="63">
        <f t="shared" si="0"/>
        <v>0.12602210343042267</v>
      </c>
      <c r="O5" s="63">
        <f>N5+O4</f>
        <v>2.0133498777735781</v>
      </c>
      <c r="P5" s="64"/>
      <c r="Q5" s="82">
        <v>66219748500</v>
      </c>
      <c r="R5" s="58">
        <f t="shared" ref="R5:R28" si="7">H5*Q5</f>
        <v>662197485000</v>
      </c>
      <c r="S5" s="63">
        <f t="shared" ref="S5:S26" si="8">R5/SUM($R$3:$R$26,$R$28)*100</f>
        <v>1.8643192848571359</v>
      </c>
      <c r="T5" s="63">
        <f>S5+T4</f>
        <v>48.409807930867856</v>
      </c>
      <c r="U5" s="63">
        <f t="shared" si="1"/>
        <v>717440.3954496209</v>
      </c>
      <c r="V5" s="181">
        <f t="shared" si="2"/>
        <v>14.793589649028787</v>
      </c>
      <c r="W5" s="229">
        <f>($J$3*250+SUM($J$4:J5)*10)/SUM($H$3:H5)</f>
        <v>5.461481481481481E-2</v>
      </c>
      <c r="X5" s="58">
        <f t="shared" ref="X5:X26" si="9">R5+X4</f>
        <v>17194937220000</v>
      </c>
      <c r="Y5" s="105"/>
      <c r="Z5" s="197" t="s">
        <v>196</v>
      </c>
      <c r="AA5" s="109">
        <f>N7*(F7-60)/(F7-F6) + SUM(N8:N11) + N12*(70-F11)/(F12-F11)</f>
        <v>0.79258755191072949</v>
      </c>
      <c r="AB5" s="70">
        <f>S7*(F7-60)/(F7-F6) + SUM(S8:S11) + S12*(70-F11)/(F12-F11)</f>
        <v>9.0901249243348783</v>
      </c>
      <c r="AE5" s="214" t="s">
        <v>235</v>
      </c>
      <c r="AF5" s="215">
        <f>SUM(R3:R10)/SUM(M3:M10)/10^6/$U$29</f>
        <v>21.186463147954527</v>
      </c>
    </row>
    <row r="6" spans="1:33" ht="15" thickBot="1" x14ac:dyDescent="0.4">
      <c r="A6" s="241"/>
      <c r="B6" s="1" t="s">
        <v>93</v>
      </c>
      <c r="C6" s="55" t="s">
        <v>19</v>
      </c>
      <c r="D6" s="242"/>
      <c r="E6" s="22">
        <f t="shared" si="3"/>
        <v>280</v>
      </c>
      <c r="F6" s="22">
        <f t="shared" si="4"/>
        <v>58.333333333333336</v>
      </c>
      <c r="G6" s="57">
        <f t="shared" ref="G6:G26" si="10">G5-10</f>
        <v>210</v>
      </c>
      <c r="H6" s="57">
        <v>10</v>
      </c>
      <c r="I6" s="79">
        <v>280</v>
      </c>
      <c r="J6" s="80">
        <v>8.2000000000000003E-2</v>
      </c>
      <c r="K6" s="80">
        <v>3.0999999999999999E-3</v>
      </c>
      <c r="L6" s="81">
        <f t="shared" si="5"/>
        <v>3.7804878048780486</v>
      </c>
      <c r="M6" s="63">
        <f t="shared" si="6"/>
        <v>0.82000000000000006</v>
      </c>
      <c r="N6" s="63">
        <f t="shared" si="0"/>
        <v>0.11195896512778615</v>
      </c>
      <c r="O6" s="63">
        <f t="shared" ref="O6:O25" si="11">N6+O5</f>
        <v>2.1253088429013642</v>
      </c>
      <c r="P6" s="64"/>
      <c r="Q6" s="82">
        <v>65054460000</v>
      </c>
      <c r="R6" s="58">
        <f t="shared" si="7"/>
        <v>650544600000</v>
      </c>
      <c r="S6" s="63">
        <f t="shared" si="8"/>
        <v>1.8315123069965622</v>
      </c>
      <c r="T6" s="63">
        <f t="shared" ref="T6:T26" si="12">S6+T5</f>
        <v>50.241320237864421</v>
      </c>
      <c r="U6" s="63">
        <f t="shared" si="1"/>
        <v>793347.07317073166</v>
      </c>
      <c r="V6" s="181">
        <f t="shared" si="2"/>
        <v>16.358782031489277</v>
      </c>
      <c r="W6" s="229">
        <f>($J$3*250+SUM($J$4:J6)*10)/SUM($H$3:H6)</f>
        <v>5.5592857142857138E-2</v>
      </c>
      <c r="X6" s="58">
        <f t="shared" si="9"/>
        <v>17845481820000</v>
      </c>
      <c r="Y6" s="105"/>
      <c r="Z6" s="197" t="s">
        <v>197</v>
      </c>
      <c r="AA6" s="109">
        <f>N12*(F12-70)/(F12-F11)+SUM(N13:N16)+N17*(80-F16)/(F17-F16)</f>
        <v>1.1701623350380237</v>
      </c>
      <c r="AB6" s="70">
        <f>S12*(F12-70)/(F12-F11)+SUM(S13:S16)+S17*(80-F16)/(F17-F16)</f>
        <v>8.5304792581417281</v>
      </c>
      <c r="AE6" s="214" t="s">
        <v>232</v>
      </c>
      <c r="AF6" s="215">
        <f>(SUM($R$3:R11)+(70-F11)*R12/(F12-F11))/(SUM($M$3:M11)+(70-F11)*M12/(F12-F11))/10^6/$U$29</f>
        <v>20.141092874830036</v>
      </c>
    </row>
    <row r="7" spans="1:33" ht="15" thickBot="1" x14ac:dyDescent="0.4">
      <c r="A7" s="241"/>
      <c r="B7" s="1" t="s">
        <v>94</v>
      </c>
      <c r="C7" s="55" t="s">
        <v>21</v>
      </c>
      <c r="D7" s="242"/>
      <c r="E7" s="22">
        <f t="shared" si="3"/>
        <v>290</v>
      </c>
      <c r="F7" s="22">
        <f t="shared" si="4"/>
        <v>60.416666666666664</v>
      </c>
      <c r="G7" s="57">
        <f t="shared" si="10"/>
        <v>200</v>
      </c>
      <c r="H7" s="57">
        <v>10</v>
      </c>
      <c r="I7" s="79">
        <v>287</v>
      </c>
      <c r="J7" s="80">
        <v>9.5299999999999996E-2</v>
      </c>
      <c r="K7" s="80">
        <v>5.1000000000000004E-3</v>
      </c>
      <c r="L7" s="81">
        <f t="shared" si="5"/>
        <v>5.3515215110178396</v>
      </c>
      <c r="M7" s="63">
        <f t="shared" si="6"/>
        <v>0.95299999999999996</v>
      </c>
      <c r="N7" s="63">
        <f t="shared" si="0"/>
        <v>0.13011816313021973</v>
      </c>
      <c r="O7" s="63">
        <f t="shared" si="11"/>
        <v>2.2554270060315842</v>
      </c>
      <c r="P7" s="64"/>
      <c r="Q7" s="82">
        <v>68142212250</v>
      </c>
      <c r="R7" s="58">
        <f t="shared" si="7"/>
        <v>681422122500</v>
      </c>
      <c r="S7" s="63">
        <f t="shared" si="8"/>
        <v>1.9184434143615505</v>
      </c>
      <c r="T7" s="63">
        <f t="shared" si="12"/>
        <v>52.159763652225969</v>
      </c>
      <c r="U7" s="63">
        <f t="shared" si="1"/>
        <v>715028.46012591827</v>
      </c>
      <c r="V7" s="181">
        <f t="shared" si="2"/>
        <v>14.743855647897595</v>
      </c>
      <c r="W7" s="229">
        <f>($J$3*250+SUM($J$4:J7)*10)/SUM($H$3:H7)</f>
        <v>5.6962068965517233E-2</v>
      </c>
      <c r="X7" s="58">
        <f t="shared" si="9"/>
        <v>18526903942500</v>
      </c>
      <c r="Y7" s="105"/>
      <c r="Z7" s="197" t="s">
        <v>198</v>
      </c>
      <c r="AA7" s="109">
        <f>N17*(F17-80)/(F17-F16)+SUM(N18:N21)+N22*(90-F21)/(F22-F21)</f>
        <v>4.0663223063765237</v>
      </c>
      <c r="AB7" s="70">
        <f>S17*(F17-80)/(F17-F16)+SUM(S18:S21)+S22*(90-F21)/(F22-F21)</f>
        <v>9.213086012329569</v>
      </c>
      <c r="AE7" s="214" t="s">
        <v>228</v>
      </c>
      <c r="AF7" s="215">
        <f>(SUM(R3:R16)+(80-F16)*R17/(F17-F16))/(SUM(M3:M16)+(80-F16)*M17/(F17-F16))/10^6/U29</f>
        <v>16.553946108822682</v>
      </c>
    </row>
    <row r="8" spans="1:33" ht="15" thickBot="1" x14ac:dyDescent="0.4">
      <c r="A8" s="241"/>
      <c r="B8" s="1" t="s">
        <v>95</v>
      </c>
      <c r="C8" s="55" t="s">
        <v>23</v>
      </c>
      <c r="D8" s="242"/>
      <c r="E8" s="22">
        <f t="shared" si="3"/>
        <v>300</v>
      </c>
      <c r="F8" s="22">
        <f t="shared" si="4"/>
        <v>62.5</v>
      </c>
      <c r="G8" s="57">
        <f t="shared" si="10"/>
        <v>190</v>
      </c>
      <c r="H8" s="57">
        <v>10</v>
      </c>
      <c r="I8" s="79">
        <v>290</v>
      </c>
      <c r="J8" s="80">
        <v>0.13120000000000001</v>
      </c>
      <c r="K8" s="80">
        <v>6.1999999999999998E-3</v>
      </c>
      <c r="L8" s="81">
        <f t="shared" si="5"/>
        <v>4.7256097560975601</v>
      </c>
      <c r="M8" s="63">
        <f t="shared" si="6"/>
        <v>1.3120000000000001</v>
      </c>
      <c r="N8" s="63">
        <f t="shared" si="0"/>
        <v>0.17913434420445784</v>
      </c>
      <c r="O8" s="63">
        <f t="shared" si="11"/>
        <v>2.4345613502360419</v>
      </c>
      <c r="P8" s="64"/>
      <c r="Q8" s="82">
        <v>65312526500</v>
      </c>
      <c r="R8" s="58">
        <f t="shared" si="7"/>
        <v>653125265000</v>
      </c>
      <c r="S8" s="63">
        <f t="shared" si="8"/>
        <v>1.8387777884220253</v>
      </c>
      <c r="T8" s="63">
        <f t="shared" si="12"/>
        <v>53.998541440647998</v>
      </c>
      <c r="U8" s="63">
        <f t="shared" si="1"/>
        <v>497808.89100609755</v>
      </c>
      <c r="V8" s="181">
        <f t="shared" si="2"/>
        <v>10.264797610910991</v>
      </c>
      <c r="W8" s="229">
        <f>($J$3*250+SUM($J$4:J8)*10)/SUM($H$3:H8)</f>
        <v>5.9436666666666665E-2</v>
      </c>
      <c r="X8" s="58">
        <f t="shared" si="9"/>
        <v>19180029207500</v>
      </c>
      <c r="Y8" s="105"/>
      <c r="Z8" s="197" t="s">
        <v>199</v>
      </c>
      <c r="AA8" s="109">
        <f>N22*(F22-90)/(F22-F21)+SUM(N23:N26)</f>
        <v>5.3435829490319131</v>
      </c>
      <c r="AB8" s="70">
        <f>S22*(F22-90)/(F22-F21)+SUM(S23:S26)</f>
        <v>8.900428377948403</v>
      </c>
      <c r="AE8" s="214" t="s">
        <v>233</v>
      </c>
      <c r="AF8" s="215">
        <f>(SUM($R$3:R21)+(90-F21)*R22/(F22-F21))/(SUM($M$3:M21)+(90-F21)*M22/(F22-F21))/10^6/$U$29</f>
        <v>9.5186774519063135</v>
      </c>
    </row>
    <row r="9" spans="1:33" ht="15" thickBot="1" x14ac:dyDescent="0.4">
      <c r="A9" s="241"/>
      <c r="B9" s="1" t="s">
        <v>96</v>
      </c>
      <c r="C9" s="55" t="s">
        <v>25</v>
      </c>
      <c r="D9" s="242"/>
      <c r="E9" s="22">
        <f t="shared" si="3"/>
        <v>310</v>
      </c>
      <c r="F9" s="22">
        <f t="shared" si="4"/>
        <v>64.583333333333343</v>
      </c>
      <c r="G9" s="57">
        <f t="shared" si="10"/>
        <v>180</v>
      </c>
      <c r="H9" s="57">
        <v>10</v>
      </c>
      <c r="I9" s="79">
        <v>294</v>
      </c>
      <c r="J9" s="80">
        <v>9.64E-2</v>
      </c>
      <c r="K9" s="80">
        <v>6.1999999999999998E-3</v>
      </c>
      <c r="L9" s="81">
        <f t="shared" si="5"/>
        <v>6.4315352697095429</v>
      </c>
      <c r="M9" s="63">
        <f t="shared" si="6"/>
        <v>0.96399999999999997</v>
      </c>
      <c r="N9" s="63">
        <f t="shared" si="0"/>
        <v>0.13162005168681198</v>
      </c>
      <c r="O9" s="63">
        <f t="shared" si="11"/>
        <v>2.5661814019228539</v>
      </c>
      <c r="P9" s="64"/>
      <c r="Q9" s="82">
        <v>63675885500</v>
      </c>
      <c r="R9" s="58">
        <f t="shared" si="7"/>
        <v>636758855000</v>
      </c>
      <c r="S9" s="63">
        <f t="shared" si="8"/>
        <v>1.792700576596193</v>
      </c>
      <c r="T9" s="63">
        <f t="shared" si="12"/>
        <v>55.791242017244187</v>
      </c>
      <c r="U9" s="63">
        <f t="shared" si="1"/>
        <v>660538.2313278009</v>
      </c>
      <c r="V9" s="181">
        <f t="shared" si="2"/>
        <v>13.620269507733504</v>
      </c>
      <c r="W9" s="229">
        <f>($J$3*250+SUM($J$4:J9)*10)/SUM($H$3:H9)</f>
        <v>6.0629032258064521E-2</v>
      </c>
      <c r="X9" s="58">
        <f t="shared" si="9"/>
        <v>19816788062500</v>
      </c>
      <c r="Y9" s="105"/>
      <c r="Z9" s="198" t="s">
        <v>205</v>
      </c>
      <c r="AA9" s="201">
        <f>N28</f>
        <v>86.397941484237265</v>
      </c>
      <c r="AB9" s="199">
        <f>S28</f>
        <v>12.489806457891762</v>
      </c>
      <c r="AE9" s="44" t="s">
        <v>214</v>
      </c>
      <c r="AF9" s="178">
        <f>SUM($R$3:R26)/SUM($M$3:M26)/10^6/$U$29</f>
        <v>6.4335992556345172</v>
      </c>
    </row>
    <row r="10" spans="1:33" ht="15" thickBot="1" x14ac:dyDescent="0.4">
      <c r="A10" s="241"/>
      <c r="B10" s="1" t="s">
        <v>97</v>
      </c>
      <c r="C10" s="55" t="s">
        <v>27</v>
      </c>
      <c r="D10" s="242"/>
      <c r="E10" s="22">
        <f t="shared" si="3"/>
        <v>320</v>
      </c>
      <c r="F10" s="22">
        <f t="shared" si="4"/>
        <v>66.666666666666657</v>
      </c>
      <c r="G10" s="57">
        <f t="shared" si="10"/>
        <v>170</v>
      </c>
      <c r="H10" s="57">
        <v>10</v>
      </c>
      <c r="I10" s="79">
        <v>299</v>
      </c>
      <c r="J10" s="80">
        <v>0.10970000000000001</v>
      </c>
      <c r="K10" s="80">
        <v>5.1000000000000004E-3</v>
      </c>
      <c r="L10" s="81">
        <f t="shared" si="5"/>
        <v>4.649042844120328</v>
      </c>
      <c r="M10" s="63">
        <f t="shared" si="6"/>
        <v>1.097</v>
      </c>
      <c r="N10" s="63">
        <f t="shared" si="0"/>
        <v>0.14977924968924561</v>
      </c>
      <c r="O10" s="63">
        <f t="shared" si="11"/>
        <v>2.7159606516120993</v>
      </c>
      <c r="P10" s="64"/>
      <c r="Q10" s="82">
        <v>62171905500</v>
      </c>
      <c r="R10" s="58">
        <f t="shared" si="7"/>
        <v>621719055000</v>
      </c>
      <c r="S10" s="63">
        <f t="shared" si="8"/>
        <v>1.7503582394301216</v>
      </c>
      <c r="T10" s="63">
        <f t="shared" si="12"/>
        <v>57.541600256674307</v>
      </c>
      <c r="U10" s="63">
        <f t="shared" si="1"/>
        <v>566744.80856882408</v>
      </c>
      <c r="V10" s="181">
        <f t="shared" si="2"/>
        <v>11.686253223071128</v>
      </c>
      <c r="W10" s="229">
        <f>($J$3*250+SUM($J$4:J10)*10)/SUM($H$3:H10)</f>
        <v>6.2162499999999996E-2</v>
      </c>
      <c r="X10" s="58">
        <f t="shared" si="9"/>
        <v>20438507117500</v>
      </c>
      <c r="Y10" s="105"/>
      <c r="Z10" s="200" t="s">
        <v>122</v>
      </c>
      <c r="AA10" s="49">
        <f>SUM(AA3:AA9)</f>
        <v>100</v>
      </c>
      <c r="AB10" s="178">
        <f>SUM(AB3:AB9)</f>
        <v>100</v>
      </c>
    </row>
    <row r="11" spans="1:33" x14ac:dyDescent="0.35">
      <c r="A11" s="241"/>
      <c r="B11" s="1" t="s">
        <v>98</v>
      </c>
      <c r="C11" s="55" t="s">
        <v>29</v>
      </c>
      <c r="D11" s="242"/>
      <c r="E11" s="22">
        <f t="shared" si="3"/>
        <v>330</v>
      </c>
      <c r="F11" s="22">
        <f t="shared" si="4"/>
        <v>68.75</v>
      </c>
      <c r="G11" s="57">
        <f t="shared" si="10"/>
        <v>160</v>
      </c>
      <c r="H11" s="57">
        <v>10</v>
      </c>
      <c r="I11" s="79">
        <v>308</v>
      </c>
      <c r="J11" s="80">
        <v>0.15279999999999999</v>
      </c>
      <c r="K11" s="80">
        <v>7.1999999999999998E-3</v>
      </c>
      <c r="L11" s="81">
        <f t="shared" si="5"/>
        <v>4.7120418848167542</v>
      </c>
      <c r="M11" s="63">
        <f t="shared" si="6"/>
        <v>1.528</v>
      </c>
      <c r="N11" s="63">
        <f t="shared" si="0"/>
        <v>0.2086259740429966</v>
      </c>
      <c r="O11" s="63">
        <f t="shared" si="11"/>
        <v>2.9245866256550959</v>
      </c>
      <c r="P11" s="64"/>
      <c r="Q11" s="82">
        <v>79747866500</v>
      </c>
      <c r="R11" s="58">
        <f t="shared" si="7"/>
        <v>797478665000</v>
      </c>
      <c r="S11" s="63">
        <f t="shared" si="8"/>
        <v>2.2451834809092084</v>
      </c>
      <c r="T11" s="63">
        <f t="shared" si="12"/>
        <v>59.786783737583519</v>
      </c>
      <c r="U11" s="63">
        <f t="shared" si="1"/>
        <v>521910.12107329839</v>
      </c>
      <c r="V11" s="181">
        <f t="shared" si="2"/>
        <v>10.761763923251902</v>
      </c>
      <c r="W11" s="229">
        <f>($J$3*250+SUM($J$4:J11)*10)/SUM($H$3:H11)</f>
        <v>6.4909090909090916E-2</v>
      </c>
      <c r="X11" s="58">
        <f t="shared" si="9"/>
        <v>21235985782500</v>
      </c>
      <c r="Y11" s="105"/>
    </row>
    <row r="12" spans="1:33" ht="15" thickBot="1" x14ac:dyDescent="0.4">
      <c r="A12" s="241"/>
      <c r="B12" s="1" t="s">
        <v>99</v>
      </c>
      <c r="C12" s="55" t="s">
        <v>31</v>
      </c>
      <c r="D12" s="242"/>
      <c r="E12" s="22">
        <f t="shared" si="3"/>
        <v>340</v>
      </c>
      <c r="F12" s="22">
        <f t="shared" si="4"/>
        <v>70.833333333333343</v>
      </c>
      <c r="G12" s="57">
        <f t="shared" si="10"/>
        <v>150</v>
      </c>
      <c r="H12" s="57">
        <v>10</v>
      </c>
      <c r="I12" s="79">
        <v>315</v>
      </c>
      <c r="J12" s="80">
        <v>0.11890000000000001</v>
      </c>
      <c r="K12" s="80">
        <v>6.1999999999999998E-3</v>
      </c>
      <c r="L12" s="81">
        <f t="shared" si="5"/>
        <v>5.2144659377628262</v>
      </c>
      <c r="M12" s="63">
        <f t="shared" si="6"/>
        <v>1.1890000000000001</v>
      </c>
      <c r="N12" s="63">
        <f t="shared" si="0"/>
        <v>0.16234049943528991</v>
      </c>
      <c r="O12" s="63">
        <f t="shared" si="11"/>
        <v>3.0869271250903858</v>
      </c>
      <c r="P12" s="64"/>
      <c r="Q12" s="82">
        <v>63900594500</v>
      </c>
      <c r="R12" s="58">
        <f t="shared" si="7"/>
        <v>639005945000</v>
      </c>
      <c r="S12" s="63">
        <f t="shared" si="8"/>
        <v>1.7990269268417083</v>
      </c>
      <c r="T12" s="63">
        <f t="shared" si="12"/>
        <v>61.585810664425225</v>
      </c>
      <c r="U12" s="63">
        <f t="shared" si="1"/>
        <v>537431.40874684602</v>
      </c>
      <c r="V12" s="181">
        <f t="shared" si="2"/>
        <v>11.081812197817055</v>
      </c>
      <c r="W12" s="229">
        <f>($J$3*250+SUM($J$4:J12)*10)/SUM($H$3:H12)</f>
        <v>6.6497058823529423E-2</v>
      </c>
      <c r="X12" s="58">
        <f t="shared" si="9"/>
        <v>21874991727500</v>
      </c>
      <c r="Y12" s="105"/>
      <c r="AF12" s="11"/>
    </row>
    <row r="13" spans="1:33" x14ac:dyDescent="0.35">
      <c r="A13" s="241"/>
      <c r="B13" s="1" t="s">
        <v>100</v>
      </c>
      <c r="C13" s="55" t="s">
        <v>33</v>
      </c>
      <c r="D13" s="242"/>
      <c r="E13" s="22">
        <f t="shared" si="3"/>
        <v>350</v>
      </c>
      <c r="F13" s="22">
        <f t="shared" si="4"/>
        <v>72.916666666666657</v>
      </c>
      <c r="G13" s="57">
        <f t="shared" si="10"/>
        <v>140</v>
      </c>
      <c r="H13" s="57">
        <v>10</v>
      </c>
      <c r="I13" s="79">
        <v>326</v>
      </c>
      <c r="J13" s="80">
        <v>0.13639999999999999</v>
      </c>
      <c r="K13" s="80">
        <v>7.1999999999999998E-3</v>
      </c>
      <c r="L13" s="81">
        <f t="shared" si="5"/>
        <v>5.2785923753665687</v>
      </c>
      <c r="M13" s="63">
        <f t="shared" si="6"/>
        <v>1.3639999999999999</v>
      </c>
      <c r="N13" s="63">
        <f t="shared" si="0"/>
        <v>0.18623418101743938</v>
      </c>
      <c r="O13" s="63">
        <f t="shared" si="11"/>
        <v>3.2731613061078253</v>
      </c>
      <c r="P13" s="64"/>
      <c r="Q13" s="82">
        <v>61239022500</v>
      </c>
      <c r="R13" s="58">
        <f t="shared" si="7"/>
        <v>612390225000</v>
      </c>
      <c r="S13" s="63">
        <f t="shared" si="8"/>
        <v>1.724094295413249</v>
      </c>
      <c r="T13" s="63">
        <f t="shared" si="12"/>
        <v>63.309904959838477</v>
      </c>
      <c r="U13" s="63">
        <f t="shared" si="1"/>
        <v>448966.44061583583</v>
      </c>
      <c r="V13" s="181">
        <f t="shared" si="2"/>
        <v>9.2576684150789781</v>
      </c>
      <c r="W13" s="229">
        <f>($J$3*250+SUM($J$4:J13)*10)/SUM($H$3:H13)</f>
        <v>6.8494285714285716E-2</v>
      </c>
      <c r="X13" s="58">
        <f t="shared" si="9"/>
        <v>22487381952500</v>
      </c>
      <c r="Y13" s="105"/>
      <c r="Z13" s="206" t="s">
        <v>211</v>
      </c>
      <c r="AA13" s="207" t="s">
        <v>212</v>
      </c>
      <c r="AF13" s="11"/>
    </row>
    <row r="14" spans="1:33" x14ac:dyDescent="0.35">
      <c r="A14" s="241"/>
      <c r="B14" s="1" t="s">
        <v>101</v>
      </c>
      <c r="C14" s="55" t="s">
        <v>35</v>
      </c>
      <c r="D14" s="242"/>
      <c r="E14" s="22">
        <f t="shared" si="3"/>
        <v>360</v>
      </c>
      <c r="F14" s="22">
        <f t="shared" si="4"/>
        <v>75</v>
      </c>
      <c r="G14" s="57">
        <f t="shared" si="10"/>
        <v>130</v>
      </c>
      <c r="H14" s="57">
        <v>10</v>
      </c>
      <c r="I14" s="79">
        <v>339</v>
      </c>
      <c r="J14" s="80">
        <v>0.1804</v>
      </c>
      <c r="K14" s="80">
        <v>1.1299999999999999E-2</v>
      </c>
      <c r="L14" s="81">
        <f t="shared" si="5"/>
        <v>6.2638580931263856</v>
      </c>
      <c r="M14" s="63">
        <f t="shared" si="6"/>
        <v>1.804</v>
      </c>
      <c r="N14" s="63">
        <f t="shared" si="0"/>
        <v>0.24630972328112949</v>
      </c>
      <c r="O14" s="63">
        <f t="shared" si="11"/>
        <v>3.5194710293889546</v>
      </c>
      <c r="P14" s="64"/>
      <c r="Q14" s="82">
        <v>63817690000</v>
      </c>
      <c r="R14" s="58">
        <f t="shared" si="7"/>
        <v>638176900000</v>
      </c>
      <c r="S14" s="63">
        <f t="shared" si="8"/>
        <v>1.796692873003503</v>
      </c>
      <c r="T14" s="63">
        <f t="shared" si="12"/>
        <v>65.106597832841985</v>
      </c>
      <c r="U14" s="63">
        <f t="shared" si="1"/>
        <v>353756.59645232814</v>
      </c>
      <c r="V14" s="181">
        <f t="shared" si="2"/>
        <v>7.2944455828599954</v>
      </c>
      <c r="W14" s="229">
        <f>($J$3*250+SUM($J$4:J14)*10)/SUM($H$3:H14)</f>
        <v>7.1602777777777779E-2</v>
      </c>
      <c r="X14" s="58">
        <f t="shared" si="9"/>
        <v>23125558852500</v>
      </c>
      <c r="Y14" s="105"/>
      <c r="Z14" s="208" t="s">
        <v>206</v>
      </c>
      <c r="AA14" s="209">
        <f>SUM(H3:H10)</f>
        <v>320</v>
      </c>
      <c r="AF14" s="11"/>
    </row>
    <row r="15" spans="1:33" x14ac:dyDescent="0.35">
      <c r="A15" s="241"/>
      <c r="B15" s="1" t="s">
        <v>102</v>
      </c>
      <c r="C15" s="55" t="s">
        <v>37</v>
      </c>
      <c r="D15" s="242"/>
      <c r="E15" s="22">
        <f t="shared" si="3"/>
        <v>370</v>
      </c>
      <c r="F15" s="22">
        <f t="shared" si="4"/>
        <v>77.083333333333343</v>
      </c>
      <c r="G15" s="57">
        <f t="shared" si="10"/>
        <v>120</v>
      </c>
      <c r="H15" s="57">
        <v>10</v>
      </c>
      <c r="I15" s="79">
        <v>348</v>
      </c>
      <c r="J15" s="80">
        <v>0.1845</v>
      </c>
      <c r="K15" s="80">
        <v>1.23E-2</v>
      </c>
      <c r="L15" s="81">
        <f t="shared" si="5"/>
        <v>6.666666666666667</v>
      </c>
      <c r="M15" s="63">
        <f t="shared" si="6"/>
        <v>1.845</v>
      </c>
      <c r="N15" s="63">
        <f t="shared" si="0"/>
        <v>0.25190767153751881</v>
      </c>
      <c r="O15" s="63">
        <f t="shared" si="11"/>
        <v>3.7713787009264736</v>
      </c>
      <c r="P15" s="64"/>
      <c r="Q15" s="82">
        <v>69790513250</v>
      </c>
      <c r="R15" s="58">
        <f t="shared" si="7"/>
        <v>697905132500</v>
      </c>
      <c r="S15" s="63">
        <f t="shared" si="8"/>
        <v>1.9648488962783131</v>
      </c>
      <c r="T15" s="63">
        <f t="shared" si="12"/>
        <v>67.071446729120296</v>
      </c>
      <c r="U15" s="63">
        <f t="shared" si="1"/>
        <v>378268.36449864501</v>
      </c>
      <c r="V15" s="181">
        <f t="shared" si="2"/>
        <v>7.7998771704166661</v>
      </c>
      <c r="W15" s="229">
        <f>($J$3*250+SUM($J$4:J15)*10)/SUM($H$3:H15)</f>
        <v>7.465405405405405E-2</v>
      </c>
      <c r="X15" s="58">
        <f t="shared" si="9"/>
        <v>23823463985000</v>
      </c>
      <c r="Y15" s="105"/>
      <c r="Z15" s="208" t="s">
        <v>207</v>
      </c>
      <c r="AA15" s="209">
        <f>AA14/G27</f>
        <v>0.66666666666666663</v>
      </c>
      <c r="AF15" s="11"/>
    </row>
    <row r="16" spans="1:33" x14ac:dyDescent="0.35">
      <c r="A16" s="241"/>
      <c r="B16" s="1" t="s">
        <v>103</v>
      </c>
      <c r="C16" s="55" t="s">
        <v>39</v>
      </c>
      <c r="D16" s="242"/>
      <c r="E16" s="22">
        <f t="shared" si="3"/>
        <v>380</v>
      </c>
      <c r="F16" s="22">
        <f t="shared" si="4"/>
        <v>79.166666666666657</v>
      </c>
      <c r="G16" s="57">
        <f t="shared" si="10"/>
        <v>110</v>
      </c>
      <c r="H16" s="57">
        <v>10</v>
      </c>
      <c r="I16" s="79">
        <v>359</v>
      </c>
      <c r="J16" s="80">
        <v>0.20810000000000001</v>
      </c>
      <c r="K16" s="80">
        <v>1.1299999999999999E-2</v>
      </c>
      <c r="L16" s="81">
        <f t="shared" si="5"/>
        <v>5.4300816914944736</v>
      </c>
      <c r="M16" s="63">
        <f t="shared" si="6"/>
        <v>2.081</v>
      </c>
      <c r="N16" s="63">
        <f t="shared" si="0"/>
        <v>0.28413000784258896</v>
      </c>
      <c r="O16" s="63">
        <f t="shared" si="11"/>
        <v>4.0555087087690627</v>
      </c>
      <c r="P16" s="64"/>
      <c r="Q16" s="82">
        <v>59306339750</v>
      </c>
      <c r="R16" s="58">
        <f t="shared" si="7"/>
        <v>593063397500</v>
      </c>
      <c r="S16" s="63">
        <f t="shared" si="8"/>
        <v>1.6696824650461233</v>
      </c>
      <c r="T16" s="63">
        <f t="shared" si="12"/>
        <v>68.741129194166419</v>
      </c>
      <c r="U16" s="63">
        <f t="shared" si="1"/>
        <v>284989.61917347432</v>
      </c>
      <c r="V16" s="181">
        <f t="shared" si="2"/>
        <v>5.8764735119816898</v>
      </c>
      <c r="W16" s="229">
        <f>($J$3*250+SUM($J$4:J16)*10)/SUM($H$3:H16)</f>
        <v>7.8165789473684202E-2</v>
      </c>
      <c r="X16" s="58">
        <f t="shared" si="9"/>
        <v>24416527382500</v>
      </c>
      <c r="Y16" s="105"/>
      <c r="Z16" s="210" t="s">
        <v>213</v>
      </c>
      <c r="AA16" s="211">
        <f>SUM(R3:R10)</f>
        <v>20438507117500</v>
      </c>
    </row>
    <row r="17" spans="1:31" x14ac:dyDescent="0.35">
      <c r="A17" s="241"/>
      <c r="B17" s="1" t="s">
        <v>104</v>
      </c>
      <c r="C17" s="55" t="s">
        <v>41</v>
      </c>
      <c r="D17" s="242"/>
      <c r="E17" s="22">
        <f t="shared" si="3"/>
        <v>390</v>
      </c>
      <c r="F17" s="22">
        <f t="shared" si="4"/>
        <v>81.25</v>
      </c>
      <c r="G17" s="57">
        <f t="shared" si="10"/>
        <v>100</v>
      </c>
      <c r="H17" s="57">
        <v>10</v>
      </c>
      <c r="I17" s="79">
        <v>371</v>
      </c>
      <c r="J17" s="80">
        <v>0.25019999999999998</v>
      </c>
      <c r="K17" s="80">
        <v>5.1000000000000004E-3</v>
      </c>
      <c r="L17" s="81">
        <f t="shared" si="5"/>
        <v>2.0383693045563551</v>
      </c>
      <c r="M17" s="63">
        <f t="shared" si="6"/>
        <v>2.5019999999999998</v>
      </c>
      <c r="N17" s="63">
        <f t="shared" si="0"/>
        <v>0.34161137896307425</v>
      </c>
      <c r="O17" s="63">
        <f t="shared" si="11"/>
        <v>4.3971200877321373</v>
      </c>
      <c r="P17" s="64"/>
      <c r="Q17" s="82">
        <v>58212069250</v>
      </c>
      <c r="R17" s="58">
        <f t="shared" si="7"/>
        <v>582120692500</v>
      </c>
      <c r="S17" s="63">
        <f t="shared" si="8"/>
        <v>1.6388748941596187</v>
      </c>
      <c r="T17" s="63">
        <f t="shared" si="12"/>
        <v>70.380004088326032</v>
      </c>
      <c r="U17" s="63">
        <f t="shared" si="1"/>
        <v>232662.14728217429</v>
      </c>
      <c r="V17" s="181">
        <f t="shared" si="2"/>
        <v>4.7974833248653868</v>
      </c>
      <c r="W17" s="229">
        <f>($J$3*250+SUM($J$4:J17)*10)/SUM($H$3:H17)</f>
        <v>8.2576923076923076E-2</v>
      </c>
      <c r="X17" s="58">
        <f t="shared" si="9"/>
        <v>24998648075000</v>
      </c>
      <c r="Y17" s="105"/>
      <c r="Z17" s="208" t="s">
        <v>208</v>
      </c>
      <c r="AA17" s="211">
        <f>AA16/AA14</f>
        <v>63870334742.1875</v>
      </c>
    </row>
    <row r="18" spans="1:31" x14ac:dyDescent="0.35">
      <c r="A18" s="241"/>
      <c r="B18" s="1" t="s">
        <v>105</v>
      </c>
      <c r="C18" s="55" t="s">
        <v>43</v>
      </c>
      <c r="D18" s="242"/>
      <c r="E18" s="22">
        <f t="shared" si="3"/>
        <v>400</v>
      </c>
      <c r="F18" s="22">
        <f t="shared" si="4"/>
        <v>83.333333333333343</v>
      </c>
      <c r="G18" s="57">
        <f t="shared" si="10"/>
        <v>90</v>
      </c>
      <c r="H18" s="57">
        <v>10</v>
      </c>
      <c r="I18" s="79">
        <v>393</v>
      </c>
      <c r="J18" s="80">
        <v>0.3004</v>
      </c>
      <c r="K18" s="80">
        <v>1.1299999999999999E-2</v>
      </c>
      <c r="L18" s="81">
        <f t="shared" si="5"/>
        <v>3.7616511318242338</v>
      </c>
      <c r="M18" s="63">
        <f t="shared" si="6"/>
        <v>3.004</v>
      </c>
      <c r="N18" s="63">
        <f t="shared" si="0"/>
        <v>0.41015211127301165</v>
      </c>
      <c r="O18" s="63">
        <f t="shared" si="11"/>
        <v>4.8072721990051486</v>
      </c>
      <c r="P18" s="64"/>
      <c r="Q18" s="82">
        <v>57968477500</v>
      </c>
      <c r="R18" s="58">
        <f t="shared" si="7"/>
        <v>579684775000</v>
      </c>
      <c r="S18" s="63">
        <f t="shared" si="8"/>
        <v>1.6320169279570276</v>
      </c>
      <c r="T18" s="63">
        <f t="shared" si="12"/>
        <v>72.012021016283057</v>
      </c>
      <c r="U18" s="63">
        <f t="shared" si="1"/>
        <v>192970.96371504659</v>
      </c>
      <c r="V18" s="181">
        <f t="shared" si="2"/>
        <v>3.9790528516155792</v>
      </c>
      <c r="W18" s="234">
        <f>($J$3*250+SUM($J$4:J18)*10)/SUM($H$3:H18)</f>
        <v>8.8022500000000004E-2</v>
      </c>
      <c r="X18" s="235">
        <f t="shared" si="9"/>
        <v>25578332850000</v>
      </c>
      <c r="Y18" s="105"/>
      <c r="Z18" s="208" t="s">
        <v>209</v>
      </c>
      <c r="AA18" s="211">
        <f>Q31</f>
        <v>54211751000</v>
      </c>
      <c r="AE18" s="216"/>
    </row>
    <row r="19" spans="1:31" ht="15" thickBot="1" x14ac:dyDescent="0.4">
      <c r="A19" s="241"/>
      <c r="B19" s="1" t="s">
        <v>106</v>
      </c>
      <c r="C19" s="55" t="s">
        <v>45</v>
      </c>
      <c r="D19" s="242"/>
      <c r="E19" s="22">
        <f t="shared" si="3"/>
        <v>410</v>
      </c>
      <c r="F19" s="22">
        <f t="shared" si="4"/>
        <v>85.416666666666657</v>
      </c>
      <c r="G19" s="57">
        <f t="shared" si="10"/>
        <v>80</v>
      </c>
      <c r="H19" s="57">
        <v>10</v>
      </c>
      <c r="I19" s="79">
        <v>436</v>
      </c>
      <c r="J19" s="80">
        <v>0.37009999999999998</v>
      </c>
      <c r="K19" s="80">
        <v>1.8499999999999999E-2</v>
      </c>
      <c r="L19" s="81">
        <f t="shared" si="5"/>
        <v>4.9986490137800592</v>
      </c>
      <c r="M19" s="63">
        <f t="shared" si="6"/>
        <v>3.7009999999999996</v>
      </c>
      <c r="N19" s="63">
        <f t="shared" si="0"/>
        <v>0.50531723163162989</v>
      </c>
      <c r="O19" s="63">
        <f t="shared" si="11"/>
        <v>5.3125894306367787</v>
      </c>
      <c r="P19" s="64"/>
      <c r="Q19" s="82">
        <v>82974868500</v>
      </c>
      <c r="R19" s="58">
        <f t="shared" si="7"/>
        <v>829748685000</v>
      </c>
      <c r="S19" s="63">
        <f t="shared" si="8"/>
        <v>2.3360349594658292</v>
      </c>
      <c r="T19" s="63">
        <f t="shared" si="12"/>
        <v>74.348055975748892</v>
      </c>
      <c r="U19" s="63">
        <f t="shared" si="1"/>
        <v>224195.80788975954</v>
      </c>
      <c r="V19" s="181">
        <f t="shared" si="2"/>
        <v>4.6229077760181561</v>
      </c>
      <c r="W19" s="234">
        <f>($J$3*250+SUM($J$4:J19)*10)/SUM($H$3:H19)</f>
        <v>9.4902439024390231E-2</v>
      </c>
      <c r="X19" s="235">
        <f t="shared" si="9"/>
        <v>26408081535000</v>
      </c>
      <c r="Y19" s="105"/>
      <c r="Z19" s="212" t="s">
        <v>210</v>
      </c>
      <c r="AA19" s="213">
        <f>AA18/AA17</f>
        <v>0.84877825079241631</v>
      </c>
    </row>
    <row r="20" spans="1:31" x14ac:dyDescent="0.35">
      <c r="A20" s="241"/>
      <c r="B20" s="1" t="s">
        <v>107</v>
      </c>
      <c r="C20" s="55" t="s">
        <v>47</v>
      </c>
      <c r="D20" s="242"/>
      <c r="E20" s="22">
        <f t="shared" si="3"/>
        <v>420</v>
      </c>
      <c r="F20" s="22">
        <f t="shared" si="4"/>
        <v>87.5</v>
      </c>
      <c r="G20" s="57">
        <f t="shared" si="10"/>
        <v>70</v>
      </c>
      <c r="H20" s="57">
        <v>10</v>
      </c>
      <c r="I20" s="79">
        <v>742</v>
      </c>
      <c r="J20" s="80">
        <v>1.1440999999999999</v>
      </c>
      <c r="K20" s="80">
        <v>2.7699999999999999E-2</v>
      </c>
      <c r="L20" s="81">
        <f t="shared" si="5"/>
        <v>2.421117035224194</v>
      </c>
      <c r="M20" s="63">
        <f t="shared" si="6"/>
        <v>11.440999999999999</v>
      </c>
      <c r="N20" s="63">
        <f t="shared" si="0"/>
        <v>1.5621006341792696</v>
      </c>
      <c r="O20" s="63">
        <f t="shared" si="11"/>
        <v>6.8746900648160487</v>
      </c>
      <c r="P20" s="64"/>
      <c r="Q20" s="82">
        <v>68007978000</v>
      </c>
      <c r="R20" s="58">
        <f t="shared" si="7"/>
        <v>680079780000</v>
      </c>
      <c r="S20" s="63">
        <f t="shared" si="8"/>
        <v>1.914664247170009</v>
      </c>
      <c r="T20" s="63">
        <f t="shared" si="12"/>
        <v>76.262720222918901</v>
      </c>
      <c r="U20" s="63">
        <f t="shared" si="1"/>
        <v>59442.337208285993</v>
      </c>
      <c r="V20" s="181">
        <f t="shared" si="2"/>
        <v>1.2256983994990676</v>
      </c>
      <c r="W20" s="229">
        <f>($J$3*250+SUM($J$4:J20)*10)/SUM($H$3:H20)</f>
        <v>0.11988333333333333</v>
      </c>
      <c r="X20" s="58">
        <f t="shared" si="9"/>
        <v>27088161315000</v>
      </c>
      <c r="Y20" s="105"/>
    </row>
    <row r="21" spans="1:31" x14ac:dyDescent="0.35">
      <c r="A21" s="241"/>
      <c r="B21" s="1" t="s">
        <v>108</v>
      </c>
      <c r="C21" s="55" t="s">
        <v>49</v>
      </c>
      <c r="D21" s="242"/>
      <c r="E21" s="22">
        <f t="shared" si="3"/>
        <v>430</v>
      </c>
      <c r="F21" s="22">
        <f t="shared" si="4"/>
        <v>89.583333333333343</v>
      </c>
      <c r="G21" s="57">
        <f t="shared" si="10"/>
        <v>60</v>
      </c>
      <c r="H21" s="57">
        <v>10</v>
      </c>
      <c r="I21" s="79">
        <v>635</v>
      </c>
      <c r="J21" s="80">
        <v>0.88370000000000004</v>
      </c>
      <c r="K21" s="80">
        <v>2.46E-2</v>
      </c>
      <c r="L21" s="81">
        <f t="shared" si="5"/>
        <v>2.7837501414507186</v>
      </c>
      <c r="M21" s="63">
        <f t="shared" si="6"/>
        <v>8.8369999999999997</v>
      </c>
      <c r="N21" s="63">
        <f t="shared" si="0"/>
        <v>1.2065626522368855</v>
      </c>
      <c r="O21" s="63">
        <f t="shared" si="11"/>
        <v>8.0812527170529336</v>
      </c>
      <c r="P21" s="64"/>
      <c r="Q21" s="82">
        <v>69788685500</v>
      </c>
      <c r="R21" s="58">
        <f t="shared" si="7"/>
        <v>697886855000</v>
      </c>
      <c r="S21" s="63">
        <f t="shared" si="8"/>
        <v>1.9647974386746512</v>
      </c>
      <c r="T21" s="63">
        <f t="shared" si="12"/>
        <v>78.227517661593552</v>
      </c>
      <c r="U21" s="63">
        <f t="shared" si="1"/>
        <v>78973.277696050704</v>
      </c>
      <c r="V21" s="181">
        <f t="shared" si="2"/>
        <v>1.62842554013424</v>
      </c>
      <c r="W21" s="229">
        <f>($J$3*250+SUM($J$4:J21)*10)/SUM($H$3:H21)</f>
        <v>0.13764651162790698</v>
      </c>
      <c r="X21" s="58">
        <f t="shared" si="9"/>
        <v>27786048170000</v>
      </c>
      <c r="Y21" s="105"/>
    </row>
    <row r="22" spans="1:31" x14ac:dyDescent="0.35">
      <c r="A22" s="241"/>
      <c r="B22" s="1" t="s">
        <v>109</v>
      </c>
      <c r="C22" s="55" t="s">
        <v>51</v>
      </c>
      <c r="D22" s="242"/>
      <c r="E22" s="22">
        <f t="shared" si="3"/>
        <v>440</v>
      </c>
      <c r="F22" s="22">
        <f t="shared" si="4"/>
        <v>91.666666666666657</v>
      </c>
      <c r="G22" s="57">
        <f t="shared" si="10"/>
        <v>50</v>
      </c>
      <c r="H22" s="57">
        <v>10</v>
      </c>
      <c r="I22" s="79">
        <v>580</v>
      </c>
      <c r="J22" s="80">
        <v>0.64900000000000002</v>
      </c>
      <c r="K22" s="80">
        <v>2.5600000000000001E-2</v>
      </c>
      <c r="L22" s="81">
        <f t="shared" si="5"/>
        <v>3.9445300462249615</v>
      </c>
      <c r="M22" s="63">
        <f t="shared" si="6"/>
        <v>6.49</v>
      </c>
      <c r="N22" s="63">
        <f t="shared" si="0"/>
        <v>0.88611424838942932</v>
      </c>
      <c r="O22" s="63">
        <f t="shared" si="11"/>
        <v>8.9673669654423627</v>
      </c>
      <c r="P22" s="64"/>
      <c r="Q22" s="82">
        <v>67886262000</v>
      </c>
      <c r="R22" s="58">
        <f t="shared" si="7"/>
        <v>678862620000</v>
      </c>
      <c r="S22" s="63">
        <f t="shared" si="8"/>
        <v>1.9112375128314503</v>
      </c>
      <c r="T22" s="63">
        <f t="shared" si="12"/>
        <v>80.138755174425</v>
      </c>
      <c r="U22" s="63">
        <f t="shared" si="1"/>
        <v>104601.3281972265</v>
      </c>
      <c r="V22" s="181">
        <f t="shared" si="2"/>
        <v>2.1568748232016919</v>
      </c>
      <c r="W22" s="229">
        <f>($J$3*250+SUM($J$4:J22)*10)/SUM($H$3:H22)</f>
        <v>0.1492681818181818</v>
      </c>
      <c r="X22" s="58">
        <f t="shared" si="9"/>
        <v>28464910790000</v>
      </c>
      <c r="Y22" s="105"/>
    </row>
    <row r="23" spans="1:31" x14ac:dyDescent="0.35">
      <c r="A23" s="241"/>
      <c r="B23" s="1" t="s">
        <v>110</v>
      </c>
      <c r="C23" s="55" t="s">
        <v>53</v>
      </c>
      <c r="D23" s="242"/>
      <c r="E23" s="22">
        <f t="shared" si="3"/>
        <v>450</v>
      </c>
      <c r="F23" s="22">
        <f t="shared" si="4"/>
        <v>93.75</v>
      </c>
      <c r="G23" s="57">
        <f t="shared" si="10"/>
        <v>40</v>
      </c>
      <c r="H23" s="57">
        <v>10</v>
      </c>
      <c r="I23" s="79">
        <v>608</v>
      </c>
      <c r="J23" s="80">
        <v>0.73199999999999998</v>
      </c>
      <c r="K23" s="80">
        <v>2.87E-2</v>
      </c>
      <c r="L23" s="81">
        <f t="shared" si="5"/>
        <v>3.9207650273224046</v>
      </c>
      <c r="M23" s="63">
        <f>J23*H23</f>
        <v>7.32</v>
      </c>
      <c r="N23" s="63">
        <f t="shared" si="0"/>
        <v>0.99943856675048115</v>
      </c>
      <c r="O23" s="63">
        <f t="shared" si="11"/>
        <v>9.9668055321928435</v>
      </c>
      <c r="P23" s="64"/>
      <c r="Q23" s="82">
        <v>76528950000</v>
      </c>
      <c r="R23" s="58">
        <f t="shared" si="7"/>
        <v>765289500000</v>
      </c>
      <c r="S23" s="63">
        <f t="shared" si="8"/>
        <v>2.1545596376716456</v>
      </c>
      <c r="T23" s="63">
        <f t="shared" si="12"/>
        <v>82.293314812096639</v>
      </c>
      <c r="U23" s="63">
        <f t="shared" si="1"/>
        <v>104547.74590163934</v>
      </c>
      <c r="V23" s="181">
        <f t="shared" si="2"/>
        <v>2.1557699586047208</v>
      </c>
      <c r="W23" s="229">
        <f>($J$3*250+SUM($J$4:J23)*10)/SUM($H$3:H23)</f>
        <v>0.16221777777777779</v>
      </c>
      <c r="X23" s="58">
        <f t="shared" si="9"/>
        <v>29230200290000</v>
      </c>
      <c r="Y23" s="105"/>
    </row>
    <row r="24" spans="1:31" x14ac:dyDescent="0.35">
      <c r="A24" s="241"/>
      <c r="B24" s="1" t="s">
        <v>111</v>
      </c>
      <c r="C24" s="55" t="s">
        <v>55</v>
      </c>
      <c r="D24" s="242"/>
      <c r="E24" s="22">
        <f t="shared" si="3"/>
        <v>460</v>
      </c>
      <c r="F24" s="22">
        <f t="shared" si="4"/>
        <v>95.833333333333343</v>
      </c>
      <c r="G24" s="57">
        <f t="shared" si="10"/>
        <v>30</v>
      </c>
      <c r="H24" s="57">
        <v>10</v>
      </c>
      <c r="I24" s="79">
        <v>648</v>
      </c>
      <c r="J24" s="80">
        <v>0.77300000000000002</v>
      </c>
      <c r="K24" s="80">
        <v>1.8499999999999999E-2</v>
      </c>
      <c r="L24" s="81">
        <f t="shared" si="5"/>
        <v>2.3932729624838291</v>
      </c>
      <c r="M24" s="63">
        <f t="shared" si="6"/>
        <v>7.73</v>
      </c>
      <c r="N24" s="63">
        <f t="shared" si="0"/>
        <v>1.0554180493143743</v>
      </c>
      <c r="O24" s="63">
        <f t="shared" si="11"/>
        <v>11.022223581507218</v>
      </c>
      <c r="P24" s="64"/>
      <c r="Q24" s="82">
        <v>57249928000</v>
      </c>
      <c r="R24" s="58">
        <f t="shared" si="7"/>
        <v>572499280000</v>
      </c>
      <c r="S24" s="63">
        <f t="shared" si="8"/>
        <v>1.6117872272964389</v>
      </c>
      <c r="T24" s="63">
        <f t="shared" si="12"/>
        <v>83.905102039393071</v>
      </c>
      <c r="U24" s="63">
        <f t="shared" si="1"/>
        <v>74062.002587322117</v>
      </c>
      <c r="V24" s="181">
        <f t="shared" si="2"/>
        <v>1.5271552616932182</v>
      </c>
      <c r="W24" s="229">
        <f>($J$3*250+SUM($J$4:J24)*10)/SUM($H$3:H24)</f>
        <v>0.17549565217391302</v>
      </c>
      <c r="X24" s="58">
        <f t="shared" si="9"/>
        <v>29802699570000</v>
      </c>
      <c r="Y24" s="105"/>
    </row>
    <row r="25" spans="1:31" x14ac:dyDescent="0.35">
      <c r="A25" s="241"/>
      <c r="B25" s="1" t="s">
        <v>128</v>
      </c>
      <c r="C25" s="55" t="s">
        <v>57</v>
      </c>
      <c r="D25" s="242"/>
      <c r="E25" s="22">
        <f t="shared" si="3"/>
        <v>470</v>
      </c>
      <c r="F25" s="22">
        <f t="shared" si="4"/>
        <v>97.916666666666657</v>
      </c>
      <c r="G25" s="57">
        <f t="shared" si="10"/>
        <v>20</v>
      </c>
      <c r="H25" s="57">
        <v>10</v>
      </c>
      <c r="I25" s="83">
        <v>708</v>
      </c>
      <c r="J25" s="80">
        <v>0.94830000000000003</v>
      </c>
      <c r="K25" s="80">
        <v>3.0800000000000001E-2</v>
      </c>
      <c r="L25" s="81">
        <f t="shared" si="5"/>
        <v>3.2479173257407989</v>
      </c>
      <c r="M25" s="63">
        <f t="shared" si="6"/>
        <v>9.4830000000000005</v>
      </c>
      <c r="N25" s="63">
        <f t="shared" si="0"/>
        <v>1.2947644711058488</v>
      </c>
      <c r="O25" s="63">
        <f t="shared" si="11"/>
        <v>12.316988052613066</v>
      </c>
      <c r="P25" s="64"/>
      <c r="Q25" s="82">
        <v>68590188000</v>
      </c>
      <c r="R25" s="58">
        <f t="shared" si="7"/>
        <v>685901880000</v>
      </c>
      <c r="S25" s="63">
        <f t="shared" si="8"/>
        <v>1.931055510432458</v>
      </c>
      <c r="T25" s="63">
        <f t="shared" si="12"/>
        <v>85.836157549825529</v>
      </c>
      <c r="U25" s="63">
        <f t="shared" si="1"/>
        <v>72329.6298639671</v>
      </c>
      <c r="V25" s="181">
        <f t="shared" si="2"/>
        <v>1.4914338117288299</v>
      </c>
      <c r="W25" s="229">
        <f>($J$3*250+SUM($J$4:J25)*10)/SUM($H$3:H25)</f>
        <v>0.19193829787234043</v>
      </c>
      <c r="X25" s="58">
        <f t="shared" si="9"/>
        <v>30488601450000</v>
      </c>
      <c r="Y25" s="105"/>
    </row>
    <row r="26" spans="1:31" ht="15" thickBot="1" x14ac:dyDescent="0.4">
      <c r="A26" s="240"/>
      <c r="B26" s="5" t="s">
        <v>129</v>
      </c>
      <c r="C26" s="71" t="s">
        <v>59</v>
      </c>
      <c r="D26" s="243"/>
      <c r="E26" s="28">
        <f t="shared" si="3"/>
        <v>480</v>
      </c>
      <c r="F26" s="28">
        <f t="shared" si="4"/>
        <v>100</v>
      </c>
      <c r="G26" s="67">
        <f t="shared" si="10"/>
        <v>10</v>
      </c>
      <c r="H26" s="67">
        <v>10</v>
      </c>
      <c r="I26" s="126"/>
      <c r="J26" s="127">
        <v>0.94120000000000004</v>
      </c>
      <c r="K26" s="127">
        <v>3.3799999999999997E-2</v>
      </c>
      <c r="L26" s="125">
        <f t="shared" si="5"/>
        <v>3.5911602209944751</v>
      </c>
      <c r="M26" s="68">
        <f t="shared" si="6"/>
        <v>9.4120000000000008</v>
      </c>
      <c r="N26" s="63">
        <f t="shared" si="0"/>
        <v>1.2850704631496626</v>
      </c>
      <c r="O26" s="101">
        <f>N26+O25</f>
        <v>13.602058515762728</v>
      </c>
      <c r="P26" s="128"/>
      <c r="Q26" s="129">
        <v>59460975000</v>
      </c>
      <c r="R26" s="69">
        <f t="shared" si="7"/>
        <v>594609750000</v>
      </c>
      <c r="S26" s="68">
        <f t="shared" si="8"/>
        <v>1.6740359922826953</v>
      </c>
      <c r="T26" s="101">
        <f t="shared" si="12"/>
        <v>87.510193542108226</v>
      </c>
      <c r="U26" s="68">
        <f t="shared" si="1"/>
        <v>63175.706544836372</v>
      </c>
      <c r="V26" s="233">
        <f t="shared" si="2"/>
        <v>1.302680312315087</v>
      </c>
      <c r="W26" s="229">
        <f>($J$3*250+SUM($J$4:J26)*10)/SUM($H$3:H26)</f>
        <v>0.20754791666666667</v>
      </c>
      <c r="X26" s="58">
        <f t="shared" si="9"/>
        <v>31083211200000</v>
      </c>
      <c r="Y26" s="105"/>
    </row>
    <row r="27" spans="1:31" s="11" customFormat="1" x14ac:dyDescent="0.35">
      <c r="A27" s="239" t="s">
        <v>13</v>
      </c>
      <c r="B27" s="8" t="s">
        <v>162</v>
      </c>
      <c r="C27" s="9" t="s">
        <v>123</v>
      </c>
      <c r="D27" s="244">
        <v>45149</v>
      </c>
      <c r="E27" s="32">
        <v>0</v>
      </c>
      <c r="F27" s="32">
        <f t="shared" si="4"/>
        <v>0</v>
      </c>
      <c r="G27" s="66">
        <v>480</v>
      </c>
      <c r="H27" s="120"/>
      <c r="I27" s="120"/>
      <c r="J27" s="29">
        <v>1.7777000000000001</v>
      </c>
      <c r="K27" s="31">
        <v>6.6600000000000006E-2</v>
      </c>
      <c r="L27" s="121">
        <f t="shared" si="5"/>
        <v>3.746413905608371</v>
      </c>
      <c r="M27" s="78">
        <f t="shared" si="6"/>
        <v>0</v>
      </c>
      <c r="N27" s="122"/>
      <c r="O27" s="120"/>
      <c r="P27" s="120"/>
      <c r="Q27" s="10">
        <v>85278044250</v>
      </c>
      <c r="R27" s="100">
        <f t="shared" si="7"/>
        <v>0</v>
      </c>
      <c r="S27" s="122"/>
      <c r="T27" s="122"/>
      <c r="U27" s="122"/>
      <c r="V27" s="123"/>
      <c r="W27" s="222"/>
      <c r="X27" s="156"/>
    </row>
    <row r="28" spans="1:31" s="11" customFormat="1" ht="15" thickBot="1" x14ac:dyDescent="0.4">
      <c r="A28" s="240"/>
      <c r="B28" s="5" t="s">
        <v>126</v>
      </c>
      <c r="C28" s="13" t="s">
        <v>123</v>
      </c>
      <c r="D28" s="243"/>
      <c r="E28" s="28">
        <v>480</v>
      </c>
      <c r="F28" s="28">
        <f t="shared" si="4"/>
        <v>100</v>
      </c>
      <c r="G28" s="67">
        <v>0</v>
      </c>
      <c r="H28" s="67">
        <v>88.44</v>
      </c>
      <c r="I28" s="124"/>
      <c r="J28" s="33">
        <v>7.1550000000000002</v>
      </c>
      <c r="K28" s="27">
        <v>0.13639999999999999</v>
      </c>
      <c r="L28" s="125">
        <f t="shared" si="5"/>
        <v>1.9063591893780572</v>
      </c>
      <c r="M28" s="68">
        <f>J28*H28</f>
        <v>632.78819999999996</v>
      </c>
      <c r="N28" s="68">
        <f>M28/SUM($M$3:$M$26,$M$28)*100</f>
        <v>86.397941484237265</v>
      </c>
      <c r="O28" s="124"/>
      <c r="P28" s="124"/>
      <c r="Q28" s="7">
        <v>50161926750</v>
      </c>
      <c r="R28" s="69">
        <f t="shared" si="7"/>
        <v>4436320801770</v>
      </c>
      <c r="S28" s="68">
        <f>R28/SUM($R$3:$R$26,$R$28)*100</f>
        <v>12.489806457891762</v>
      </c>
      <c r="T28" s="128"/>
      <c r="U28" s="68">
        <f>R28/M28/10^6</f>
        <v>7010.7514675052416</v>
      </c>
      <c r="V28" s="177">
        <f t="shared" si="2"/>
        <v>0.14456138934942617</v>
      </c>
      <c r="W28" s="222"/>
      <c r="X28" s="156"/>
      <c r="Y28" s="105"/>
    </row>
    <row r="29" spans="1:31" s="11" customFormat="1" ht="15" thickBot="1" x14ac:dyDescent="0.4">
      <c r="A29" s="85"/>
      <c r="B29" s="86" t="s">
        <v>123</v>
      </c>
      <c r="C29" s="96" t="s">
        <v>123</v>
      </c>
      <c r="D29" s="97"/>
      <c r="E29" s="116"/>
      <c r="F29" s="116"/>
      <c r="G29" s="47"/>
      <c r="H29" s="48">
        <f>SUM(H3:H28)</f>
        <v>568.44000000000005</v>
      </c>
      <c r="I29" s="47"/>
      <c r="J29" s="47"/>
      <c r="K29" s="47"/>
      <c r="L29" s="47"/>
      <c r="M29" s="49">
        <f>SUM(M3:M28)</f>
        <v>732.41120000000001</v>
      </c>
      <c r="N29" s="72">
        <f>SUM(N3:N28)</f>
        <v>100</v>
      </c>
      <c r="O29" s="72">
        <f>SUM(O26,N28)</f>
        <v>100</v>
      </c>
      <c r="P29" s="47"/>
      <c r="Q29" s="47"/>
      <c r="R29" s="73">
        <f>SUM(R3:R28)</f>
        <v>35519532001770</v>
      </c>
      <c r="S29" s="49">
        <f>SUM(S3:S28)</f>
        <v>99.999999999999986</v>
      </c>
      <c r="T29" s="47"/>
      <c r="U29" s="179">
        <f>R29/M29/10^6</f>
        <v>48496.707862700619</v>
      </c>
      <c r="V29" s="177">
        <f t="shared" si="2"/>
        <v>1</v>
      </c>
      <c r="W29" s="222"/>
      <c r="X29" s="105"/>
      <c r="Y29" s="105"/>
    </row>
    <row r="30" spans="1:31" ht="15" thickBot="1" x14ac:dyDescent="0.4">
      <c r="A30" s="88"/>
      <c r="B30" s="88"/>
      <c r="C30" s="88"/>
      <c r="D30" s="84"/>
      <c r="E30" s="117"/>
      <c r="F30" s="117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31" ht="28.5" thickBot="1" x14ac:dyDescent="0.4">
      <c r="A31" s="89" t="s">
        <v>180</v>
      </c>
      <c r="B31" s="90" t="s">
        <v>180</v>
      </c>
      <c r="C31" s="91" t="s">
        <v>181</v>
      </c>
      <c r="D31" s="92">
        <v>45151</v>
      </c>
      <c r="E31" s="118"/>
      <c r="F31" s="118"/>
      <c r="G31" s="93"/>
      <c r="H31" s="93">
        <v>250</v>
      </c>
      <c r="I31" s="93"/>
      <c r="J31" s="93"/>
      <c r="K31" s="93"/>
      <c r="L31" s="93"/>
      <c r="M31" s="93"/>
      <c r="N31" s="93"/>
      <c r="O31" s="93"/>
      <c r="P31" s="93"/>
      <c r="Q31" s="94">
        <v>54211751000</v>
      </c>
      <c r="R31" s="93"/>
      <c r="S31" s="93"/>
      <c r="T31" s="93"/>
      <c r="U31" s="161"/>
      <c r="V31" s="162"/>
    </row>
    <row r="32" spans="1:31" x14ac:dyDescent="0.35">
      <c r="A32" s="88"/>
      <c r="B32" s="88"/>
      <c r="C32" s="88"/>
      <c r="D32" s="87"/>
      <c r="E32" s="119"/>
      <c r="F32" s="119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6" x14ac:dyDescent="0.35">
      <c r="A33" s="88"/>
      <c r="B33" s="88"/>
      <c r="C33" s="88"/>
      <c r="D33" s="87"/>
      <c r="E33" s="119"/>
      <c r="F33" s="119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Z33" s="105"/>
    </row>
    <row r="34" spans="1:26" x14ac:dyDescent="0.35">
      <c r="A34" s="88"/>
      <c r="B34" s="88"/>
      <c r="C34" s="88"/>
      <c r="D34" s="87"/>
      <c r="E34" s="119"/>
      <c r="F34" s="119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1:26" x14ac:dyDescent="0.35">
      <c r="J35" s="88"/>
    </row>
    <row r="36" spans="1:26" x14ac:dyDescent="0.35">
      <c r="X36" s="105"/>
    </row>
    <row r="37" spans="1:26" x14ac:dyDescent="0.35">
      <c r="X37" s="105"/>
    </row>
  </sheetData>
  <mergeCells count="5">
    <mergeCell ref="Q1:T1"/>
    <mergeCell ref="A27:A28"/>
    <mergeCell ref="A3:A26"/>
    <mergeCell ref="D3:D26"/>
    <mergeCell ref="D27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Study #1</vt:lpstr>
      <vt:lpstr>Study #2</vt:lpstr>
      <vt:lpstr>Study #3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Bevacqua</dc:creator>
  <cp:lastModifiedBy>Alexander Bevacqua</cp:lastModifiedBy>
  <dcterms:created xsi:type="dcterms:W3CDTF">2025-05-19T19:52:25Z</dcterms:created>
  <dcterms:modified xsi:type="dcterms:W3CDTF">2026-05-05T14:57:11Z</dcterms:modified>
</cp:coreProperties>
</file>