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/Library/CloudStorage/GoogleDrive-hlloyd@g.harvard.edu/.shortcut-targets-by-id/1JtnbXz4GcknanTUr7QTHYVeNCa7g3l3m/024_Enantiomer_len_copy/231231_Chem Sci_enantiomer/"/>
    </mc:Choice>
  </mc:AlternateContent>
  <xr:revisionPtr revIDLastSave="0" documentId="13_ncr:1_{5E9A22F7-ED95-C849-945C-B1B5E67D0A66}" xr6:coauthVersionLast="47" xr6:coauthVersionMax="47" xr10:uidLastSave="{00000000-0000-0000-0000-000000000000}"/>
  <bookViews>
    <workbookView xWindow="0" yWindow="760" windowWidth="30240" windowHeight="17400" xr2:uid="{A74524A6-4833-5243-AD1A-F26B94435903}"/>
  </bookViews>
  <sheets>
    <sheet name="Table 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" i="1" l="1"/>
  <c r="Q29" i="1" s="1"/>
  <c r="S29" i="1"/>
  <c r="Y29" i="1" s="1"/>
  <c r="H29" i="1"/>
  <c r="K29" i="1" s="1"/>
  <c r="G29" i="1"/>
  <c r="J29" i="1" s="1"/>
  <c r="F29" i="1"/>
  <c r="L29" i="1" s="1"/>
  <c r="H30" i="1"/>
  <c r="K30" i="1" s="1"/>
  <c r="G30" i="1"/>
  <c r="J30" i="1" s="1"/>
  <c r="F31" i="1"/>
  <c r="I31" i="1" s="1"/>
  <c r="F30" i="1"/>
  <c r="I30" i="1" s="1"/>
  <c r="J31" i="1"/>
  <c r="K31" i="1"/>
  <c r="L31" i="1"/>
  <c r="M31" i="1"/>
  <c r="N31" i="1"/>
  <c r="T29" i="1" l="1"/>
  <c r="W29" i="1"/>
  <c r="V29" i="1"/>
  <c r="R29" i="1"/>
  <c r="I29" i="1"/>
  <c r="N29" i="1"/>
  <c r="M29" i="1"/>
  <c r="N30" i="1"/>
  <c r="L30" i="1"/>
  <c r="M30" i="1"/>
  <c r="I6" i="1"/>
  <c r="Y34" i="1"/>
  <c r="Y37" i="1"/>
  <c r="Y36" i="1"/>
  <c r="Y35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7" i="1"/>
  <c r="M17" i="1"/>
  <c r="L17" i="1"/>
  <c r="K17" i="1"/>
  <c r="J17" i="1"/>
  <c r="I17" i="1"/>
  <c r="N16" i="1"/>
  <c r="M16" i="1"/>
  <c r="L16" i="1"/>
  <c r="K16" i="1"/>
  <c r="J16" i="1"/>
  <c r="I16" i="1"/>
  <c r="N15" i="1"/>
  <c r="M15" i="1"/>
  <c r="L15" i="1"/>
  <c r="K15" i="1"/>
  <c r="J15" i="1"/>
  <c r="I15" i="1"/>
  <c r="N37" i="1"/>
  <c r="M37" i="1"/>
  <c r="L37" i="1"/>
  <c r="K37" i="1"/>
  <c r="J37" i="1"/>
  <c r="I37" i="1"/>
  <c r="B37" i="1"/>
  <c r="N36" i="1"/>
  <c r="M36" i="1"/>
  <c r="L36" i="1"/>
  <c r="K36" i="1"/>
  <c r="J36" i="1"/>
  <c r="I36" i="1"/>
  <c r="N35" i="1"/>
  <c r="M35" i="1"/>
  <c r="L35" i="1"/>
  <c r="K35" i="1"/>
  <c r="J35" i="1"/>
  <c r="I35" i="1"/>
  <c r="N34" i="1"/>
  <c r="M34" i="1"/>
  <c r="L34" i="1"/>
  <c r="K34" i="1"/>
  <c r="J34" i="1"/>
  <c r="I34" i="1"/>
  <c r="U29" i="1" l="1"/>
  <c r="X29" i="1"/>
  <c r="I5" i="1"/>
  <c r="J5" i="1"/>
  <c r="K5" i="1"/>
  <c r="L5" i="1"/>
  <c r="M5" i="1"/>
  <c r="N5" i="1"/>
  <c r="N7" i="1"/>
  <c r="M7" i="1"/>
  <c r="L7" i="1"/>
  <c r="K7" i="1"/>
  <c r="J7" i="1"/>
  <c r="I7" i="1"/>
  <c r="N8" i="1"/>
  <c r="M8" i="1"/>
  <c r="L8" i="1"/>
  <c r="K8" i="1"/>
  <c r="J8" i="1"/>
  <c r="I8" i="1"/>
  <c r="N9" i="1"/>
  <c r="M9" i="1"/>
  <c r="L9" i="1"/>
  <c r="K9" i="1"/>
  <c r="J9" i="1"/>
  <c r="I9" i="1"/>
  <c r="N10" i="1"/>
  <c r="M10" i="1"/>
  <c r="L10" i="1"/>
  <c r="K10" i="1"/>
  <c r="J10" i="1"/>
  <c r="I10" i="1"/>
  <c r="N28" i="1"/>
  <c r="M28" i="1"/>
  <c r="L28" i="1"/>
  <c r="K28" i="1"/>
  <c r="J28" i="1"/>
  <c r="I28" i="1"/>
  <c r="N26" i="1"/>
  <c r="M26" i="1"/>
  <c r="L26" i="1"/>
  <c r="K26" i="1"/>
  <c r="J26" i="1"/>
  <c r="I26" i="1"/>
  <c r="N27" i="1"/>
  <c r="M27" i="1"/>
  <c r="L27" i="1"/>
  <c r="K27" i="1"/>
  <c r="J27" i="1"/>
  <c r="I27" i="1"/>
  <c r="N25" i="1"/>
  <c r="M25" i="1"/>
  <c r="L25" i="1"/>
  <c r="K25" i="1"/>
  <c r="J25" i="1"/>
  <c r="I25" i="1"/>
  <c r="N11" i="1"/>
  <c r="M11" i="1"/>
  <c r="L11" i="1"/>
  <c r="K11" i="1"/>
  <c r="J11" i="1"/>
  <c r="I11" i="1"/>
  <c r="N12" i="1"/>
  <c r="M12" i="1"/>
  <c r="L12" i="1"/>
  <c r="K12" i="1"/>
  <c r="J12" i="1"/>
  <c r="I12" i="1"/>
  <c r="N13" i="1"/>
  <c r="M13" i="1"/>
  <c r="L13" i="1"/>
  <c r="K13" i="1"/>
  <c r="J13" i="1"/>
  <c r="I13" i="1"/>
  <c r="N14" i="1"/>
  <c r="M14" i="1"/>
  <c r="L14" i="1"/>
  <c r="K14" i="1"/>
  <c r="J14" i="1"/>
  <c r="I14" i="1"/>
  <c r="N6" i="1"/>
  <c r="M6" i="1"/>
  <c r="L6" i="1"/>
  <c r="K6" i="1"/>
  <c r="J6" i="1"/>
  <c r="N24" i="1"/>
  <c r="M24" i="1"/>
  <c r="L24" i="1"/>
  <c r="K24" i="1"/>
  <c r="J24" i="1"/>
  <c r="I24" i="1"/>
  <c r="N2" i="1"/>
  <c r="M2" i="1"/>
  <c r="L2" i="1"/>
  <c r="K2" i="1"/>
  <c r="J2" i="1"/>
  <c r="I2" i="1"/>
  <c r="N3" i="1"/>
  <c r="M3" i="1"/>
  <c r="L3" i="1"/>
  <c r="K3" i="1"/>
  <c r="J3" i="1"/>
  <c r="I3" i="1"/>
  <c r="N4" i="1"/>
  <c r="M4" i="1"/>
  <c r="L4" i="1"/>
  <c r="K4" i="1"/>
  <c r="J4" i="1"/>
  <c r="I4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B2" i="1"/>
  <c r="B5" i="1" s="1"/>
  <c r="P31" i="1" l="1"/>
  <c r="P30" i="1"/>
  <c r="P5" i="1"/>
  <c r="V5" i="1" s="1"/>
  <c r="P15" i="1"/>
  <c r="S15" i="1" s="1"/>
  <c r="P16" i="1"/>
  <c r="P19" i="1"/>
  <c r="P17" i="1"/>
  <c r="P18" i="1"/>
  <c r="P20" i="1"/>
  <c r="P21" i="1"/>
  <c r="P22" i="1"/>
  <c r="P2" i="1"/>
  <c r="R5" i="1"/>
  <c r="S5" i="1"/>
  <c r="Y5" i="1" s="1"/>
  <c r="P7" i="1"/>
  <c r="P28" i="1"/>
  <c r="P11" i="1"/>
  <c r="P6" i="1"/>
  <c r="P10" i="1"/>
  <c r="P25" i="1"/>
  <c r="P14" i="1"/>
  <c r="P9" i="1"/>
  <c r="P27" i="1"/>
  <c r="P13" i="1"/>
  <c r="P24" i="1"/>
  <c r="P8" i="1"/>
  <c r="P26" i="1"/>
  <c r="P12" i="1"/>
  <c r="P4" i="1"/>
  <c r="P3" i="1"/>
  <c r="P23" i="1"/>
  <c r="Q5" i="1" l="1"/>
  <c r="S30" i="1"/>
  <c r="Y30" i="1" s="1"/>
  <c r="Q30" i="1"/>
  <c r="R30" i="1"/>
  <c r="V30" i="1"/>
  <c r="Q31" i="1"/>
  <c r="V31" i="1"/>
  <c r="S31" i="1"/>
  <c r="Y31" i="1" s="1"/>
  <c r="R31" i="1"/>
  <c r="R15" i="1"/>
  <c r="Q15" i="1"/>
  <c r="V15" i="1"/>
  <c r="Y15" i="1"/>
  <c r="R16" i="1"/>
  <c r="V16" i="1"/>
  <c r="S16" i="1"/>
  <c r="Y16" i="1" s="1"/>
  <c r="Q16" i="1"/>
  <c r="V17" i="1"/>
  <c r="S17" i="1"/>
  <c r="Y17" i="1" s="1"/>
  <c r="R17" i="1"/>
  <c r="Q17" i="1"/>
  <c r="V19" i="1"/>
  <c r="S19" i="1"/>
  <c r="Y19" i="1" s="1"/>
  <c r="Q19" i="1"/>
  <c r="R19" i="1"/>
  <c r="V18" i="1"/>
  <c r="Q18" i="1"/>
  <c r="S18" i="1"/>
  <c r="Y18" i="1" s="1"/>
  <c r="R18" i="1"/>
  <c r="V20" i="1"/>
  <c r="S20" i="1"/>
  <c r="Y20" i="1" s="1"/>
  <c r="R20" i="1"/>
  <c r="Q20" i="1"/>
  <c r="T5" i="1"/>
  <c r="W5" i="1"/>
  <c r="U5" i="1"/>
  <c r="X5" i="1"/>
  <c r="Q10" i="1"/>
  <c r="S10" i="1"/>
  <c r="Y10" i="1" s="1"/>
  <c r="V10" i="1"/>
  <c r="R10" i="1"/>
  <c r="Q23" i="1"/>
  <c r="S23" i="1"/>
  <c r="Y23" i="1" s="1"/>
  <c r="R23" i="1"/>
  <c r="V23" i="1"/>
  <c r="S2" i="1"/>
  <c r="Y2" i="1" s="1"/>
  <c r="R2" i="1"/>
  <c r="Q2" i="1"/>
  <c r="V2" i="1"/>
  <c r="Q27" i="1"/>
  <c r="S27" i="1"/>
  <c r="Y27" i="1" s="1"/>
  <c r="R27" i="1"/>
  <c r="V27" i="1"/>
  <c r="Q26" i="1"/>
  <c r="S26" i="1"/>
  <c r="Y26" i="1" s="1"/>
  <c r="V26" i="1"/>
  <c r="R26" i="1"/>
  <c r="Q25" i="1"/>
  <c r="S25" i="1"/>
  <c r="Y25" i="1" s="1"/>
  <c r="R25" i="1"/>
  <c r="V25" i="1"/>
  <c r="Q8" i="1"/>
  <c r="V8" i="1"/>
  <c r="S8" i="1"/>
  <c r="Y8" i="1" s="1"/>
  <c r="R8" i="1"/>
  <c r="Q6" i="1"/>
  <c r="V6" i="1"/>
  <c r="S6" i="1"/>
  <c r="Y6" i="1" s="1"/>
  <c r="R6" i="1"/>
  <c r="Q11" i="1"/>
  <c r="V11" i="1"/>
  <c r="S11" i="1"/>
  <c r="Y11" i="1" s="1"/>
  <c r="R11" i="1"/>
  <c r="Q21" i="1"/>
  <c r="V21" i="1"/>
  <c r="S21" i="1"/>
  <c r="Y21" i="1" s="1"/>
  <c r="R21" i="1"/>
  <c r="Q13" i="1"/>
  <c r="S13" i="1"/>
  <c r="Y13" i="1" s="1"/>
  <c r="R13" i="1"/>
  <c r="V13" i="1"/>
  <c r="Q14" i="1"/>
  <c r="S14" i="1"/>
  <c r="Y14" i="1" s="1"/>
  <c r="V14" i="1"/>
  <c r="R14" i="1"/>
  <c r="Q7" i="1"/>
  <c r="V7" i="1"/>
  <c r="S7" i="1"/>
  <c r="Y7" i="1" s="1"/>
  <c r="R7" i="1"/>
  <c r="Q22" i="1"/>
  <c r="V22" i="1"/>
  <c r="S22" i="1"/>
  <c r="Y22" i="1" s="1"/>
  <c r="R22" i="1"/>
  <c r="S3" i="1"/>
  <c r="Y3" i="1" s="1"/>
  <c r="R3" i="1"/>
  <c r="Q3" i="1"/>
  <c r="V3" i="1"/>
  <c r="S4" i="1"/>
  <c r="Y4" i="1" s="1"/>
  <c r="R4" i="1"/>
  <c r="Q4" i="1"/>
  <c r="V4" i="1"/>
  <c r="Q12" i="1"/>
  <c r="S12" i="1"/>
  <c r="Y12" i="1" s="1"/>
  <c r="V12" i="1"/>
  <c r="R12" i="1"/>
  <c r="Q24" i="1"/>
  <c r="S24" i="1"/>
  <c r="Y24" i="1" s="1"/>
  <c r="R24" i="1"/>
  <c r="V24" i="1"/>
  <c r="Q9" i="1"/>
  <c r="S9" i="1"/>
  <c r="Y9" i="1" s="1"/>
  <c r="R9" i="1"/>
  <c r="V9" i="1"/>
  <c r="Q28" i="1"/>
  <c r="V28" i="1"/>
  <c r="S28" i="1"/>
  <c r="Y28" i="1" s="1"/>
  <c r="R28" i="1"/>
  <c r="U31" i="1" l="1"/>
  <c r="X31" i="1"/>
  <c r="W30" i="1"/>
  <c r="T30" i="1"/>
  <c r="W31" i="1"/>
  <c r="T31" i="1"/>
  <c r="U30" i="1"/>
  <c r="X30" i="1"/>
  <c r="X16" i="1"/>
  <c r="U16" i="1"/>
  <c r="X20" i="1"/>
  <c r="U20" i="1"/>
  <c r="X19" i="1"/>
  <c r="U19" i="1"/>
  <c r="W19" i="1"/>
  <c r="T19" i="1"/>
  <c r="X17" i="1"/>
  <c r="U17" i="1"/>
  <c r="W20" i="1"/>
  <c r="T20" i="1"/>
  <c r="X18" i="1"/>
  <c r="U18" i="1"/>
  <c r="W15" i="1"/>
  <c r="T15" i="1"/>
  <c r="W16" i="1"/>
  <c r="T16" i="1"/>
  <c r="W17" i="1"/>
  <c r="T17" i="1"/>
  <c r="W18" i="1"/>
  <c r="T18" i="1"/>
  <c r="X15" i="1"/>
  <c r="U15" i="1"/>
  <c r="U26" i="1"/>
  <c r="X26" i="1"/>
  <c r="X10" i="1"/>
  <c r="U10" i="1"/>
  <c r="W28" i="1"/>
  <c r="T28" i="1"/>
  <c r="W9" i="1"/>
  <c r="T9" i="1"/>
  <c r="W12" i="1"/>
  <c r="T12" i="1"/>
  <c r="W7" i="1"/>
  <c r="T7" i="1"/>
  <c r="W13" i="1"/>
  <c r="T13" i="1"/>
  <c r="X25" i="1"/>
  <c r="U25" i="1"/>
  <c r="X23" i="1"/>
  <c r="U23" i="1"/>
  <c r="X22" i="1"/>
  <c r="U22" i="1"/>
  <c r="X14" i="1"/>
  <c r="U14" i="1"/>
  <c r="U24" i="1"/>
  <c r="X24" i="1"/>
  <c r="W4" i="1"/>
  <c r="T4" i="1"/>
  <c r="W3" i="1"/>
  <c r="T3" i="1"/>
  <c r="W25" i="1"/>
  <c r="T25" i="1"/>
  <c r="W26" i="1"/>
  <c r="T26" i="1"/>
  <c r="T23" i="1"/>
  <c r="W23" i="1"/>
  <c r="W10" i="1"/>
  <c r="T10" i="1"/>
  <c r="X4" i="1"/>
  <c r="U4" i="1"/>
  <c r="U3" i="1"/>
  <c r="X3" i="1"/>
  <c r="U21" i="1"/>
  <c r="X21" i="1"/>
  <c r="U11" i="1"/>
  <c r="X11" i="1"/>
  <c r="U6" i="1"/>
  <c r="X6" i="1"/>
  <c r="U8" i="1"/>
  <c r="X8" i="1"/>
  <c r="W24" i="1"/>
  <c r="T24" i="1"/>
  <c r="W22" i="1"/>
  <c r="T22" i="1"/>
  <c r="W14" i="1"/>
  <c r="T14" i="1"/>
  <c r="U27" i="1"/>
  <c r="X27" i="1"/>
  <c r="W2" i="1"/>
  <c r="T2" i="1"/>
  <c r="U28" i="1"/>
  <c r="X28" i="1"/>
  <c r="U12" i="1"/>
  <c r="X12" i="1"/>
  <c r="X7" i="1"/>
  <c r="U7" i="1"/>
  <c r="X2" i="1"/>
  <c r="U2" i="1"/>
  <c r="U9" i="1"/>
  <c r="X9" i="1"/>
  <c r="U13" i="1"/>
  <c r="X13" i="1"/>
  <c r="W21" i="1"/>
  <c r="T21" i="1"/>
  <c r="W11" i="1"/>
  <c r="T11" i="1"/>
  <c r="W6" i="1"/>
  <c r="T6" i="1"/>
  <c r="W8" i="1"/>
  <c r="T8" i="1"/>
  <c r="W27" i="1"/>
  <c r="T27" i="1"/>
</calcChain>
</file>

<file path=xl/sharedStrings.xml><?xml version="1.0" encoding="utf-8"?>
<sst xmlns="http://schemas.openxmlformats.org/spreadsheetml/2006/main" count="161" uniqueCount="63">
  <si>
    <r>
      <t xml:space="preserve">Thalidomide-FITC </t>
    </r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saturation binding (nM)</t>
    </r>
  </si>
  <si>
    <r>
      <t xml:space="preserve">Thalidomide-FITC </t>
    </r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2-site (nM)</t>
    </r>
  </si>
  <si>
    <t>Reference</t>
  </si>
  <si>
    <t>NCP-12-161-v2</t>
  </si>
  <si>
    <t>Concentration used in CRBN assay (nM)</t>
  </si>
  <si>
    <t>Correction Factor</t>
  </si>
  <si>
    <t>Protein conc. used (LOQ) (nM)</t>
  </si>
  <si>
    <t>Protein</t>
  </si>
  <si>
    <t>Name</t>
  </si>
  <si>
    <r>
      <t>IC</t>
    </r>
    <r>
      <rPr>
        <b/>
        <vertAlign val="subscript"/>
        <sz val="12"/>
        <color theme="1"/>
        <rFont val="Calibri (Body)"/>
      </rPr>
      <t>50</t>
    </r>
    <r>
      <rPr>
        <b/>
        <sz val="12"/>
        <color theme="1"/>
        <rFont val="Calibri"/>
        <family val="2"/>
        <scheme val="minor"/>
      </rPr>
      <t xml:space="preserve"> (M)</t>
    </r>
  </si>
  <si>
    <t>+Error</t>
  </si>
  <si>
    <t>-Error</t>
  </si>
  <si>
    <r>
      <t>IC</t>
    </r>
    <r>
      <rPr>
        <b/>
        <vertAlign val="subscript"/>
        <sz val="12"/>
        <color theme="1"/>
        <rFont val="Calibri (Body)"/>
      </rPr>
      <t>50</t>
    </r>
    <r>
      <rPr>
        <b/>
        <sz val="12"/>
        <color theme="1"/>
        <rFont val="Calibri"/>
        <family val="2"/>
        <scheme val="minor"/>
      </rPr>
      <t xml:space="preserve"> (nM)</t>
    </r>
  </si>
  <si>
    <r>
      <t>pIC</t>
    </r>
    <r>
      <rPr>
        <b/>
        <vertAlign val="subscript"/>
        <sz val="12"/>
        <color theme="1"/>
        <rFont val="Calibri (Body)"/>
      </rPr>
      <t>50</t>
    </r>
    <r>
      <rPr>
        <b/>
        <sz val="12"/>
        <color theme="1"/>
        <rFont val="Calibri"/>
        <family val="2"/>
        <scheme val="minor"/>
      </rPr>
      <t xml:space="preserve"> (M)</t>
    </r>
  </si>
  <si>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(M)</t>
    </r>
  </si>
  <si>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(nM)</t>
    </r>
  </si>
  <si>
    <r>
      <t>p</t>
    </r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(M)</t>
    </r>
  </si>
  <si>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/ LOQ</t>
    </r>
  </si>
  <si>
    <t>NCP-12-187</t>
  </si>
  <si>
    <t>CRBN</t>
  </si>
  <si>
    <t>JQ1-FcQ</t>
  </si>
  <si>
    <t>JQ1-FepicQ</t>
  </si>
  <si>
    <t>JQ1-FcN</t>
  </si>
  <si>
    <t>rac-LEN</t>
  </si>
  <si>
    <t>rac-LEN-d3</t>
  </si>
  <si>
    <t>R-LEN-d3</t>
  </si>
  <si>
    <t>S-LEN-d3</t>
  </si>
  <si>
    <t>rac-pLEN</t>
  </si>
  <si>
    <t>NCP-13-69</t>
  </si>
  <si>
    <t>JQ1-FepicN</t>
  </si>
  <si>
    <t>rac-JQ1-LEN-d3</t>
  </si>
  <si>
    <t>R-JQ1-LEN-d3</t>
  </si>
  <si>
    <t>S-JQ1-LEN-d3</t>
  </si>
  <si>
    <t>Me-LEN</t>
  </si>
  <si>
    <t>rac-CC-885</t>
  </si>
  <si>
    <t>rac-CC-885-d3</t>
  </si>
  <si>
    <t>R-CC-885-d3</t>
  </si>
  <si>
    <t>S-CC-885-d3</t>
  </si>
  <si>
    <t>Fmoc-GGGFcQ</t>
  </si>
  <si>
    <t>Fmoc-GGGFcN</t>
  </si>
  <si>
    <t>Fmoc-GGGFepicQ</t>
  </si>
  <si>
    <t>Fmoc-GGGFepicN</t>
  </si>
  <si>
    <t>SI-II-141</t>
  </si>
  <si>
    <t>rac-pLEN-d3</t>
  </si>
  <si>
    <t>R-pLEN-d3</t>
  </si>
  <si>
    <t>S-pLEN-d3</t>
  </si>
  <si>
    <t>NCP-1-37-20220928</t>
  </si>
  <si>
    <r>
      <t xml:space="preserve">Thal-FITC </t>
    </r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saturation binding (nM)</t>
    </r>
  </si>
  <si>
    <r>
      <t xml:space="preserve">Thal-FITC </t>
    </r>
    <r>
      <rPr>
        <b/>
        <i/>
        <sz val="12"/>
        <color theme="1"/>
        <rFont val="Calibri"/>
        <family val="2"/>
        <scheme val="minor"/>
      </rPr>
      <t>K</t>
    </r>
    <r>
      <rPr>
        <b/>
        <vertAlign val="subscript"/>
        <sz val="12"/>
        <color theme="1"/>
        <rFont val="Calibri (Body)"/>
      </rPr>
      <t>D</t>
    </r>
    <r>
      <rPr>
        <b/>
        <sz val="12"/>
        <color theme="1"/>
        <rFont val="Calibri"/>
        <family val="2"/>
        <scheme val="minor"/>
      </rPr>
      <t xml:space="preserve"> 2-site (nM)</t>
    </r>
  </si>
  <si>
    <t>-</t>
  </si>
  <si>
    <t>NCP-1-29-20220926</t>
  </si>
  <si>
    <t>Concentration used in assay (nM)</t>
  </si>
  <si>
    <t>(R)-pLen-d3</t>
  </si>
  <si>
    <t>(S)-pLen-d3</t>
  </si>
  <si>
    <t>rac-pLen-d3</t>
  </si>
  <si>
    <t>rac-pLen</t>
  </si>
  <si>
    <t>CULT</t>
  </si>
  <si>
    <t>NCP-2-45</t>
  </si>
  <si>
    <t>CRBN + BD2</t>
  </si>
  <si>
    <t>HCL 717</t>
  </si>
  <si>
    <t>GGGAcN</t>
  </si>
  <si>
    <t>GGGAepicN</t>
  </si>
  <si>
    <t>lenalidomide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</si>
</sst>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vertAlign val="subscript"/>
      <sz val="12"/>
      <color theme="1"/>
      <name val="Calibri (Body)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1" fontId="4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624B-D5B7-A44F-AD5B-90332EB72172}">
  <dimension ref="A1:Y38"/>
  <sheetViews>
    <sheetView tabSelected="1" workbookViewId="0">
      <selection activeCell="P29" sqref="P29"/>
    </sheetView>
  </sheetViews>
  <sheetFormatPr baseColWidth="10" defaultRowHeight="16" x14ac:dyDescent="0.2"/>
  <cols>
    <col min="1" max="1" width="39" bestFit="1" customWidth="1"/>
    <col min="2" max="3" width="17.6640625" bestFit="1" customWidth="1"/>
    <col min="4" max="4" width="13" customWidth="1"/>
    <col min="5" max="5" width="19.6640625" bestFit="1" customWidth="1"/>
    <col min="6" max="6" width="12.83203125" bestFit="1" customWidth="1"/>
    <col min="7" max="8" width="14.1640625" bestFit="1" customWidth="1"/>
    <col min="9" max="14" width="11"/>
    <col min="15" max="15" width="13.33203125" bestFit="1" customWidth="1"/>
    <col min="16" max="25" width="10.83203125" style="2"/>
  </cols>
  <sheetData>
    <row r="1" spans="1:25" ht="18" x14ac:dyDescent="0.25">
      <c r="A1" s="1" t="s">
        <v>0</v>
      </c>
      <c r="B1" s="2">
        <v>48.6</v>
      </c>
      <c r="C1" s="3" t="s">
        <v>2</v>
      </c>
      <c r="D1" s="3" t="s">
        <v>7</v>
      </c>
      <c r="E1" s="3" t="s">
        <v>8</v>
      </c>
      <c r="F1" s="3" t="s">
        <v>9</v>
      </c>
      <c r="G1" s="4" t="s">
        <v>10</v>
      </c>
      <c r="H1" s="4" t="s">
        <v>11</v>
      </c>
      <c r="I1" s="4" t="s">
        <v>12</v>
      </c>
      <c r="J1" s="4" t="s">
        <v>10</v>
      </c>
      <c r="K1" s="4" t="s">
        <v>11</v>
      </c>
      <c r="L1" s="3" t="s">
        <v>13</v>
      </c>
      <c r="M1" s="4" t="s">
        <v>10</v>
      </c>
      <c r="N1" s="4" t="s">
        <v>11</v>
      </c>
      <c r="O1" s="5"/>
      <c r="P1" s="3" t="s">
        <v>14</v>
      </c>
      <c r="Q1" s="4" t="s">
        <v>10</v>
      </c>
      <c r="R1" s="4" t="s">
        <v>11</v>
      </c>
      <c r="S1" s="3" t="s">
        <v>15</v>
      </c>
      <c r="T1" s="4" t="s">
        <v>10</v>
      </c>
      <c r="U1" s="4" t="s">
        <v>11</v>
      </c>
      <c r="V1" s="3" t="s">
        <v>16</v>
      </c>
      <c r="W1" s="4" t="s">
        <v>10</v>
      </c>
      <c r="X1" s="4" t="s">
        <v>11</v>
      </c>
      <c r="Y1" s="3" t="s">
        <v>17</v>
      </c>
    </row>
    <row r="2" spans="1:25" ht="18" x14ac:dyDescent="0.25">
      <c r="A2" s="1" t="s">
        <v>1</v>
      </c>
      <c r="B2" s="6">
        <f>B1*(1+SQRT(2))</f>
        <v>117.33077913133242</v>
      </c>
      <c r="C2" s="7" t="s">
        <v>18</v>
      </c>
      <c r="D2" s="7" t="s">
        <v>19</v>
      </c>
      <c r="E2" s="7" t="s">
        <v>26</v>
      </c>
      <c r="F2" s="8">
        <v>2.463E-8</v>
      </c>
      <c r="G2" s="8">
        <v>1.87E-9</v>
      </c>
      <c r="H2" s="8">
        <v>1.74E-9</v>
      </c>
      <c r="I2" s="9">
        <f t="shared" ref="I2:K9" si="0">F2*1000000000</f>
        <v>24.63</v>
      </c>
      <c r="J2" s="9">
        <f t="shared" si="0"/>
        <v>1.8699999999999999</v>
      </c>
      <c r="K2" s="9">
        <f t="shared" si="0"/>
        <v>1.74</v>
      </c>
      <c r="L2" s="10">
        <f t="shared" ref="L2:L14" si="1">-LOG(F2)</f>
        <v>7.6085355881608967</v>
      </c>
      <c r="M2" s="10">
        <f t="shared" ref="M2:M14" si="2">0.434*(G2/F2)</f>
        <v>3.2950872919204219E-2</v>
      </c>
      <c r="N2" s="10">
        <f t="shared" ref="N2:N9" si="3">0.434*(H2/F2)</f>
        <v>3.0660170523751518E-2</v>
      </c>
      <c r="P2" s="11">
        <f>F2/$B$5</f>
        <v>1.7270325907803034E-8</v>
      </c>
      <c r="Q2" s="11">
        <f t="shared" ref="Q2:Q29" si="4">(G2/F2)*P2</f>
        <v>1.3112265305558942E-9</v>
      </c>
      <c r="R2" s="11">
        <f t="shared" ref="R2:R29" si="5">(H2/F2)*P2</f>
        <v>1.2200717450092277E-9</v>
      </c>
      <c r="S2" s="9">
        <f t="shared" ref="S2:U9" si="6">P2*1000000000</f>
        <v>17.270325907803034</v>
      </c>
      <c r="T2" s="9">
        <f t="shared" si="6"/>
        <v>1.3112265305558941</v>
      </c>
      <c r="U2" s="9">
        <f t="shared" si="6"/>
        <v>1.2200717450092278</v>
      </c>
      <c r="V2" s="10">
        <f t="shared" ref="V2:V9" si="7">-LOG(P2)</f>
        <v>7.7626994667970486</v>
      </c>
      <c r="W2" s="10">
        <f t="shared" ref="W2:W9" si="8">0.434*(Q2/P2)</f>
        <v>3.2950872919204219E-2</v>
      </c>
      <c r="X2" s="10">
        <f t="shared" ref="X2:X9" si="9">0.434*(R2/P2)</f>
        <v>3.0660170523751518E-2</v>
      </c>
      <c r="Y2" s="9">
        <f>S2/$B$6</f>
        <v>6.9081303631212139</v>
      </c>
    </row>
    <row r="3" spans="1:25" x14ac:dyDescent="0.2">
      <c r="A3" s="1" t="s">
        <v>2</v>
      </c>
      <c r="B3" s="2" t="s">
        <v>3</v>
      </c>
      <c r="C3" s="7" t="s">
        <v>18</v>
      </c>
      <c r="D3" s="7" t="s">
        <v>19</v>
      </c>
      <c r="E3" s="7" t="s">
        <v>25</v>
      </c>
      <c r="F3" s="8">
        <v>1.3519999999999999E-6</v>
      </c>
      <c r="G3" s="8">
        <v>1.4200000000000001E-9</v>
      </c>
      <c r="H3" s="8">
        <v>1.27E-9</v>
      </c>
      <c r="I3" s="9">
        <f t="shared" si="0"/>
        <v>1352</v>
      </c>
      <c r="J3" s="9">
        <f t="shared" si="0"/>
        <v>1.4200000000000002</v>
      </c>
      <c r="K3" s="9">
        <f t="shared" si="0"/>
        <v>1.27</v>
      </c>
      <c r="L3" s="10">
        <f t="shared" si="1"/>
        <v>5.8690233083943832</v>
      </c>
      <c r="M3" s="10">
        <f t="shared" si="2"/>
        <v>4.5582840236686392E-4</v>
      </c>
      <c r="N3" s="10">
        <f t="shared" si="3"/>
        <v>4.076775147928994E-4</v>
      </c>
      <c r="P3" s="11">
        <f t="shared" ref="P3:P28" si="10">F3/$B$5</f>
        <v>9.4800976968533101E-7</v>
      </c>
      <c r="Q3" s="11">
        <f t="shared" si="4"/>
        <v>9.9569073443281814E-10</v>
      </c>
      <c r="R3" s="11">
        <f t="shared" si="5"/>
        <v>8.9051213572512602E-10</v>
      </c>
      <c r="S3" s="9">
        <f t="shared" si="6"/>
        <v>948.00976968533098</v>
      </c>
      <c r="T3" s="9">
        <f t="shared" si="6"/>
        <v>0.99569073443281819</v>
      </c>
      <c r="U3" s="9">
        <f t="shared" si="6"/>
        <v>0.890512135725126</v>
      </c>
      <c r="V3" s="10">
        <f t="shared" si="7"/>
        <v>6.0231871870305342</v>
      </c>
      <c r="W3" s="10">
        <f t="shared" si="8"/>
        <v>4.5582840236686392E-4</v>
      </c>
      <c r="X3" s="10">
        <f t="shared" si="9"/>
        <v>4.076775147928994E-4</v>
      </c>
      <c r="Y3" s="9">
        <f t="shared" ref="Y3:Y14" si="11">S3/$B$6</f>
        <v>379.20390787413237</v>
      </c>
    </row>
    <row r="4" spans="1:25" x14ac:dyDescent="0.2">
      <c r="A4" s="1" t="s">
        <v>4</v>
      </c>
      <c r="B4" s="2">
        <v>50</v>
      </c>
      <c r="C4" s="7" t="s">
        <v>18</v>
      </c>
      <c r="D4" s="7" t="s">
        <v>19</v>
      </c>
      <c r="E4" s="7" t="s">
        <v>24</v>
      </c>
      <c r="F4" s="8">
        <v>5.215E-8</v>
      </c>
      <c r="G4" s="8">
        <v>4.1700000000000003E-9</v>
      </c>
      <c r="H4" s="8">
        <v>3.8700000000000001E-9</v>
      </c>
      <c r="I4" s="9">
        <f t="shared" si="0"/>
        <v>52.15</v>
      </c>
      <c r="J4" s="9">
        <f t="shared" si="0"/>
        <v>4.17</v>
      </c>
      <c r="K4" s="9">
        <f t="shared" si="0"/>
        <v>3.87</v>
      </c>
      <c r="L4" s="10">
        <f t="shared" si="1"/>
        <v>7.2827456872374503</v>
      </c>
      <c r="M4" s="10">
        <f t="shared" si="2"/>
        <v>3.4703355704697993E-2</v>
      </c>
      <c r="N4" s="10">
        <f t="shared" si="3"/>
        <v>3.2206711409395974E-2</v>
      </c>
      <c r="P4" s="11">
        <f t="shared" si="10"/>
        <v>3.6567092817374269E-8</v>
      </c>
      <c r="Q4" s="11">
        <f t="shared" si="4"/>
        <v>2.9239650440738393E-9</v>
      </c>
      <c r="R4" s="11">
        <f t="shared" si="5"/>
        <v>2.7136078466584553E-9</v>
      </c>
      <c r="S4" s="9">
        <f t="shared" si="6"/>
        <v>36.567092817374267</v>
      </c>
      <c r="T4" s="9">
        <f t="shared" si="6"/>
        <v>2.9239650440738392</v>
      </c>
      <c r="U4" s="9">
        <f t="shared" si="6"/>
        <v>2.7136078466584554</v>
      </c>
      <c r="V4" s="10">
        <f t="shared" si="7"/>
        <v>7.4369095658736022</v>
      </c>
      <c r="W4" s="10">
        <f t="shared" si="8"/>
        <v>3.4703355704697993E-2</v>
      </c>
      <c r="X4" s="10">
        <f t="shared" si="9"/>
        <v>3.2206711409395974E-2</v>
      </c>
      <c r="Y4" s="9">
        <f t="shared" si="11"/>
        <v>14.626837126949706</v>
      </c>
    </row>
    <row r="5" spans="1:25" x14ac:dyDescent="0.2">
      <c r="A5" s="1" t="s">
        <v>5</v>
      </c>
      <c r="B5" s="12">
        <f>1+(B4/B2)</f>
        <v>1.426145640301538</v>
      </c>
      <c r="C5" s="7" t="s">
        <v>18</v>
      </c>
      <c r="D5" s="7" t="s">
        <v>19</v>
      </c>
      <c r="E5" s="7" t="s">
        <v>23</v>
      </c>
      <c r="F5" s="8">
        <v>4.786E-8</v>
      </c>
      <c r="G5" s="8">
        <v>6E-9</v>
      </c>
      <c r="H5" s="8">
        <v>5.3599999999999997E-9</v>
      </c>
      <c r="I5" s="9">
        <f t="shared" si="0"/>
        <v>47.86</v>
      </c>
      <c r="J5" s="9">
        <f t="shared" si="0"/>
        <v>6</v>
      </c>
      <c r="K5" s="9">
        <f t="shared" si="0"/>
        <v>5.3599999999999994</v>
      </c>
      <c r="L5" s="10">
        <f t="shared" si="1"/>
        <v>7.3200273057225811</v>
      </c>
      <c r="M5" s="10">
        <f t="shared" si="2"/>
        <v>5.440869201838696E-2</v>
      </c>
      <c r="N5" s="10">
        <f t="shared" si="3"/>
        <v>4.8605098203092355E-2</v>
      </c>
      <c r="P5" s="11">
        <f t="shared" si="10"/>
        <v>3.3558984894334276E-8</v>
      </c>
      <c r="Q5" s="11">
        <f t="shared" si="4"/>
        <v>4.2071439483076824E-9</v>
      </c>
      <c r="R5" s="11">
        <f t="shared" si="5"/>
        <v>3.7583819271548628E-9</v>
      </c>
      <c r="S5" s="9">
        <f t="shared" si="6"/>
        <v>33.558984894334273</v>
      </c>
      <c r="T5" s="9">
        <f t="shared" si="6"/>
        <v>4.2071439483076825</v>
      </c>
      <c r="U5" s="9">
        <f t="shared" si="6"/>
        <v>3.7583819271548626</v>
      </c>
      <c r="V5" s="10">
        <f t="shared" si="7"/>
        <v>7.474191184358733</v>
      </c>
      <c r="W5" s="10">
        <f t="shared" si="8"/>
        <v>5.440869201838696E-2</v>
      </c>
      <c r="X5" s="10">
        <f t="shared" si="9"/>
        <v>4.8605098203092355E-2</v>
      </c>
      <c r="Y5" s="9">
        <f t="shared" si="11"/>
        <v>13.42359395773371</v>
      </c>
    </row>
    <row r="6" spans="1:25" x14ac:dyDescent="0.2">
      <c r="A6" s="1" t="s">
        <v>6</v>
      </c>
      <c r="B6" s="2">
        <v>2.5</v>
      </c>
      <c r="C6" s="7" t="s">
        <v>28</v>
      </c>
      <c r="D6" s="7" t="s">
        <v>19</v>
      </c>
      <c r="E6" s="7" t="s">
        <v>33</v>
      </c>
      <c r="F6" s="8">
        <v>1.5310000000000001E-5</v>
      </c>
      <c r="G6" s="11">
        <v>2.9568019140530202E-6</v>
      </c>
      <c r="H6" s="11">
        <v>1.9821731059310201E-6</v>
      </c>
      <c r="I6" s="9">
        <f>F6*1000000000</f>
        <v>15310</v>
      </c>
      <c r="J6" s="9">
        <f t="shared" si="0"/>
        <v>2956.80191405302</v>
      </c>
      <c r="K6" s="9">
        <f t="shared" si="0"/>
        <v>1982.17310593102</v>
      </c>
      <c r="L6" s="10">
        <f t="shared" si="1"/>
        <v>4.8150248093017387</v>
      </c>
      <c r="M6" s="10">
        <f t="shared" si="2"/>
        <v>8.3817898804638191E-2</v>
      </c>
      <c r="N6" s="10">
        <f t="shared" si="3"/>
        <v>5.6189622989814669E-2</v>
      </c>
      <c r="P6" s="11">
        <f t="shared" si="10"/>
        <v>1.0735228974765102E-5</v>
      </c>
      <c r="Q6" s="11">
        <f t="shared" si="4"/>
        <v>2.0732818798421224E-6</v>
      </c>
      <c r="R6" s="11">
        <f t="shared" si="5"/>
        <v>1.3898812645193221E-6</v>
      </c>
      <c r="S6" s="9">
        <f t="shared" si="6"/>
        <v>10735.228974765103</v>
      </c>
      <c r="T6" s="9">
        <f t="shared" si="6"/>
        <v>2073.2818798421226</v>
      </c>
      <c r="U6" s="9">
        <f t="shared" si="6"/>
        <v>1389.881264519322</v>
      </c>
      <c r="V6" s="10">
        <f t="shared" si="7"/>
        <v>4.9691886879378906</v>
      </c>
      <c r="W6" s="10">
        <f t="shared" si="8"/>
        <v>8.3817898804638191E-2</v>
      </c>
      <c r="X6" s="10">
        <f t="shared" si="9"/>
        <v>5.6189622989814669E-2</v>
      </c>
      <c r="Y6" s="9">
        <f t="shared" si="11"/>
        <v>4294.091589906041</v>
      </c>
    </row>
    <row r="7" spans="1:25" ht="17" customHeight="1" x14ac:dyDescent="0.2">
      <c r="C7" s="7" t="s">
        <v>42</v>
      </c>
      <c r="D7" s="7" t="s">
        <v>19</v>
      </c>
      <c r="E7" s="13" t="s">
        <v>45</v>
      </c>
      <c r="F7" s="8">
        <v>1.02206302700154E-8</v>
      </c>
      <c r="G7" s="8">
        <v>1.4308036338612699E-9</v>
      </c>
      <c r="H7" s="8">
        <v>1.2478353178111901E-9</v>
      </c>
      <c r="I7" s="9">
        <f t="shared" si="0"/>
        <v>10.2206302700154</v>
      </c>
      <c r="J7" s="9">
        <f t="shared" si="0"/>
        <v>1.43080363386127</v>
      </c>
      <c r="K7" s="9">
        <f t="shared" si="0"/>
        <v>1.2478353178111901</v>
      </c>
      <c r="L7" s="10">
        <f t="shared" si="1"/>
        <v>7.9905223219752921</v>
      </c>
      <c r="M7" s="10">
        <f t="shared" si="2"/>
        <v>6.0756407451460964E-2</v>
      </c>
      <c r="N7" s="10">
        <f t="shared" si="3"/>
        <v>5.2986999198948663E-2</v>
      </c>
      <c r="O7" s="14"/>
      <c r="P7" s="11">
        <f t="shared" si="10"/>
        <v>7.1666104647309333E-9</v>
      </c>
      <c r="Q7" s="11">
        <f t="shared" si="4"/>
        <v>1.0032661415693471E-9</v>
      </c>
      <c r="R7" s="11">
        <f t="shared" si="5"/>
        <v>8.7497046763565689E-10</v>
      </c>
      <c r="S7" s="9">
        <f t="shared" si="6"/>
        <v>7.1666104647309332</v>
      </c>
      <c r="T7" s="9">
        <f t="shared" si="6"/>
        <v>1.0032661415693471</v>
      </c>
      <c r="U7" s="9">
        <f t="shared" si="6"/>
        <v>0.87497046763565689</v>
      </c>
      <c r="V7" s="10">
        <f t="shared" si="7"/>
        <v>8.144686200611444</v>
      </c>
      <c r="W7" s="10">
        <f t="shared" si="8"/>
        <v>6.0756407451460964E-2</v>
      </c>
      <c r="X7" s="10">
        <f t="shared" si="9"/>
        <v>5.2986999198948663E-2</v>
      </c>
      <c r="Y7" s="9">
        <f t="shared" si="11"/>
        <v>2.8666441858923735</v>
      </c>
    </row>
    <row r="8" spans="1:25" x14ac:dyDescent="0.2">
      <c r="C8" s="7" t="s">
        <v>42</v>
      </c>
      <c r="D8" s="7" t="s">
        <v>19</v>
      </c>
      <c r="E8" s="13" t="s">
        <v>44</v>
      </c>
      <c r="F8" s="8">
        <v>1.40612278965499E-6</v>
      </c>
      <c r="G8" s="8">
        <v>4.8030370056332705E-7</v>
      </c>
      <c r="H8" s="8">
        <v>3.53701672514561E-7</v>
      </c>
      <c r="I8" s="9">
        <f t="shared" si="0"/>
        <v>1406.1227896549899</v>
      </c>
      <c r="J8" s="9">
        <f t="shared" si="0"/>
        <v>480.30370056332703</v>
      </c>
      <c r="K8" s="9">
        <f t="shared" si="0"/>
        <v>353.70167251456098</v>
      </c>
      <c r="L8" s="10">
        <f t="shared" si="1"/>
        <v>5.8519767529000175</v>
      </c>
      <c r="M8" s="10">
        <f t="shared" si="2"/>
        <v>0.14824580582726365</v>
      </c>
      <c r="N8" s="10">
        <f t="shared" si="3"/>
        <v>0.10917007177515717</v>
      </c>
      <c r="O8" s="14"/>
      <c r="P8" s="11">
        <f t="shared" si="10"/>
        <v>9.8596016417908445E-7</v>
      </c>
      <c r="Q8" s="11">
        <f t="shared" si="4"/>
        <v>3.3678446786246439E-7</v>
      </c>
      <c r="R8" s="11">
        <f t="shared" si="5"/>
        <v>2.4801230850432349E-7</v>
      </c>
      <c r="S8" s="9">
        <f t="shared" si="6"/>
        <v>985.96016417908447</v>
      </c>
      <c r="T8" s="9">
        <f t="shared" si="6"/>
        <v>336.7844678624644</v>
      </c>
      <c r="U8" s="9">
        <f t="shared" si="6"/>
        <v>248.0123085043235</v>
      </c>
      <c r="V8" s="10">
        <f t="shared" si="7"/>
        <v>6.0061406315361694</v>
      </c>
      <c r="W8" s="10">
        <f t="shared" si="8"/>
        <v>0.14824580582726365</v>
      </c>
      <c r="X8" s="10">
        <f t="shared" si="9"/>
        <v>0.10917007177515717</v>
      </c>
      <c r="Y8" s="9">
        <f t="shared" si="11"/>
        <v>394.38406567163378</v>
      </c>
    </row>
    <row r="9" spans="1:25" x14ac:dyDescent="0.2">
      <c r="C9" s="7" t="s">
        <v>42</v>
      </c>
      <c r="D9" s="7" t="s">
        <v>19</v>
      </c>
      <c r="E9" s="13" t="s">
        <v>43</v>
      </c>
      <c r="F9" s="8">
        <v>2.5285715525831301E-8</v>
      </c>
      <c r="G9" s="8">
        <v>5.8045936473435203E-9</v>
      </c>
      <c r="H9" s="8">
        <v>4.68259753757621E-9</v>
      </c>
      <c r="I9" s="9">
        <f t="shared" si="0"/>
        <v>25.2857155258313</v>
      </c>
      <c r="J9" s="9">
        <f t="shared" si="0"/>
        <v>5.8045936473435207</v>
      </c>
      <c r="K9" s="9">
        <f t="shared" si="0"/>
        <v>4.6825975375762097</v>
      </c>
      <c r="L9" s="10">
        <f t="shared" si="1"/>
        <v>7.597124752352836</v>
      </c>
      <c r="M9" s="10">
        <f t="shared" si="2"/>
        <v>9.9629122235973033E-2</v>
      </c>
      <c r="N9" s="10">
        <f t="shared" si="3"/>
        <v>8.0371359443318038E-2</v>
      </c>
      <c r="O9" s="14"/>
      <c r="P9" s="11">
        <f t="shared" si="10"/>
        <v>1.7730107508855127E-8</v>
      </c>
      <c r="Q9" s="11">
        <f t="shared" si="4"/>
        <v>4.0701268393010848E-9</v>
      </c>
      <c r="R9" s="11">
        <f t="shared" si="5"/>
        <v>3.2833936487623679E-9</v>
      </c>
      <c r="S9" s="9">
        <f t="shared" si="6"/>
        <v>17.730107508855127</v>
      </c>
      <c r="T9" s="9">
        <f t="shared" si="6"/>
        <v>4.0701268393010848</v>
      </c>
      <c r="U9" s="9">
        <f t="shared" si="6"/>
        <v>3.2833936487623681</v>
      </c>
      <c r="V9" s="10">
        <f t="shared" si="7"/>
        <v>7.751288630988987</v>
      </c>
      <c r="W9" s="10">
        <f t="shared" si="8"/>
        <v>9.9629122235973033E-2</v>
      </c>
      <c r="X9" s="10">
        <f t="shared" si="9"/>
        <v>8.0371359443318038E-2</v>
      </c>
      <c r="Y9" s="9">
        <f t="shared" si="11"/>
        <v>7.0920430035420505</v>
      </c>
    </row>
    <row r="10" spans="1:25" x14ac:dyDescent="0.2">
      <c r="C10" s="7" t="s">
        <v>42</v>
      </c>
      <c r="D10" s="7" t="s">
        <v>19</v>
      </c>
      <c r="E10" s="13" t="s">
        <v>27</v>
      </c>
      <c r="F10" s="8">
        <v>2.6899245634423499E-8</v>
      </c>
      <c r="G10" s="8">
        <v>6.6742830342599399E-9</v>
      </c>
      <c r="H10" s="8">
        <v>5.29984553482031E-9</v>
      </c>
      <c r="I10" s="9">
        <f t="shared" ref="I10" si="12">F10*1000000000</f>
        <v>26.899245634423497</v>
      </c>
      <c r="J10" s="9">
        <f t="shared" ref="J10:K10" si="13">G10*1000000000</f>
        <v>6.6742830342599397</v>
      </c>
      <c r="K10" s="9">
        <f t="shared" si="13"/>
        <v>5.2998455348203102</v>
      </c>
      <c r="L10" s="10">
        <f t="shared" si="1"/>
        <v>7.5702598992318313</v>
      </c>
      <c r="M10" s="10">
        <f t="shared" si="2"/>
        <v>0.10768476098682588</v>
      </c>
      <c r="N10" s="10">
        <f t="shared" ref="N10" si="14">0.434*(H10/F10)</f>
        <v>8.5509199528201213E-2</v>
      </c>
      <c r="O10" s="14"/>
      <c r="P10" s="11">
        <f t="shared" si="10"/>
        <v>1.8861499747484443E-8</v>
      </c>
      <c r="Q10" s="11">
        <f t="shared" si="4"/>
        <v>4.6799449128132231E-9</v>
      </c>
      <c r="R10" s="11">
        <f t="shared" si="5"/>
        <v>3.7162021781307929E-9</v>
      </c>
      <c r="S10" s="9">
        <f t="shared" ref="S10:U10" si="15">P10*1000000000</f>
        <v>18.861499747484444</v>
      </c>
      <c r="T10" s="9">
        <f t="shared" si="15"/>
        <v>4.6799449128132231</v>
      </c>
      <c r="U10" s="9">
        <f t="shared" si="15"/>
        <v>3.7162021781307928</v>
      </c>
      <c r="V10" s="10">
        <f t="shared" ref="V10" si="16">-LOG(P10)</f>
        <v>7.7244237778679823</v>
      </c>
      <c r="W10" s="10">
        <f t="shared" ref="W10" si="17">0.434*(Q10/P10)</f>
        <v>0.10768476098682586</v>
      </c>
      <c r="X10" s="10">
        <f t="shared" ref="X10" si="18">0.434*(R10/P10)</f>
        <v>8.5509199528201213E-2</v>
      </c>
      <c r="Y10" s="9">
        <f t="shared" si="11"/>
        <v>7.5445998989937779</v>
      </c>
    </row>
    <row r="11" spans="1:25" x14ac:dyDescent="0.2">
      <c r="C11" s="7" t="s">
        <v>28</v>
      </c>
      <c r="D11" s="7" t="s">
        <v>19</v>
      </c>
      <c r="E11" s="7" t="s">
        <v>37</v>
      </c>
      <c r="F11" s="8">
        <v>4.4109999999999998E-9</v>
      </c>
      <c r="G11" s="8">
        <v>2.17E-10</v>
      </c>
      <c r="H11" s="8">
        <v>2.0700000000000001E-10</v>
      </c>
      <c r="I11" s="9">
        <f t="shared" ref="I11:K14" si="19">F11*1000000000</f>
        <v>4.4109999999999996</v>
      </c>
      <c r="J11" s="9">
        <f t="shared" si="19"/>
        <v>0.217</v>
      </c>
      <c r="K11" s="9">
        <f t="shared" si="19"/>
        <v>0.20700000000000002</v>
      </c>
      <c r="L11" s="10">
        <f t="shared" si="1"/>
        <v>8.3554629422215925</v>
      </c>
      <c r="M11" s="10">
        <f t="shared" si="2"/>
        <v>2.1350714123781457E-2</v>
      </c>
      <c r="N11" s="10">
        <f t="shared" ref="N11:N14" si="20">0.434*(H11/F11)</f>
        <v>2.0366810247109499E-2</v>
      </c>
      <c r="P11" s="11">
        <f t="shared" si="10"/>
        <v>3.0929519926641975E-9</v>
      </c>
      <c r="Q11" s="11">
        <f t="shared" si="4"/>
        <v>1.5215837279712783E-10</v>
      </c>
      <c r="R11" s="11">
        <f t="shared" si="5"/>
        <v>1.4514646621661503E-10</v>
      </c>
      <c r="S11" s="9">
        <f t="shared" ref="S11:U14" si="21">P11*1000000000</f>
        <v>3.0929519926641973</v>
      </c>
      <c r="T11" s="9">
        <f t="shared" si="21"/>
        <v>0.15215837279712782</v>
      </c>
      <c r="U11" s="9">
        <f t="shared" si="21"/>
        <v>0.14514646621661503</v>
      </c>
      <c r="V11" s="10">
        <f t="shared" ref="V11:V14" si="22">-LOG(P11)</f>
        <v>8.5096268208577435</v>
      </c>
      <c r="W11" s="10">
        <f t="shared" ref="W11:W14" si="23">0.434*(Q11/P11)</f>
        <v>2.1350714123781457E-2</v>
      </c>
      <c r="X11" s="10">
        <f t="shared" ref="X11:X14" si="24">0.434*(R11/P11)</f>
        <v>2.0366810247109499E-2</v>
      </c>
      <c r="Y11" s="9">
        <f t="shared" si="11"/>
        <v>1.237180797065679</v>
      </c>
    </row>
    <row r="12" spans="1:25" x14ac:dyDescent="0.2">
      <c r="C12" s="7" t="s">
        <v>28</v>
      </c>
      <c r="D12" s="7" t="s">
        <v>19</v>
      </c>
      <c r="E12" s="7" t="s">
        <v>36</v>
      </c>
      <c r="F12" s="8">
        <v>5.7169999999999996E-7</v>
      </c>
      <c r="G12" s="8">
        <v>4.6100000000000003E-8</v>
      </c>
      <c r="H12" s="8">
        <v>4.2499999999999997E-8</v>
      </c>
      <c r="I12" s="9">
        <f t="shared" si="19"/>
        <v>571.69999999999993</v>
      </c>
      <c r="J12" s="9">
        <f t="shared" si="19"/>
        <v>46.1</v>
      </c>
      <c r="K12" s="9">
        <f t="shared" si="19"/>
        <v>42.5</v>
      </c>
      <c r="L12" s="10">
        <f t="shared" si="1"/>
        <v>6.2428318077857279</v>
      </c>
      <c r="M12" s="10">
        <f t="shared" si="2"/>
        <v>3.4996326744796226E-2</v>
      </c>
      <c r="N12" s="10">
        <f t="shared" si="20"/>
        <v>3.2263424873185238E-2</v>
      </c>
      <c r="P12" s="11">
        <f t="shared" si="10"/>
        <v>4.0087069920791695E-7</v>
      </c>
      <c r="Q12" s="11">
        <f t="shared" si="4"/>
        <v>3.2324889336164025E-8</v>
      </c>
      <c r="R12" s="11">
        <f t="shared" si="5"/>
        <v>2.9800602967179415E-8</v>
      </c>
      <c r="S12" s="9">
        <f t="shared" si="21"/>
        <v>400.87069920791697</v>
      </c>
      <c r="T12" s="9">
        <f t="shared" si="21"/>
        <v>32.324889336164027</v>
      </c>
      <c r="U12" s="9">
        <f t="shared" si="21"/>
        <v>29.800602967179415</v>
      </c>
      <c r="V12" s="10">
        <f t="shared" si="22"/>
        <v>6.3969956864218789</v>
      </c>
      <c r="W12" s="10">
        <f t="shared" si="23"/>
        <v>3.4996326744796226E-2</v>
      </c>
      <c r="X12" s="10">
        <f t="shared" si="24"/>
        <v>3.2263424873185238E-2</v>
      </c>
      <c r="Y12" s="9">
        <f t="shared" si="11"/>
        <v>160.34827968316679</v>
      </c>
    </row>
    <row r="13" spans="1:25" x14ac:dyDescent="0.2">
      <c r="C13" s="7" t="s">
        <v>28</v>
      </c>
      <c r="D13" s="7" t="s">
        <v>19</v>
      </c>
      <c r="E13" s="7" t="s">
        <v>35</v>
      </c>
      <c r="F13" s="8">
        <v>6.1879999999999997E-9</v>
      </c>
      <c r="G13" s="8">
        <v>3.0800000000000002E-10</v>
      </c>
      <c r="H13" s="8">
        <v>2.9300000000000002E-10</v>
      </c>
      <c r="I13" s="9">
        <f t="shared" si="19"/>
        <v>6.1879999999999997</v>
      </c>
      <c r="J13" s="9">
        <f t="shared" si="19"/>
        <v>0.308</v>
      </c>
      <c r="K13" s="9">
        <f t="shared" si="19"/>
        <v>0.29300000000000004</v>
      </c>
      <c r="L13" s="10">
        <f t="shared" si="1"/>
        <v>8.2084496949726695</v>
      </c>
      <c r="M13" s="10">
        <f t="shared" si="2"/>
        <v>2.1601809954751132E-2</v>
      </c>
      <c r="N13" s="10">
        <f t="shared" si="20"/>
        <v>2.0549773755656111E-2</v>
      </c>
      <c r="P13" s="11">
        <f t="shared" si="10"/>
        <v>4.3389677920213224E-9</v>
      </c>
      <c r="Q13" s="11">
        <f t="shared" si="4"/>
        <v>2.1596672267979433E-10</v>
      </c>
      <c r="R13" s="11">
        <f t="shared" si="5"/>
        <v>2.0544886280902514E-10</v>
      </c>
      <c r="S13" s="9">
        <f t="shared" si="21"/>
        <v>4.3389677920213225</v>
      </c>
      <c r="T13" s="9">
        <f t="shared" si="21"/>
        <v>0.21596672267979433</v>
      </c>
      <c r="U13" s="9">
        <f t="shared" si="21"/>
        <v>0.20544886280902513</v>
      </c>
      <c r="V13" s="10">
        <f t="shared" si="22"/>
        <v>8.3626135736088223</v>
      </c>
      <c r="W13" s="10">
        <f t="shared" si="23"/>
        <v>2.1601809954751132E-2</v>
      </c>
      <c r="X13" s="10">
        <f t="shared" si="24"/>
        <v>2.0549773755656111E-2</v>
      </c>
      <c r="Y13" s="9">
        <f t="shared" si="11"/>
        <v>1.7355871168085291</v>
      </c>
    </row>
    <row r="14" spans="1:25" x14ac:dyDescent="0.2">
      <c r="C14" s="7" t="s">
        <v>28</v>
      </c>
      <c r="D14" s="7" t="s">
        <v>19</v>
      </c>
      <c r="E14" s="7" t="s">
        <v>34</v>
      </c>
      <c r="F14" s="8">
        <v>5.1689999999999998E-9</v>
      </c>
      <c r="G14" s="8">
        <v>4.1500000000000001E-10</v>
      </c>
      <c r="H14" s="8">
        <v>3.8099999999999998E-10</v>
      </c>
      <c r="I14" s="9">
        <f t="shared" si="19"/>
        <v>5.1689999999999996</v>
      </c>
      <c r="J14" s="9">
        <f t="shared" si="19"/>
        <v>0.41500000000000004</v>
      </c>
      <c r="K14" s="9">
        <f t="shared" si="19"/>
        <v>0.38099999999999995</v>
      </c>
      <c r="L14" s="10">
        <f t="shared" si="1"/>
        <v>8.2865934678323097</v>
      </c>
      <c r="M14" s="10">
        <f t="shared" si="2"/>
        <v>3.4844263880828015E-2</v>
      </c>
      <c r="N14" s="10">
        <f t="shared" si="20"/>
        <v>3.1989553105049334E-2</v>
      </c>
      <c r="P14" s="11">
        <f t="shared" si="10"/>
        <v>3.624454511467068E-9</v>
      </c>
      <c r="Q14" s="11">
        <f t="shared" si="4"/>
        <v>2.9099412309128137E-10</v>
      </c>
      <c r="R14" s="11">
        <f t="shared" si="5"/>
        <v>2.6715364071753781E-10</v>
      </c>
      <c r="S14" s="9">
        <f t="shared" si="21"/>
        <v>3.6244545114670679</v>
      </c>
      <c r="T14" s="9">
        <f t="shared" si="21"/>
        <v>0.29099412309128136</v>
      </c>
      <c r="U14" s="9">
        <f t="shared" si="21"/>
        <v>0.26715364071753783</v>
      </c>
      <c r="V14" s="10">
        <f t="shared" si="22"/>
        <v>8.4407573464684607</v>
      </c>
      <c r="W14" s="10">
        <f t="shared" si="23"/>
        <v>3.4844263880828015E-2</v>
      </c>
      <c r="X14" s="10">
        <f t="shared" si="24"/>
        <v>3.1989553105049334E-2</v>
      </c>
      <c r="Y14" s="9">
        <f t="shared" si="11"/>
        <v>1.4497818045868271</v>
      </c>
    </row>
    <row r="15" spans="1:25" x14ac:dyDescent="0.2">
      <c r="C15" s="7" t="s">
        <v>57</v>
      </c>
      <c r="D15" s="7" t="s">
        <v>19</v>
      </c>
      <c r="E15" s="7" t="s">
        <v>30</v>
      </c>
      <c r="F15" s="11">
        <v>3.5250339937229099E-9</v>
      </c>
      <c r="G15" s="11">
        <v>6.7050496526078296E-10</v>
      </c>
      <c r="H15" s="11">
        <v>5.8561833288551203E-10</v>
      </c>
      <c r="I15" s="9">
        <f t="shared" ref="I15:K17" si="25">F15*1000000000</f>
        <v>3.5250339937229098</v>
      </c>
      <c r="J15" s="9">
        <f t="shared" si="25"/>
        <v>0.67050496526078296</v>
      </c>
      <c r="K15" s="9">
        <f t="shared" si="25"/>
        <v>0.58561833288551202</v>
      </c>
      <c r="L15" s="10">
        <f t="shared" ref="L15:L17" si="26">-LOG(F15)</f>
        <v>8.4528366905264569</v>
      </c>
      <c r="M15" s="10">
        <f t="shared" ref="M15:M17" si="27">0.434*(G15/F15)</f>
        <v>8.2552155650517725E-2</v>
      </c>
      <c r="N15" s="10">
        <f t="shared" ref="N15:N17" si="28">0.434*(H15/F15)</f>
        <v>7.210096609703523E-2</v>
      </c>
      <c r="P15" s="11">
        <f t="shared" si="10"/>
        <v>2.4717209057117E-9</v>
      </c>
      <c r="Q15" s="11">
        <f t="shared" ref="Q15:Q20" si="29">(G15/F15)*P15</f>
        <v>4.701518178178593E-10</v>
      </c>
      <c r="R15" s="11">
        <f t="shared" ref="R15:R20" si="30">(H15/F15)*P15</f>
        <v>4.1063010420288591E-10</v>
      </c>
      <c r="S15" s="9">
        <f>P15*1000000000</f>
        <v>2.4717209057117002</v>
      </c>
      <c r="T15" s="9">
        <f t="shared" ref="S15:U17" si="31">Q15*1000000000</f>
        <v>0.47015181781785931</v>
      </c>
      <c r="U15" s="9">
        <f t="shared" si="31"/>
        <v>0.41063010420288593</v>
      </c>
      <c r="V15" s="10">
        <f t="shared" ref="V15:V17" si="32">-LOG(P15)</f>
        <v>8.6070005691626079</v>
      </c>
      <c r="W15" s="10">
        <f t="shared" ref="W15:W17" si="33">0.434*(Q15/P15)</f>
        <v>8.2552155650517739E-2</v>
      </c>
      <c r="X15" s="10">
        <f t="shared" ref="X15:X17" si="34">0.434*(R15/P15)</f>
        <v>7.210096609703523E-2</v>
      </c>
      <c r="Y15" s="9">
        <f t="shared" ref="Y15:Y17" si="35">S15/$B$6</f>
        <v>0.98868836228468004</v>
      </c>
    </row>
    <row r="16" spans="1:25" x14ac:dyDescent="0.2">
      <c r="C16" s="7" t="s">
        <v>57</v>
      </c>
      <c r="D16" s="7" t="s">
        <v>19</v>
      </c>
      <c r="E16" s="7" t="s">
        <v>32</v>
      </c>
      <c r="F16" s="11">
        <v>1.65442343830066E-9</v>
      </c>
      <c r="G16" s="11">
        <v>2.64634938743979E-10</v>
      </c>
      <c r="H16" s="11">
        <v>2.6084636191486398E-10</v>
      </c>
      <c r="I16" s="9">
        <f t="shared" si="25"/>
        <v>1.65442343830066</v>
      </c>
      <c r="J16" s="9">
        <f t="shared" si="25"/>
        <v>0.26463493874397898</v>
      </c>
      <c r="K16" s="9">
        <f t="shared" si="25"/>
        <v>0.26084636191486399</v>
      </c>
      <c r="L16" s="10">
        <f t="shared" si="26"/>
        <v>8.7813533258706435</v>
      </c>
      <c r="M16" s="10">
        <f t="shared" si="27"/>
        <v>6.942089960527674E-2</v>
      </c>
      <c r="N16" s="10">
        <f t="shared" si="28"/>
        <v>6.8427053467842419E-2</v>
      </c>
      <c r="P16" s="11">
        <f t="shared" si="10"/>
        <v>1.1600662593975015E-9</v>
      </c>
      <c r="Q16" s="11">
        <f t="shared" si="29"/>
        <v>1.8555954684125086E-10</v>
      </c>
      <c r="R16" s="11">
        <f t="shared" si="30"/>
        <v>1.8290303216136588E-10</v>
      </c>
      <c r="S16" s="9">
        <f t="shared" si="31"/>
        <v>1.1600662593975015</v>
      </c>
      <c r="T16" s="9">
        <f t="shared" si="31"/>
        <v>0.18555954684125087</v>
      </c>
      <c r="U16" s="9">
        <f t="shared" si="31"/>
        <v>0.18290303216136589</v>
      </c>
      <c r="V16" s="10">
        <f t="shared" si="32"/>
        <v>8.9355172045067945</v>
      </c>
      <c r="W16" s="10">
        <f t="shared" si="33"/>
        <v>6.942089960527674E-2</v>
      </c>
      <c r="X16" s="10">
        <f t="shared" si="34"/>
        <v>6.8427053467842419E-2</v>
      </c>
      <c r="Y16" s="9">
        <f t="shared" si="35"/>
        <v>0.46402650375900062</v>
      </c>
    </row>
    <row r="17" spans="3:25" x14ac:dyDescent="0.2">
      <c r="C17" s="7" t="s">
        <v>57</v>
      </c>
      <c r="D17" s="7" t="s">
        <v>19</v>
      </c>
      <c r="E17" s="7" t="s">
        <v>31</v>
      </c>
      <c r="F17" s="11">
        <v>1.1249195688541399E-7</v>
      </c>
      <c r="G17" s="11">
        <v>1.9086736440874699E-8</v>
      </c>
      <c r="H17" s="11">
        <v>1.6443940560443398E-8</v>
      </c>
      <c r="I17" s="9">
        <f t="shared" si="25"/>
        <v>112.491956885414</v>
      </c>
      <c r="J17" s="9">
        <f t="shared" si="25"/>
        <v>19.086736440874699</v>
      </c>
      <c r="K17" s="9">
        <f t="shared" si="25"/>
        <v>16.443940560443398</v>
      </c>
      <c r="L17" s="10">
        <f t="shared" si="26"/>
        <v>6.948878528265114</v>
      </c>
      <c r="M17" s="10">
        <f t="shared" si="27"/>
        <v>7.3637652368137435E-2</v>
      </c>
      <c r="N17" s="10">
        <f t="shared" si="28"/>
        <v>6.3441604189550679E-2</v>
      </c>
      <c r="P17" s="11">
        <f t="shared" si="10"/>
        <v>7.88783092739597E-8</v>
      </c>
      <c r="Q17" s="11">
        <f t="shared" si="29"/>
        <v>1.3383441285028284E-8</v>
      </c>
      <c r="R17" s="11">
        <f t="shared" si="30"/>
        <v>1.1530337502533447E-8</v>
      </c>
      <c r="S17" s="9">
        <f t="shared" si="31"/>
        <v>78.878309273959701</v>
      </c>
      <c r="T17" s="9">
        <f t="shared" si="31"/>
        <v>13.383441285028283</v>
      </c>
      <c r="U17" s="9">
        <f t="shared" si="31"/>
        <v>11.530337502533447</v>
      </c>
      <c r="V17" s="10">
        <f t="shared" si="32"/>
        <v>7.1030424069012659</v>
      </c>
      <c r="W17" s="10">
        <f t="shared" si="33"/>
        <v>7.3637652368137435E-2</v>
      </c>
      <c r="X17" s="10">
        <f t="shared" si="34"/>
        <v>6.3441604189550679E-2</v>
      </c>
      <c r="Y17" s="9">
        <f t="shared" si="35"/>
        <v>31.55132370958388</v>
      </c>
    </row>
    <row r="18" spans="3:25" x14ac:dyDescent="0.2">
      <c r="C18" s="7" t="s">
        <v>57</v>
      </c>
      <c r="D18" s="7" t="s">
        <v>58</v>
      </c>
      <c r="E18" s="7" t="s">
        <v>30</v>
      </c>
      <c r="F18" s="8">
        <v>8.4254136431504403E-8</v>
      </c>
      <c r="G18" s="8">
        <v>1.9329929987602402E-8</v>
      </c>
      <c r="H18" s="8">
        <v>1.5956802371565E-8</v>
      </c>
      <c r="I18" s="9">
        <f t="shared" ref="I18:K20" si="36">F18*1000000000</f>
        <v>84.254136431504406</v>
      </c>
      <c r="J18" s="9">
        <f t="shared" si="36"/>
        <v>19.329929987602402</v>
      </c>
      <c r="K18" s="9">
        <f t="shared" si="36"/>
        <v>15.956802371565001</v>
      </c>
      <c r="L18" s="10">
        <f t="shared" ref="L18:L20" si="37">-LOG(F18)</f>
        <v>7.0744087683761627</v>
      </c>
      <c r="M18" s="10">
        <f t="shared" ref="M18:M20" si="38">0.434*(G18/F18)</f>
        <v>9.957006231307769E-2</v>
      </c>
      <c r="N18" s="10">
        <f t="shared" ref="N18:N20" si="39">0.434*(H18/F18)</f>
        <v>8.219480398910968E-2</v>
      </c>
      <c r="P18" s="11">
        <f t="shared" si="10"/>
        <v>5.9078213367948928E-8</v>
      </c>
      <c r="Q18" s="11">
        <f t="shared" si="29"/>
        <v>1.3553966328092107E-8</v>
      </c>
      <c r="R18" s="11">
        <f t="shared" si="30"/>
        <v>1.1188760755311893E-8</v>
      </c>
      <c r="S18" s="9">
        <f t="shared" ref="S18:U20" si="40">P18*1000000000</f>
        <v>59.078213367948926</v>
      </c>
      <c r="T18" s="9">
        <f t="shared" si="40"/>
        <v>13.553966328092107</v>
      </c>
      <c r="U18" s="9">
        <f t="shared" si="40"/>
        <v>11.188760755311893</v>
      </c>
      <c r="V18" s="10">
        <f t="shared" ref="V18:V20" si="41">-LOG(P18)</f>
        <v>7.2285726470123146</v>
      </c>
      <c r="W18" s="10">
        <f t="shared" ref="W18:W20" si="42">0.434*(Q18/P18)</f>
        <v>9.957006231307769E-2</v>
      </c>
      <c r="X18" s="10">
        <f t="shared" ref="X18:X20" si="43">0.434*(R18/P18)</f>
        <v>8.219480398910968E-2</v>
      </c>
      <c r="Y18" s="9">
        <f t="shared" ref="Y18:Y29" si="44">S18/$B$6</f>
        <v>23.631285347179571</v>
      </c>
    </row>
    <row r="19" spans="3:25" x14ac:dyDescent="0.2">
      <c r="C19" s="7" t="s">
        <v>57</v>
      </c>
      <c r="D19" s="7" t="s">
        <v>58</v>
      </c>
      <c r="E19" s="7" t="s">
        <v>32</v>
      </c>
      <c r="F19" s="8">
        <v>4.26504075447041E-8</v>
      </c>
      <c r="G19" s="8">
        <v>1.24598087077105E-8</v>
      </c>
      <c r="H19" s="8">
        <v>9.7560114626965699E-9</v>
      </c>
      <c r="I19" s="9">
        <f t="shared" si="36"/>
        <v>42.650407544704102</v>
      </c>
      <c r="J19" s="9">
        <f t="shared" si="36"/>
        <v>12.459808707710501</v>
      </c>
      <c r="K19" s="9">
        <f t="shared" si="36"/>
        <v>9.7560114626965699</v>
      </c>
      <c r="L19" s="10">
        <f t="shared" si="37"/>
        <v>7.3700768145885922</v>
      </c>
      <c r="M19" s="10">
        <f t="shared" si="38"/>
        <v>0.12678793217810208</v>
      </c>
      <c r="N19" s="10">
        <f t="shared" si="39"/>
        <v>9.9274760044726948E-2</v>
      </c>
      <c r="P19" s="11">
        <f t="shared" si="10"/>
        <v>2.990606733242636E-8</v>
      </c>
      <c r="Q19" s="11">
        <f t="shared" si="29"/>
        <v>8.7367014669525992E-9</v>
      </c>
      <c r="R19" s="11">
        <f t="shared" si="30"/>
        <v>6.8408240974840425E-9</v>
      </c>
      <c r="S19" s="9">
        <f t="shared" si="40"/>
        <v>29.90606733242636</v>
      </c>
      <c r="T19" s="9">
        <f t="shared" si="40"/>
        <v>8.7367014669525993</v>
      </c>
      <c r="U19" s="9">
        <f t="shared" si="40"/>
        <v>6.8408240974840426</v>
      </c>
      <c r="V19" s="10">
        <f t="shared" si="41"/>
        <v>7.5242406932247441</v>
      </c>
      <c r="W19" s="10">
        <f t="shared" si="42"/>
        <v>0.12678793217810208</v>
      </c>
      <c r="X19" s="10">
        <f t="shared" si="43"/>
        <v>9.9274760044726948E-2</v>
      </c>
      <c r="Y19" s="9">
        <f t="shared" si="44"/>
        <v>11.962426932970544</v>
      </c>
    </row>
    <row r="20" spans="3:25" x14ac:dyDescent="0.2">
      <c r="C20" s="7" t="s">
        <v>57</v>
      </c>
      <c r="D20" s="7" t="s">
        <v>58</v>
      </c>
      <c r="E20" s="7" t="s">
        <v>31</v>
      </c>
      <c r="F20" s="11">
        <v>5.5550437621465404E-7</v>
      </c>
      <c r="G20" s="11">
        <v>7.6476916780115905E-8</v>
      </c>
      <c r="H20" s="11">
        <v>6.6619603680611897E-8</v>
      </c>
      <c r="I20" s="9">
        <f t="shared" si="36"/>
        <v>555.50437621465403</v>
      </c>
      <c r="J20" s="9">
        <f t="shared" si="36"/>
        <v>76.4769167801159</v>
      </c>
      <c r="K20" s="9">
        <f t="shared" si="36"/>
        <v>66.619603680611903</v>
      </c>
      <c r="L20" s="10">
        <f t="shared" si="37"/>
        <v>6.255312515375878</v>
      </c>
      <c r="M20" s="10">
        <f t="shared" si="38"/>
        <v>5.9749271659643742E-2</v>
      </c>
      <c r="N20" s="10">
        <f t="shared" si="39"/>
        <v>5.2048029206188007E-2</v>
      </c>
      <c r="P20" s="11">
        <f t="shared" si="10"/>
        <v>3.8951447910831926E-7</v>
      </c>
      <c r="Q20" s="11">
        <f t="shared" si="29"/>
        <v>5.3624899602782477E-8</v>
      </c>
      <c r="R20" s="11">
        <f t="shared" si="30"/>
        <v>4.6713043743923752E-8</v>
      </c>
      <c r="S20" s="9">
        <f t="shared" si="40"/>
        <v>389.51447910831928</v>
      </c>
      <c r="T20" s="9">
        <f t="shared" si="40"/>
        <v>53.624899602782477</v>
      </c>
      <c r="U20" s="9">
        <f t="shared" si="40"/>
        <v>46.713043743923755</v>
      </c>
      <c r="V20" s="10">
        <f t="shared" si="41"/>
        <v>6.409476394012029</v>
      </c>
      <c r="W20" s="10">
        <f t="shared" si="42"/>
        <v>5.9749271659643742E-2</v>
      </c>
      <c r="X20" s="10">
        <f t="shared" si="43"/>
        <v>5.2048029206188007E-2</v>
      </c>
      <c r="Y20" s="9">
        <f t="shared" si="44"/>
        <v>155.80579164332772</v>
      </c>
    </row>
    <row r="21" spans="3:25" x14ac:dyDescent="0.2">
      <c r="C21" s="7" t="s">
        <v>18</v>
      </c>
      <c r="D21" s="7" t="s">
        <v>19</v>
      </c>
      <c r="E21" s="7" t="s">
        <v>20</v>
      </c>
      <c r="F21" s="11">
        <v>1.3766157514842399E-7</v>
      </c>
      <c r="G21" s="11">
        <v>1.3029611848884201E-8</v>
      </c>
      <c r="H21" s="11">
        <v>1.1889426258835899E-8</v>
      </c>
      <c r="I21" s="9">
        <f t="shared" ref="I21:K23" si="45">F21*1000000000</f>
        <v>137.66157514842399</v>
      </c>
      <c r="J21" s="9">
        <f t="shared" si="45"/>
        <v>13.029611848884201</v>
      </c>
      <c r="K21" s="9">
        <f t="shared" si="45"/>
        <v>11.889426258835899</v>
      </c>
      <c r="L21" s="10">
        <f t="shared" ref="L21:L23" si="46">-LOG(F21)</f>
        <v>6.86118726547853</v>
      </c>
      <c r="M21" s="10">
        <f t="shared" ref="M21:M23" si="47">0.434*(G21/F21)</f>
        <v>4.1077922697882789E-2</v>
      </c>
      <c r="N21" s="10">
        <f t="shared" ref="N21:N23" si="48">0.434*(H21/F21)</f>
        <v>3.7483306367600097E-2</v>
      </c>
      <c r="P21" s="11">
        <f t="shared" si="10"/>
        <v>9.6527010466699204E-8</v>
      </c>
      <c r="Q21" s="11">
        <f t="shared" si="4"/>
        <v>9.1362421064718737E-9</v>
      </c>
      <c r="R21" s="11">
        <f t="shared" si="5"/>
        <v>8.3367546222853161E-9</v>
      </c>
      <c r="S21" s="9">
        <f t="shared" ref="S21:U23" si="49">P21*1000000000</f>
        <v>96.52701046669921</v>
      </c>
      <c r="T21" s="9">
        <f t="shared" si="49"/>
        <v>9.1362421064718742</v>
      </c>
      <c r="U21" s="9">
        <f t="shared" si="49"/>
        <v>8.3367546222853157</v>
      </c>
      <c r="V21" s="10">
        <f t="shared" ref="V21:V23" si="50">-LOG(P21)</f>
        <v>7.015351144114681</v>
      </c>
      <c r="W21" s="10">
        <f t="shared" ref="W21:W23" si="51">0.434*(Q21/P21)</f>
        <v>4.1077922697882789E-2</v>
      </c>
      <c r="X21" s="10">
        <f t="shared" ref="X21:X23" si="52">0.434*(R21/P21)</f>
        <v>3.7483306367600097E-2</v>
      </c>
      <c r="Y21" s="9">
        <f>S21/$B$6</f>
        <v>38.610804186679687</v>
      </c>
    </row>
    <row r="22" spans="3:25" x14ac:dyDescent="0.2">
      <c r="C22" s="7" t="s">
        <v>18</v>
      </c>
      <c r="D22" s="7" t="s">
        <v>19</v>
      </c>
      <c r="E22" s="7" t="s">
        <v>21</v>
      </c>
      <c r="F22" s="11">
        <v>8.4049172754248701E-7</v>
      </c>
      <c r="G22" s="11">
        <v>8.7902809604090503E-8</v>
      </c>
      <c r="H22" s="11">
        <v>7.9296697730889402E-8</v>
      </c>
      <c r="I22" s="9">
        <f t="shared" si="45"/>
        <v>840.49172754248696</v>
      </c>
      <c r="J22" s="9">
        <f t="shared" si="45"/>
        <v>87.902809604090507</v>
      </c>
      <c r="K22" s="9">
        <f t="shared" si="45"/>
        <v>79.296697730889406</v>
      </c>
      <c r="L22" s="10">
        <f t="shared" si="46"/>
        <v>6.0754665567043791</v>
      </c>
      <c r="M22" s="10">
        <f t="shared" si="47"/>
        <v>4.538988084953733E-2</v>
      </c>
      <c r="N22" s="10">
        <f t="shared" si="48"/>
        <v>4.0945991123352642E-2</v>
      </c>
      <c r="P22" s="11">
        <f t="shared" si="10"/>
        <v>5.893449475221739E-7</v>
      </c>
      <c r="Q22" s="11">
        <f t="shared" si="4"/>
        <v>6.163662891084862E-8</v>
      </c>
      <c r="R22" s="11">
        <f t="shared" si="5"/>
        <v>5.5602103663215813E-8</v>
      </c>
      <c r="S22" s="9">
        <f t="shared" si="49"/>
        <v>589.34494752217392</v>
      </c>
      <c r="T22" s="9">
        <f t="shared" si="49"/>
        <v>61.636628910848621</v>
      </c>
      <c r="U22" s="9">
        <f t="shared" si="49"/>
        <v>55.602103663215814</v>
      </c>
      <c r="V22" s="10">
        <f t="shared" si="50"/>
        <v>6.229630435340531</v>
      </c>
      <c r="W22" s="10">
        <f t="shared" si="51"/>
        <v>4.5389880849537323E-2</v>
      </c>
      <c r="X22" s="10">
        <f t="shared" si="52"/>
        <v>4.0945991123352642E-2</v>
      </c>
      <c r="Y22" s="9">
        <f t="shared" si="44"/>
        <v>235.73797900886956</v>
      </c>
    </row>
    <row r="23" spans="3:25" x14ac:dyDescent="0.2">
      <c r="C23" s="7" t="s">
        <v>18</v>
      </c>
      <c r="D23" s="7" t="s">
        <v>19</v>
      </c>
      <c r="E23" s="7" t="s">
        <v>22</v>
      </c>
      <c r="F23" s="11">
        <v>3.7990942996973198E-8</v>
      </c>
      <c r="G23" s="11">
        <v>2.53203357262099E-9</v>
      </c>
      <c r="H23" s="11">
        <v>2.37571416273092E-9</v>
      </c>
      <c r="I23" s="9">
        <f t="shared" si="45"/>
        <v>37.990942996973196</v>
      </c>
      <c r="J23" s="9">
        <f t="shared" si="45"/>
        <v>2.5320335726209899</v>
      </c>
      <c r="K23" s="9">
        <f t="shared" si="45"/>
        <v>2.3757141627309202</v>
      </c>
      <c r="L23" s="10">
        <f t="shared" si="46"/>
        <v>7.4203199264163464</v>
      </c>
      <c r="M23" s="10">
        <f t="shared" si="47"/>
        <v>2.8925382836774045E-2</v>
      </c>
      <c r="N23" s="10">
        <f t="shared" si="48"/>
        <v>2.7139625007659471E-2</v>
      </c>
      <c r="P23" s="11">
        <f t="shared" si="10"/>
        <v>2.6638894320036318E-8</v>
      </c>
      <c r="Q23" s="11">
        <f t="shared" si="4"/>
        <v>1.7754382869940464E-9</v>
      </c>
      <c r="R23" s="11">
        <f t="shared" si="5"/>
        <v>1.6658285771070404E-9</v>
      </c>
      <c r="S23" s="9">
        <f t="shared" si="49"/>
        <v>26.638894320036318</v>
      </c>
      <c r="T23" s="9">
        <f t="shared" si="49"/>
        <v>1.7754382869940464</v>
      </c>
      <c r="U23" s="9">
        <f t="shared" si="49"/>
        <v>1.6658285771070402</v>
      </c>
      <c r="V23" s="10">
        <f t="shared" si="50"/>
        <v>7.5744838050524983</v>
      </c>
      <c r="W23" s="10">
        <f t="shared" si="51"/>
        <v>2.8925382836774045E-2</v>
      </c>
      <c r="X23" s="10">
        <f t="shared" si="52"/>
        <v>2.7139625007659471E-2</v>
      </c>
      <c r="Y23" s="9">
        <f t="shared" si="44"/>
        <v>10.655557728014527</v>
      </c>
    </row>
    <row r="24" spans="3:25" x14ac:dyDescent="0.2">
      <c r="C24" s="7" t="s">
        <v>28</v>
      </c>
      <c r="D24" s="7" t="s">
        <v>19</v>
      </c>
      <c r="E24" s="7" t="s">
        <v>29</v>
      </c>
      <c r="F24" s="11">
        <v>1.8112428838579501E-6</v>
      </c>
      <c r="G24" s="11">
        <v>1.2160823818194599E-7</v>
      </c>
      <c r="H24" s="11">
        <v>1.13226504742851E-7</v>
      </c>
      <c r="I24" s="9">
        <f t="shared" ref="I24:K29" si="53">F24*1000000000</f>
        <v>1811.2428838579501</v>
      </c>
      <c r="J24" s="9">
        <f t="shared" si="53"/>
        <v>121.60823818194599</v>
      </c>
      <c r="K24" s="9">
        <f t="shared" si="53"/>
        <v>113.22650474285101</v>
      </c>
      <c r="L24" s="10">
        <f t="shared" ref="L24:L29" si="54">-LOG(F24)</f>
        <v>5.74202330780499</v>
      </c>
      <c r="M24" s="10">
        <f t="shared" ref="M24:M29" si="55">0.434*(G24/F24)</f>
        <v>2.9139093294074065E-2</v>
      </c>
      <c r="N24" s="10">
        <f t="shared" ref="N24:N29" si="56">0.434*(H24/F24)</f>
        <v>2.7130708695306736E-2</v>
      </c>
      <c r="P24" s="11">
        <f t="shared" si="10"/>
        <v>1.2700265896230547E-6</v>
      </c>
      <c r="Q24" s="11">
        <f t="shared" si="4"/>
        <v>8.5270560555255549E-8</v>
      </c>
      <c r="R24" s="11">
        <f t="shared" si="5"/>
        <v>7.9393367369486104E-8</v>
      </c>
      <c r="S24" s="9">
        <f t="shared" ref="S24:U29" si="57">P24*1000000000</f>
        <v>1270.0265896230546</v>
      </c>
      <c r="T24" s="9">
        <f t="shared" si="57"/>
        <v>85.270560555255543</v>
      </c>
      <c r="U24" s="9">
        <f t="shared" si="57"/>
        <v>79.3933673694861</v>
      </c>
      <c r="V24" s="10">
        <f t="shared" ref="V24:V29" si="58">-LOG(P24)</f>
        <v>5.8961871864411419</v>
      </c>
      <c r="W24" s="10">
        <f t="shared" ref="W24:W29" si="59">0.434*(Q24/P24)</f>
        <v>2.9139093294074065E-2</v>
      </c>
      <c r="X24" s="10">
        <f t="shared" ref="X24:X29" si="60">0.434*(R24/P24)</f>
        <v>2.7130708695306736E-2</v>
      </c>
      <c r="Y24" s="9">
        <f t="shared" si="44"/>
        <v>508.01063584922184</v>
      </c>
    </row>
    <row r="25" spans="3:25" x14ac:dyDescent="0.2">
      <c r="C25" s="7" t="s">
        <v>28</v>
      </c>
      <c r="D25" s="7" t="s">
        <v>19</v>
      </c>
      <c r="E25" s="7" t="s">
        <v>38</v>
      </c>
      <c r="F25" s="11">
        <v>1.2756353259075999E-7</v>
      </c>
      <c r="G25" s="11">
        <v>1.03795653990535E-8</v>
      </c>
      <c r="H25" s="11">
        <v>9.5613091215106495E-9</v>
      </c>
      <c r="I25" s="9">
        <f t="shared" si="53"/>
        <v>127.56353259075999</v>
      </c>
      <c r="J25" s="9">
        <f t="shared" si="53"/>
        <v>10.379565399053501</v>
      </c>
      <c r="K25" s="9">
        <f t="shared" si="53"/>
        <v>9.56130912151065</v>
      </c>
      <c r="L25" s="10">
        <f t="shared" si="54"/>
        <v>6.8942734624344819</v>
      </c>
      <c r="M25" s="10">
        <f t="shared" si="55"/>
        <v>3.5313629935609957E-2</v>
      </c>
      <c r="N25" s="10">
        <f t="shared" si="56"/>
        <v>3.2529736943300962E-2</v>
      </c>
      <c r="P25" s="11">
        <f t="shared" si="10"/>
        <v>8.9446357360660942E-8</v>
      </c>
      <c r="Q25" s="11">
        <f t="shared" si="4"/>
        <v>7.2780542924486233E-9</v>
      </c>
      <c r="R25" s="11">
        <f t="shared" si="5"/>
        <v>6.7043006347437611E-9</v>
      </c>
      <c r="S25" s="9">
        <f t="shared" si="57"/>
        <v>89.44635736066094</v>
      </c>
      <c r="T25" s="9">
        <f t="shared" si="57"/>
        <v>7.2780542924486236</v>
      </c>
      <c r="U25" s="9">
        <f t="shared" si="57"/>
        <v>6.7043006347437615</v>
      </c>
      <c r="V25" s="10">
        <f t="shared" si="58"/>
        <v>7.0484373410706329</v>
      </c>
      <c r="W25" s="10">
        <f t="shared" si="59"/>
        <v>3.5313629935609957E-2</v>
      </c>
      <c r="X25" s="10">
        <f t="shared" si="60"/>
        <v>3.2529736943300962E-2</v>
      </c>
      <c r="Y25" s="9">
        <f t="shared" si="44"/>
        <v>35.778542944264373</v>
      </c>
    </row>
    <row r="26" spans="3:25" x14ac:dyDescent="0.2">
      <c r="C26" s="7" t="s">
        <v>28</v>
      </c>
      <c r="D26" s="7" t="s">
        <v>19</v>
      </c>
      <c r="E26" s="7" t="s">
        <v>40</v>
      </c>
      <c r="F26" s="11">
        <v>7.6868948342633499E-7</v>
      </c>
      <c r="G26" s="11">
        <v>1.4023557097534699E-7</v>
      </c>
      <c r="H26" s="11">
        <v>1.1732851256451801E-7</v>
      </c>
      <c r="I26" s="9">
        <f>F26*1000000000</f>
        <v>768.68948342633496</v>
      </c>
      <c r="J26" s="9">
        <f>G26*1000000000</f>
        <v>140.235570975347</v>
      </c>
      <c r="K26" s="9">
        <f>H26*1000000000</f>
        <v>117.32851256451801</v>
      </c>
      <c r="L26" s="10">
        <f>-LOG(F26)</f>
        <v>6.1142490605479489</v>
      </c>
      <c r="M26" s="10">
        <f>0.434*(G26/F26)</f>
        <v>7.9176623481324288E-2</v>
      </c>
      <c r="N26" s="10">
        <f>0.434*(H26/F26)</f>
        <v>6.6243360356679881E-2</v>
      </c>
      <c r="P26" s="11">
        <f t="shared" si="10"/>
        <v>5.3899788472081063E-7</v>
      </c>
      <c r="Q26" s="11">
        <f t="shared" si="4"/>
        <v>9.833187229440059E-8</v>
      </c>
      <c r="R26" s="11">
        <f t="shared" si="5"/>
        <v>8.2269656933292312E-8</v>
      </c>
      <c r="S26" s="9">
        <f>P26*1000000000</f>
        <v>538.99788472081059</v>
      </c>
      <c r="T26" s="9">
        <f>Q26*1000000000</f>
        <v>98.331872294400597</v>
      </c>
      <c r="U26" s="9">
        <f>R26*1000000000</f>
        <v>82.26965693329231</v>
      </c>
      <c r="V26" s="10">
        <f>-LOG(P26)</f>
        <v>6.2684129391840999</v>
      </c>
      <c r="W26" s="10">
        <f>0.434*(Q26/P26)</f>
        <v>7.9176623481324288E-2</v>
      </c>
      <c r="X26" s="10">
        <f>0.434*(R26/P26)</f>
        <v>6.6243360356679881E-2</v>
      </c>
      <c r="Y26" s="9">
        <f t="shared" si="44"/>
        <v>215.59915388832422</v>
      </c>
    </row>
    <row r="27" spans="3:25" x14ac:dyDescent="0.2">
      <c r="C27" s="7" t="s">
        <v>28</v>
      </c>
      <c r="D27" s="7" t="s">
        <v>19</v>
      </c>
      <c r="E27" s="7" t="s">
        <v>39</v>
      </c>
      <c r="F27" s="11">
        <v>5.23590491707503E-8</v>
      </c>
      <c r="G27" s="11">
        <v>4.7668837252733703E-9</v>
      </c>
      <c r="H27" s="11">
        <v>4.35990132132675E-9</v>
      </c>
      <c r="I27" s="9">
        <f t="shared" si="53"/>
        <v>52.359049170750296</v>
      </c>
      <c r="J27" s="9">
        <f t="shared" si="53"/>
        <v>4.7668837252733702</v>
      </c>
      <c r="K27" s="9">
        <f t="shared" si="53"/>
        <v>4.3599013213267499</v>
      </c>
      <c r="L27" s="10">
        <f t="shared" si="54"/>
        <v>7.2810082487455334</v>
      </c>
      <c r="M27" s="10">
        <f t="shared" si="55"/>
        <v>3.9512320592795754E-2</v>
      </c>
      <c r="N27" s="10">
        <f t="shared" si="56"/>
        <v>3.6138875770739945E-2</v>
      </c>
      <c r="P27" s="11">
        <f t="shared" si="10"/>
        <v>3.6713676142977748E-8</v>
      </c>
      <c r="Q27" s="11">
        <f t="shared" si="4"/>
        <v>3.342494336178373E-9</v>
      </c>
      <c r="R27" s="11">
        <f t="shared" si="5"/>
        <v>3.0571220765397505E-9</v>
      </c>
      <c r="S27" s="9">
        <f t="shared" si="57"/>
        <v>36.713676142977747</v>
      </c>
      <c r="T27" s="9">
        <f t="shared" si="57"/>
        <v>3.342494336178373</v>
      </c>
      <c r="U27" s="9">
        <f t="shared" si="57"/>
        <v>3.0571220765397507</v>
      </c>
      <c r="V27" s="10">
        <f t="shared" si="58"/>
        <v>7.4351721273816844</v>
      </c>
      <c r="W27" s="10">
        <f t="shared" si="59"/>
        <v>3.9512320592795754E-2</v>
      </c>
      <c r="X27" s="10">
        <f t="shared" si="60"/>
        <v>3.6138875770739945E-2</v>
      </c>
      <c r="Y27" s="9">
        <f t="shared" si="44"/>
        <v>14.685470457191098</v>
      </c>
    </row>
    <row r="28" spans="3:25" x14ac:dyDescent="0.2">
      <c r="C28" s="7" t="s">
        <v>28</v>
      </c>
      <c r="D28" s="7" t="s">
        <v>19</v>
      </c>
      <c r="E28" s="7" t="s">
        <v>41</v>
      </c>
      <c r="F28" s="11">
        <v>4.0854646056743597E-6</v>
      </c>
      <c r="G28" s="11">
        <v>7.3817269548314096E-7</v>
      </c>
      <c r="H28" s="11">
        <v>5.9330826079531396E-7</v>
      </c>
      <c r="I28" s="9">
        <f t="shared" si="53"/>
        <v>4085.4646056743595</v>
      </c>
      <c r="J28" s="9">
        <f t="shared" si="53"/>
        <v>738.17269548314096</v>
      </c>
      <c r="K28" s="9">
        <f t="shared" si="53"/>
        <v>593.30826079531391</v>
      </c>
      <c r="L28" s="10">
        <f t="shared" si="54"/>
        <v>5.3887585476488065</v>
      </c>
      <c r="M28" s="10">
        <f t="shared" si="55"/>
        <v>7.8416283277725859E-2</v>
      </c>
      <c r="N28" s="10">
        <f t="shared" si="56"/>
        <v>6.3027295555939153E-2</v>
      </c>
      <c r="P28" s="11">
        <f t="shared" si="10"/>
        <v>2.8646896152980188E-6</v>
      </c>
      <c r="Q28" s="11">
        <f t="shared" si="4"/>
        <v>5.17599798101311E-7</v>
      </c>
      <c r="R28" s="11">
        <f t="shared" si="5"/>
        <v>4.1602220981432684E-7</v>
      </c>
      <c r="S28" s="9">
        <f t="shared" si="57"/>
        <v>2864.6896152980189</v>
      </c>
      <c r="T28" s="9">
        <f t="shared" si="57"/>
        <v>517.59979810131097</v>
      </c>
      <c r="U28" s="9">
        <f t="shared" si="57"/>
        <v>416.02220981432686</v>
      </c>
      <c r="V28" s="10">
        <f t="shared" si="58"/>
        <v>5.5429224262849583</v>
      </c>
      <c r="W28" s="10">
        <f t="shared" si="59"/>
        <v>7.8416283277725873E-2</v>
      </c>
      <c r="X28" s="10">
        <f t="shared" si="60"/>
        <v>6.3027295555939153E-2</v>
      </c>
      <c r="Y28" s="9">
        <f t="shared" si="44"/>
        <v>1145.8758461192076</v>
      </c>
    </row>
    <row r="29" spans="3:25" x14ac:dyDescent="0.2">
      <c r="C29" s="7" t="s">
        <v>59</v>
      </c>
      <c r="D29" s="7" t="s">
        <v>19</v>
      </c>
      <c r="E29" s="7" t="s">
        <v>62</v>
      </c>
      <c r="F29" s="11">
        <f>(10^-8)*7.1849447</f>
        <v>7.1849447000000004E-8</v>
      </c>
      <c r="G29" s="11">
        <f>(10^-9)*8.27071902</f>
        <v>8.2707190199999995E-9</v>
      </c>
      <c r="H29" s="11">
        <f>(10^-9)*7.2713049</f>
        <v>7.2713048999999998E-9</v>
      </c>
      <c r="I29" s="9">
        <f t="shared" si="53"/>
        <v>71.849446999999998</v>
      </c>
      <c r="J29" s="9">
        <f t="shared" si="53"/>
        <v>8.2707190199999996</v>
      </c>
      <c r="K29" s="9">
        <f t="shared" si="53"/>
        <v>7.2713048999999996</v>
      </c>
      <c r="L29" s="10">
        <f t="shared" si="54"/>
        <v>7.1435765701292366</v>
      </c>
      <c r="M29" s="10">
        <f t="shared" si="55"/>
        <v>4.9958520274762858E-2</v>
      </c>
      <c r="N29" s="10">
        <f t="shared" si="56"/>
        <v>4.392165087366643E-2</v>
      </c>
      <c r="P29" s="11">
        <f>F29/$B$5</f>
        <v>5.0380161022550591E-8</v>
      </c>
      <c r="Q29" s="11">
        <f t="shared" si="4"/>
        <v>5.7993509121910397E-9</v>
      </c>
      <c r="R29" s="11">
        <f t="shared" si="5"/>
        <v>5.0985710677224989E-9</v>
      </c>
      <c r="S29" s="9">
        <f t="shared" si="57"/>
        <v>50.380161022550588</v>
      </c>
      <c r="T29" s="9">
        <f t="shared" si="57"/>
        <v>5.7993509121910396</v>
      </c>
      <c r="U29" s="9">
        <f t="shared" si="57"/>
        <v>5.0985710677224994</v>
      </c>
      <c r="V29" s="10">
        <f t="shared" si="58"/>
        <v>7.2977404487653885</v>
      </c>
      <c r="W29" s="10">
        <f t="shared" si="59"/>
        <v>4.9958520274762858E-2</v>
      </c>
      <c r="X29" s="10">
        <f t="shared" si="60"/>
        <v>4.392165087366643E-2</v>
      </c>
      <c r="Y29" s="9">
        <f t="shared" si="44"/>
        <v>20.152064409020234</v>
      </c>
    </row>
    <row r="30" spans="3:25" x14ac:dyDescent="0.2">
      <c r="C30" s="7" t="s">
        <v>59</v>
      </c>
      <c r="D30" s="7" t="s">
        <v>19</v>
      </c>
      <c r="E30" s="7" t="s">
        <v>60</v>
      </c>
      <c r="F30" s="11">
        <f>(10^-7)*3.4448854</f>
        <v>3.4448853999999998E-7</v>
      </c>
      <c r="G30" s="11">
        <f>(10^-8)*6.25425376</f>
        <v>6.2542537600000004E-8</v>
      </c>
      <c r="H30" s="11">
        <f>(10^-8)*5.22675944</f>
        <v>5.2267594400000005E-8</v>
      </c>
      <c r="I30" s="9">
        <f t="shared" ref="I30:I31" si="61">F30*1000000000</f>
        <v>344.48854</v>
      </c>
      <c r="J30" s="9">
        <f t="shared" ref="J30:J31" si="62">G30*1000000000</f>
        <v>62.542537600000003</v>
      </c>
      <c r="K30" s="9">
        <f t="shared" ref="K30:K31" si="63">H30*1000000000</f>
        <v>52.267594400000007</v>
      </c>
      <c r="L30" s="10">
        <f t="shared" ref="L30:L31" si="64">-LOG(F30)</f>
        <v>6.4628252210641817</v>
      </c>
      <c r="M30" s="10">
        <f t="shared" ref="M30:M31" si="65">0.434*(G30/F30)</f>
        <v>7.8793510281648271E-2</v>
      </c>
      <c r="N30" s="10">
        <f t="shared" ref="N30:N31" si="66">0.434*(H30/F30)</f>
        <v>6.5848739030912332E-2</v>
      </c>
      <c r="P30" s="11">
        <f>F30/$B$5</f>
        <v>2.415521460537248E-7</v>
      </c>
      <c r="Q30" s="11">
        <f t="shared" ref="Q30:Q31" si="67">(G30/F30)*P30</f>
        <v>4.3854243095940952E-8</v>
      </c>
      <c r="R30" s="11">
        <f t="shared" ref="R30:R31" si="68">(H30/F30)*P30</f>
        <v>3.6649548912093418E-8</v>
      </c>
      <c r="S30" s="9">
        <f t="shared" ref="S30:S31" si="69">P30*1000000000</f>
        <v>241.55214605372481</v>
      </c>
      <c r="T30" s="9">
        <f t="shared" ref="T30:T31" si="70">Q30*1000000000</f>
        <v>43.854243095940951</v>
      </c>
      <c r="U30" s="9">
        <f t="shared" ref="U30:U31" si="71">R30*1000000000</f>
        <v>36.649548912093415</v>
      </c>
      <c r="V30" s="10">
        <f t="shared" ref="V30:V31" si="72">-LOG(P30)</f>
        <v>6.6169890997003336</v>
      </c>
      <c r="W30" s="10">
        <f t="shared" ref="W30:W31" si="73">0.434*(Q30/P30)</f>
        <v>7.8793510281648271E-2</v>
      </c>
      <c r="X30" s="10">
        <f t="shared" ref="X30:X31" si="74">0.434*(R30/P30)</f>
        <v>6.5848739030912332E-2</v>
      </c>
      <c r="Y30" s="9">
        <f t="shared" ref="Y30:Y31" si="75">S30/$B$6</f>
        <v>96.620858421489928</v>
      </c>
    </row>
    <row r="31" spans="3:25" x14ac:dyDescent="0.2">
      <c r="C31" s="7" t="s">
        <v>59</v>
      </c>
      <c r="D31" s="7" t="s">
        <v>19</v>
      </c>
      <c r="E31" s="7" t="s">
        <v>61</v>
      </c>
      <c r="F31" s="11">
        <f>0.0000112</f>
        <v>1.1199999999999999E-5</v>
      </c>
      <c r="G31" s="11">
        <v>5.0799999999999996E-6</v>
      </c>
      <c r="H31" s="11">
        <v>2.6699999999999998E-6</v>
      </c>
      <c r="I31" s="9">
        <f t="shared" si="61"/>
        <v>11200</v>
      </c>
      <c r="J31" s="9">
        <f t="shared" si="62"/>
        <v>5080</v>
      </c>
      <c r="K31" s="9">
        <f t="shared" si="63"/>
        <v>2670</v>
      </c>
      <c r="L31" s="10">
        <f t="shared" si="64"/>
        <v>4.9507819773298181</v>
      </c>
      <c r="M31" s="10">
        <f t="shared" si="65"/>
        <v>0.19685</v>
      </c>
      <c r="N31" s="10">
        <f t="shared" si="66"/>
        <v>0.1034625</v>
      </c>
      <c r="P31" s="11">
        <f t="shared" ref="P31" si="76">F31/$B$5</f>
        <v>7.8533353701743389E-6</v>
      </c>
      <c r="Q31" s="11">
        <f t="shared" si="67"/>
        <v>3.5620485429005037E-6</v>
      </c>
      <c r="R31" s="11">
        <f t="shared" si="68"/>
        <v>1.8721790569969183E-6</v>
      </c>
      <c r="S31" s="9">
        <f t="shared" si="69"/>
        <v>7853.335370174339</v>
      </c>
      <c r="T31" s="9">
        <f t="shared" si="70"/>
        <v>3562.0485429005034</v>
      </c>
      <c r="U31" s="9">
        <f t="shared" si="71"/>
        <v>1872.1790569969182</v>
      </c>
      <c r="V31" s="10">
        <f t="shared" si="72"/>
        <v>5.1049458559659699</v>
      </c>
      <c r="W31" s="10">
        <f t="shared" si="73"/>
        <v>0.19685</v>
      </c>
      <c r="X31" s="10">
        <f t="shared" si="74"/>
        <v>0.1034625</v>
      </c>
      <c r="Y31" s="9">
        <f t="shared" si="75"/>
        <v>3141.3341480697354</v>
      </c>
    </row>
    <row r="33" spans="1:25" ht="18" x14ac:dyDescent="0.25">
      <c r="A33" s="1" t="s">
        <v>47</v>
      </c>
      <c r="B33" s="2">
        <v>756</v>
      </c>
      <c r="C33" s="3" t="s">
        <v>2</v>
      </c>
      <c r="D33" s="3" t="s">
        <v>7</v>
      </c>
      <c r="E33" s="3" t="s">
        <v>8</v>
      </c>
      <c r="F33" s="3" t="s">
        <v>9</v>
      </c>
      <c r="G33" s="4" t="s">
        <v>10</v>
      </c>
      <c r="H33" s="4" t="s">
        <v>11</v>
      </c>
      <c r="I33" s="4" t="s">
        <v>12</v>
      </c>
      <c r="J33" s="4" t="s">
        <v>10</v>
      </c>
      <c r="K33" s="4" t="s">
        <v>11</v>
      </c>
      <c r="L33" s="3" t="s">
        <v>13</v>
      </c>
      <c r="M33" s="4" t="s">
        <v>10</v>
      </c>
      <c r="N33" s="4" t="s">
        <v>11</v>
      </c>
      <c r="P33" s="3" t="s">
        <v>14</v>
      </c>
      <c r="Q33" s="4" t="s">
        <v>10</v>
      </c>
      <c r="R33" s="4" t="s">
        <v>11</v>
      </c>
      <c r="S33" s="3" t="s">
        <v>15</v>
      </c>
      <c r="T33" s="4" t="s">
        <v>10</v>
      </c>
      <c r="U33" s="4" t="s">
        <v>11</v>
      </c>
      <c r="V33" s="3" t="s">
        <v>16</v>
      </c>
      <c r="W33" s="4" t="s">
        <v>10</v>
      </c>
      <c r="X33" s="4" t="s">
        <v>11</v>
      </c>
      <c r="Y33" s="3" t="s">
        <v>17</v>
      </c>
    </row>
    <row r="34" spans="1:25" ht="18" x14ac:dyDescent="0.25">
      <c r="A34" s="1" t="s">
        <v>48</v>
      </c>
      <c r="B34" s="6" t="s">
        <v>49</v>
      </c>
      <c r="C34" s="7" t="s">
        <v>46</v>
      </c>
      <c r="D34" s="7" t="s">
        <v>56</v>
      </c>
      <c r="E34" s="7" t="s">
        <v>55</v>
      </c>
      <c r="F34" s="11">
        <v>2.5435478707553299E-6</v>
      </c>
      <c r="G34" s="11">
        <v>1.8119223025602901E-7</v>
      </c>
      <c r="H34" s="11">
        <v>1.6903787764688299E-7</v>
      </c>
      <c r="I34" s="9">
        <f t="shared" ref="I34:K37" si="77">F34*1000000000</f>
        <v>2543.5478707553298</v>
      </c>
      <c r="J34" s="9">
        <f t="shared" si="77"/>
        <v>181.19223025602901</v>
      </c>
      <c r="K34" s="9">
        <f t="shared" si="77"/>
        <v>169.037877646883</v>
      </c>
      <c r="L34" s="10">
        <f t="shared" ref="L34:L37" si="78">-LOG(F34)</f>
        <v>5.5945600843313317</v>
      </c>
      <c r="M34" s="10">
        <f t="shared" ref="M34:M37" si="79">0.434*(G34/F34)</f>
        <v>3.0916433236919769E-2</v>
      </c>
      <c r="N34" s="10">
        <f t="shared" ref="N34:N37" si="80">0.434*(H34/F34)</f>
        <v>2.8842562682715133E-2</v>
      </c>
      <c r="P34" s="11">
        <v>1.2559909799418872E-6</v>
      </c>
      <c r="Q34" s="11">
        <v>8.9471800178679242E-8</v>
      </c>
      <c r="R34" s="11">
        <v>8.3470042783176694E-8</v>
      </c>
      <c r="S34" s="9">
        <v>1255.9909799418872</v>
      </c>
      <c r="T34" s="9">
        <v>89.471800178679246</v>
      </c>
      <c r="U34" s="9">
        <v>83.470042783176694</v>
      </c>
      <c r="V34" s="10">
        <v>5.9010134795283857</v>
      </c>
      <c r="W34" s="10">
        <v>3.0916433236919769E-2</v>
      </c>
      <c r="X34" s="10">
        <v>2.8842562682715133E-2</v>
      </c>
      <c r="Y34" s="9">
        <f>S34/$B$6</f>
        <v>502.3963919767549</v>
      </c>
    </row>
    <row r="35" spans="1:25" x14ac:dyDescent="0.2">
      <c r="A35" s="1" t="s">
        <v>2</v>
      </c>
      <c r="B35" s="2" t="s">
        <v>50</v>
      </c>
      <c r="C35" s="7" t="s">
        <v>46</v>
      </c>
      <c r="D35" s="7" t="s">
        <v>56</v>
      </c>
      <c r="E35" s="7" t="s">
        <v>54</v>
      </c>
      <c r="F35" s="11">
        <v>2.6345149626129099E-6</v>
      </c>
      <c r="G35" s="11">
        <v>1.9499837582872999E-7</v>
      </c>
      <c r="H35" s="11">
        <v>1.8168102804443799E-7</v>
      </c>
      <c r="I35" s="9">
        <f t="shared" si="77"/>
        <v>2634.51496261291</v>
      </c>
      <c r="J35" s="9">
        <f t="shared" si="77"/>
        <v>194.99837582872999</v>
      </c>
      <c r="K35" s="9">
        <f t="shared" si="77"/>
        <v>181.68102804443799</v>
      </c>
      <c r="L35" s="10">
        <f t="shared" si="78"/>
        <v>5.5792993305276068</v>
      </c>
      <c r="M35" s="10">
        <f t="shared" si="79"/>
        <v>3.212329264045384E-2</v>
      </c>
      <c r="N35" s="10">
        <f t="shared" si="80"/>
        <v>2.9929443290420014E-2</v>
      </c>
      <c r="P35" s="11">
        <v>1.3009100664502677E-6</v>
      </c>
      <c r="Q35" s="11">
        <v>9.6289204524180193E-8</v>
      </c>
      <c r="R35" s="11">
        <v>8.9713166036312948E-8</v>
      </c>
      <c r="S35" s="9">
        <v>1300.9100664502678</v>
      </c>
      <c r="T35" s="9">
        <v>96.289204524180192</v>
      </c>
      <c r="U35" s="9">
        <v>89.713166036312941</v>
      </c>
      <c r="V35" s="10">
        <v>5.8857527257246609</v>
      </c>
      <c r="W35" s="10">
        <v>3.212329264045384E-2</v>
      </c>
      <c r="X35" s="10">
        <v>2.9929443290420014E-2</v>
      </c>
      <c r="Y35" s="9">
        <f t="shared" ref="Y35:Y37" si="81">S35/$B$6</f>
        <v>520.36402658010707</v>
      </c>
    </row>
    <row r="36" spans="1:25" x14ac:dyDescent="0.2">
      <c r="A36" s="1" t="s">
        <v>51</v>
      </c>
      <c r="B36" s="2">
        <v>775</v>
      </c>
      <c r="C36" s="7" t="s">
        <v>46</v>
      </c>
      <c r="D36" s="7" t="s">
        <v>56</v>
      </c>
      <c r="E36" s="7" t="s">
        <v>53</v>
      </c>
      <c r="F36" s="11">
        <v>1.48465712673517E-6</v>
      </c>
      <c r="G36" s="11">
        <v>1.04479546699262E-7</v>
      </c>
      <c r="H36" s="11">
        <v>9.7628799551058995E-8</v>
      </c>
      <c r="I36" s="9">
        <f t="shared" si="77"/>
        <v>1484.6571267351701</v>
      </c>
      <c r="J36" s="9">
        <f t="shared" si="77"/>
        <v>104.479546699262</v>
      </c>
      <c r="K36" s="9">
        <f t="shared" si="77"/>
        <v>97.628799551058989</v>
      </c>
      <c r="L36" s="10">
        <f t="shared" si="78"/>
        <v>5.8283738326500121</v>
      </c>
      <c r="M36" s="10">
        <f t="shared" si="79"/>
        <v>3.0541814975955789E-2</v>
      </c>
      <c r="N36" s="10">
        <f t="shared" si="80"/>
        <v>2.8539181365286125E-2</v>
      </c>
      <c r="P36" s="11">
        <v>7.3311612528529612E-7</v>
      </c>
      <c r="Q36" s="11">
        <v>5.1591467867173129E-8</v>
      </c>
      <c r="R36" s="11">
        <v>4.8208603827955966E-8</v>
      </c>
      <c r="S36" s="9">
        <v>733.11612528529611</v>
      </c>
      <c r="T36" s="9">
        <v>51.591467867173129</v>
      </c>
      <c r="U36" s="9">
        <v>48.208603827955969</v>
      </c>
      <c r="V36" s="10">
        <v>6.1348272278470661</v>
      </c>
      <c r="W36" s="10">
        <v>3.0541814975955789E-2</v>
      </c>
      <c r="X36" s="10">
        <v>2.8539181365286125E-2</v>
      </c>
      <c r="Y36" s="9">
        <f t="shared" si="81"/>
        <v>293.24645011411843</v>
      </c>
    </row>
    <row r="37" spans="1:25" x14ac:dyDescent="0.2">
      <c r="A37" s="1" t="s">
        <v>5</v>
      </c>
      <c r="B37" s="12">
        <f>1+(B36/B33)</f>
        <v>2.0251322751322753</v>
      </c>
      <c r="C37" s="7" t="s">
        <v>46</v>
      </c>
      <c r="D37" s="7" t="s">
        <v>56</v>
      </c>
      <c r="E37" s="7" t="s">
        <v>52</v>
      </c>
      <c r="F37" s="11">
        <v>2.2923292009943099E-5</v>
      </c>
      <c r="G37" s="11">
        <v>1.67949675910631E-6</v>
      </c>
      <c r="H37" s="11">
        <v>1.54975066010151E-6</v>
      </c>
      <c r="I37" s="9">
        <f t="shared" si="77"/>
        <v>22923.292009943099</v>
      </c>
      <c r="J37" s="9">
        <f t="shared" si="77"/>
        <v>1679.49675910631</v>
      </c>
      <c r="K37" s="9">
        <f t="shared" si="77"/>
        <v>1549.75066010151</v>
      </c>
      <c r="L37" s="10">
        <f t="shared" si="78"/>
        <v>4.6397230132714826</v>
      </c>
      <c r="M37" s="10">
        <f t="shared" si="79"/>
        <v>3.1797422165017734E-2</v>
      </c>
      <c r="N37" s="10">
        <f t="shared" si="80"/>
        <v>2.9340977124590793E-2</v>
      </c>
      <c r="P37" s="11">
        <v>1.1319404806999988E-5</v>
      </c>
      <c r="Q37" s="11">
        <v>8.293269430988703E-7</v>
      </c>
      <c r="R37" s="11">
        <v>7.6525898042896244E-7</v>
      </c>
      <c r="S37" s="9">
        <v>11319.404806999988</v>
      </c>
      <c r="T37" s="9">
        <v>829.32694309887029</v>
      </c>
      <c r="U37" s="9">
        <v>765.25898042896245</v>
      </c>
      <c r="V37" s="10">
        <v>4.9461764084685376</v>
      </c>
      <c r="W37" s="10">
        <v>3.1797422165017734E-2</v>
      </c>
      <c r="X37" s="10">
        <v>2.9340977124590793E-2</v>
      </c>
      <c r="Y37" s="9">
        <f t="shared" si="81"/>
        <v>4527.7619227999949</v>
      </c>
    </row>
    <row r="38" spans="1:25" x14ac:dyDescent="0.2">
      <c r="A38" s="1" t="s">
        <v>6</v>
      </c>
      <c r="B38" s="2">
        <v>50</v>
      </c>
      <c r="C38" s="15"/>
      <c r="D38" s="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 Amako</dc:creator>
  <cp:lastModifiedBy>Lloyd, Hannah</cp:lastModifiedBy>
  <dcterms:created xsi:type="dcterms:W3CDTF">2022-11-19T18:30:14Z</dcterms:created>
  <dcterms:modified xsi:type="dcterms:W3CDTF">2025-02-17T19:14:11Z</dcterms:modified>
</cp:coreProperties>
</file>