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09"/>
  <workbookPr defaultThemeVersion="166925"/>
  <mc:AlternateContent xmlns:mc="http://schemas.openxmlformats.org/markup-compatibility/2006">
    <mc:Choice Requires="x15">
      <x15ac:absPath xmlns:x15ac="http://schemas.microsoft.com/office/spreadsheetml/2010/11/ac" url="/Users/fkerton/Documents/Research/Research/Students/Grads/Sarah Boudreau/nHAP_RSCSus/redocumentsforsubmission/"/>
    </mc:Choice>
  </mc:AlternateContent>
  <xr:revisionPtr revIDLastSave="0" documentId="8_{7BB39D51-7D04-6843-8AE3-EDE89453A4EF}" xr6:coauthVersionLast="47" xr6:coauthVersionMax="47" xr10:uidLastSave="{00000000-0000-0000-0000-000000000000}"/>
  <bookViews>
    <workbookView xWindow="-30540" yWindow="500" windowWidth="22340" windowHeight="16100" xr2:uid="{A04D7197-94FC-E740-B4FF-2001ABA57074}"/>
  </bookViews>
  <sheets>
    <sheet name="LCA" sheetId="2" r:id="rId1"/>
    <sheet name="Oven kWh" sheetId="4"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V6" i="2" l="1"/>
  <c r="E21" i="2"/>
  <c r="E20" i="2"/>
  <c r="E19" i="2"/>
  <c r="E40" i="2" l="1"/>
  <c r="H84" i="2"/>
  <c r="E89" i="2"/>
  <c r="N51" i="2"/>
  <c r="O51" i="2"/>
  <c r="N76" i="2"/>
  <c r="M8" i="2"/>
  <c r="I8" i="2"/>
  <c r="O8" i="2" s="1"/>
  <c r="E41" i="2"/>
  <c r="E113" i="2"/>
  <c r="E114" i="2" s="1"/>
  <c r="E115" i="2" s="1"/>
  <c r="O102" i="2"/>
  <c r="O76" i="2"/>
  <c r="N102" i="2"/>
  <c r="N52" i="2"/>
  <c r="H114" i="2"/>
  <c r="E108" i="2"/>
  <c r="M102" i="2"/>
  <c r="L102" i="2"/>
  <c r="F102" i="2"/>
  <c r="E102" i="2"/>
  <c r="O101" i="2"/>
  <c r="N101" i="2"/>
  <c r="M101" i="2"/>
  <c r="F101" i="2"/>
  <c r="E101" i="2"/>
  <c r="E94" i="2"/>
  <c r="E92" i="2"/>
  <c r="E64" i="2"/>
  <c r="E63" i="2"/>
  <c r="E43" i="2"/>
  <c r="E42" i="2"/>
  <c r="G11" i="4"/>
  <c r="G10" i="4"/>
  <c r="G9" i="4"/>
  <c r="F11" i="4"/>
  <c r="F10" i="4"/>
  <c r="F9" i="4"/>
  <c r="G4" i="4"/>
  <c r="G6" i="4" s="1"/>
  <c r="F6" i="4"/>
  <c r="F5" i="4"/>
  <c r="F4" i="4"/>
  <c r="N77" i="2"/>
  <c r="H90" i="2"/>
  <c r="E93" i="2"/>
  <c r="E91" i="2"/>
  <c r="E90" i="2"/>
  <c r="O77" i="2"/>
  <c r="M77" i="2"/>
  <c r="P77" i="2" s="1"/>
  <c r="M76" i="2"/>
  <c r="L76" i="2"/>
  <c r="J76" i="2"/>
  <c r="E84" i="2" s="1"/>
  <c r="H64" i="2"/>
  <c r="E65" i="2"/>
  <c r="E61" i="2"/>
  <c r="O52" i="2"/>
  <c r="M52" i="2"/>
  <c r="P52" i="2" s="1"/>
  <c r="Q52" i="2" s="1"/>
  <c r="M51" i="2"/>
  <c r="L51" i="2"/>
  <c r="J51" i="2"/>
  <c r="E58" i="2" s="1"/>
  <c r="E22" i="2"/>
  <c r="P7" i="2"/>
  <c r="M7" i="2"/>
  <c r="R7" i="2" s="1"/>
  <c r="I7" i="2"/>
  <c r="O7" i="2" s="1"/>
  <c r="M6" i="2"/>
  <c r="L6" i="2"/>
  <c r="I6" i="2"/>
  <c r="O6" i="2" s="1"/>
  <c r="B23" i="2"/>
  <c r="B22" i="2"/>
  <c r="B21" i="2"/>
  <c r="H20" i="2" l="1"/>
  <c r="P51" i="2"/>
  <c r="P76" i="2"/>
  <c r="N8" i="2"/>
  <c r="P8" i="2" s="1"/>
  <c r="E95" i="2"/>
  <c r="P101" i="2"/>
  <c r="R101" i="2" s="1"/>
  <c r="P102" i="2"/>
  <c r="Q102" i="2" s="1"/>
  <c r="U102" i="2" s="1"/>
  <c r="H105" i="2" s="1"/>
  <c r="E23" i="2"/>
  <c r="E24" i="2" s="1"/>
  <c r="E66" i="2"/>
  <c r="E67" i="2" s="1"/>
  <c r="E44" i="2"/>
  <c r="E45" i="2" s="1"/>
  <c r="N7" i="2"/>
  <c r="Q51" i="2"/>
  <c r="Q76" i="2"/>
  <c r="G5" i="4"/>
  <c r="R77" i="2"/>
  <c r="Q77" i="2"/>
  <c r="R52" i="2"/>
  <c r="B24" i="2"/>
  <c r="B26" i="2" s="1"/>
  <c r="V7" i="2" s="1"/>
  <c r="N6" i="2"/>
  <c r="P6" i="2" s="1"/>
  <c r="R6" i="2" s="1"/>
  <c r="R8" i="2" l="1"/>
  <c r="V8" i="2" s="1"/>
  <c r="H14" i="2" s="1"/>
  <c r="Q8" i="2"/>
  <c r="U8" i="2" s="1"/>
  <c r="H11" i="2" s="1"/>
  <c r="V101" i="2"/>
  <c r="R51" i="2"/>
  <c r="V51" i="2" s="1"/>
  <c r="R76" i="2"/>
  <c r="V76" i="2" s="1"/>
  <c r="Q101" i="2"/>
  <c r="R102" i="2"/>
  <c r="V102" i="2" s="1"/>
  <c r="V52" i="2"/>
  <c r="E96" i="2"/>
  <c r="V77" i="2"/>
  <c r="B25" i="2"/>
  <c r="U51" i="2" s="1"/>
  <c r="H55" i="2" s="1"/>
  <c r="H58" i="2" l="1"/>
  <c r="H108" i="2"/>
  <c r="U76" i="2"/>
  <c r="H81" i="2" s="1"/>
</calcChain>
</file>

<file path=xl/sharedStrings.xml><?xml version="1.0" encoding="utf-8"?>
<sst xmlns="http://schemas.openxmlformats.org/spreadsheetml/2006/main" count="292" uniqueCount="100">
  <si>
    <t>Acetone</t>
  </si>
  <si>
    <t>H</t>
  </si>
  <si>
    <t>Z(water)</t>
  </si>
  <si>
    <t>Koc</t>
  </si>
  <si>
    <t>Z(soil)</t>
  </si>
  <si>
    <t>Z(sediment)</t>
  </si>
  <si>
    <t>Fugacity</t>
  </si>
  <si>
    <t>Assumed data for all compounds</t>
  </si>
  <si>
    <t>Volume air (m3)</t>
  </si>
  <si>
    <t>Volume water (m3)</t>
  </si>
  <si>
    <t>Volume soil (m3)</t>
  </si>
  <si>
    <t>Volume sediemnt (m3)</t>
  </si>
  <si>
    <t>Density soil (tonnes m-3)</t>
  </si>
  <si>
    <t>Density sediment (tonnes m-3)</t>
  </si>
  <si>
    <t>Organic soil fraction</t>
  </si>
  <si>
    <t>Organic sediment fraction</t>
  </si>
  <si>
    <t>Energy consumption</t>
  </si>
  <si>
    <t>Energy consumption (g CO2 kJ-1)</t>
  </si>
  <si>
    <t>Toluene concentrations for toxicity potentials</t>
  </si>
  <si>
    <t>LD50 (mg kg-1)</t>
  </si>
  <si>
    <t>log(Kow)</t>
  </si>
  <si>
    <t>H (atm m3 mol-1)</t>
  </si>
  <si>
    <t>MW (g mol-1)</t>
  </si>
  <si>
    <t>Z(air)</t>
  </si>
  <si>
    <t>C(air)</t>
  </si>
  <si>
    <t>C(water)</t>
  </si>
  <si>
    <t>Chemicals used</t>
  </si>
  <si>
    <t>Water</t>
  </si>
  <si>
    <t>Neutrase</t>
  </si>
  <si>
    <t>Lipozyme CALB L</t>
  </si>
  <si>
    <t>mass (g)</t>
  </si>
  <si>
    <t>Kow</t>
  </si>
  <si>
    <t>SFP</t>
  </si>
  <si>
    <t>I(AP)</t>
  </si>
  <si>
    <t>I(SF)</t>
  </si>
  <si>
    <t>Emissions</t>
  </si>
  <si>
    <t>Cp (kJ g-1 K-1)</t>
  </si>
  <si>
    <t>CO2 emissions</t>
  </si>
  <si>
    <t>I(GW)</t>
  </si>
  <si>
    <t>I(INHT)</t>
  </si>
  <si>
    <t>Not volatile</t>
  </si>
  <si>
    <t>LC50</t>
  </si>
  <si>
    <t>LD50</t>
  </si>
  <si>
    <t>a. Boiling water</t>
  </si>
  <si>
    <t>b. Enzyme treatment</t>
  </si>
  <si>
    <t>1. Acidification potential</t>
  </si>
  <si>
    <t>2. Smog formation</t>
  </si>
  <si>
    <t>3. Global warming</t>
  </si>
  <si>
    <t>4. Toxic Inhalation</t>
  </si>
  <si>
    <t>5. Toxic ingestion</t>
  </si>
  <si>
    <t>INGTP</t>
  </si>
  <si>
    <t>INHTP</t>
  </si>
  <si>
    <t>I(INGT)</t>
  </si>
  <si>
    <t>6. Persistance</t>
  </si>
  <si>
    <t>PER</t>
  </si>
  <si>
    <t>7. Bioaccumulation</t>
  </si>
  <si>
    <t>ACCU</t>
  </si>
  <si>
    <t>8. Abiotic depletion</t>
  </si>
  <si>
    <t>I(AD)</t>
  </si>
  <si>
    <t>Venkatesan et al.</t>
  </si>
  <si>
    <t>NaOH</t>
  </si>
  <si>
    <t>b. Boiling water</t>
  </si>
  <si>
    <t>c. 2%NaOH/acetone</t>
  </si>
  <si>
    <t>d. Drying</t>
  </si>
  <si>
    <t>e. Alkaline treatment</t>
  </si>
  <si>
    <t>f. Drying</t>
  </si>
  <si>
    <t>MOD</t>
  </si>
  <si>
    <t>NO</t>
  </si>
  <si>
    <t>Yamamura et al.</t>
  </si>
  <si>
    <t>NaOH (1 N)*</t>
  </si>
  <si>
    <t>Hydrogen peroxide (30%)*</t>
  </si>
  <si>
    <t>a. Calcination</t>
  </si>
  <si>
    <t>c. Ball-mill</t>
  </si>
  <si>
    <t>Energy assumptions (not including sample heating)</t>
  </si>
  <si>
    <t>Energy for ball mill (kWh)</t>
  </si>
  <si>
    <t>d. Ultrasound</t>
  </si>
  <si>
    <t>Our method</t>
  </si>
  <si>
    <t>b. Annealing</t>
  </si>
  <si>
    <t>Biazar et al.</t>
  </si>
  <si>
    <t>a. Drying</t>
  </si>
  <si>
    <t>b. Calcination</t>
  </si>
  <si>
    <t>Oven power</t>
  </si>
  <si>
    <t>Carbolite-Gero AX 30</t>
  </si>
  <si>
    <t>Carbolite-Gero AX 60</t>
  </si>
  <si>
    <t>Carbolite-Gero AX 120</t>
  </si>
  <si>
    <t>Model:</t>
  </si>
  <si>
    <t>Carbolite Gero ELF 11/14</t>
  </si>
  <si>
    <t>Carbolite Gero ELF 11/23</t>
  </si>
  <si>
    <t>Max power (kWh):</t>
  </si>
  <si>
    <t xml:space="preserve">Holding power (kWh): </t>
  </si>
  <si>
    <t>Max volume (L)</t>
  </si>
  <si>
    <t>Average</t>
  </si>
  <si>
    <t>Normalized to 50 L</t>
  </si>
  <si>
    <t>Energy to heat 100 - 250 C oven, holding (kWh)</t>
  </si>
  <si>
    <t>Energy to heat 100 - 250 C oven, ramping (kWh)</t>
  </si>
  <si>
    <t>Energy for 250 - 1000 C oven, ramping (kWh)</t>
  </si>
  <si>
    <t>Energy for 250 - 1000 C oven, holding (kWh)</t>
  </si>
  <si>
    <t>Sharifianjazi et al.</t>
  </si>
  <si>
    <t xml:space="preserve">Carbolite-Gero ELF 11/6 </t>
  </si>
  <si>
    <t>Propanoic acid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</si>
</sst>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2"/>
      <color theme="1"/>
      <name val="Calibri"/>
      <family val="2"/>
      <scheme val="minor"/>
    </font>
    <font>
      <b/>
      <sz val="12"/>
      <color theme="1"/>
      <name val="Calibri"/>
      <family val="2"/>
      <scheme val="minor"/>
    </font>
    <font>
      <b/>
      <sz val="14"/>
      <color theme="1"/>
      <name val="Arial"/>
      <family val="2"/>
    </font>
    <font>
      <sz val="12"/>
      <color theme="1"/>
      <name val="Arial"/>
      <family val="2"/>
    </font>
    <font>
      <b/>
      <sz val="12"/>
      <color theme="1"/>
      <name val="Arial"/>
      <family val="2"/>
    </font>
  </fonts>
  <fills count="8">
    <fill>
      <patternFill patternType="none"/>
    </fill>
    <fill>
      <patternFill patternType="gray125"/>
    </fill>
    <fill>
      <patternFill patternType="solid">
        <fgColor theme="5" tint="0.59999389629810485"/>
        <bgColor indexed="64"/>
      </patternFill>
    </fill>
    <fill>
      <patternFill patternType="solid">
        <fgColor rgb="FFFFC000"/>
        <bgColor indexed="64"/>
      </patternFill>
    </fill>
    <fill>
      <patternFill patternType="solid">
        <fgColor rgb="FFF9CCAD"/>
        <bgColor indexed="64"/>
      </patternFill>
    </fill>
    <fill>
      <patternFill patternType="solid">
        <fgColor rgb="FFB4C6E7"/>
        <bgColor indexed="64"/>
      </patternFill>
    </fill>
    <fill>
      <patternFill patternType="solid">
        <fgColor rgb="FFFFFF00"/>
        <bgColor indexed="64"/>
      </patternFill>
    </fill>
    <fill>
      <patternFill patternType="solid">
        <fgColor theme="9" tint="0.59999389629810485"/>
        <bgColor indexed="64"/>
      </patternFill>
    </fill>
  </fills>
  <borders count="1">
    <border>
      <left/>
      <right/>
      <top/>
      <bottom/>
      <diagonal/>
    </border>
  </borders>
  <cellStyleXfs count="1">
    <xf numFmtId="0" fontId="0" fillId="0" borderId="0"/>
  </cellStyleXfs>
  <cellXfs count="24">
    <xf numFmtId="0" fontId="0" fillId="0" borderId="0" xfId="0"/>
    <xf numFmtId="11" fontId="0" fillId="0" borderId="0" xfId="0" applyNumberFormat="1"/>
    <xf numFmtId="0" fontId="1" fillId="0" borderId="0" xfId="0" applyFont="1"/>
    <xf numFmtId="0" fontId="0" fillId="2" borderId="0" xfId="0" applyFill="1"/>
    <xf numFmtId="11" fontId="0" fillId="2" borderId="0" xfId="0" applyNumberFormat="1" applyFill="1"/>
    <xf numFmtId="3" fontId="0" fillId="2" borderId="0" xfId="0" applyNumberFormat="1" applyFill="1"/>
    <xf numFmtId="0" fontId="0" fillId="3" borderId="0" xfId="0" applyFill="1"/>
    <xf numFmtId="11" fontId="0" fillId="3" borderId="0" xfId="0" applyNumberFormat="1" applyFill="1"/>
    <xf numFmtId="0" fontId="0" fillId="4" borderId="0" xfId="0" applyFill="1"/>
    <xf numFmtId="0" fontId="0" fillId="5" borderId="0" xfId="0" applyFill="1"/>
    <xf numFmtId="11" fontId="0" fillId="5" borderId="0" xfId="0" applyNumberFormat="1" applyFill="1"/>
    <xf numFmtId="0" fontId="0" fillId="6" borderId="0" xfId="0" applyFill="1"/>
    <xf numFmtId="11" fontId="0" fillId="6" borderId="0" xfId="0" applyNumberFormat="1" applyFill="1"/>
    <xf numFmtId="0" fontId="1" fillId="3" borderId="0" xfId="0" applyFont="1" applyFill="1"/>
    <xf numFmtId="0" fontId="1" fillId="6" borderId="0" xfId="0" applyFont="1" applyFill="1"/>
    <xf numFmtId="0" fontId="1" fillId="4" borderId="0" xfId="0" applyFont="1" applyFill="1"/>
    <xf numFmtId="3" fontId="0" fillId="0" borderId="0" xfId="0" applyNumberFormat="1"/>
    <xf numFmtId="0" fontId="1" fillId="5" borderId="0" xfId="0" applyFont="1" applyFill="1"/>
    <xf numFmtId="0" fontId="0" fillId="7" borderId="0" xfId="0" applyFill="1"/>
    <xf numFmtId="11" fontId="0" fillId="7" borderId="0" xfId="0" applyNumberFormat="1" applyFill="1"/>
    <xf numFmtId="0" fontId="1" fillId="7" borderId="0" xfId="0" applyFont="1" applyFill="1"/>
    <xf numFmtId="0" fontId="2" fillId="0" borderId="0" xfId="0" applyFont="1"/>
    <xf numFmtId="0" fontId="3" fillId="0" borderId="0" xfId="0" applyFont="1"/>
    <xf numFmtId="0" fontId="4" fillId="0" borderId="0" xfId="0" applyFont="1"/>
  </cellXfs>
  <cellStyles count="1">
    <cellStyle name="Normal" xfId="0" builtinId="0"/>
  </cellStyles>
  <dxfs count="0"/>
  <tableStyles count="0" defaultTableStyle="TableStyleMedium2" defaultPivotStyle="PivotStyleLight16"/>
  <colors>
    <mruColors>
      <color rgb="FFB4C6E7"/>
      <color rgb="FFF9CC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237068</xdr:colOff>
      <xdr:row>2</xdr:row>
      <xdr:rowOff>0</xdr:rowOff>
    </xdr:from>
    <xdr:to>
      <xdr:col>12</xdr:col>
      <xdr:colOff>341429</xdr:colOff>
      <xdr:row>10</xdr:row>
      <xdr:rowOff>101600</xdr:rowOff>
    </xdr:to>
    <xdr:sp macro="" textlink="">
      <xdr:nvSpPr>
        <xdr:cNvPr id="2" name="TextBox 1">
          <a:extLst>
            <a:ext uri="{FF2B5EF4-FFF2-40B4-BE49-F238E27FC236}">
              <a16:creationId xmlns:a16="http://schemas.microsoft.com/office/drawing/2014/main" id="{69DFB21D-34CB-62FA-9360-E9BEB18A1665}"/>
            </a:ext>
          </a:extLst>
        </xdr:cNvPr>
        <xdr:cNvSpPr txBox="1"/>
      </xdr:nvSpPr>
      <xdr:spPr>
        <a:xfrm>
          <a:off x="11548535" y="474133"/>
          <a:ext cx="4253027" cy="172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400" b="1">
              <a:latin typeface="Arial" panose="020B0604020202020204" pitchFamily="34" charset="0"/>
              <a:cs typeface="Arial" panose="020B0604020202020204" pitchFamily="34" charset="0"/>
            </a:rPr>
            <a:t>Takeway</a:t>
          </a:r>
          <a:r>
            <a:rPr lang="en-US" sz="1400">
              <a:latin typeface="Arial" panose="020B0604020202020204" pitchFamily="34" charset="0"/>
              <a:cs typeface="Arial" panose="020B0604020202020204" pitchFamily="34" charset="0"/>
            </a:rPr>
            <a:t>: For LCA measurements,</a:t>
          </a:r>
          <a:r>
            <a:rPr lang="en-US" sz="1400" baseline="0">
              <a:latin typeface="Arial" panose="020B0604020202020204" pitchFamily="34" charset="0"/>
              <a:cs typeface="Arial" panose="020B0604020202020204" pitchFamily="34" charset="0"/>
            </a:rPr>
            <a:t> power for ovens that use temperatures </a:t>
          </a:r>
          <a:r>
            <a:rPr lang="en-US" sz="1400" u="none" baseline="0">
              <a:latin typeface="Arial" panose="020B0604020202020204" pitchFamily="34" charset="0"/>
              <a:cs typeface="Arial" panose="020B0604020202020204" pitchFamily="34" charset="0"/>
            </a:rPr>
            <a:t>below 250 ºC are based on the Carbolite-Gero AX model (conventional oven).  For temperatures above 250 ºC, the LCA measurements are based on the Carbolite Gero ELF model (muffle furnace). For consistency, the average max power and holding power were normalized to 50 L.</a:t>
          </a:r>
          <a:endParaRPr lang="en-US" sz="1400" u="none">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BBBB1-3D17-7D43-A7FA-A10C99AEC6CC}">
  <dimension ref="A1:V117"/>
  <sheetViews>
    <sheetView tabSelected="1" zoomScale="75" zoomScaleNormal="75" workbookViewId="0">
      <selection activeCell="T14" sqref="T14"/>
    </sheetView>
  </sheetViews>
  <sheetFormatPr baseColWidth="10" defaultRowHeight="16" x14ac:dyDescent="0.2"/>
  <cols>
    <col min="1" max="1" width="46.5" bestFit="1" customWidth="1"/>
    <col min="4" max="4" width="24.5" bestFit="1" customWidth="1"/>
    <col min="6" max="6" width="15" bestFit="1" customWidth="1"/>
    <col min="7" max="7" width="17.1640625" bestFit="1" customWidth="1"/>
    <col min="12" max="12" width="13" bestFit="1" customWidth="1"/>
    <col min="17" max="18" width="11" bestFit="1" customWidth="1"/>
    <col min="19" max="19" width="12.5" bestFit="1" customWidth="1"/>
    <col min="20" max="23" width="11" bestFit="1" customWidth="1"/>
  </cols>
  <sheetData>
    <row r="1" spans="1:22" x14ac:dyDescent="0.2">
      <c r="A1" s="2" t="s">
        <v>7</v>
      </c>
      <c r="D1" s="15" t="s">
        <v>76</v>
      </c>
    </row>
    <row r="2" spans="1:22" x14ac:dyDescent="0.2">
      <c r="B2" s="1"/>
    </row>
    <row r="3" spans="1:22" x14ac:dyDescent="0.2">
      <c r="A3" t="s">
        <v>8</v>
      </c>
      <c r="B3" s="1">
        <v>10000000000</v>
      </c>
      <c r="D3" s="3" t="s">
        <v>26</v>
      </c>
      <c r="E3" s="3" t="s">
        <v>30</v>
      </c>
      <c r="F3" s="3" t="s">
        <v>22</v>
      </c>
      <c r="G3" s="3" t="s">
        <v>1</v>
      </c>
      <c r="H3" s="3" t="s">
        <v>31</v>
      </c>
      <c r="I3" s="3" t="s">
        <v>3</v>
      </c>
      <c r="J3" s="3" t="s">
        <v>32</v>
      </c>
      <c r="K3" s="3" t="s">
        <v>36</v>
      </c>
      <c r="L3" s="3" t="s">
        <v>23</v>
      </c>
      <c r="M3" s="3" t="s">
        <v>2</v>
      </c>
      <c r="N3" s="3" t="s">
        <v>4</v>
      </c>
      <c r="O3" s="3" t="s">
        <v>5</v>
      </c>
      <c r="P3" s="3" t="s">
        <v>6</v>
      </c>
      <c r="Q3" s="3" t="s">
        <v>24</v>
      </c>
      <c r="R3" s="3" t="s">
        <v>25</v>
      </c>
      <c r="S3" s="3" t="s">
        <v>41</v>
      </c>
      <c r="T3" s="3" t="s">
        <v>42</v>
      </c>
      <c r="U3" s="3" t="s">
        <v>51</v>
      </c>
      <c r="V3" s="3" t="s">
        <v>50</v>
      </c>
    </row>
    <row r="4" spans="1:22" x14ac:dyDescent="0.2">
      <c r="A4" t="s">
        <v>9</v>
      </c>
      <c r="B4" s="1">
        <v>7000000</v>
      </c>
      <c r="D4" s="3" t="s">
        <v>27</v>
      </c>
      <c r="E4" s="3">
        <v>2000</v>
      </c>
      <c r="F4" s="3">
        <v>18.02</v>
      </c>
      <c r="G4" s="3"/>
      <c r="H4" s="3"/>
      <c r="I4" s="3"/>
      <c r="J4" s="3">
        <v>0</v>
      </c>
      <c r="K4" s="3">
        <v>4.1799999999999997E-3</v>
      </c>
      <c r="L4" s="3"/>
      <c r="M4" s="3"/>
      <c r="N4" s="3"/>
      <c r="O4" s="3"/>
      <c r="P4" s="3"/>
      <c r="Q4" s="3"/>
      <c r="R4" s="3"/>
      <c r="S4" s="3"/>
      <c r="T4" s="3"/>
      <c r="U4" s="3"/>
      <c r="V4" s="3"/>
    </row>
    <row r="5" spans="1:22" x14ac:dyDescent="0.2">
      <c r="A5" t="s">
        <v>10</v>
      </c>
      <c r="B5" s="1">
        <v>9000</v>
      </c>
      <c r="D5" s="3"/>
      <c r="E5" s="3">
        <v>1000</v>
      </c>
      <c r="F5" s="3"/>
      <c r="G5" s="3"/>
      <c r="H5" s="3"/>
      <c r="I5" s="3"/>
      <c r="J5" s="3"/>
      <c r="K5" s="3"/>
      <c r="L5" s="3"/>
      <c r="M5" s="3"/>
      <c r="N5" s="3"/>
      <c r="O5" s="3"/>
      <c r="P5" s="3"/>
      <c r="Q5" s="3"/>
      <c r="R5" s="3"/>
      <c r="S5" s="3"/>
      <c r="T5" s="3"/>
      <c r="U5" s="3"/>
      <c r="V5" s="3"/>
    </row>
    <row r="6" spans="1:22" x14ac:dyDescent="0.2">
      <c r="A6" t="s">
        <v>11</v>
      </c>
      <c r="B6" s="1">
        <v>20000</v>
      </c>
      <c r="D6" s="3" t="s">
        <v>28</v>
      </c>
      <c r="E6" s="3">
        <v>1.5</v>
      </c>
      <c r="F6" s="4">
        <v>22500</v>
      </c>
      <c r="G6" s="4">
        <v>1E-50</v>
      </c>
      <c r="H6" s="3">
        <v>3</v>
      </c>
      <c r="I6" s="3">
        <f>0.41*H6</f>
        <v>1.23</v>
      </c>
      <c r="J6" s="3">
        <v>0</v>
      </c>
      <c r="K6" s="3"/>
      <c r="L6" s="3">
        <f>B20</f>
        <v>41</v>
      </c>
      <c r="M6" s="4">
        <f>1/G6</f>
        <v>1.0000000000000001E+50</v>
      </c>
      <c r="N6" s="4">
        <f>(I6*B7*B9)/G6</f>
        <v>3.6900000000000005E+48</v>
      </c>
      <c r="O6" s="4">
        <f>(I6*B8*B10)/G6</f>
        <v>7.380000000000001E+48</v>
      </c>
      <c r="P6" s="4">
        <f>1000/(F6*((L6*B3)+(M6*B4)+(B5*N6)+(O6*B6)))</f>
        <v>6.3475667727089575E-59</v>
      </c>
      <c r="Q6" s="3" t="s">
        <v>40</v>
      </c>
      <c r="R6" s="4">
        <f>P6*M6</f>
        <v>6.3475667727089583E-9</v>
      </c>
      <c r="S6" s="3" t="s">
        <v>40</v>
      </c>
      <c r="T6" s="5">
        <v>2000</v>
      </c>
      <c r="U6" s="3" t="s">
        <v>40</v>
      </c>
      <c r="V6" s="4">
        <f>(R6/T6) / (B26/B18)</f>
        <v>0.51226836595833014</v>
      </c>
    </row>
    <row r="7" spans="1:22" x14ac:dyDescent="0.2">
      <c r="A7" t="s">
        <v>12</v>
      </c>
      <c r="B7" s="1">
        <v>1.5</v>
      </c>
      <c r="D7" s="3" t="s">
        <v>29</v>
      </c>
      <c r="E7" s="3">
        <v>0.75</v>
      </c>
      <c r="F7" s="4">
        <v>39500</v>
      </c>
      <c r="G7" s="4">
        <v>1E-50</v>
      </c>
      <c r="H7" s="3">
        <v>3</v>
      </c>
      <c r="I7" s="3">
        <f>0.41*H7</f>
        <v>1.23</v>
      </c>
      <c r="J7" s="3">
        <v>0</v>
      </c>
      <c r="K7" s="3"/>
      <c r="L7" s="3">
        <v>41</v>
      </c>
      <c r="M7" s="4">
        <f>1/G7</f>
        <v>1.0000000000000001E+50</v>
      </c>
      <c r="N7" s="4">
        <f>(B7*B9*I7)/G7</f>
        <v>3.6899999999999992E+48</v>
      </c>
      <c r="O7" s="4">
        <f>(I7*B8*B10)/G7</f>
        <v>7.380000000000001E+48</v>
      </c>
      <c r="P7" s="3">
        <f>6.35E-59</f>
        <v>6.3500000000000001E-59</v>
      </c>
      <c r="Q7" s="3" t="s">
        <v>40</v>
      </c>
      <c r="R7" s="4">
        <f>M7*P7</f>
        <v>6.3500000000000006E-9</v>
      </c>
      <c r="S7" s="3" t="s">
        <v>40</v>
      </c>
      <c r="T7" s="5">
        <v>27000</v>
      </c>
      <c r="U7" s="3" t="s">
        <v>40</v>
      </c>
      <c r="V7" s="4">
        <f>(R7/T7)/(B26/B18)</f>
        <v>3.7960350737990145E-2</v>
      </c>
    </row>
    <row r="8" spans="1:22" x14ac:dyDescent="0.2">
      <c r="A8" t="s">
        <v>13</v>
      </c>
      <c r="B8" s="1">
        <v>1.5</v>
      </c>
      <c r="D8" s="3" t="s">
        <v>99</v>
      </c>
      <c r="E8" s="3">
        <v>1</v>
      </c>
      <c r="F8" s="4">
        <v>74.08</v>
      </c>
      <c r="G8" s="4">
        <v>3.8500000000000004E-6</v>
      </c>
      <c r="H8" s="3">
        <v>1.9950000000000001</v>
      </c>
      <c r="I8" s="3">
        <f>0.41*H8</f>
        <v>0.81794999999999995</v>
      </c>
      <c r="J8" s="3">
        <v>0.79</v>
      </c>
      <c r="K8" s="3"/>
      <c r="L8" s="3">
        <v>41</v>
      </c>
      <c r="M8" s="4">
        <f>1/G8</f>
        <v>259740.2597402597</v>
      </c>
      <c r="N8" s="4">
        <f>(I8*B7*B9)/G8</f>
        <v>6373.6363636363631</v>
      </c>
      <c r="O8" s="4">
        <f>(B7*B9*I8)/G8</f>
        <v>6373.6363636363621</v>
      </c>
      <c r="P8" s="4">
        <f>1000/(F8*((L8*B3)+(M8*B4)+(N8*B5)+(O8*B6)))</f>
        <v>6.0577643559532067E-12</v>
      </c>
      <c r="Q8" s="4">
        <f>P8*L8</f>
        <v>2.4836833859408148E-10</v>
      </c>
      <c r="R8" s="4">
        <f>P8*M8</f>
        <v>1.5734452872605729E-6</v>
      </c>
      <c r="S8" s="3">
        <v>19.7</v>
      </c>
      <c r="T8" s="5">
        <v>3455</v>
      </c>
      <c r="U8" s="4">
        <f>Q8*S8</f>
        <v>4.8928562703034046E-9</v>
      </c>
      <c r="V8" s="4">
        <f>T8*R8</f>
        <v>5.4362534674852791E-3</v>
      </c>
    </row>
    <row r="9" spans="1:22" x14ac:dyDescent="0.2">
      <c r="A9" t="s">
        <v>14</v>
      </c>
      <c r="B9" s="1">
        <v>0.02</v>
      </c>
    </row>
    <row r="10" spans="1:22" x14ac:dyDescent="0.2">
      <c r="A10" t="s">
        <v>15</v>
      </c>
      <c r="B10" s="1">
        <v>0.04</v>
      </c>
      <c r="D10" s="3" t="s">
        <v>45</v>
      </c>
      <c r="E10" s="3"/>
      <c r="F10" s="3"/>
      <c r="G10" s="3" t="s">
        <v>48</v>
      </c>
      <c r="H10" s="3"/>
    </row>
    <row r="11" spans="1:22" x14ac:dyDescent="0.2">
      <c r="A11" t="s">
        <v>17</v>
      </c>
      <c r="B11" s="1">
        <v>4.2000000000000003E-2</v>
      </c>
      <c r="D11" s="3" t="s">
        <v>33</v>
      </c>
      <c r="E11" s="3">
        <v>0</v>
      </c>
      <c r="F11" s="3"/>
      <c r="G11" s="3" t="s">
        <v>39</v>
      </c>
      <c r="H11" s="4">
        <f>U8*E8</f>
        <v>4.8928562703034046E-9</v>
      </c>
    </row>
    <row r="12" spans="1:22" x14ac:dyDescent="0.2">
      <c r="D12" s="3"/>
      <c r="E12" s="3"/>
      <c r="F12" s="3"/>
      <c r="G12" s="3"/>
      <c r="H12" s="3"/>
    </row>
    <row r="13" spans="1:22" x14ac:dyDescent="0.2">
      <c r="A13" s="2" t="s">
        <v>18</v>
      </c>
      <c r="D13" s="3" t="s">
        <v>46</v>
      </c>
      <c r="E13" s="3"/>
      <c r="F13" s="3"/>
      <c r="G13" s="3" t="s">
        <v>49</v>
      </c>
      <c r="H13" s="3"/>
    </row>
    <row r="14" spans="1:22" x14ac:dyDescent="0.2">
      <c r="A14" t="s">
        <v>22</v>
      </c>
      <c r="B14">
        <v>92.14</v>
      </c>
      <c r="D14" s="3" t="s">
        <v>34</v>
      </c>
      <c r="E14" s="3">
        <v>0</v>
      </c>
      <c r="F14" s="3"/>
      <c r="G14" s="3" t="s">
        <v>52</v>
      </c>
      <c r="H14" s="4">
        <f>(E6*V6)+(W6*V7)+(E8*V8)</f>
        <v>0.7738388024049806</v>
      </c>
    </row>
    <row r="15" spans="1:22" x14ac:dyDescent="0.2">
      <c r="A15" t="s">
        <v>21</v>
      </c>
      <c r="B15" s="1">
        <v>6.7000000000000002E-3</v>
      </c>
      <c r="D15" s="3"/>
      <c r="E15" s="3"/>
      <c r="F15" s="3"/>
      <c r="G15" s="3"/>
      <c r="H15" s="3"/>
    </row>
    <row r="16" spans="1:22" x14ac:dyDescent="0.2">
      <c r="A16" t="s">
        <v>20</v>
      </c>
      <c r="B16">
        <v>2.73</v>
      </c>
      <c r="D16" s="3" t="s">
        <v>47</v>
      </c>
      <c r="E16" s="3"/>
      <c r="F16" s="3"/>
      <c r="G16" s="3" t="s">
        <v>53</v>
      </c>
      <c r="H16" s="3"/>
    </row>
    <row r="17" spans="1:22" x14ac:dyDescent="0.2">
      <c r="A17" t="s">
        <v>3</v>
      </c>
      <c r="B17">
        <v>220</v>
      </c>
      <c r="D17" s="3" t="s">
        <v>35</v>
      </c>
      <c r="E17" s="3">
        <v>0</v>
      </c>
      <c r="F17" s="3"/>
      <c r="G17" s="3" t="s">
        <v>54</v>
      </c>
      <c r="H17" s="3" t="s">
        <v>67</v>
      </c>
    </row>
    <row r="18" spans="1:22" x14ac:dyDescent="0.2">
      <c r="A18" t="s">
        <v>19</v>
      </c>
      <c r="B18">
        <v>636</v>
      </c>
      <c r="D18" s="3" t="s">
        <v>16</v>
      </c>
      <c r="E18" s="3"/>
      <c r="F18" s="3"/>
      <c r="G18" s="3"/>
      <c r="H18" s="3"/>
    </row>
    <row r="19" spans="1:22" x14ac:dyDescent="0.2">
      <c r="A19" t="s">
        <v>41</v>
      </c>
      <c r="B19">
        <v>49</v>
      </c>
      <c r="D19" s="3" t="s">
        <v>43</v>
      </c>
      <c r="E19" s="3">
        <f>E4*K4*80*2</f>
        <v>1337.6</v>
      </c>
      <c r="F19" s="3"/>
      <c r="G19" s="3" t="s">
        <v>55</v>
      </c>
      <c r="H19" s="3"/>
    </row>
    <row r="20" spans="1:22" x14ac:dyDescent="0.2">
      <c r="A20" t="s">
        <v>23</v>
      </c>
      <c r="B20">
        <v>41</v>
      </c>
      <c r="D20" s="3" t="s">
        <v>44</v>
      </c>
      <c r="E20" s="3">
        <f>(E5*K4*20*12)</f>
        <v>1003.1999999999999</v>
      </c>
      <c r="F20" s="3"/>
      <c r="G20" s="3" t="s">
        <v>56</v>
      </c>
      <c r="H20" s="3">
        <f>LOG(I6+I7)</f>
        <v>0.39093510710337914</v>
      </c>
    </row>
    <row r="21" spans="1:22" x14ac:dyDescent="0.2">
      <c r="A21" t="s">
        <v>2</v>
      </c>
      <c r="B21" s="1">
        <f>1/B15</f>
        <v>149.25373134328359</v>
      </c>
      <c r="D21" s="3" t="s">
        <v>72</v>
      </c>
      <c r="E21" s="3">
        <f>B33*3600</f>
        <v>900</v>
      </c>
      <c r="F21" s="3"/>
      <c r="G21" s="3"/>
      <c r="H21" s="3"/>
    </row>
    <row r="22" spans="1:22" x14ac:dyDescent="0.2">
      <c r="A22" t="s">
        <v>4</v>
      </c>
      <c r="B22" s="1">
        <f>(B17*B7*B9)/B15</f>
        <v>985.07462686567169</v>
      </c>
      <c r="D22" s="3" t="s">
        <v>75</v>
      </c>
      <c r="E22" s="3">
        <f>40.876</f>
        <v>40.875999999999998</v>
      </c>
      <c r="F22" s="3"/>
      <c r="G22" s="3" t="s">
        <v>57</v>
      </c>
      <c r="H22" s="3"/>
    </row>
    <row r="23" spans="1:22" x14ac:dyDescent="0.2">
      <c r="A23" t="s">
        <v>5</v>
      </c>
      <c r="B23" s="1">
        <f>(B17*B8*B10)/B15</f>
        <v>1970.1492537313434</v>
      </c>
      <c r="D23" s="3" t="s">
        <v>37</v>
      </c>
      <c r="E23" s="4">
        <f>(E19*B11)+(E20*B11)+(E21*B11)+(E22*B11)</f>
        <v>137.83039200000002</v>
      </c>
      <c r="F23" s="3"/>
      <c r="G23" s="3" t="s">
        <v>58</v>
      </c>
      <c r="H23" s="3">
        <v>0</v>
      </c>
    </row>
    <row r="24" spans="1:22" x14ac:dyDescent="0.2">
      <c r="A24" t="s">
        <v>6</v>
      </c>
      <c r="B24" s="1">
        <f>1000/(B14*((B20*B3)+(B21*B4)+(B22*B5)+(B23*B6)))</f>
        <v>2.6400470270369593E-11</v>
      </c>
      <c r="D24" s="3" t="s">
        <v>38</v>
      </c>
      <c r="E24" s="3">
        <f>E17+E23</f>
        <v>137.83039200000002</v>
      </c>
      <c r="F24" s="8"/>
      <c r="G24" s="8"/>
      <c r="H24" s="8"/>
    </row>
    <row r="25" spans="1:22" x14ac:dyDescent="0.2">
      <c r="A25" t="s">
        <v>24</v>
      </c>
      <c r="B25" s="1">
        <f>B24*B20</f>
        <v>1.0824192810851534E-9</v>
      </c>
    </row>
    <row r="26" spans="1:22" x14ac:dyDescent="0.2">
      <c r="A26" t="s">
        <v>25</v>
      </c>
      <c r="B26" s="1">
        <f>B24*B21</f>
        <v>3.9403686970700883E-9</v>
      </c>
      <c r="D26" s="17" t="s">
        <v>97</v>
      </c>
    </row>
    <row r="28" spans="1:22" x14ac:dyDescent="0.2">
      <c r="A28" s="2" t="s">
        <v>73</v>
      </c>
      <c r="D28" s="9" t="s">
        <v>26</v>
      </c>
      <c r="E28" s="9" t="s">
        <v>30</v>
      </c>
      <c r="F28" s="9" t="s">
        <v>22</v>
      </c>
      <c r="G28" s="9" t="s">
        <v>1</v>
      </c>
      <c r="H28" s="9" t="s">
        <v>31</v>
      </c>
      <c r="I28" s="9" t="s">
        <v>3</v>
      </c>
      <c r="J28" s="9" t="s">
        <v>32</v>
      </c>
      <c r="K28" s="9" t="s">
        <v>36</v>
      </c>
      <c r="L28" s="9" t="s">
        <v>23</v>
      </c>
      <c r="M28" s="9" t="s">
        <v>2</v>
      </c>
      <c r="N28" s="9" t="s">
        <v>4</v>
      </c>
      <c r="O28" s="9" t="s">
        <v>5</v>
      </c>
      <c r="P28" s="9" t="s">
        <v>6</v>
      </c>
      <c r="Q28" s="9" t="s">
        <v>24</v>
      </c>
      <c r="R28" s="9" t="s">
        <v>25</v>
      </c>
      <c r="S28" s="9" t="s">
        <v>41</v>
      </c>
      <c r="T28" s="9" t="s">
        <v>42</v>
      </c>
      <c r="U28" s="9" t="s">
        <v>51</v>
      </c>
      <c r="V28" s="9" t="s">
        <v>50</v>
      </c>
    </row>
    <row r="29" spans="1:22" x14ac:dyDescent="0.2">
      <c r="A29" t="s">
        <v>94</v>
      </c>
      <c r="B29">
        <v>1.071</v>
      </c>
      <c r="D29" s="9" t="s">
        <v>27</v>
      </c>
      <c r="E29" s="9">
        <v>1000</v>
      </c>
      <c r="F29" s="9">
        <v>18.02</v>
      </c>
      <c r="G29" s="9"/>
      <c r="H29" s="9"/>
      <c r="I29" s="9"/>
      <c r="J29" s="9">
        <v>0</v>
      </c>
      <c r="K29" s="9">
        <v>4.1799999999999997E-3</v>
      </c>
      <c r="L29" s="9"/>
      <c r="M29" s="9"/>
      <c r="N29" s="9"/>
      <c r="O29" s="9"/>
      <c r="P29" s="9"/>
      <c r="Q29" s="9"/>
      <c r="R29" s="9"/>
      <c r="S29" s="9"/>
      <c r="T29" s="9"/>
      <c r="U29" s="9"/>
      <c r="V29" s="9"/>
    </row>
    <row r="30" spans="1:22" x14ac:dyDescent="0.2">
      <c r="A30" t="s">
        <v>93</v>
      </c>
      <c r="B30">
        <v>0.34</v>
      </c>
    </row>
    <row r="31" spans="1:22" x14ac:dyDescent="0.2">
      <c r="A31" t="s">
        <v>95</v>
      </c>
      <c r="B31">
        <v>11.16</v>
      </c>
      <c r="D31" s="9" t="s">
        <v>45</v>
      </c>
      <c r="E31" s="9"/>
      <c r="F31" s="10"/>
      <c r="G31" s="10" t="s">
        <v>48</v>
      </c>
      <c r="H31" s="9"/>
      <c r="M31" s="1"/>
      <c r="N31" s="1"/>
      <c r="O31" s="1"/>
      <c r="P31" s="1"/>
      <c r="R31" s="1"/>
      <c r="T31" s="16"/>
      <c r="V31" s="1"/>
    </row>
    <row r="32" spans="1:22" x14ac:dyDescent="0.2">
      <c r="A32" t="s">
        <v>96</v>
      </c>
      <c r="B32">
        <v>4.3600000000000003</v>
      </c>
      <c r="D32" s="9" t="s">
        <v>33</v>
      </c>
      <c r="E32" s="9">
        <v>0</v>
      </c>
      <c r="F32" s="10"/>
      <c r="G32" s="10" t="s">
        <v>39</v>
      </c>
      <c r="H32" s="9">
        <v>0</v>
      </c>
      <c r="M32" s="1"/>
      <c r="N32" s="1"/>
      <c r="O32" s="1"/>
      <c r="R32" s="1"/>
      <c r="T32" s="16"/>
      <c r="V32" s="1"/>
    </row>
    <row r="33" spans="1:8" x14ac:dyDescent="0.2">
      <c r="A33" t="s">
        <v>74</v>
      </c>
      <c r="B33">
        <v>0.25</v>
      </c>
      <c r="D33" s="9"/>
      <c r="E33" s="9"/>
      <c r="F33" s="9"/>
      <c r="G33" s="9"/>
      <c r="H33" s="9"/>
    </row>
    <row r="34" spans="1:8" x14ac:dyDescent="0.2">
      <c r="D34" s="9" t="s">
        <v>46</v>
      </c>
      <c r="E34" s="9"/>
      <c r="F34" s="9"/>
      <c r="G34" s="9" t="s">
        <v>49</v>
      </c>
      <c r="H34" s="9"/>
    </row>
    <row r="35" spans="1:8" x14ac:dyDescent="0.2">
      <c r="D35" s="9" t="s">
        <v>34</v>
      </c>
      <c r="E35" s="9">
        <v>0</v>
      </c>
      <c r="F35" s="9"/>
      <c r="G35" s="9" t="s">
        <v>52</v>
      </c>
      <c r="H35" s="9">
        <v>0</v>
      </c>
    </row>
    <row r="36" spans="1:8" x14ac:dyDescent="0.2">
      <c r="D36" s="9"/>
      <c r="E36" s="9"/>
      <c r="F36" s="9"/>
      <c r="G36" s="9"/>
      <c r="H36" s="9"/>
    </row>
    <row r="37" spans="1:8" x14ac:dyDescent="0.2">
      <c r="D37" s="9" t="s">
        <v>47</v>
      </c>
      <c r="E37" s="9"/>
      <c r="F37" s="9"/>
      <c r="G37" s="9" t="s">
        <v>53</v>
      </c>
      <c r="H37" s="9"/>
    </row>
    <row r="38" spans="1:8" x14ac:dyDescent="0.2">
      <c r="D38" s="9" t="s">
        <v>35</v>
      </c>
      <c r="E38" s="9">
        <v>0</v>
      </c>
      <c r="F38" s="9"/>
      <c r="G38" s="9" t="s">
        <v>54</v>
      </c>
      <c r="H38" s="9" t="s">
        <v>67</v>
      </c>
    </row>
    <row r="39" spans="1:8" x14ac:dyDescent="0.2">
      <c r="D39" s="9" t="s">
        <v>16</v>
      </c>
      <c r="E39" s="9"/>
      <c r="F39" s="9"/>
      <c r="G39" s="9"/>
      <c r="H39" s="9"/>
    </row>
    <row r="40" spans="1:8" x14ac:dyDescent="0.2">
      <c r="D40" s="9" t="s">
        <v>43</v>
      </c>
      <c r="E40" s="9">
        <f>E29*K29*80*4</f>
        <v>1337.6</v>
      </c>
      <c r="F40" s="9"/>
      <c r="G40" s="9" t="s">
        <v>55</v>
      </c>
      <c r="H40" s="9"/>
    </row>
    <row r="41" spans="1:8" x14ac:dyDescent="0.2">
      <c r="D41" s="9" t="s">
        <v>77</v>
      </c>
      <c r="E41" s="9">
        <f>(B32*2*3600)+(B31*1.38*3600)</f>
        <v>86834.880000000005</v>
      </c>
      <c r="F41" s="9"/>
      <c r="G41" s="9" t="s">
        <v>56</v>
      </c>
      <c r="H41" s="9">
        <v>0.39093510710337914</v>
      </c>
    </row>
    <row r="42" spans="1:8" x14ac:dyDescent="0.2">
      <c r="D42" s="9" t="s">
        <v>72</v>
      </c>
      <c r="E42" s="9">
        <f>B33*7200</f>
        <v>1800</v>
      </c>
      <c r="F42" s="9"/>
      <c r="G42" s="9"/>
      <c r="H42" s="9"/>
    </row>
    <row r="43" spans="1:8" x14ac:dyDescent="0.2">
      <c r="D43" s="9" t="s">
        <v>63</v>
      </c>
      <c r="E43" s="9">
        <f>(B30*9*3600)+(B29*0.25*3600)</f>
        <v>11979.9</v>
      </c>
      <c r="F43" s="9"/>
      <c r="G43" s="9" t="s">
        <v>57</v>
      </c>
      <c r="H43" s="9"/>
    </row>
    <row r="44" spans="1:8" x14ac:dyDescent="0.2">
      <c r="D44" s="9" t="s">
        <v>37</v>
      </c>
      <c r="E44" s="10">
        <f>(E40*B11)+(E41*B11)+(E42*B11)+(E43*B11)</f>
        <v>4281.999960000001</v>
      </c>
      <c r="F44" s="9"/>
      <c r="G44" s="9" t="s">
        <v>58</v>
      </c>
      <c r="H44" s="9">
        <v>0</v>
      </c>
    </row>
    <row r="45" spans="1:8" x14ac:dyDescent="0.2">
      <c r="D45" s="9" t="s">
        <v>38</v>
      </c>
      <c r="E45" s="9">
        <f>E38+E44</f>
        <v>4281.999960000001</v>
      </c>
      <c r="F45" s="9"/>
      <c r="G45" s="9"/>
      <c r="H45" s="9"/>
    </row>
    <row r="47" spans="1:8" x14ac:dyDescent="0.2">
      <c r="D47" s="20" t="s">
        <v>78</v>
      </c>
    </row>
    <row r="49" spans="4:22" x14ac:dyDescent="0.2">
      <c r="D49" s="18" t="s">
        <v>26</v>
      </c>
      <c r="E49" s="18" t="s">
        <v>30</v>
      </c>
      <c r="F49" s="18" t="s">
        <v>22</v>
      </c>
      <c r="G49" s="18" t="s">
        <v>1</v>
      </c>
      <c r="H49" s="18" t="s">
        <v>31</v>
      </c>
      <c r="I49" s="18" t="s">
        <v>3</v>
      </c>
      <c r="J49" s="18" t="s">
        <v>32</v>
      </c>
      <c r="K49" s="18" t="s">
        <v>36</v>
      </c>
      <c r="L49" s="18" t="s">
        <v>23</v>
      </c>
      <c r="M49" s="18" t="s">
        <v>2</v>
      </c>
      <c r="N49" s="18" t="s">
        <v>4</v>
      </c>
      <c r="O49" s="18" t="s">
        <v>5</v>
      </c>
      <c r="P49" s="18" t="s">
        <v>6</v>
      </c>
      <c r="Q49" s="18" t="s">
        <v>24</v>
      </c>
      <c r="R49" s="18" t="s">
        <v>25</v>
      </c>
      <c r="S49" s="18" t="s">
        <v>41</v>
      </c>
      <c r="T49" s="18" t="s">
        <v>42</v>
      </c>
      <c r="U49" s="18" t="s">
        <v>51</v>
      </c>
      <c r="V49" s="18" t="s">
        <v>50</v>
      </c>
    </row>
    <row r="50" spans="4:22" x14ac:dyDescent="0.2">
      <c r="D50" s="18" t="s">
        <v>27</v>
      </c>
      <c r="E50" s="18">
        <v>1000</v>
      </c>
      <c r="F50" s="18">
        <v>18.02</v>
      </c>
      <c r="G50" s="18"/>
      <c r="H50" s="18"/>
      <c r="I50" s="18"/>
      <c r="J50" s="18">
        <v>0</v>
      </c>
      <c r="K50" s="18">
        <v>4.1799999999999997E-3</v>
      </c>
      <c r="L50" s="18"/>
      <c r="M50" s="18"/>
      <c r="N50" s="18"/>
      <c r="O50" s="18"/>
      <c r="P50" s="18"/>
      <c r="Q50" s="18"/>
      <c r="R50" s="18"/>
      <c r="S50" s="18"/>
      <c r="T50" s="18"/>
      <c r="U50" s="18"/>
      <c r="V50" s="18"/>
    </row>
    <row r="51" spans="4:22" x14ac:dyDescent="0.2">
      <c r="D51" s="18" t="s">
        <v>0</v>
      </c>
      <c r="E51" s="18">
        <v>10</v>
      </c>
      <c r="F51" s="18">
        <v>58.08</v>
      </c>
      <c r="G51" s="19">
        <v>3.9700000000000003E-5</v>
      </c>
      <c r="H51" s="18">
        <v>0.57499999999999996</v>
      </c>
      <c r="I51" s="18">
        <v>5.37</v>
      </c>
      <c r="J51" s="18">
        <f>0.56/3.1</f>
        <v>0.1806451612903226</v>
      </c>
      <c r="K51" s="18">
        <v>2.14E-3</v>
      </c>
      <c r="L51" s="18">
        <f>41</f>
        <v>41</v>
      </c>
      <c r="M51" s="19">
        <f>1/G51</f>
        <v>25188.916876574305</v>
      </c>
      <c r="N51" s="19">
        <f>(B7*B9*I51)/G51</f>
        <v>4057.9345088161203</v>
      </c>
      <c r="O51" s="19">
        <f>(B8*B10*I51)/G51</f>
        <v>8115.8690176322407</v>
      </c>
      <c r="P51" s="19">
        <f>1000/(F51*((L51*B3)+(M51*B4)+(N51*B5)+(O51*B6)))</f>
        <v>2.9355510393954656E-11</v>
      </c>
      <c r="Q51" s="19">
        <f>(P51*L51)</f>
        <v>1.2035759261521408E-9</v>
      </c>
      <c r="R51" s="19">
        <f>N51*P51</f>
        <v>1.191227386515389E-7</v>
      </c>
      <c r="S51" s="18">
        <v>76</v>
      </c>
      <c r="T51" s="18">
        <v>5800</v>
      </c>
      <c r="U51" s="19">
        <f>(Q51/S51)/(B25/49)</f>
        <v>0.71690310346587582</v>
      </c>
      <c r="V51" s="19">
        <f>(R51/T51)/(B26/B18)</f>
        <v>3.3150259403264588</v>
      </c>
    </row>
    <row r="52" spans="4:22" x14ac:dyDescent="0.2">
      <c r="D52" s="18" t="s">
        <v>60</v>
      </c>
      <c r="E52" s="18">
        <v>10</v>
      </c>
      <c r="F52" s="18">
        <v>40</v>
      </c>
      <c r="G52" s="19">
        <v>1E-50</v>
      </c>
      <c r="H52" s="18"/>
      <c r="I52" s="18">
        <v>0</v>
      </c>
      <c r="J52" s="18">
        <v>0</v>
      </c>
      <c r="K52" s="18"/>
      <c r="L52" s="18">
        <v>41</v>
      </c>
      <c r="M52" s="19">
        <f>1/G52</f>
        <v>1.0000000000000001E+50</v>
      </c>
      <c r="N52" s="18">
        <f>I52</f>
        <v>0</v>
      </c>
      <c r="O52" s="18">
        <f>I52</f>
        <v>0</v>
      </c>
      <c r="P52" s="19">
        <f>1000/(F52*((L52*B3)+(M52*B4)))</f>
        <v>3.5714285714285709E-56</v>
      </c>
      <c r="Q52" s="19">
        <f>L52*P52</f>
        <v>1.464285714285714E-54</v>
      </c>
      <c r="R52" s="19">
        <f>P52*M52</f>
        <v>3.5714285714285714E-6</v>
      </c>
      <c r="S52" s="18" t="s">
        <v>40</v>
      </c>
      <c r="T52" s="18">
        <v>340</v>
      </c>
      <c r="U52" s="18" t="s">
        <v>40</v>
      </c>
      <c r="V52" s="19">
        <f>(R52/T52)/($B$26/$B$18)</f>
        <v>1695.4434426085718</v>
      </c>
    </row>
    <row r="54" spans="4:22" x14ac:dyDescent="0.2">
      <c r="D54" s="18" t="s">
        <v>45</v>
      </c>
      <c r="E54" s="18"/>
      <c r="F54" s="19"/>
      <c r="G54" s="19" t="s">
        <v>48</v>
      </c>
      <c r="H54" s="18"/>
    </row>
    <row r="55" spans="4:22" x14ac:dyDescent="0.2">
      <c r="D55" s="18" t="s">
        <v>33</v>
      </c>
      <c r="E55" s="18">
        <v>0</v>
      </c>
      <c r="F55" s="19"/>
      <c r="G55" s="19" t="s">
        <v>39</v>
      </c>
      <c r="H55" s="19">
        <f>(E51*U51)</f>
        <v>7.169031034658758</v>
      </c>
    </row>
    <row r="56" spans="4:22" x14ac:dyDescent="0.2">
      <c r="D56" s="18"/>
      <c r="E56" s="18"/>
      <c r="F56" s="18"/>
      <c r="G56" s="18"/>
      <c r="H56" s="18"/>
    </row>
    <row r="57" spans="4:22" x14ac:dyDescent="0.2">
      <c r="D57" s="18" t="s">
        <v>46</v>
      </c>
      <c r="E57" s="18"/>
      <c r="F57" s="18"/>
      <c r="G57" s="18" t="s">
        <v>49</v>
      </c>
      <c r="H57" s="18"/>
    </row>
    <row r="58" spans="4:22" x14ac:dyDescent="0.2">
      <c r="D58" s="18" t="s">
        <v>34</v>
      </c>
      <c r="E58" s="18">
        <f>E51*J51</f>
        <v>1.806451612903226</v>
      </c>
      <c r="F58" s="18"/>
      <c r="G58" s="18" t="s">
        <v>52</v>
      </c>
      <c r="H58" s="19">
        <f>(E52*V52)+(V51*E51)</f>
        <v>16987.584685488982</v>
      </c>
    </row>
    <row r="59" spans="4:22" x14ac:dyDescent="0.2">
      <c r="D59" s="18"/>
      <c r="E59" s="18"/>
      <c r="F59" s="18"/>
      <c r="G59" s="18"/>
      <c r="H59" s="18"/>
    </row>
    <row r="60" spans="4:22" x14ac:dyDescent="0.2">
      <c r="D60" s="18" t="s">
        <v>47</v>
      </c>
      <c r="E60" s="18"/>
      <c r="F60" s="18"/>
      <c r="G60" s="18" t="s">
        <v>53</v>
      </c>
      <c r="H60" s="18"/>
    </row>
    <row r="61" spans="4:22" x14ac:dyDescent="0.2">
      <c r="D61" s="18" t="s">
        <v>35</v>
      </c>
      <c r="E61" s="18">
        <f>0</f>
        <v>0</v>
      </c>
      <c r="F61" s="18"/>
      <c r="G61" s="18" t="s">
        <v>54</v>
      </c>
      <c r="H61" s="18" t="s">
        <v>67</v>
      </c>
    </row>
    <row r="62" spans="4:22" x14ac:dyDescent="0.2">
      <c r="D62" s="18" t="s">
        <v>16</v>
      </c>
      <c r="E62" s="18"/>
      <c r="F62" s="18"/>
      <c r="G62" s="18"/>
      <c r="H62" s="18"/>
    </row>
    <row r="63" spans="4:22" x14ac:dyDescent="0.2">
      <c r="D63" s="18" t="s">
        <v>79</v>
      </c>
      <c r="E63" s="18">
        <f>(B30*86400)+(B29*0.25*3600)</f>
        <v>30339.900000000005</v>
      </c>
      <c r="F63" s="18"/>
      <c r="G63" s="18" t="s">
        <v>55</v>
      </c>
      <c r="H63" s="18"/>
    </row>
    <row r="64" spans="4:22" x14ac:dyDescent="0.2">
      <c r="D64" s="18" t="s">
        <v>80</v>
      </c>
      <c r="E64" s="18">
        <f>(B31*0.97*3600)+(B32*6*3600)</f>
        <v>133146.72000000003</v>
      </c>
      <c r="F64" s="18"/>
      <c r="G64" s="18" t="s">
        <v>56</v>
      </c>
      <c r="H64" s="18">
        <f>-LOG(H51)</f>
        <v>0.24033215531036956</v>
      </c>
    </row>
    <row r="65" spans="4:22" x14ac:dyDescent="0.2">
      <c r="D65" s="18" t="s">
        <v>72</v>
      </c>
      <c r="E65" s="18">
        <f>B33*3600</f>
        <v>900</v>
      </c>
      <c r="F65" s="18"/>
      <c r="G65" s="18"/>
      <c r="H65" s="18"/>
    </row>
    <row r="66" spans="4:22" x14ac:dyDescent="0.2">
      <c r="D66" s="18" t="s">
        <v>37</v>
      </c>
      <c r="E66" s="19">
        <f>(E63*B11)+(E64*B11)+(E65*B11)</f>
        <v>6904.238040000002</v>
      </c>
      <c r="F66" s="18"/>
      <c r="G66" s="18" t="s">
        <v>57</v>
      </c>
      <c r="H66" s="18"/>
    </row>
    <row r="67" spans="4:22" x14ac:dyDescent="0.2">
      <c r="D67" s="18" t="s">
        <v>38</v>
      </c>
      <c r="E67" s="18">
        <f>E61+E66</f>
        <v>6904.238040000002</v>
      </c>
      <c r="F67" s="18"/>
      <c r="G67" s="18" t="s">
        <v>58</v>
      </c>
      <c r="H67" s="18">
        <v>0</v>
      </c>
    </row>
    <row r="69" spans="4:22" x14ac:dyDescent="0.2">
      <c r="D69" s="13" t="s">
        <v>59</v>
      </c>
      <c r="E69" s="6"/>
    </row>
    <row r="71" spans="4:22" x14ac:dyDescent="0.2">
      <c r="D71" s="6" t="s">
        <v>26</v>
      </c>
      <c r="E71" s="6" t="s">
        <v>30</v>
      </c>
      <c r="F71" s="6" t="s">
        <v>22</v>
      </c>
      <c r="G71" s="6" t="s">
        <v>1</v>
      </c>
      <c r="H71" s="6" t="s">
        <v>31</v>
      </c>
      <c r="I71" s="6" t="s">
        <v>3</v>
      </c>
      <c r="J71" s="6" t="s">
        <v>32</v>
      </c>
      <c r="K71" s="6" t="s">
        <v>36</v>
      </c>
      <c r="L71" s="6" t="s">
        <v>23</v>
      </c>
      <c r="M71" s="6" t="s">
        <v>2</v>
      </c>
      <c r="N71" s="6" t="s">
        <v>4</v>
      </c>
      <c r="O71" s="6" t="s">
        <v>5</v>
      </c>
      <c r="P71" s="6" t="s">
        <v>6</v>
      </c>
      <c r="Q71" s="6" t="s">
        <v>24</v>
      </c>
      <c r="R71" s="6" t="s">
        <v>25</v>
      </c>
      <c r="S71" s="6" t="s">
        <v>41</v>
      </c>
      <c r="T71" s="6" t="s">
        <v>42</v>
      </c>
      <c r="U71" s="6" t="s">
        <v>51</v>
      </c>
      <c r="V71" s="6" t="s">
        <v>50</v>
      </c>
    </row>
    <row r="72" spans="4:22" x14ac:dyDescent="0.2">
      <c r="D72" s="6" t="s">
        <v>27</v>
      </c>
      <c r="E72" s="6">
        <v>2000</v>
      </c>
      <c r="F72" s="6">
        <v>18.02</v>
      </c>
      <c r="G72" s="6"/>
      <c r="H72" s="6"/>
      <c r="I72" s="6"/>
      <c r="J72" s="6">
        <v>0</v>
      </c>
      <c r="K72" s="6">
        <v>4.1799999999999997E-3</v>
      </c>
      <c r="L72" s="6"/>
      <c r="M72" s="6"/>
      <c r="N72" s="6"/>
      <c r="O72" s="6"/>
      <c r="P72" s="6"/>
      <c r="Q72" s="6"/>
      <c r="R72" s="6"/>
      <c r="S72" s="6"/>
      <c r="T72" s="6"/>
      <c r="U72" s="6"/>
      <c r="V72" s="6"/>
    </row>
    <row r="73" spans="4:22" x14ac:dyDescent="0.2">
      <c r="D73" s="6"/>
      <c r="E73" s="6">
        <v>1000</v>
      </c>
      <c r="F73" s="6"/>
      <c r="G73" s="6"/>
      <c r="H73" s="6"/>
      <c r="I73" s="6"/>
      <c r="J73" s="6"/>
      <c r="K73" s="6"/>
      <c r="L73" s="6"/>
      <c r="M73" s="6"/>
      <c r="N73" s="6"/>
      <c r="O73" s="6"/>
      <c r="P73" s="6"/>
      <c r="Q73" s="6"/>
      <c r="R73" s="6"/>
      <c r="S73" s="6"/>
      <c r="T73" s="6"/>
      <c r="U73" s="6"/>
      <c r="V73" s="6"/>
    </row>
    <row r="74" spans="4:22" x14ac:dyDescent="0.2">
      <c r="D74" s="6"/>
      <c r="E74" s="6">
        <v>500</v>
      </c>
      <c r="F74" s="6"/>
      <c r="G74" s="6"/>
      <c r="H74" s="6"/>
      <c r="I74" s="6"/>
      <c r="J74" s="6"/>
      <c r="K74" s="6"/>
      <c r="L74" s="6"/>
      <c r="M74" s="6"/>
      <c r="N74" s="6"/>
      <c r="O74" s="6"/>
      <c r="P74" s="6"/>
      <c r="Q74" s="6"/>
      <c r="R74" s="6"/>
      <c r="S74" s="6"/>
      <c r="T74" s="6"/>
      <c r="U74" s="6"/>
      <c r="V74" s="6"/>
    </row>
    <row r="75" spans="4:22" x14ac:dyDescent="0.2">
      <c r="D75" s="6"/>
      <c r="E75" s="6">
        <v>100</v>
      </c>
      <c r="F75" s="6"/>
      <c r="G75" s="6"/>
      <c r="H75" s="6"/>
      <c r="I75" s="6"/>
      <c r="J75" s="6"/>
      <c r="K75" s="6"/>
      <c r="L75" s="6"/>
      <c r="M75" s="6"/>
      <c r="N75" s="6"/>
      <c r="O75" s="6"/>
      <c r="P75" s="6"/>
      <c r="Q75" s="6"/>
      <c r="R75" s="6"/>
      <c r="S75" s="6"/>
      <c r="T75" s="6"/>
      <c r="U75" s="6"/>
      <c r="V75" s="6"/>
    </row>
    <row r="76" spans="4:22" x14ac:dyDescent="0.2">
      <c r="D76" s="6" t="s">
        <v>0</v>
      </c>
      <c r="E76" s="6">
        <v>7.85</v>
      </c>
      <c r="F76" s="6">
        <v>58.08</v>
      </c>
      <c r="G76" s="7">
        <v>3.9700000000000003E-5</v>
      </c>
      <c r="H76" s="6">
        <v>0.57499999999999996</v>
      </c>
      <c r="I76" s="6">
        <v>5.37</v>
      </c>
      <c r="J76" s="6">
        <f>0.56/3.1</f>
        <v>0.1806451612903226</v>
      </c>
      <c r="K76" s="6">
        <v>2.14E-3</v>
      </c>
      <c r="L76" s="6">
        <f>41</f>
        <v>41</v>
      </c>
      <c r="M76" s="7">
        <f>1/G76</f>
        <v>25188.916876574305</v>
      </c>
      <c r="N76" s="7">
        <f>(I76*B7*B9)/G76</f>
        <v>4057.9345088161203</v>
      </c>
      <c r="O76" s="7">
        <f>(I76*B8*B10)/G76</f>
        <v>8115.8690176322407</v>
      </c>
      <c r="P76" s="7">
        <f>1000/(F76*((L76*B3)+(M76*B4)+(N76*B5)+(O76*B6)))</f>
        <v>2.9355510393954656E-11</v>
      </c>
      <c r="Q76" s="7">
        <f>(P76*L76)</f>
        <v>1.2035759261521408E-9</v>
      </c>
      <c r="R76" s="7">
        <f>N76*P76</f>
        <v>1.191227386515389E-7</v>
      </c>
      <c r="S76" s="6">
        <v>76</v>
      </c>
      <c r="T76" s="6">
        <v>5800</v>
      </c>
      <c r="U76" s="7">
        <f>(Q76/S76)/(B25/49)</f>
        <v>0.71690310346587582</v>
      </c>
      <c r="V76" s="7">
        <f>(R76/T76)/(B26/B18)</f>
        <v>3.3150259403264588</v>
      </c>
    </row>
    <row r="77" spans="4:22" x14ac:dyDescent="0.2">
      <c r="D77" s="6" t="s">
        <v>60</v>
      </c>
      <c r="E77" s="6">
        <v>10</v>
      </c>
      <c r="F77" s="6">
        <v>40</v>
      </c>
      <c r="G77" s="7">
        <v>1E-50</v>
      </c>
      <c r="H77" s="6"/>
      <c r="I77" s="6">
        <v>0</v>
      </c>
      <c r="J77" s="6">
        <v>0</v>
      </c>
      <c r="K77" s="6"/>
      <c r="L77" s="6">
        <v>41</v>
      </c>
      <c r="M77" s="7">
        <f>1/G77</f>
        <v>1.0000000000000001E+50</v>
      </c>
      <c r="N77" s="7">
        <f>(B7*B9*I77)/G77</f>
        <v>0</v>
      </c>
      <c r="O77" s="6">
        <f>I77</f>
        <v>0</v>
      </c>
      <c r="P77" s="7">
        <f>1000/(F77*((L77*B3)+(M77*B4)))</f>
        <v>3.5714285714285709E-56</v>
      </c>
      <c r="Q77" s="7">
        <f>L77*P77</f>
        <v>1.464285714285714E-54</v>
      </c>
      <c r="R77" s="7">
        <f>P77*M77</f>
        <v>3.5714285714285714E-6</v>
      </c>
      <c r="S77" s="6" t="s">
        <v>40</v>
      </c>
      <c r="T77" s="6">
        <v>340</v>
      </c>
      <c r="U77" s="6" t="s">
        <v>40</v>
      </c>
      <c r="V77" s="7">
        <f>(R77/T77)/($B$26/$B$18)</f>
        <v>1695.4434426085718</v>
      </c>
    </row>
    <row r="78" spans="4:22" x14ac:dyDescent="0.2">
      <c r="D78" s="6"/>
      <c r="E78" s="6">
        <v>8</v>
      </c>
      <c r="F78" s="6"/>
      <c r="G78" s="6"/>
      <c r="H78" s="6"/>
      <c r="I78" s="6"/>
      <c r="J78" s="6"/>
      <c r="K78" s="6"/>
      <c r="L78" s="6"/>
      <c r="M78" s="6"/>
      <c r="N78" s="6"/>
      <c r="O78" s="6"/>
      <c r="P78" s="6"/>
      <c r="Q78" s="6"/>
      <c r="R78" s="6"/>
      <c r="S78" s="6"/>
      <c r="T78" s="6"/>
      <c r="U78" s="6"/>
      <c r="V78" s="6"/>
    </row>
    <row r="80" spans="4:22" x14ac:dyDescent="0.2">
      <c r="D80" s="6" t="s">
        <v>45</v>
      </c>
      <c r="E80" s="6"/>
      <c r="F80" s="6"/>
      <c r="G80" s="6" t="s">
        <v>48</v>
      </c>
      <c r="H80" s="6"/>
    </row>
    <row r="81" spans="4:8" x14ac:dyDescent="0.2">
      <c r="D81" s="6" t="s">
        <v>33</v>
      </c>
      <c r="E81" s="6">
        <v>0</v>
      </c>
      <c r="F81" s="6"/>
      <c r="G81" s="6" t="s">
        <v>39</v>
      </c>
      <c r="H81" s="7">
        <f>U76*E76</f>
        <v>5.6276893622071249</v>
      </c>
    </row>
    <row r="82" spans="4:8" x14ac:dyDescent="0.2">
      <c r="D82" s="6"/>
      <c r="E82" s="6"/>
      <c r="F82" s="6"/>
      <c r="G82" s="6"/>
      <c r="H82" s="6"/>
    </row>
    <row r="83" spans="4:8" x14ac:dyDescent="0.2">
      <c r="D83" s="6" t="s">
        <v>46</v>
      </c>
      <c r="E83" s="6"/>
      <c r="F83" s="6"/>
      <c r="G83" s="6" t="s">
        <v>49</v>
      </c>
      <c r="H83" s="6"/>
    </row>
    <row r="84" spans="4:8" x14ac:dyDescent="0.2">
      <c r="D84" s="6" t="s">
        <v>34</v>
      </c>
      <c r="E84" s="6">
        <f>E76*J76</f>
        <v>1.4180645161290324</v>
      </c>
      <c r="F84" s="6"/>
      <c r="G84" s="6" t="s">
        <v>52</v>
      </c>
      <c r="H84" s="7">
        <f>((E77+E78)*T77) + (E76*T76)</f>
        <v>51650</v>
      </c>
    </row>
    <row r="85" spans="4:8" x14ac:dyDescent="0.2">
      <c r="D85" s="6"/>
      <c r="E85" s="6"/>
      <c r="F85" s="6"/>
      <c r="G85" s="6"/>
      <c r="H85" s="6"/>
    </row>
    <row r="86" spans="4:8" x14ac:dyDescent="0.2">
      <c r="D86" s="6" t="s">
        <v>47</v>
      </c>
      <c r="E86" s="6"/>
      <c r="F86" s="6"/>
      <c r="G86" s="6" t="s">
        <v>53</v>
      </c>
      <c r="H86" s="6"/>
    </row>
    <row r="87" spans="4:8" x14ac:dyDescent="0.2">
      <c r="D87" s="6" t="s">
        <v>35</v>
      </c>
      <c r="E87" s="6">
        <v>0</v>
      </c>
      <c r="F87" s="6"/>
      <c r="G87" s="6" t="s">
        <v>54</v>
      </c>
      <c r="H87" s="6" t="s">
        <v>66</v>
      </c>
    </row>
    <row r="88" spans="4:8" x14ac:dyDescent="0.2">
      <c r="D88" s="6" t="s">
        <v>16</v>
      </c>
      <c r="E88" s="6"/>
      <c r="F88" s="6"/>
      <c r="G88" s="6"/>
      <c r="H88" s="6"/>
    </row>
    <row r="89" spans="4:8" x14ac:dyDescent="0.2">
      <c r="D89" s="6" t="s">
        <v>43</v>
      </c>
      <c r="E89" s="6">
        <f>E72*K72*180*6</f>
        <v>9028.7999999999993</v>
      </c>
      <c r="F89" s="6"/>
      <c r="G89" s="6" t="s">
        <v>55</v>
      </c>
      <c r="H89" s="6"/>
    </row>
    <row r="90" spans="4:8" x14ac:dyDescent="0.2">
      <c r="D90" s="6" t="s">
        <v>61</v>
      </c>
      <c r="E90" s="6">
        <f>E73*K72*80*8</f>
        <v>2675.2</v>
      </c>
      <c r="F90" s="6"/>
      <c r="G90" s="6" t="s">
        <v>56</v>
      </c>
      <c r="H90" s="6">
        <f>-LOG(H76)</f>
        <v>0.24033215531036956</v>
      </c>
    </row>
    <row r="91" spans="4:8" x14ac:dyDescent="0.2">
      <c r="D91" s="6" t="s">
        <v>62</v>
      </c>
      <c r="E91" s="6">
        <f>E74*K72*80*2</f>
        <v>334.4</v>
      </c>
      <c r="F91" s="6"/>
      <c r="G91" s="6"/>
      <c r="H91" s="6"/>
    </row>
    <row r="92" spans="4:8" x14ac:dyDescent="0.2">
      <c r="D92" s="6" t="s">
        <v>63</v>
      </c>
      <c r="E92" s="6">
        <f>(B29*0.25*3600)+(B30*3*3600)</f>
        <v>4635.8999999999996</v>
      </c>
      <c r="F92" s="6"/>
      <c r="G92" s="6" t="s">
        <v>57</v>
      </c>
      <c r="H92" s="6"/>
    </row>
    <row r="93" spans="4:8" x14ac:dyDescent="0.2">
      <c r="D93" s="6" t="s">
        <v>64</v>
      </c>
      <c r="E93" s="6">
        <f>E75*K72*180*2</f>
        <v>150.47999999999999</v>
      </c>
      <c r="F93" s="6"/>
      <c r="G93" s="6" t="s">
        <v>58</v>
      </c>
      <c r="H93" s="6">
        <v>0</v>
      </c>
    </row>
    <row r="94" spans="4:8" x14ac:dyDescent="0.2">
      <c r="D94" s="6" t="s">
        <v>65</v>
      </c>
      <c r="E94" s="6">
        <f>(B29*0.25*3600)+(B30*3*3600)</f>
        <v>4635.8999999999996</v>
      </c>
      <c r="F94" s="6"/>
      <c r="G94" s="6"/>
      <c r="H94" s="6"/>
    </row>
    <row r="95" spans="4:8" x14ac:dyDescent="0.2">
      <c r="D95" s="6" t="s">
        <v>37</v>
      </c>
      <c r="E95" s="7">
        <f>(E89*B11) + (E90*B11) + (E91*B11) + (E92*B11) + (E93*B11) + (E94*B11)</f>
        <v>901.34856000000002</v>
      </c>
      <c r="F95" s="6"/>
      <c r="G95" s="6"/>
      <c r="H95" s="6"/>
    </row>
    <row r="96" spans="4:8" x14ac:dyDescent="0.2">
      <c r="D96" s="6" t="s">
        <v>38</v>
      </c>
      <c r="E96" s="7">
        <f>E87+E95</f>
        <v>901.34856000000002</v>
      </c>
      <c r="F96" s="6"/>
      <c r="G96" s="6"/>
      <c r="H96" s="6"/>
    </row>
    <row r="98" spans="4:22" x14ac:dyDescent="0.2">
      <c r="D98" s="14" t="s">
        <v>68</v>
      </c>
    </row>
    <row r="100" spans="4:22" x14ac:dyDescent="0.2">
      <c r="D100" s="11" t="s">
        <v>26</v>
      </c>
      <c r="E100" s="11" t="s">
        <v>30</v>
      </c>
      <c r="F100" s="11" t="s">
        <v>22</v>
      </c>
      <c r="G100" s="11" t="s">
        <v>1</v>
      </c>
      <c r="H100" s="11" t="s">
        <v>31</v>
      </c>
      <c r="I100" s="11" t="s">
        <v>3</v>
      </c>
      <c r="J100" s="11" t="s">
        <v>32</v>
      </c>
      <c r="K100" s="11" t="s">
        <v>36</v>
      </c>
      <c r="L100" s="11" t="s">
        <v>23</v>
      </c>
      <c r="M100" s="11" t="s">
        <v>2</v>
      </c>
      <c r="N100" s="11" t="s">
        <v>4</v>
      </c>
      <c r="O100" s="11" t="s">
        <v>5</v>
      </c>
      <c r="P100" s="11" t="s">
        <v>6</v>
      </c>
      <c r="Q100" s="11" t="s">
        <v>24</v>
      </c>
      <c r="R100" s="11" t="s">
        <v>25</v>
      </c>
      <c r="S100" s="11" t="s">
        <v>41</v>
      </c>
      <c r="T100" s="11" t="s">
        <v>42</v>
      </c>
      <c r="U100" s="11" t="s">
        <v>51</v>
      </c>
      <c r="V100" s="11" t="s">
        <v>50</v>
      </c>
    </row>
    <row r="101" spans="4:22" x14ac:dyDescent="0.2">
      <c r="D101" s="11" t="s">
        <v>69</v>
      </c>
      <c r="E101" s="11">
        <f>40*5</f>
        <v>200</v>
      </c>
      <c r="F101" s="11">
        <f>40</f>
        <v>40</v>
      </c>
      <c r="G101" s="12">
        <v>1E-50</v>
      </c>
      <c r="H101" s="11"/>
      <c r="I101" s="11">
        <v>0</v>
      </c>
      <c r="J101" s="11">
        <v>0</v>
      </c>
      <c r="K101" s="11"/>
      <c r="L101" s="11">
        <v>41</v>
      </c>
      <c r="M101" s="12">
        <f>1/G101</f>
        <v>1.0000000000000001E+50</v>
      </c>
      <c r="N101" s="11">
        <f>I101</f>
        <v>0</v>
      </c>
      <c r="O101" s="11">
        <f>I101</f>
        <v>0</v>
      </c>
      <c r="P101" s="12">
        <f>1000/(F101*((L101*B3)+(M101*B4)))</f>
        <v>3.5714285714285709E-56</v>
      </c>
      <c r="Q101" s="12">
        <f>L101*P101</f>
        <v>1.464285714285714E-54</v>
      </c>
      <c r="R101" s="11">
        <f>P101*M101</f>
        <v>3.5714285714285714E-6</v>
      </c>
      <c r="S101" s="11" t="s">
        <v>40</v>
      </c>
      <c r="T101" s="11">
        <v>340</v>
      </c>
      <c r="U101" s="11" t="s">
        <v>40</v>
      </c>
      <c r="V101" s="12">
        <f>(R101/T101)/($B$26/$B$18)</f>
        <v>1695.4434426085718</v>
      </c>
    </row>
    <row r="102" spans="4:22" x14ac:dyDescent="0.2">
      <c r="D102" s="11" t="s">
        <v>70</v>
      </c>
      <c r="E102" s="11">
        <f>0.3*500</f>
        <v>150</v>
      </c>
      <c r="F102" s="11">
        <f>34</f>
        <v>34</v>
      </c>
      <c r="G102" s="12">
        <v>1.0800000000000001E-8</v>
      </c>
      <c r="H102" s="11">
        <v>2.7E-2</v>
      </c>
      <c r="I102" s="11">
        <v>5.37</v>
      </c>
      <c r="J102" s="11">
        <v>0</v>
      </c>
      <c r="K102" s="11"/>
      <c r="L102" s="11">
        <f>41</f>
        <v>41</v>
      </c>
      <c r="M102" s="12">
        <f>1/G102</f>
        <v>92592592.592592582</v>
      </c>
      <c r="N102" s="12">
        <f>(I102*B7*B9)/G102</f>
        <v>14916666.666666664</v>
      </c>
      <c r="O102" s="12">
        <f>(I102*B8*B10)/G102</f>
        <v>29833333.333333328</v>
      </c>
      <c r="P102" s="12">
        <f>1000/(F102*((L102*B3)+(B4*M102)+(N102*B5)+(O102*B6)))</f>
        <v>4.5298413757008143E-14</v>
      </c>
      <c r="Q102" s="12">
        <f>L102*P102</f>
        <v>1.8572349640373339E-12</v>
      </c>
      <c r="R102" s="12">
        <f>M102*P102</f>
        <v>4.1942975700933457E-6</v>
      </c>
      <c r="S102" s="11">
        <v>2000</v>
      </c>
      <c r="T102" s="11">
        <v>910</v>
      </c>
      <c r="U102" s="12">
        <f>S102*Q102</f>
        <v>3.7144699280746678E-9</v>
      </c>
      <c r="V102" s="12">
        <f>R102*T102</f>
        <v>3.8168107887849444E-3</v>
      </c>
    </row>
    <row r="104" spans="4:22" x14ac:dyDescent="0.2">
      <c r="D104" s="11" t="s">
        <v>45</v>
      </c>
      <c r="E104" s="11"/>
      <c r="F104" s="11"/>
      <c r="G104" s="11" t="s">
        <v>48</v>
      </c>
      <c r="H104" s="11"/>
    </row>
    <row r="105" spans="4:22" x14ac:dyDescent="0.2">
      <c r="D105" s="11" t="s">
        <v>33</v>
      </c>
      <c r="E105" s="11">
        <v>0</v>
      </c>
      <c r="F105" s="11"/>
      <c r="G105" s="11" t="s">
        <v>39</v>
      </c>
      <c r="H105" s="12">
        <f>(E101*0)+(E102*U102)</f>
        <v>5.5717048921120018E-7</v>
      </c>
    </row>
    <row r="106" spans="4:22" x14ac:dyDescent="0.2">
      <c r="D106" s="11"/>
      <c r="E106" s="11"/>
      <c r="F106" s="11"/>
      <c r="G106" s="11"/>
      <c r="H106" s="11"/>
    </row>
    <row r="107" spans="4:22" x14ac:dyDescent="0.2">
      <c r="D107" s="11" t="s">
        <v>46</v>
      </c>
      <c r="E107" s="11"/>
      <c r="F107" s="11"/>
      <c r="G107" s="11" t="s">
        <v>49</v>
      </c>
      <c r="H107" s="11"/>
    </row>
    <row r="108" spans="4:22" x14ac:dyDescent="0.2">
      <c r="D108" s="11" t="s">
        <v>34</v>
      </c>
      <c r="E108" s="11">
        <f>0</f>
        <v>0</v>
      </c>
      <c r="F108" s="11"/>
      <c r="G108" s="11" t="s">
        <v>52</v>
      </c>
      <c r="H108" s="12">
        <f>(E101*V101)+(V102*E102)</f>
        <v>339089.26104333269</v>
      </c>
    </row>
    <row r="109" spans="4:22" x14ac:dyDescent="0.2">
      <c r="D109" s="11"/>
      <c r="E109" s="11"/>
      <c r="F109" s="11"/>
      <c r="G109" s="11"/>
      <c r="H109" s="11"/>
    </row>
    <row r="110" spans="4:22" x14ac:dyDescent="0.2">
      <c r="D110" s="11" t="s">
        <v>47</v>
      </c>
      <c r="E110" s="11"/>
      <c r="F110" s="11"/>
      <c r="G110" s="11" t="s">
        <v>53</v>
      </c>
      <c r="H110" s="11"/>
    </row>
    <row r="111" spans="4:22" x14ac:dyDescent="0.2">
      <c r="D111" s="11" t="s">
        <v>35</v>
      </c>
      <c r="E111" s="11">
        <v>0</v>
      </c>
      <c r="F111" s="11"/>
      <c r="G111" s="11" t="s">
        <v>54</v>
      </c>
      <c r="H111" s="11" t="s">
        <v>67</v>
      </c>
    </row>
    <row r="112" spans="4:22" x14ac:dyDescent="0.2">
      <c r="D112" s="11" t="s">
        <v>16</v>
      </c>
      <c r="E112" s="11"/>
      <c r="F112" s="11"/>
      <c r="G112" s="11"/>
      <c r="H112" s="11"/>
    </row>
    <row r="113" spans="4:8" x14ac:dyDescent="0.2">
      <c r="D113" s="11" t="s">
        <v>71</v>
      </c>
      <c r="E113" s="11">
        <f>(1.3*B31*3600)+(5*B32*3600)</f>
        <v>130708.8</v>
      </c>
      <c r="F113" s="11"/>
      <c r="G113" s="11" t="s">
        <v>55</v>
      </c>
      <c r="H113" s="11"/>
    </row>
    <row r="114" spans="4:8" x14ac:dyDescent="0.2">
      <c r="D114" s="11" t="s">
        <v>37</v>
      </c>
      <c r="E114" s="12">
        <f>E113*B11</f>
        <v>5489.7696000000005</v>
      </c>
      <c r="F114" s="11"/>
      <c r="G114" s="11" t="s">
        <v>56</v>
      </c>
      <c r="H114" s="11">
        <f>LOG(H102)</f>
        <v>-1.5686362358410126</v>
      </c>
    </row>
    <row r="115" spans="4:8" x14ac:dyDescent="0.2">
      <c r="D115" s="11" t="s">
        <v>38</v>
      </c>
      <c r="E115" s="12">
        <f>E111+E114</f>
        <v>5489.7696000000005</v>
      </c>
      <c r="F115" s="11"/>
      <c r="G115" s="11"/>
      <c r="H115" s="11"/>
    </row>
    <row r="116" spans="4:8" x14ac:dyDescent="0.2">
      <c r="D116" s="11"/>
      <c r="E116" s="11"/>
      <c r="F116" s="11"/>
      <c r="G116" s="11" t="s">
        <v>57</v>
      </c>
      <c r="H116" s="11"/>
    </row>
    <row r="117" spans="4:8" x14ac:dyDescent="0.2">
      <c r="D117" s="11"/>
      <c r="E117" s="11"/>
      <c r="F117" s="11"/>
      <c r="G117" s="11" t="s">
        <v>58</v>
      </c>
      <c r="H117" s="11">
        <v>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58E70-5797-D843-A718-0322AEA7E4B0}">
  <dimension ref="A1:H32"/>
  <sheetViews>
    <sheetView zoomScale="62" workbookViewId="0">
      <selection activeCell="C33" sqref="C33"/>
    </sheetView>
  </sheetViews>
  <sheetFormatPr baseColWidth="10" defaultRowHeight="18" x14ac:dyDescent="0.2"/>
  <cols>
    <col min="1" max="1" width="24.1640625" style="21" bestFit="1" customWidth="1"/>
    <col min="2" max="2" width="32.33203125" style="21" bestFit="1" customWidth="1"/>
    <col min="3" max="4" width="25.1640625" style="21" bestFit="1" customWidth="1"/>
    <col min="5" max="6" width="10.83203125" style="21"/>
    <col min="7" max="7" width="19.6640625" style="21" bestFit="1" customWidth="1"/>
    <col min="8" max="16384" width="10.83203125" style="21"/>
  </cols>
  <sheetData>
    <row r="1" spans="1:8" x14ac:dyDescent="0.2">
      <c r="A1" s="21" t="s">
        <v>81</v>
      </c>
    </row>
    <row r="3" spans="1:8" s="23" customFormat="1" ht="16" x14ac:dyDescent="0.2">
      <c r="A3" s="23" t="s">
        <v>85</v>
      </c>
      <c r="B3" s="23" t="s">
        <v>98</v>
      </c>
      <c r="C3" s="23" t="s">
        <v>86</v>
      </c>
      <c r="D3" s="23" t="s">
        <v>87</v>
      </c>
      <c r="F3" s="23" t="s">
        <v>91</v>
      </c>
      <c r="G3" s="23" t="s">
        <v>92</v>
      </c>
    </row>
    <row r="4" spans="1:8" s="23" customFormat="1" ht="16" x14ac:dyDescent="0.2">
      <c r="A4" s="23" t="s">
        <v>90</v>
      </c>
      <c r="B4" s="22">
        <v>6</v>
      </c>
      <c r="C4" s="22">
        <v>14</v>
      </c>
      <c r="D4" s="22">
        <v>23</v>
      </c>
      <c r="E4" s="22"/>
      <c r="F4" s="22">
        <f>AVERAGE(B4:D4)</f>
        <v>14.333333333333334</v>
      </c>
      <c r="G4" s="22">
        <f>50</f>
        <v>50</v>
      </c>
      <c r="H4" s="22"/>
    </row>
    <row r="5" spans="1:8" s="23" customFormat="1" ht="16" x14ac:dyDescent="0.2">
      <c r="A5" s="23" t="s">
        <v>88</v>
      </c>
      <c r="B5" s="22">
        <v>2</v>
      </c>
      <c r="C5" s="22">
        <v>2.6</v>
      </c>
      <c r="D5" s="22">
        <v>5</v>
      </c>
      <c r="E5" s="22"/>
      <c r="F5" s="22">
        <f>AVERAGE(B5:D5)</f>
        <v>3.1999999999999997</v>
      </c>
      <c r="G5" s="22">
        <f>F5/F4*G4</f>
        <v>11.162790697674417</v>
      </c>
      <c r="H5" s="22"/>
    </row>
    <row r="6" spans="1:8" s="23" customFormat="1" ht="16" x14ac:dyDescent="0.2">
      <c r="A6" s="23" t="s">
        <v>89</v>
      </c>
      <c r="B6" s="22">
        <v>0.9</v>
      </c>
      <c r="C6" s="22">
        <v>1.3</v>
      </c>
      <c r="D6" s="22">
        <v>1.55</v>
      </c>
      <c r="E6" s="22"/>
      <c r="F6" s="22">
        <f>AVERAGE(B6:D6)</f>
        <v>1.25</v>
      </c>
      <c r="G6" s="22">
        <f>(F6/F4)*G4</f>
        <v>4.3604651162790695</v>
      </c>
      <c r="H6" s="22"/>
    </row>
    <row r="7" spans="1:8" s="23" customFormat="1" ht="16" x14ac:dyDescent="0.2">
      <c r="E7" s="22"/>
      <c r="F7" s="22"/>
      <c r="G7" s="22"/>
      <c r="H7" s="22"/>
    </row>
    <row r="8" spans="1:8" s="23" customFormat="1" ht="16" x14ac:dyDescent="0.2">
      <c r="A8" s="23" t="s">
        <v>85</v>
      </c>
      <c r="B8" s="23" t="s">
        <v>82</v>
      </c>
      <c r="C8" s="23" t="s">
        <v>83</v>
      </c>
      <c r="D8" s="23" t="s">
        <v>84</v>
      </c>
      <c r="E8" s="22"/>
      <c r="F8" s="23" t="s">
        <v>91</v>
      </c>
      <c r="G8" s="23" t="s">
        <v>92</v>
      </c>
      <c r="H8" s="22"/>
    </row>
    <row r="9" spans="1:8" s="23" customFormat="1" ht="16" x14ac:dyDescent="0.2">
      <c r="A9" s="23" t="s">
        <v>90</v>
      </c>
      <c r="B9" s="22">
        <v>30</v>
      </c>
      <c r="C9" s="22">
        <v>60</v>
      </c>
      <c r="D9" s="22">
        <v>120</v>
      </c>
      <c r="E9" s="22"/>
      <c r="F9" s="22">
        <f>AVERAGE(B9:D9)</f>
        <v>70</v>
      </c>
      <c r="G9" s="22">
        <f>50</f>
        <v>50</v>
      </c>
      <c r="H9" s="22"/>
    </row>
    <row r="10" spans="1:8" s="23" customFormat="1" ht="16" x14ac:dyDescent="0.2">
      <c r="A10" s="23" t="s">
        <v>88</v>
      </c>
      <c r="B10" s="22">
        <v>1</v>
      </c>
      <c r="C10" s="22">
        <v>1.5</v>
      </c>
      <c r="D10" s="22">
        <v>2</v>
      </c>
      <c r="E10" s="22"/>
      <c r="F10" s="22">
        <f>AVERAGE(B10:D10)</f>
        <v>1.5</v>
      </c>
      <c r="G10" s="22">
        <f>F10/F9*G9</f>
        <v>1.0714285714285714</v>
      </c>
      <c r="H10" s="22"/>
    </row>
    <row r="11" spans="1:8" s="23" customFormat="1" ht="16" x14ac:dyDescent="0.2">
      <c r="A11" s="23" t="s">
        <v>89</v>
      </c>
      <c r="B11" s="22">
        <v>0.34200000000000003</v>
      </c>
      <c r="C11" s="22">
        <v>0.46500000000000002</v>
      </c>
      <c r="D11" s="22">
        <v>0.622</v>
      </c>
      <c r="E11" s="22"/>
      <c r="F11" s="22">
        <f>AVERAGE(B11:D11)</f>
        <v>0.47633333333333333</v>
      </c>
      <c r="G11" s="22">
        <f>F11/F9*G9</f>
        <v>0.34023809523809523</v>
      </c>
      <c r="H11" s="22"/>
    </row>
    <row r="12" spans="1:8" s="23" customFormat="1" ht="16" x14ac:dyDescent="0.2">
      <c r="C12" s="22"/>
      <c r="D12" s="22"/>
      <c r="E12" s="22"/>
      <c r="F12" s="22"/>
      <c r="G12" s="22"/>
      <c r="H12" s="22"/>
    </row>
    <row r="13" spans="1:8" s="23" customFormat="1" ht="16" x14ac:dyDescent="0.2">
      <c r="C13" s="22"/>
      <c r="D13" s="22"/>
      <c r="E13" s="22"/>
      <c r="F13" s="22"/>
      <c r="G13" s="22"/>
      <c r="H13" s="22"/>
    </row>
    <row r="14" spans="1:8" s="23" customFormat="1" ht="16" x14ac:dyDescent="0.2">
      <c r="C14" s="22"/>
      <c r="D14" s="22"/>
    </row>
    <row r="15" spans="1:8" s="23" customFormat="1" ht="16" x14ac:dyDescent="0.2">
      <c r="C15" s="22"/>
      <c r="D15" s="22"/>
    </row>
    <row r="16" spans="1:8" s="23" customFormat="1" ht="16" x14ac:dyDescent="0.2">
      <c r="C16" s="22"/>
      <c r="D16" s="22"/>
    </row>
    <row r="17" spans="1:4" s="23" customFormat="1" ht="16" x14ac:dyDescent="0.2">
      <c r="C17" s="22"/>
      <c r="D17" s="22"/>
    </row>
    <row r="18" spans="1:4" s="23" customFormat="1" ht="16" x14ac:dyDescent="0.2">
      <c r="C18" s="22"/>
      <c r="D18" s="22"/>
    </row>
    <row r="19" spans="1:4" s="23" customFormat="1" ht="16" x14ac:dyDescent="0.2"/>
    <row r="20" spans="1:4" s="23" customFormat="1" ht="16" x14ac:dyDescent="0.2"/>
    <row r="21" spans="1:4" s="23" customFormat="1" ht="16" x14ac:dyDescent="0.2"/>
    <row r="22" spans="1:4" s="23" customFormat="1" ht="16" x14ac:dyDescent="0.2"/>
    <row r="23" spans="1:4" s="23" customFormat="1" ht="16" x14ac:dyDescent="0.2"/>
    <row r="24" spans="1:4" s="23" customFormat="1" ht="16" x14ac:dyDescent="0.2"/>
    <row r="25" spans="1:4" s="23" customFormat="1" ht="16" x14ac:dyDescent="0.2"/>
    <row r="26" spans="1:4" s="23" customFormat="1" ht="16" x14ac:dyDescent="0.2"/>
    <row r="27" spans="1:4" s="23" customFormat="1" ht="16" x14ac:dyDescent="0.2"/>
    <row r="28" spans="1:4" s="23" customFormat="1" ht="16" x14ac:dyDescent="0.2"/>
    <row r="29" spans="1:4" s="23" customFormat="1" ht="16" x14ac:dyDescent="0.2"/>
    <row r="30" spans="1:4" s="23" customFormat="1" ht="16" x14ac:dyDescent="0.2"/>
    <row r="31" spans="1:4" s="23" customFormat="1" ht="16" x14ac:dyDescent="0.2"/>
    <row r="32" spans="1:4" x14ac:dyDescent="0.2">
      <c r="A32" s="23"/>
      <c r="B32" s="23"/>
      <c r="C32" s="23"/>
      <c r="D32" s="23"/>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LCA</vt:lpstr>
      <vt:lpstr>Oven kWh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BOUDREAU</dc:creator>
  <cp:lastModifiedBy>Francesca Kerton</cp:lastModifiedBy>
  <dcterms:created xsi:type="dcterms:W3CDTF">2023-03-21T18:35:56Z</dcterms:created>
  <dcterms:modified xsi:type="dcterms:W3CDTF">2025-03-05T14:17:34Z</dcterms:modified>
</cp:coreProperties>
</file>