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New Volume\triya\E\Triya Backup\desktop\TRIYA NEW VOLUME E\Ammonia LCA\Manuscript files\"/>
    </mc:Choice>
  </mc:AlternateContent>
  <xr:revisionPtr revIDLastSave="0" documentId="13_ncr:1_{5A2442BE-EADD-4EB7-B2D5-C85171F8E9CE}" xr6:coauthVersionLast="47" xr6:coauthVersionMax="47" xr10:uidLastSave="{00000000-0000-0000-0000-000000000000}"/>
  <bookViews>
    <workbookView xWindow="-108" yWindow="-108" windowWidth="23256" windowHeight="12456" firstSheet="1" activeTab="2" xr2:uid="{00000000-000D-0000-FFFF-FFFF00000000}"/>
  </bookViews>
  <sheets>
    <sheet name="GDP calculation" sheetId="1" r:id="rId1"/>
    <sheet name="GDP vs Production" sheetId="3" r:id="rId2"/>
    <sheet name="Annual and Decadal CO2 emission" sheetId="7" r:id="rId3"/>
    <sheet name="CO2 calculation" sheetId="2" r:id="rId4"/>
    <sheet name="Technology Intervention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5" i="2" l="1"/>
  <c r="N64" i="2"/>
  <c r="M64" i="2"/>
  <c r="M65" i="2" s="1"/>
  <c r="L64" i="2"/>
  <c r="N54" i="2"/>
  <c r="N55" i="2" s="1"/>
  <c r="M54" i="2"/>
  <c r="M55" i="2" s="1"/>
  <c r="L54" i="2"/>
  <c r="L55" i="2" s="1"/>
  <c r="N44" i="2"/>
  <c r="L44" i="2"/>
  <c r="M45" i="2"/>
  <c r="M44" i="2"/>
  <c r="L45" i="2"/>
  <c r="N34" i="2"/>
  <c r="M34" i="2"/>
  <c r="L34" i="2"/>
  <c r="L35" i="2" s="1"/>
  <c r="J66" i="2"/>
  <c r="I66" i="2"/>
  <c r="H66" i="2"/>
  <c r="L65" i="2"/>
  <c r="N45" i="2"/>
  <c r="N35" i="2"/>
  <c r="M35" i="2"/>
  <c r="N25" i="2"/>
  <c r="N24" i="2"/>
  <c r="M25" i="2"/>
  <c r="M24" i="2"/>
  <c r="L24" i="2"/>
  <c r="L25" i="2" s="1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6" i="6"/>
  <c r="H55" i="2"/>
  <c r="H45" i="2"/>
  <c r="K45" i="2"/>
  <c r="K35" i="2"/>
  <c r="K25" i="2"/>
  <c r="K55" i="2"/>
  <c r="K65" i="2"/>
  <c r="I45" i="2"/>
  <c r="I25" i="2"/>
  <c r="K1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6" i="2"/>
  <c r="H47" i="2"/>
  <c r="H48" i="2"/>
  <c r="H49" i="2"/>
  <c r="H50" i="2"/>
  <c r="H51" i="2"/>
  <c r="H52" i="2"/>
  <c r="H53" i="2"/>
  <c r="H54" i="2"/>
  <c r="H56" i="2"/>
  <c r="H57" i="2"/>
  <c r="H58" i="2"/>
  <c r="H59" i="2"/>
  <c r="H60" i="2"/>
  <c r="H61" i="2"/>
  <c r="H62" i="2"/>
  <c r="H63" i="2"/>
  <c r="H64" i="2"/>
  <c r="H65" i="2"/>
  <c r="H5" i="2"/>
  <c r="AC20" i="3"/>
  <c r="AC21" i="3"/>
  <c r="AC24" i="3"/>
  <c r="AC23" i="3"/>
  <c r="AC22" i="3"/>
  <c r="Z21" i="3"/>
  <c r="Z22" i="3"/>
  <c r="Z23" i="3"/>
  <c r="Z24" i="3"/>
  <c r="Z20" i="3"/>
  <c r="AB14" i="3"/>
  <c r="AA11" i="3"/>
  <c r="AA12" i="3"/>
  <c r="AA13" i="3"/>
  <c r="AA14" i="3"/>
  <c r="AA10" i="3"/>
  <c r="Z9" i="3"/>
  <c r="Z10" i="3"/>
  <c r="Z11" i="3"/>
  <c r="Z12" i="3"/>
  <c r="Z13" i="3"/>
  <c r="Z14" i="3"/>
  <c r="Z8" i="3"/>
  <c r="I65" i="1" l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</calcChain>
</file>

<file path=xl/sharedStrings.xml><?xml version="1.0" encoding="utf-8"?>
<sst xmlns="http://schemas.openxmlformats.org/spreadsheetml/2006/main" count="162" uniqueCount="91">
  <si>
    <t>year</t>
  </si>
  <si>
    <t>GDP(Trillion US$)</t>
  </si>
  <si>
    <t xml:space="preserve">Ammonia </t>
  </si>
  <si>
    <t>YEAR</t>
  </si>
  <si>
    <t xml:space="preserve">CO2 </t>
  </si>
  <si>
    <t>CO2 with CCUS</t>
  </si>
  <si>
    <t>red</t>
  </si>
  <si>
    <t>CO2 AWE</t>
  </si>
  <si>
    <t>Cumulative CO2</t>
  </si>
  <si>
    <t xml:space="preserve">SMR CO2 </t>
  </si>
  <si>
    <t xml:space="preserve">SMR+ATR CO2 </t>
  </si>
  <si>
    <t>SMR/Air CO2</t>
  </si>
  <si>
    <t>Cumulative BAU SMR+ATR</t>
  </si>
  <si>
    <t>Cumulative SMR/Air</t>
  </si>
  <si>
    <t>Impact category</t>
  </si>
  <si>
    <t>Unit</t>
  </si>
  <si>
    <t>Total</t>
  </si>
  <si>
    <t>Carcinogens</t>
  </si>
  <si>
    <t>kg C2H3Cl eq</t>
  </si>
  <si>
    <t>Non-carcinogens</t>
  </si>
  <si>
    <t>Respiratory inorganics</t>
  </si>
  <si>
    <t>kg PM2.5 eq</t>
  </si>
  <si>
    <t>Ionizing radiation</t>
  </si>
  <si>
    <t>Bq C-14 eq</t>
  </si>
  <si>
    <t>Ozone layer depletion</t>
  </si>
  <si>
    <t>kg CFC-11 eq</t>
  </si>
  <si>
    <t>Respiratory organics</t>
  </si>
  <si>
    <t>kg C2H4 eq</t>
  </si>
  <si>
    <t>Aquatic ecotoxicity</t>
  </si>
  <si>
    <t>kg TEG water</t>
  </si>
  <si>
    <t>Terrestrial ecotoxicity</t>
  </si>
  <si>
    <t>kg TEG soil</t>
  </si>
  <si>
    <t>Terrestrial acid/nutri</t>
  </si>
  <si>
    <t>kg SO2 eq</t>
  </si>
  <si>
    <t>Land occupation</t>
  </si>
  <si>
    <t>m2org.arable</t>
  </si>
  <si>
    <t>Aquatic acidification</t>
  </si>
  <si>
    <t>Aquatic eutrophication</t>
  </si>
  <si>
    <t>kg PO4 P-lim</t>
  </si>
  <si>
    <t>Global warming</t>
  </si>
  <si>
    <t>kg CO2 eq</t>
  </si>
  <si>
    <t>Non-renewable energy</t>
  </si>
  <si>
    <t>MJ primary</t>
  </si>
  <si>
    <t>Mineral extraction</t>
  </si>
  <si>
    <t>MJ surplus</t>
  </si>
  <si>
    <t>SMR CC+RE 2070</t>
  </si>
  <si>
    <t>AWE CC+ RE 2070</t>
  </si>
  <si>
    <t>MP  CC+RE 2070</t>
  </si>
  <si>
    <t>Environment impact in AS</t>
  </si>
  <si>
    <t>Year</t>
  </si>
  <si>
    <t>Ammonia Production
(MMT NH₃/yr)</t>
  </si>
  <si>
    <t>BAU-SMR Annual
(MMT CO₂/yr)</t>
  </si>
  <si>
    <t>BAU-SMR Running
Cumulative (MMT CO₂)</t>
  </si>
  <si>
    <t>BAU-SMR+ATR Annual
(MMT CO₂/yr)</t>
  </si>
  <si>
    <t>BAU-SMR+ATR Running
Cumulative (MMT CO₂)</t>
  </si>
  <si>
    <t>SMR/Air Annual
(MMT CO₂/yr)</t>
  </si>
  <si>
    <t>SMR/Air Running
Cumulative (MMT CO₂)</t>
  </si>
  <si>
    <t>Decade</t>
  </si>
  <si>
    <t>Start Year</t>
  </si>
  <si>
    <t>End Year</t>
  </si>
  <si>
    <t>N Years</t>
  </si>
  <si>
    <t>BAU-SMR Decadal Sum
(MMT CO₂)</t>
  </si>
  <si>
    <t>BAU-SMR+ATR Decadal Sum
(MMT CO₂)</t>
  </si>
  <si>
    <t>SMR/Air Decadal Sum
(MMTCO₂)</t>
  </si>
  <si>
    <t>2020-2029</t>
  </si>
  <si>
    <t>2030-2039</t>
  </si>
  <si>
    <t>2040-2049</t>
  </si>
  <si>
    <t>2050-2059</t>
  </si>
  <si>
    <t>2060-2070</t>
  </si>
  <si>
    <t>2020-2070 Total</t>
  </si>
  <si>
    <t>2020</t>
  </si>
  <si>
    <t>2070</t>
  </si>
  <si>
    <t>To Year (inclusive)</t>
  </si>
  <si>
    <t>BAU-SMR Cumulative
(MMT CO₂)</t>
  </si>
  <si>
    <t>BAU-SMR+ATR Cumulative
(MMT CO₂)</t>
  </si>
  <si>
    <t>SMR/Air Cumulative
(MMT CO₂)</t>
  </si>
  <si>
    <t>End of 2020s (2020-2029)</t>
  </si>
  <si>
    <t>End of 2030s (2020-2039)</t>
  </si>
  <si>
    <t>End of 2040s (2020-2049)</t>
  </si>
  <si>
    <t>End of 2050s (2020-2059)</t>
  </si>
  <si>
    <t>End of 2060s (2020-2070)</t>
  </si>
  <si>
    <t>Notes on Aggregation Convention:</t>
  </si>
  <si>
    <t>1. Annual values (Part A) are the primary data. All aggregates in Parts B and C are derived directly from these annual values.</t>
  </si>
  <si>
    <t>2. Decadal sums (Part B) use inclusive year ranges: 2020-2029 = 10 years; 2030-2039 = 10 years; 2040-2049 = 10 years; 2050-2059 = 10 years; 2060-2070 = 11 years.</t>
  </si>
  <si>
    <t>3. Running cumulative (Parts A &amp; C) = sum of all annual emissions from 2020 to the year shown (inclusive), computed as a true running total.</t>
  </si>
  <si>
    <t>Annual and Decadal CO₂ Emissions (2020-2070)</t>
  </si>
  <si>
    <t>4. Emission factors applied: BAU-SMR = 7.02; BAU-SMR+ATR = 7.55; SMR/Air = 7.57 CO₂ eq. tons/ton NH₃ produced.</t>
  </si>
  <si>
    <t>All values in MMT CO₂/yr (annual) or MMT CO₂ (cumulative/decadal). Emission factors: BAU-SMR = 7.02; BAU-SMR+ATR = 7.55; SMR/Air = 7.57 CO₂ eq. tons/ton NH₃.</t>
  </si>
  <si>
    <t>PART A Annual Time Series (2020-2070)</t>
  </si>
  <si>
    <t>PART B Decadal Aggregate Emissions (sum of annual values within each decade; years inclusive)</t>
  </si>
  <si>
    <t>PART C Running Cumulative Emissions at End of Each Decade (sum of all annual values from 2020 to year shown, inclusive)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</si>
</sst>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2"/>
      <color rgb="FF333333"/>
      <name val="Segoe UI"/>
      <family val="2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59595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1F4E79"/>
      <name val="Arial"/>
      <family val="2"/>
    </font>
    <font>
      <i/>
      <sz val="8"/>
      <color rgb="FF595959"/>
      <name val="Arial"/>
      <family val="2"/>
    </font>
    <font>
      <b/>
      <sz val="11"/>
      <color rgb="FFFFFFFF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FFFFFF"/>
      <name val="Arial"/>
      <family val="2"/>
    </font>
    <font>
      <b/>
      <sz val="9"/>
      <color rgb="FFFFFFFF"/>
      <name val="Arial"/>
      <family val="2"/>
    </font>
    <font>
      <b/>
      <sz val="9"/>
      <name val="Arial"/>
      <family val="2"/>
    </font>
    <font>
      <sz val="8"/>
      <color rgb="FF40404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8"/>
      <color rgb="FF40404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9FAF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1F4E79"/>
        <bgColor rgb="FF003366"/>
      </patternFill>
    </fill>
    <fill>
      <patternFill patternType="solid">
        <fgColor rgb="FF002060"/>
        <bgColor rgb="FF0066CC"/>
      </patternFill>
    </fill>
    <fill>
      <patternFill patternType="solid">
        <fgColor rgb="FFEBF3FB"/>
        <bgColor rgb="FFEDEDED"/>
      </patternFill>
    </fill>
    <fill>
      <patternFill patternType="solid">
        <fgColor rgb="FFD6E4F0"/>
        <bgColor rgb="FFE2E5E7"/>
      </patternFill>
    </fill>
    <fill>
      <patternFill patternType="solid">
        <fgColor rgb="FFC0D6E8"/>
        <bgColor rgb="FFD9D9D9"/>
      </patternFill>
    </fill>
    <fill>
      <patternFill patternType="solid">
        <fgColor rgb="FFAAC8E0"/>
        <bgColor rgb="FF94BAD8"/>
      </patternFill>
    </fill>
    <fill>
      <patternFill patternType="solid">
        <fgColor rgb="FF94BAD8"/>
        <bgColor rgb="FFAAC8E0"/>
      </patternFill>
    </fill>
    <fill>
      <patternFill patternType="solid">
        <fgColor theme="9" tint="-0.249977111117893"/>
        <bgColor rgb="FF003366"/>
      </patternFill>
    </fill>
    <fill>
      <patternFill patternType="solid">
        <fgColor theme="9" tint="0.79998168889431442"/>
        <bgColor rgb="FF94BAD8"/>
      </patternFill>
    </fill>
    <fill>
      <patternFill patternType="solid">
        <fgColor theme="7" tint="0.79998168889431442"/>
        <bgColor rgb="FFAAC8E0"/>
      </patternFill>
    </fill>
    <fill>
      <patternFill patternType="solid">
        <fgColor theme="5" tint="0.79998168889431442"/>
        <bgColor rgb="FFEDEDED"/>
      </patternFill>
    </fill>
    <fill>
      <patternFill patternType="solid">
        <fgColor theme="2" tint="-9.9978637043366805E-2"/>
        <bgColor rgb="FFD9D9D9"/>
      </patternFill>
    </fill>
    <fill>
      <patternFill patternType="solid">
        <fgColor theme="9" tint="-0.499984740745262"/>
        <bgColor rgb="FF0066CC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2E5E7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1F4E79"/>
      </left>
      <right/>
      <top style="medium">
        <color rgb="FF1F4E79"/>
      </top>
      <bottom style="medium">
        <color rgb="FF1F4E79"/>
      </bottom>
      <diagonal/>
    </border>
    <border>
      <left style="thin">
        <color rgb="FFB8B8B8"/>
      </left>
      <right style="thin">
        <color rgb="FFB8B8B8"/>
      </right>
      <top style="thin">
        <color rgb="FFB8B8B8"/>
      </top>
      <bottom style="thin">
        <color rgb="FFB8B8B8"/>
      </bottom>
      <diagonal/>
    </border>
    <border>
      <left style="medium">
        <color rgb="FF1F4E79"/>
      </left>
      <right style="medium">
        <color rgb="FF1F4E79"/>
      </right>
      <top style="medium">
        <color rgb="FF1F4E79"/>
      </top>
      <bottom style="medium">
        <color rgb="FF1F4E79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left" vertical="center" wrapText="1" indent="1"/>
    </xf>
    <xf numFmtId="0" fontId="3" fillId="6" borderId="11" xfId="0" applyFont="1" applyFill="1" applyBorder="1" applyAlignment="1">
      <alignment horizontal="left" vertical="center" wrapText="1" indent="1"/>
    </xf>
    <xf numFmtId="0" fontId="4" fillId="7" borderId="12" xfId="0" applyFont="1" applyFill="1" applyBorder="1" applyAlignment="1">
      <alignment wrapText="1"/>
    </xf>
    <xf numFmtId="0" fontId="5" fillId="7" borderId="2" xfId="0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right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right" wrapText="1"/>
    </xf>
    <xf numFmtId="0" fontId="6" fillId="9" borderId="13" xfId="0" applyFont="1" applyFill="1" applyBorder="1" applyAlignment="1">
      <alignment horizontal="right" wrapText="1"/>
    </xf>
    <xf numFmtId="0" fontId="7" fillId="9" borderId="14" xfId="0" applyFont="1" applyFill="1" applyBorder="1" applyAlignment="1">
      <alignment horizontal="center" vertical="center" wrapText="1"/>
    </xf>
    <xf numFmtId="0" fontId="6" fillId="9" borderId="0" xfId="0" applyFont="1" applyFill="1" applyAlignment="1">
      <alignment horizontal="right" wrapText="1"/>
    </xf>
    <xf numFmtId="0" fontId="6" fillId="9" borderId="17" xfId="0" applyFont="1" applyFill="1" applyBorder="1" applyAlignment="1">
      <alignment horizontal="right" wrapText="1"/>
    </xf>
    <xf numFmtId="0" fontId="6" fillId="9" borderId="18" xfId="0" applyFont="1" applyFill="1" applyBorder="1" applyAlignment="1">
      <alignment horizontal="right" wrapText="1"/>
    </xf>
    <xf numFmtId="0" fontId="6" fillId="9" borderId="0" xfId="0" applyFont="1" applyFill="1" applyAlignment="1">
      <alignment wrapText="1"/>
    </xf>
    <xf numFmtId="11" fontId="0" fillId="0" borderId="0" xfId="0" applyNumberFormat="1"/>
    <xf numFmtId="0" fontId="8" fillId="0" borderId="0" xfId="0" applyFont="1"/>
    <xf numFmtId="1" fontId="12" fillId="13" borderId="20" xfId="0" applyNumberFormat="1" applyFont="1" applyFill="1" applyBorder="1" applyAlignment="1">
      <alignment horizontal="center" vertical="center"/>
    </xf>
    <xf numFmtId="164" fontId="12" fillId="13" borderId="20" xfId="0" applyNumberFormat="1" applyFont="1" applyFill="1" applyBorder="1" applyAlignment="1">
      <alignment horizontal="center" vertical="center"/>
    </xf>
    <xf numFmtId="0" fontId="12" fillId="13" borderId="20" xfId="0" applyFont="1" applyFill="1" applyBorder="1" applyAlignment="1">
      <alignment horizontal="left" vertical="center"/>
    </xf>
    <xf numFmtId="0" fontId="15" fillId="11" borderId="20" xfId="0" applyFont="1" applyFill="1" applyBorder="1" applyAlignment="1">
      <alignment horizontal="center" vertical="center" wrapText="1"/>
    </xf>
    <xf numFmtId="0" fontId="16" fillId="16" borderId="20" xfId="0" applyFont="1" applyFill="1" applyBorder="1" applyAlignment="1">
      <alignment horizontal="center" vertical="center"/>
    </xf>
    <xf numFmtId="164" fontId="16" fillId="16" borderId="20" xfId="0" applyNumberFormat="1" applyFont="1" applyFill="1" applyBorder="1" applyAlignment="1">
      <alignment horizontal="center" vertical="center"/>
    </xf>
    <xf numFmtId="0" fontId="15" fillId="10" borderId="21" xfId="0" applyFont="1" applyFill="1" applyBorder="1" applyAlignment="1">
      <alignment horizontal="center" vertical="center"/>
    </xf>
    <xf numFmtId="164" fontId="15" fillId="10" borderId="21" xfId="0" applyNumberFormat="1" applyFont="1" applyFill="1" applyBorder="1" applyAlignment="1">
      <alignment horizontal="center" vertical="center"/>
    </xf>
    <xf numFmtId="0" fontId="18" fillId="12" borderId="20" xfId="0" applyFont="1" applyFill="1" applyBorder="1" applyAlignment="1">
      <alignment horizontal="center" vertical="center"/>
    </xf>
    <xf numFmtId="164" fontId="18" fillId="12" borderId="20" xfId="0" applyNumberFormat="1" applyFont="1" applyFill="1" applyBorder="1" applyAlignment="1">
      <alignment horizontal="center" vertical="center"/>
    </xf>
    <xf numFmtId="0" fontId="18" fillId="13" borderId="20" xfId="0" applyFont="1" applyFill="1" applyBorder="1" applyAlignment="1">
      <alignment horizontal="center" vertical="center"/>
    </xf>
    <xf numFmtId="164" fontId="18" fillId="13" borderId="20" xfId="0" applyNumberFormat="1" applyFont="1" applyFill="1" applyBorder="1" applyAlignment="1">
      <alignment horizontal="center" vertical="center"/>
    </xf>
    <xf numFmtId="0" fontId="18" fillId="14" borderId="20" xfId="0" applyFont="1" applyFill="1" applyBorder="1" applyAlignment="1">
      <alignment horizontal="center" vertical="center"/>
    </xf>
    <xf numFmtId="164" fontId="18" fillId="14" borderId="20" xfId="0" applyNumberFormat="1" applyFont="1" applyFill="1" applyBorder="1" applyAlignment="1">
      <alignment horizontal="center" vertical="center"/>
    </xf>
    <xf numFmtId="0" fontId="18" fillId="15" borderId="20" xfId="0" applyFont="1" applyFill="1" applyBorder="1" applyAlignment="1">
      <alignment horizontal="center" vertical="center"/>
    </xf>
    <xf numFmtId="164" fontId="18" fillId="15" borderId="20" xfId="0" applyNumberFormat="1" applyFont="1" applyFill="1" applyBorder="1" applyAlignment="1">
      <alignment horizontal="center" vertical="center"/>
    </xf>
    <xf numFmtId="0" fontId="19" fillId="12" borderId="20" xfId="0" applyFont="1" applyFill="1" applyBorder="1" applyAlignment="1">
      <alignment horizontal="center" vertical="center"/>
    </xf>
    <xf numFmtId="164" fontId="19" fillId="12" borderId="20" xfId="0" applyNumberFormat="1" applyFont="1" applyFill="1" applyBorder="1" applyAlignment="1">
      <alignment horizontal="center" vertical="center"/>
    </xf>
    <xf numFmtId="0" fontId="19" fillId="13" borderId="20" xfId="0" applyFont="1" applyFill="1" applyBorder="1" applyAlignment="1">
      <alignment horizontal="center" vertical="center"/>
    </xf>
    <xf numFmtId="164" fontId="19" fillId="13" borderId="20" xfId="0" applyNumberFormat="1" applyFont="1" applyFill="1" applyBorder="1" applyAlignment="1">
      <alignment horizontal="center" vertical="center"/>
    </xf>
    <xf numFmtId="0" fontId="19" fillId="14" borderId="20" xfId="0" applyFont="1" applyFill="1" applyBorder="1" applyAlignment="1">
      <alignment horizontal="center" vertical="center"/>
    </xf>
    <xf numFmtId="164" fontId="19" fillId="14" borderId="20" xfId="0" applyNumberFormat="1" applyFont="1" applyFill="1" applyBorder="1" applyAlignment="1">
      <alignment horizontal="center" vertical="center"/>
    </xf>
    <xf numFmtId="0" fontId="19" fillId="15" borderId="20" xfId="0" applyFont="1" applyFill="1" applyBorder="1" applyAlignment="1">
      <alignment horizontal="center" vertical="center"/>
    </xf>
    <xf numFmtId="164" fontId="19" fillId="15" borderId="20" xfId="0" applyNumberFormat="1" applyFont="1" applyFill="1" applyBorder="1" applyAlignment="1">
      <alignment horizontal="center" vertical="center"/>
    </xf>
    <xf numFmtId="0" fontId="19" fillId="16" borderId="20" xfId="0" applyFont="1" applyFill="1" applyBorder="1" applyAlignment="1">
      <alignment horizontal="center" vertical="center"/>
    </xf>
    <xf numFmtId="164" fontId="19" fillId="16" borderId="20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4" fillId="10" borderId="19" xfId="0" applyFont="1" applyFill="1" applyBorder="1" applyAlignment="1">
      <alignment horizontal="left" vertical="center"/>
    </xf>
    <xf numFmtId="0" fontId="11" fillId="17" borderId="19" xfId="0" applyFont="1" applyFill="1" applyBorder="1" applyAlignment="1">
      <alignment horizontal="left" vertical="center"/>
    </xf>
    <xf numFmtId="1" fontId="12" fillId="18" borderId="20" xfId="0" applyNumberFormat="1" applyFont="1" applyFill="1" applyBorder="1" applyAlignment="1">
      <alignment horizontal="center" vertical="center"/>
    </xf>
    <xf numFmtId="164" fontId="12" fillId="18" borderId="20" xfId="0" applyNumberFormat="1" applyFont="1" applyFill="1" applyBorder="1" applyAlignment="1">
      <alignment horizontal="center" vertical="center"/>
    </xf>
    <xf numFmtId="0" fontId="12" fillId="18" borderId="20" xfId="0" applyFont="1" applyFill="1" applyBorder="1" applyAlignment="1">
      <alignment horizontal="left" vertical="center"/>
    </xf>
    <xf numFmtId="1" fontId="12" fillId="19" borderId="20" xfId="0" applyNumberFormat="1" applyFont="1" applyFill="1" applyBorder="1" applyAlignment="1">
      <alignment horizontal="center" vertical="center"/>
    </xf>
    <xf numFmtId="164" fontId="12" fillId="19" borderId="20" xfId="0" applyNumberFormat="1" applyFont="1" applyFill="1" applyBorder="1" applyAlignment="1">
      <alignment horizontal="center" vertical="center"/>
    </xf>
    <xf numFmtId="0" fontId="12" fillId="19" borderId="20" xfId="0" applyFont="1" applyFill="1" applyBorder="1" applyAlignment="1">
      <alignment horizontal="left" vertical="center"/>
    </xf>
    <xf numFmtId="1" fontId="13" fillId="19" borderId="20" xfId="0" applyNumberFormat="1" applyFont="1" applyFill="1" applyBorder="1" applyAlignment="1">
      <alignment horizontal="center" vertical="center"/>
    </xf>
    <xf numFmtId="164" fontId="13" fillId="19" borderId="20" xfId="0" applyNumberFormat="1" applyFont="1" applyFill="1" applyBorder="1" applyAlignment="1">
      <alignment horizontal="center" vertical="center"/>
    </xf>
    <xf numFmtId="0" fontId="13" fillId="19" borderId="20" xfId="0" applyFont="1" applyFill="1" applyBorder="1" applyAlignment="1">
      <alignment horizontal="left" vertical="center"/>
    </xf>
    <xf numFmtId="1" fontId="12" fillId="20" borderId="20" xfId="0" applyNumberFormat="1" applyFont="1" applyFill="1" applyBorder="1" applyAlignment="1">
      <alignment horizontal="center" vertical="center"/>
    </xf>
    <xf numFmtId="164" fontId="12" fillId="20" borderId="20" xfId="0" applyNumberFormat="1" applyFont="1" applyFill="1" applyBorder="1" applyAlignment="1">
      <alignment horizontal="center" vertical="center"/>
    </xf>
    <xf numFmtId="0" fontId="12" fillId="20" borderId="20" xfId="0" applyFont="1" applyFill="1" applyBorder="1" applyAlignment="1">
      <alignment horizontal="left" vertical="center"/>
    </xf>
    <xf numFmtId="1" fontId="12" fillId="21" borderId="20" xfId="0" applyNumberFormat="1" applyFont="1" applyFill="1" applyBorder="1" applyAlignment="1">
      <alignment horizontal="center" vertical="center"/>
    </xf>
    <xf numFmtId="164" fontId="12" fillId="21" borderId="20" xfId="0" applyNumberFormat="1" applyFont="1" applyFill="1" applyBorder="1" applyAlignment="1">
      <alignment horizontal="center" vertical="center"/>
    </xf>
    <xf numFmtId="0" fontId="12" fillId="21" borderId="20" xfId="0" applyFont="1" applyFill="1" applyBorder="1" applyAlignment="1">
      <alignment horizontal="left" vertical="center"/>
    </xf>
    <xf numFmtId="0" fontId="11" fillId="22" borderId="20" xfId="0" applyFont="1" applyFill="1" applyBorder="1" applyAlignment="1">
      <alignment horizontal="center" vertical="center" wrapText="1"/>
    </xf>
    <xf numFmtId="0" fontId="1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469816272965886E-2"/>
          <c:y val="0.14393518518518519"/>
          <c:w val="0.89653018372703408"/>
          <c:h val="0.7208876494604841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trendline>
            <c:spPr>
              <a:ln w="22225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0.58781430446194227"/>
                  <c:y val="-2.5663458734324874E-4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50" b="1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y = 5.4447x</a:t>
                    </a:r>
                    <a:br>
                      <a:rPr lang="en-US" sz="1050" b="1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</a:br>
                    <a:r>
                      <a:rPr lang="en-US" sz="1050" b="1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R² = 0.9678</a:t>
                    </a:r>
                    <a:endParaRPr lang="en-US" sz="1050" b="1">
                      <a:solidFill>
                        <a:schemeClr val="tx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'GDP vs Production'!$J$6:$J$19</c:f>
              <c:numCache>
                <c:formatCode>General</c:formatCode>
                <c:ptCount val="14"/>
                <c:pt idx="0">
                  <c:v>1.6756200000000001</c:v>
                </c:pt>
                <c:pt idx="1">
                  <c:v>1.8230500000000001</c:v>
                </c:pt>
                <c:pt idx="2">
                  <c:v>1.8276399999999999</c:v>
                </c:pt>
                <c:pt idx="3">
                  <c:v>1.8567199999999999</c:v>
                </c:pt>
                <c:pt idx="4">
                  <c:v>2.0391300000000001</c:v>
                </c:pt>
                <c:pt idx="5">
                  <c:v>2.1035900000000001</c:v>
                </c:pt>
                <c:pt idx="6">
                  <c:v>2.2948</c:v>
                </c:pt>
                <c:pt idx="7">
                  <c:v>2.6514700000000002</c:v>
                </c:pt>
                <c:pt idx="8">
                  <c:v>2.7029299999999998</c:v>
                </c:pt>
                <c:pt idx="9">
                  <c:v>2.83155</c:v>
                </c:pt>
                <c:pt idx="10">
                  <c:v>2.9</c:v>
                </c:pt>
                <c:pt idx="11">
                  <c:v>3.15</c:v>
                </c:pt>
                <c:pt idx="12">
                  <c:v>3.3849999999999998</c:v>
                </c:pt>
                <c:pt idx="13">
                  <c:v>3.75</c:v>
                </c:pt>
              </c:numCache>
            </c:numRef>
          </c:xVal>
          <c:yVal>
            <c:numRef>
              <c:f>'GDP vs Production'!$K$6:$K$19</c:f>
              <c:numCache>
                <c:formatCode>General</c:formatCode>
                <c:ptCount val="14"/>
                <c:pt idx="0">
                  <c:v>12.66</c:v>
                </c:pt>
                <c:pt idx="1">
                  <c:v>13.08</c:v>
                </c:pt>
                <c:pt idx="2">
                  <c:v>13.18</c:v>
                </c:pt>
                <c:pt idx="3">
                  <c:v>13.54</c:v>
                </c:pt>
                <c:pt idx="4">
                  <c:v>13.63</c:v>
                </c:pt>
                <c:pt idx="5">
                  <c:v>13.55</c:v>
                </c:pt>
                <c:pt idx="6">
                  <c:v>14.68</c:v>
                </c:pt>
                <c:pt idx="7">
                  <c:v>14.52</c:v>
                </c:pt>
                <c:pt idx="8">
                  <c:v>14.41</c:v>
                </c:pt>
                <c:pt idx="9">
                  <c:v>14.34</c:v>
                </c:pt>
                <c:pt idx="10">
                  <c:v>14.67</c:v>
                </c:pt>
                <c:pt idx="11">
                  <c:v>14.76</c:v>
                </c:pt>
                <c:pt idx="12">
                  <c:v>15.82</c:v>
                </c:pt>
                <c:pt idx="13">
                  <c:v>16.350000000000001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B20-4581-B4D3-0F1353A39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1921119"/>
        <c:axId val="1621921599"/>
      </c:scatterChart>
      <c:valAx>
        <c:axId val="16219211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21921599"/>
        <c:crosses val="autoZero"/>
        <c:crossBetween val="midCat"/>
      </c:valAx>
      <c:valAx>
        <c:axId val="1621921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21921119"/>
        <c:crosses val="autoZero"/>
        <c:crossBetween val="midCat"/>
      </c:valAx>
      <c:spPr>
        <a:noFill/>
        <a:ln w="31750"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556260</xdr:colOff>
      <xdr:row>4</xdr:row>
      <xdr:rowOff>224790</xdr:rowOff>
    </xdr:from>
    <xdr:to>
      <xdr:col>19</xdr:col>
      <xdr:colOff>251460</xdr:colOff>
      <xdr:row>18</xdr:row>
      <xdr:rowOff>156210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5E40067-06A4-72D6-D628-549B0F7B49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H3:J65"/>
  <sheetViews>
    <sheetView workbookViewId="0">
      <selection activeCell="N19" sqref="N19"/>
    </sheetView>
  </sheetViews>
  <sheetFormatPr defaultRowHeight="14.4" x14ac:dyDescent="0.3"/>
  <cols>
    <col min="18" max="18" width="13.33203125" customWidth="1"/>
  </cols>
  <sheetData>
    <row r="3" spans="8:10" ht="15" thickBot="1" x14ac:dyDescent="0.35"/>
    <row r="4" spans="8:10" ht="28.2" thickBot="1" x14ac:dyDescent="0.35">
      <c r="H4" s="1" t="s">
        <v>0</v>
      </c>
      <c r="I4" s="2" t="s">
        <v>1</v>
      </c>
      <c r="J4" t="s">
        <v>2</v>
      </c>
    </row>
    <row r="5" spans="8:10" x14ac:dyDescent="0.3">
      <c r="H5" s="3">
        <v>2010</v>
      </c>
      <c r="I5" s="4">
        <v>1.6756199999999999</v>
      </c>
      <c r="J5">
        <v>12.66</v>
      </c>
    </row>
    <row r="6" spans="8:10" x14ac:dyDescent="0.3">
      <c r="H6" s="5">
        <v>2011</v>
      </c>
      <c r="I6" s="6">
        <v>1.8230500000000001</v>
      </c>
      <c r="J6">
        <v>13.08</v>
      </c>
    </row>
    <row r="7" spans="8:10" x14ac:dyDescent="0.3">
      <c r="H7" s="5">
        <v>2012</v>
      </c>
      <c r="I7" s="6">
        <v>1.8276400000000002</v>
      </c>
      <c r="J7">
        <v>13.18</v>
      </c>
    </row>
    <row r="8" spans="8:10" x14ac:dyDescent="0.3">
      <c r="H8" s="5">
        <v>2013</v>
      </c>
      <c r="I8" s="6">
        <v>1.8567199999999999</v>
      </c>
      <c r="J8">
        <v>13.54</v>
      </c>
    </row>
    <row r="9" spans="8:10" x14ac:dyDescent="0.3">
      <c r="H9" s="5">
        <v>2014</v>
      </c>
      <c r="I9" s="6">
        <v>2.0391300000000001</v>
      </c>
      <c r="J9">
        <v>13.63</v>
      </c>
    </row>
    <row r="10" spans="8:10" x14ac:dyDescent="0.3">
      <c r="H10" s="5">
        <v>2015</v>
      </c>
      <c r="I10" s="6">
        <v>2.1035900000000001</v>
      </c>
      <c r="J10">
        <v>13.55</v>
      </c>
    </row>
    <row r="11" spans="8:10" x14ac:dyDescent="0.3">
      <c r="H11" s="5">
        <v>2016</v>
      </c>
      <c r="I11" s="6">
        <v>2.2948000000000004</v>
      </c>
      <c r="J11">
        <v>14.68</v>
      </c>
    </row>
    <row r="12" spans="8:10" x14ac:dyDescent="0.3">
      <c r="H12" s="5">
        <v>2017</v>
      </c>
      <c r="I12" s="6">
        <v>2.6514699999999998</v>
      </c>
      <c r="J12">
        <v>14.52</v>
      </c>
    </row>
    <row r="13" spans="8:10" x14ac:dyDescent="0.3">
      <c r="H13" s="5">
        <v>2018</v>
      </c>
      <c r="I13" s="6">
        <v>2.7029299999999998</v>
      </c>
      <c r="J13">
        <v>14.41</v>
      </c>
    </row>
    <row r="14" spans="8:10" x14ac:dyDescent="0.3">
      <c r="H14" s="5">
        <v>2019</v>
      </c>
      <c r="I14" s="6">
        <v>2.83155</v>
      </c>
      <c r="J14">
        <v>14.34</v>
      </c>
    </row>
    <row r="15" spans="8:10" x14ac:dyDescent="0.3">
      <c r="H15" s="5">
        <v>2020</v>
      </c>
      <c r="I15" s="6">
        <v>2.6676899999999999</v>
      </c>
      <c r="J15">
        <v>17.899999999999999</v>
      </c>
    </row>
    <row r="16" spans="8:10" ht="15" thickBot="1" x14ac:dyDescent="0.35">
      <c r="H16" s="7">
        <v>2021</v>
      </c>
      <c r="I16" s="8">
        <v>3.1763000000000003</v>
      </c>
      <c r="J16">
        <v>18.8</v>
      </c>
    </row>
    <row r="17" spans="8:10" x14ac:dyDescent="0.3">
      <c r="H17" s="9">
        <v>2022</v>
      </c>
      <c r="I17" s="10">
        <f>(0.1308*H17-261.23)</f>
        <v>3.2475999999999772</v>
      </c>
      <c r="J17">
        <v>19.5</v>
      </c>
    </row>
    <row r="18" spans="8:10" x14ac:dyDescent="0.3">
      <c r="H18" s="9">
        <v>2023</v>
      </c>
      <c r="I18" s="11">
        <f t="shared" ref="I18:I65" si="0">(0.1308*H18-261.23)</f>
        <v>3.3783999999999992</v>
      </c>
    </row>
    <row r="19" spans="8:10" ht="19.8" thickBot="1" x14ac:dyDescent="0.35">
      <c r="H19" s="9">
        <v>2024</v>
      </c>
      <c r="I19" s="11">
        <f t="shared" si="0"/>
        <v>3.5091999999999643</v>
      </c>
      <c r="J19" s="12"/>
    </row>
    <row r="20" spans="8:10" ht="19.8" thickBot="1" x14ac:dyDescent="0.35">
      <c r="H20" s="9">
        <v>2025</v>
      </c>
      <c r="I20" s="11">
        <f t="shared" si="0"/>
        <v>3.6399999999999864</v>
      </c>
      <c r="J20" s="13"/>
    </row>
    <row r="21" spans="8:10" ht="19.8" thickBot="1" x14ac:dyDescent="0.35">
      <c r="H21" s="9">
        <v>2026</v>
      </c>
      <c r="I21" s="11">
        <f t="shared" si="0"/>
        <v>3.7708000000000084</v>
      </c>
      <c r="J21" s="12"/>
    </row>
    <row r="22" spans="8:10" ht="19.8" thickBot="1" x14ac:dyDescent="0.35">
      <c r="H22" s="9">
        <v>2027</v>
      </c>
      <c r="I22" s="11">
        <f t="shared" si="0"/>
        <v>3.9015999999999735</v>
      </c>
      <c r="J22" s="13"/>
    </row>
    <row r="23" spans="8:10" ht="19.8" thickBot="1" x14ac:dyDescent="0.35">
      <c r="H23" s="9">
        <v>2028</v>
      </c>
      <c r="I23" s="11">
        <f t="shared" si="0"/>
        <v>4.0323999999999955</v>
      </c>
      <c r="J23" s="12"/>
    </row>
    <row r="24" spans="8:10" ht="19.8" thickBot="1" x14ac:dyDescent="0.35">
      <c r="H24" s="9">
        <v>2029</v>
      </c>
      <c r="I24" s="11">
        <f t="shared" si="0"/>
        <v>4.1631999999999607</v>
      </c>
      <c r="J24" s="13"/>
    </row>
    <row r="25" spans="8:10" ht="19.8" thickBot="1" x14ac:dyDescent="0.35">
      <c r="H25" s="9">
        <v>2030</v>
      </c>
      <c r="I25" s="11">
        <f t="shared" si="0"/>
        <v>4.2939999999999827</v>
      </c>
      <c r="J25" s="12"/>
    </row>
    <row r="26" spans="8:10" ht="19.8" thickBot="1" x14ac:dyDescent="0.35">
      <c r="H26" s="9">
        <v>2031</v>
      </c>
      <c r="I26" s="11">
        <f t="shared" si="0"/>
        <v>4.4248000000000047</v>
      </c>
      <c r="J26" s="13"/>
    </row>
    <row r="27" spans="8:10" ht="19.8" thickBot="1" x14ac:dyDescent="0.35">
      <c r="H27" s="9">
        <v>2032</v>
      </c>
      <c r="I27" s="11">
        <f t="shared" si="0"/>
        <v>4.5555999999999699</v>
      </c>
      <c r="J27" s="12"/>
    </row>
    <row r="28" spans="8:10" ht="19.8" thickBot="1" x14ac:dyDescent="0.35">
      <c r="H28" s="9">
        <v>2033</v>
      </c>
      <c r="I28" s="11">
        <f t="shared" si="0"/>
        <v>4.6863999999999919</v>
      </c>
      <c r="J28" s="13"/>
    </row>
    <row r="29" spans="8:10" ht="19.8" thickBot="1" x14ac:dyDescent="0.35">
      <c r="H29" s="9">
        <v>2034</v>
      </c>
      <c r="I29" s="11">
        <f t="shared" si="0"/>
        <v>4.8171999999999571</v>
      </c>
      <c r="J29" s="12"/>
    </row>
    <row r="30" spans="8:10" ht="19.8" thickBot="1" x14ac:dyDescent="0.35">
      <c r="H30" s="9">
        <v>2035</v>
      </c>
      <c r="I30" s="11">
        <f t="shared" si="0"/>
        <v>4.9479999999999791</v>
      </c>
      <c r="J30" s="13"/>
    </row>
    <row r="31" spans="8:10" ht="19.8" thickBot="1" x14ac:dyDescent="0.35">
      <c r="H31" s="9">
        <v>2036</v>
      </c>
      <c r="I31" s="11">
        <f t="shared" si="0"/>
        <v>5.0788000000000011</v>
      </c>
      <c r="J31" s="12"/>
    </row>
    <row r="32" spans="8:10" ht="19.8" thickBot="1" x14ac:dyDescent="0.35">
      <c r="H32" s="9">
        <v>2037</v>
      </c>
      <c r="I32" s="11">
        <f t="shared" si="0"/>
        <v>5.2095999999999663</v>
      </c>
      <c r="J32" s="13"/>
    </row>
    <row r="33" spans="8:10" ht="19.8" thickBot="1" x14ac:dyDescent="0.35">
      <c r="H33" s="9">
        <v>2038</v>
      </c>
      <c r="I33" s="11">
        <f t="shared" si="0"/>
        <v>5.3403999999999883</v>
      </c>
      <c r="J33" s="12"/>
    </row>
    <row r="34" spans="8:10" ht="19.8" thickBot="1" x14ac:dyDescent="0.35">
      <c r="H34" s="9">
        <v>2039</v>
      </c>
      <c r="I34" s="11">
        <f t="shared" si="0"/>
        <v>5.4711999999999534</v>
      </c>
      <c r="J34" s="13"/>
    </row>
    <row r="35" spans="8:10" ht="19.8" thickBot="1" x14ac:dyDescent="0.35">
      <c r="H35" s="9">
        <v>2040</v>
      </c>
      <c r="I35" s="11">
        <f t="shared" si="0"/>
        <v>5.6019999999999754</v>
      </c>
      <c r="J35" s="12"/>
    </row>
    <row r="36" spans="8:10" ht="19.8" thickBot="1" x14ac:dyDescent="0.35">
      <c r="H36" s="9">
        <v>2041</v>
      </c>
      <c r="I36" s="11">
        <f t="shared" si="0"/>
        <v>5.7327999999999975</v>
      </c>
      <c r="J36" s="13"/>
    </row>
    <row r="37" spans="8:10" ht="19.8" thickBot="1" x14ac:dyDescent="0.35">
      <c r="H37" s="9">
        <v>2042</v>
      </c>
      <c r="I37" s="11">
        <f t="shared" si="0"/>
        <v>5.8635999999999626</v>
      </c>
      <c r="J37" s="12"/>
    </row>
    <row r="38" spans="8:10" ht="19.8" thickBot="1" x14ac:dyDescent="0.35">
      <c r="H38" s="9">
        <v>2043</v>
      </c>
      <c r="I38" s="11">
        <f t="shared" si="0"/>
        <v>5.9943999999999846</v>
      </c>
      <c r="J38" s="13"/>
    </row>
    <row r="39" spans="8:10" ht="19.8" thickBot="1" x14ac:dyDescent="0.35">
      <c r="H39" s="9">
        <v>2044</v>
      </c>
      <c r="I39" s="11">
        <f t="shared" si="0"/>
        <v>6.1252000000000066</v>
      </c>
      <c r="J39" s="12"/>
    </row>
    <row r="40" spans="8:10" ht="19.8" thickBot="1" x14ac:dyDescent="0.35">
      <c r="H40" s="9">
        <v>2045</v>
      </c>
      <c r="I40" s="11">
        <f t="shared" si="0"/>
        <v>6.2559999999999718</v>
      </c>
      <c r="J40" s="13"/>
    </row>
    <row r="41" spans="8:10" ht="19.8" thickBot="1" x14ac:dyDescent="0.35">
      <c r="H41" s="9">
        <v>2046</v>
      </c>
      <c r="I41" s="11">
        <f t="shared" si="0"/>
        <v>6.3867999999999938</v>
      </c>
      <c r="J41" s="12"/>
    </row>
    <row r="42" spans="8:10" ht="19.8" thickBot="1" x14ac:dyDescent="0.35">
      <c r="H42" s="9">
        <v>2047</v>
      </c>
      <c r="I42" s="11">
        <f t="shared" si="0"/>
        <v>6.517599999999959</v>
      </c>
      <c r="J42" s="13"/>
    </row>
    <row r="43" spans="8:10" ht="19.8" thickBot="1" x14ac:dyDescent="0.35">
      <c r="H43" s="9">
        <v>2048</v>
      </c>
      <c r="I43" s="11">
        <f t="shared" si="0"/>
        <v>6.648399999999981</v>
      </c>
      <c r="J43" s="12"/>
    </row>
    <row r="44" spans="8:10" ht="19.8" thickBot="1" x14ac:dyDescent="0.35">
      <c r="H44" s="9">
        <v>2049</v>
      </c>
      <c r="I44" s="11">
        <f t="shared" si="0"/>
        <v>6.779200000000003</v>
      </c>
      <c r="J44" s="13"/>
    </row>
    <row r="45" spans="8:10" ht="19.8" thickBot="1" x14ac:dyDescent="0.35">
      <c r="H45" s="9">
        <v>2050</v>
      </c>
      <c r="I45" s="11">
        <f t="shared" si="0"/>
        <v>6.9099999999999682</v>
      </c>
      <c r="J45" s="12"/>
    </row>
    <row r="46" spans="8:10" ht="19.8" thickBot="1" x14ac:dyDescent="0.35">
      <c r="H46" s="9">
        <v>2051</v>
      </c>
      <c r="I46" s="11">
        <f t="shared" si="0"/>
        <v>7.0407999999999902</v>
      </c>
      <c r="J46" s="13"/>
    </row>
    <row r="47" spans="8:10" ht="19.8" thickBot="1" x14ac:dyDescent="0.35">
      <c r="H47" s="9">
        <v>2052</v>
      </c>
      <c r="I47" s="11">
        <f t="shared" si="0"/>
        <v>7.1715999999999553</v>
      </c>
      <c r="J47" s="12"/>
    </row>
    <row r="48" spans="8:10" ht="19.8" thickBot="1" x14ac:dyDescent="0.35">
      <c r="H48" s="9">
        <v>2053</v>
      </c>
      <c r="I48" s="11">
        <f t="shared" si="0"/>
        <v>7.3023999999999774</v>
      </c>
      <c r="J48" s="13"/>
    </row>
    <row r="49" spans="8:10" ht="19.8" thickBot="1" x14ac:dyDescent="0.35">
      <c r="H49" s="9">
        <v>2054</v>
      </c>
      <c r="I49" s="11">
        <f t="shared" si="0"/>
        <v>7.4331999999999994</v>
      </c>
      <c r="J49" s="12"/>
    </row>
    <row r="50" spans="8:10" ht="19.8" thickBot="1" x14ac:dyDescent="0.35">
      <c r="H50" s="9">
        <v>2055</v>
      </c>
      <c r="I50" s="11">
        <f t="shared" si="0"/>
        <v>7.5639999999999645</v>
      </c>
      <c r="J50" s="13"/>
    </row>
    <row r="51" spans="8:10" ht="19.8" thickBot="1" x14ac:dyDescent="0.35">
      <c r="H51" s="9">
        <v>2056</v>
      </c>
      <c r="I51" s="11">
        <f t="shared" si="0"/>
        <v>7.6947999999999865</v>
      </c>
      <c r="J51" s="12"/>
    </row>
    <row r="52" spans="8:10" ht="19.8" thickBot="1" x14ac:dyDescent="0.35">
      <c r="H52" s="9">
        <v>2057</v>
      </c>
      <c r="I52" s="11">
        <f t="shared" si="0"/>
        <v>7.8256000000000085</v>
      </c>
      <c r="J52" s="13"/>
    </row>
    <row r="53" spans="8:10" ht="19.8" thickBot="1" x14ac:dyDescent="0.35">
      <c r="H53" s="9">
        <v>2058</v>
      </c>
      <c r="I53" s="11">
        <f t="shared" si="0"/>
        <v>7.9563999999999737</v>
      </c>
      <c r="J53" s="12"/>
    </row>
    <row r="54" spans="8:10" ht="19.8" thickBot="1" x14ac:dyDescent="0.35">
      <c r="H54" s="9">
        <v>2059</v>
      </c>
      <c r="I54" s="11">
        <f t="shared" si="0"/>
        <v>8.0871999999999957</v>
      </c>
      <c r="J54" s="13"/>
    </row>
    <row r="55" spans="8:10" ht="19.8" thickBot="1" x14ac:dyDescent="0.35">
      <c r="H55" s="9">
        <v>2060</v>
      </c>
      <c r="I55" s="11">
        <f t="shared" si="0"/>
        <v>8.2179999999999609</v>
      </c>
      <c r="J55" s="12"/>
    </row>
    <row r="56" spans="8:10" ht="19.8" thickBot="1" x14ac:dyDescent="0.35">
      <c r="H56" s="9">
        <v>2061</v>
      </c>
      <c r="I56" s="11">
        <f t="shared" si="0"/>
        <v>8.3487999999999829</v>
      </c>
      <c r="J56" s="13"/>
    </row>
    <row r="57" spans="8:10" ht="19.8" thickBot="1" x14ac:dyDescent="0.35">
      <c r="H57" s="9">
        <v>2062</v>
      </c>
      <c r="I57" s="11">
        <f t="shared" si="0"/>
        <v>8.4796000000000049</v>
      </c>
      <c r="J57" s="12"/>
    </row>
    <row r="58" spans="8:10" ht="19.8" thickBot="1" x14ac:dyDescent="0.35">
      <c r="H58" s="9">
        <v>2063</v>
      </c>
      <c r="I58" s="11">
        <f t="shared" si="0"/>
        <v>8.6103999999999701</v>
      </c>
      <c r="J58" s="13"/>
    </row>
    <row r="59" spans="8:10" ht="19.8" thickBot="1" x14ac:dyDescent="0.35">
      <c r="H59" s="9">
        <v>2064</v>
      </c>
      <c r="I59" s="11">
        <f t="shared" si="0"/>
        <v>8.7411999999999921</v>
      </c>
      <c r="J59" s="12"/>
    </row>
    <row r="60" spans="8:10" ht="19.8" thickBot="1" x14ac:dyDescent="0.35">
      <c r="H60" s="9">
        <v>2065</v>
      </c>
      <c r="I60" s="11">
        <f t="shared" si="0"/>
        <v>8.8719999999999573</v>
      </c>
      <c r="J60" s="13"/>
    </row>
    <row r="61" spans="8:10" ht="19.8" thickBot="1" x14ac:dyDescent="0.35">
      <c r="H61" s="9">
        <v>2066</v>
      </c>
      <c r="I61" s="11">
        <f t="shared" si="0"/>
        <v>9.0027999999999793</v>
      </c>
      <c r="J61" s="12"/>
    </row>
    <row r="62" spans="8:10" ht="19.8" thickBot="1" x14ac:dyDescent="0.35">
      <c r="H62" s="9">
        <v>2067</v>
      </c>
      <c r="I62" s="11">
        <f t="shared" si="0"/>
        <v>9.1336000000000013</v>
      </c>
      <c r="J62" s="13"/>
    </row>
    <row r="63" spans="8:10" ht="19.8" thickBot="1" x14ac:dyDescent="0.35">
      <c r="H63" s="9">
        <v>2068</v>
      </c>
      <c r="I63" s="11">
        <f t="shared" si="0"/>
        <v>9.2643999999999664</v>
      </c>
      <c r="J63" s="12"/>
    </row>
    <row r="64" spans="8:10" ht="19.8" thickBot="1" x14ac:dyDescent="0.35">
      <c r="H64" s="9">
        <v>2069</v>
      </c>
      <c r="I64" s="11">
        <f t="shared" si="0"/>
        <v>9.3951999999999884</v>
      </c>
      <c r="J64" s="13"/>
    </row>
    <row r="65" spans="8:10" ht="19.8" thickBot="1" x14ac:dyDescent="0.35">
      <c r="H65" s="9">
        <v>2070</v>
      </c>
      <c r="I65" s="11">
        <f t="shared" si="0"/>
        <v>9.5259999999999536</v>
      </c>
      <c r="J65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18A72-1AF9-4319-AE5D-A5EE72F5C2D5}">
  <dimension ref="E4:AC66"/>
  <sheetViews>
    <sheetView topLeftCell="H2" workbookViewId="0">
      <selection activeCell="AA7" sqref="AA7"/>
    </sheetView>
  </sheetViews>
  <sheetFormatPr defaultRowHeight="14.4" x14ac:dyDescent="0.3"/>
  <cols>
    <col min="11" max="11" width="11.33203125" bestFit="1" customWidth="1"/>
  </cols>
  <sheetData>
    <row r="4" spans="9:28" ht="15" thickBot="1" x14ac:dyDescent="0.35"/>
    <row r="5" spans="9:28" ht="28.2" thickBot="1" x14ac:dyDescent="0.35">
      <c r="I5" s="14" t="s">
        <v>3</v>
      </c>
      <c r="J5" s="15" t="s">
        <v>1</v>
      </c>
      <c r="K5" t="s">
        <v>2</v>
      </c>
    </row>
    <row r="6" spans="9:28" x14ac:dyDescent="0.3">
      <c r="I6" s="21">
        <v>2010</v>
      </c>
      <c r="J6" s="22">
        <v>1.6756200000000001</v>
      </c>
      <c r="K6">
        <v>12.66</v>
      </c>
    </row>
    <row r="7" spans="9:28" x14ac:dyDescent="0.3">
      <c r="I7" s="16">
        <v>2011</v>
      </c>
      <c r="J7" s="17">
        <v>1.8230500000000001</v>
      </c>
      <c r="K7">
        <v>13.08</v>
      </c>
      <c r="W7" t="s">
        <v>3</v>
      </c>
      <c r="X7" t="s">
        <v>1</v>
      </c>
      <c r="Y7" t="s">
        <v>2</v>
      </c>
      <c r="Z7" t="s">
        <v>4</v>
      </c>
      <c r="AA7" t="s">
        <v>7</v>
      </c>
      <c r="AB7" t="s">
        <v>4</v>
      </c>
    </row>
    <row r="8" spans="9:28" x14ac:dyDescent="0.3">
      <c r="I8" s="16">
        <v>2012</v>
      </c>
      <c r="J8" s="17">
        <v>1.8276399999999999</v>
      </c>
      <c r="K8">
        <v>13.18</v>
      </c>
      <c r="W8">
        <v>2010</v>
      </c>
      <c r="X8">
        <v>1.6756200000000001</v>
      </c>
      <c r="Y8">
        <v>12.66</v>
      </c>
      <c r="Z8">
        <f>Y8*5.18</f>
        <v>65.578800000000001</v>
      </c>
      <c r="AA8">
        <v>65.578800000000001</v>
      </c>
      <c r="AB8">
        <v>65.578800000000001</v>
      </c>
    </row>
    <row r="9" spans="9:28" x14ac:dyDescent="0.3">
      <c r="I9" s="16">
        <v>2013</v>
      </c>
      <c r="J9" s="17">
        <v>1.8567199999999999</v>
      </c>
      <c r="K9">
        <v>13.54</v>
      </c>
      <c r="W9">
        <v>2020</v>
      </c>
      <c r="X9">
        <v>2.9</v>
      </c>
      <c r="Y9">
        <v>14.67</v>
      </c>
      <c r="Z9">
        <f t="shared" ref="Z9:Z14" si="0">Y9*5.18</f>
        <v>75.990600000000001</v>
      </c>
      <c r="AA9">
        <v>75.990600000000001</v>
      </c>
      <c r="AB9">
        <v>75.990600000000001</v>
      </c>
    </row>
    <row r="10" spans="9:28" x14ac:dyDescent="0.3">
      <c r="I10" s="16">
        <v>2014</v>
      </c>
      <c r="J10" s="17">
        <v>2.0391300000000001</v>
      </c>
      <c r="K10">
        <v>13.63</v>
      </c>
      <c r="W10">
        <v>2030</v>
      </c>
      <c r="X10">
        <v>6.2</v>
      </c>
      <c r="Y10">
        <v>20.59</v>
      </c>
      <c r="Z10">
        <f t="shared" si="0"/>
        <v>106.6562</v>
      </c>
      <c r="AA10">
        <f>Y10*5.53</f>
        <v>113.8627</v>
      </c>
      <c r="AB10">
        <v>106.6562</v>
      </c>
    </row>
    <row r="11" spans="9:28" x14ac:dyDescent="0.3">
      <c r="I11" s="16">
        <v>2015</v>
      </c>
      <c r="J11" s="17">
        <v>2.1035900000000001</v>
      </c>
      <c r="K11">
        <v>13.55</v>
      </c>
      <c r="W11">
        <v>2040</v>
      </c>
      <c r="X11">
        <v>14.8</v>
      </c>
      <c r="Y11">
        <v>28.63</v>
      </c>
      <c r="Z11">
        <f t="shared" si="0"/>
        <v>148.30339999999998</v>
      </c>
      <c r="AA11">
        <f t="shared" ref="AA11:AA14" si="1">Y11*5.53</f>
        <v>158.32390000000001</v>
      </c>
      <c r="AB11">
        <v>148.30339999999998</v>
      </c>
    </row>
    <row r="12" spans="9:28" x14ac:dyDescent="0.3">
      <c r="I12" s="16">
        <v>2016</v>
      </c>
      <c r="J12" s="17">
        <v>2.2948</v>
      </c>
      <c r="K12">
        <v>14.68</v>
      </c>
      <c r="W12">
        <v>2050</v>
      </c>
      <c r="X12">
        <v>35.1</v>
      </c>
      <c r="Y12">
        <v>39.81</v>
      </c>
      <c r="Z12">
        <f t="shared" si="0"/>
        <v>206.2158</v>
      </c>
      <c r="AA12">
        <f t="shared" si="1"/>
        <v>220.14930000000001</v>
      </c>
      <c r="AB12">
        <v>206.2158</v>
      </c>
    </row>
    <row r="13" spans="9:28" x14ac:dyDescent="0.3">
      <c r="I13" s="16">
        <v>2017</v>
      </c>
      <c r="J13" s="17">
        <v>2.6514700000000002</v>
      </c>
      <c r="K13">
        <v>14.52</v>
      </c>
      <c r="W13">
        <v>2060</v>
      </c>
      <c r="X13">
        <v>42.6</v>
      </c>
      <c r="Y13">
        <v>55.95</v>
      </c>
      <c r="Z13">
        <f t="shared" si="0"/>
        <v>289.82100000000003</v>
      </c>
      <c r="AA13">
        <f t="shared" si="1"/>
        <v>309.40350000000001</v>
      </c>
      <c r="AB13">
        <v>289.82100000000003</v>
      </c>
    </row>
    <row r="14" spans="9:28" x14ac:dyDescent="0.3">
      <c r="I14" s="16">
        <v>2018</v>
      </c>
      <c r="J14" s="17">
        <v>2.7029299999999998</v>
      </c>
      <c r="K14">
        <v>14.41</v>
      </c>
      <c r="W14">
        <v>2070</v>
      </c>
      <c r="X14">
        <v>51.4</v>
      </c>
      <c r="Y14">
        <v>76.959999999999994</v>
      </c>
      <c r="Z14">
        <f t="shared" si="0"/>
        <v>398.65279999999996</v>
      </c>
      <c r="AA14">
        <f t="shared" si="1"/>
        <v>425.58879999999999</v>
      </c>
      <c r="AB14">
        <f>Y14*3</f>
        <v>230.88</v>
      </c>
    </row>
    <row r="15" spans="9:28" x14ac:dyDescent="0.3">
      <c r="I15" s="16">
        <v>2019</v>
      </c>
      <c r="J15" s="17">
        <v>2.83155</v>
      </c>
      <c r="K15">
        <v>14.34</v>
      </c>
    </row>
    <row r="16" spans="9:28" x14ac:dyDescent="0.3">
      <c r="I16" s="21">
        <v>2020</v>
      </c>
      <c r="J16" s="22">
        <v>2.9</v>
      </c>
      <c r="K16">
        <v>14.67</v>
      </c>
    </row>
    <row r="17" spans="9:29" ht="15" thickBot="1" x14ac:dyDescent="0.35">
      <c r="I17" s="16">
        <v>2021</v>
      </c>
      <c r="J17" s="18">
        <v>3.15</v>
      </c>
      <c r="K17">
        <v>14.76</v>
      </c>
      <c r="V17" t="s">
        <v>3</v>
      </c>
      <c r="W17" t="s">
        <v>1</v>
      </c>
      <c r="X17" t="s">
        <v>2</v>
      </c>
      <c r="Y17" t="s">
        <v>4</v>
      </c>
      <c r="Z17" t="s">
        <v>5</v>
      </c>
      <c r="AA17" t="s">
        <v>7</v>
      </c>
      <c r="AB17" t="s">
        <v>4</v>
      </c>
      <c r="AC17" t="s">
        <v>6</v>
      </c>
    </row>
    <row r="18" spans="9:29" ht="19.8" thickBot="1" x14ac:dyDescent="0.35">
      <c r="I18" s="16">
        <v>2022</v>
      </c>
      <c r="J18" s="19">
        <v>3.3849999999999998</v>
      </c>
      <c r="K18" s="12">
        <v>15.82</v>
      </c>
      <c r="V18">
        <v>2010</v>
      </c>
      <c r="W18">
        <v>1.6756200000000001</v>
      </c>
      <c r="X18">
        <v>12.66</v>
      </c>
      <c r="Y18">
        <v>65.578800000000001</v>
      </c>
      <c r="Z18">
        <v>65.578800000000001</v>
      </c>
      <c r="AA18">
        <v>65.578800000000001</v>
      </c>
      <c r="AB18">
        <v>65.578800000000001</v>
      </c>
      <c r="AC18">
        <v>65.578800000000001</v>
      </c>
    </row>
    <row r="19" spans="9:29" ht="19.8" thickBot="1" x14ac:dyDescent="0.35">
      <c r="I19" s="16">
        <v>2023</v>
      </c>
      <c r="J19" s="19">
        <v>3.75</v>
      </c>
      <c r="K19" s="13">
        <v>16.350000000000001</v>
      </c>
      <c r="V19">
        <v>2020</v>
      </c>
      <c r="W19">
        <v>2.9</v>
      </c>
      <c r="X19">
        <v>14.67</v>
      </c>
      <c r="Y19">
        <v>75.990600000000001</v>
      </c>
      <c r="Z19">
        <v>75.990600000000001</v>
      </c>
      <c r="AA19">
        <v>75.990600000000001</v>
      </c>
      <c r="AB19">
        <v>75.990600000000001</v>
      </c>
      <c r="AC19">
        <v>75.990600000000001</v>
      </c>
    </row>
    <row r="20" spans="9:29" ht="19.8" thickBot="1" x14ac:dyDescent="0.35">
      <c r="I20" s="21">
        <v>2030</v>
      </c>
      <c r="J20" s="23">
        <v>6.2</v>
      </c>
      <c r="K20" s="12">
        <v>21</v>
      </c>
      <c r="V20">
        <v>2030</v>
      </c>
      <c r="W20">
        <v>6.2</v>
      </c>
      <c r="X20">
        <v>20.59</v>
      </c>
      <c r="Y20">
        <v>106.6562</v>
      </c>
      <c r="Z20">
        <f>X20*3.8</f>
        <v>78.24199999999999</v>
      </c>
      <c r="AA20">
        <v>113.8627</v>
      </c>
      <c r="AB20">
        <v>106.6562</v>
      </c>
      <c r="AC20">
        <f>X20*3</f>
        <v>61.769999999999996</v>
      </c>
    </row>
    <row r="21" spans="9:29" ht="19.8" thickBot="1" x14ac:dyDescent="0.35">
      <c r="I21" s="21">
        <v>2040</v>
      </c>
      <c r="J21" s="23">
        <v>14.8</v>
      </c>
      <c r="K21" s="13">
        <v>29</v>
      </c>
      <c r="V21">
        <v>2040</v>
      </c>
      <c r="W21">
        <v>14.8</v>
      </c>
      <c r="X21">
        <v>28.63</v>
      </c>
      <c r="Y21">
        <v>148.30339999999998</v>
      </c>
      <c r="Z21">
        <f t="shared" ref="Z21:Z24" si="2">X21*3.8</f>
        <v>108.794</v>
      </c>
      <c r="AA21">
        <v>158.32390000000001</v>
      </c>
      <c r="AB21">
        <v>148.30339999999998</v>
      </c>
      <c r="AC21">
        <f>X21*2.65</f>
        <v>75.869499999999988</v>
      </c>
    </row>
    <row r="22" spans="9:29" ht="19.8" thickBot="1" x14ac:dyDescent="0.35">
      <c r="I22" s="21">
        <v>2050</v>
      </c>
      <c r="J22" s="23">
        <v>35.1</v>
      </c>
      <c r="K22" s="12">
        <v>40</v>
      </c>
      <c r="V22">
        <v>2050</v>
      </c>
      <c r="W22">
        <v>35.1</v>
      </c>
      <c r="X22">
        <v>39.81</v>
      </c>
      <c r="Y22">
        <v>206.2158</v>
      </c>
      <c r="Z22">
        <f t="shared" si="2"/>
        <v>151.27799999999999</v>
      </c>
      <c r="AA22">
        <v>220.14930000000001</v>
      </c>
      <c r="AB22">
        <v>206.2158</v>
      </c>
      <c r="AC22">
        <f>X22*2.23</f>
        <v>88.776300000000006</v>
      </c>
    </row>
    <row r="23" spans="9:29" ht="19.8" thickBot="1" x14ac:dyDescent="0.35">
      <c r="I23" s="21">
        <v>2060</v>
      </c>
      <c r="J23" s="23">
        <v>42.6</v>
      </c>
      <c r="K23" s="13">
        <v>55</v>
      </c>
      <c r="V23">
        <v>2060</v>
      </c>
      <c r="W23">
        <v>42.6</v>
      </c>
      <c r="X23">
        <v>55.95</v>
      </c>
      <c r="Y23">
        <v>289.82100000000003</v>
      </c>
      <c r="Z23">
        <f t="shared" si="2"/>
        <v>212.61</v>
      </c>
      <c r="AA23">
        <v>309.40350000000001</v>
      </c>
      <c r="AB23">
        <v>289.82100000000003</v>
      </c>
      <c r="AC23">
        <f>X23*1.73</f>
        <v>96.793500000000009</v>
      </c>
    </row>
    <row r="24" spans="9:29" ht="19.8" thickBot="1" x14ac:dyDescent="0.35">
      <c r="I24" s="24">
        <v>2070</v>
      </c>
      <c r="J24" s="25">
        <v>51.4</v>
      </c>
      <c r="K24" s="12">
        <v>77</v>
      </c>
      <c r="V24">
        <v>2070</v>
      </c>
      <c r="W24">
        <v>51.4</v>
      </c>
      <c r="X24">
        <v>76.959999999999994</v>
      </c>
      <c r="Y24">
        <v>398.65279999999996</v>
      </c>
      <c r="Z24">
        <f t="shared" si="2"/>
        <v>292.44799999999998</v>
      </c>
      <c r="AA24">
        <v>425.58879999999999</v>
      </c>
      <c r="AB24">
        <v>230.88</v>
      </c>
      <c r="AC24">
        <f>X24*0.7</f>
        <v>53.871999999999993</v>
      </c>
    </row>
    <row r="25" spans="9:29" ht="19.8" thickBot="1" x14ac:dyDescent="0.35">
      <c r="I25" s="23"/>
      <c r="J25" s="26"/>
      <c r="K25" s="13"/>
    </row>
    <row r="26" spans="9:29" ht="19.8" thickBot="1" x14ac:dyDescent="0.35">
      <c r="I26" s="20"/>
      <c r="K26" s="12"/>
    </row>
    <row r="27" spans="9:29" ht="19.8" thickBot="1" x14ac:dyDescent="0.35">
      <c r="K27" s="13"/>
    </row>
    <row r="28" spans="9:29" ht="19.8" thickBot="1" x14ac:dyDescent="0.35">
      <c r="K28" s="12"/>
    </row>
    <row r="29" spans="9:29" ht="19.8" thickBot="1" x14ac:dyDescent="0.35">
      <c r="K29" s="13"/>
    </row>
    <row r="30" spans="9:29" ht="19.8" thickBot="1" x14ac:dyDescent="0.35">
      <c r="K30" s="12"/>
    </row>
    <row r="31" spans="9:29" ht="19.8" thickBot="1" x14ac:dyDescent="0.35">
      <c r="K31" s="13"/>
    </row>
    <row r="32" spans="9:29" ht="19.8" thickBot="1" x14ac:dyDescent="0.35">
      <c r="K32" s="12"/>
    </row>
    <row r="33" spans="5:11" ht="19.8" thickBot="1" x14ac:dyDescent="0.35">
      <c r="K33" s="13"/>
    </row>
    <row r="34" spans="5:11" ht="19.8" thickBot="1" x14ac:dyDescent="0.35">
      <c r="K34" s="12"/>
    </row>
    <row r="35" spans="5:11" ht="19.8" thickBot="1" x14ac:dyDescent="0.35">
      <c r="K35" s="13"/>
    </row>
    <row r="36" spans="5:11" ht="19.8" thickBot="1" x14ac:dyDescent="0.35">
      <c r="K36" s="12"/>
    </row>
    <row r="37" spans="5:11" ht="19.8" thickBot="1" x14ac:dyDescent="0.35">
      <c r="K37" s="13"/>
    </row>
    <row r="38" spans="5:11" ht="19.8" thickBot="1" x14ac:dyDescent="0.35">
      <c r="E38">
        <v>5.9943999999999846</v>
      </c>
      <c r="K38" s="12"/>
    </row>
    <row r="39" spans="5:11" ht="19.8" thickBot="1" x14ac:dyDescent="0.35">
      <c r="E39">
        <v>6.1252000000000066</v>
      </c>
      <c r="K39" s="13"/>
    </row>
    <row r="40" spans="5:11" ht="19.8" thickBot="1" x14ac:dyDescent="0.35">
      <c r="E40">
        <v>6.2559999999999718</v>
      </c>
      <c r="K40" s="12"/>
    </row>
    <row r="41" spans="5:11" ht="19.8" thickBot="1" x14ac:dyDescent="0.35">
      <c r="E41">
        <v>6.3867999999999938</v>
      </c>
      <c r="K41" s="13"/>
    </row>
    <row r="42" spans="5:11" ht="19.8" thickBot="1" x14ac:dyDescent="0.35">
      <c r="E42">
        <v>6.517599999999959</v>
      </c>
      <c r="K42" s="12"/>
    </row>
    <row r="43" spans="5:11" ht="19.8" thickBot="1" x14ac:dyDescent="0.35">
      <c r="E43">
        <v>6.648399999999981</v>
      </c>
      <c r="K43" s="13"/>
    </row>
    <row r="44" spans="5:11" ht="19.8" thickBot="1" x14ac:dyDescent="0.35">
      <c r="E44">
        <v>6.779200000000003</v>
      </c>
      <c r="K44" s="12"/>
    </row>
    <row r="45" spans="5:11" ht="19.8" thickBot="1" x14ac:dyDescent="0.35">
      <c r="E45">
        <v>6.9099999999999682</v>
      </c>
      <c r="K45" s="13"/>
    </row>
    <row r="46" spans="5:11" ht="19.8" thickBot="1" x14ac:dyDescent="0.35">
      <c r="E46">
        <v>7.0407999999999902</v>
      </c>
      <c r="K46" s="12"/>
    </row>
    <row r="47" spans="5:11" ht="19.8" thickBot="1" x14ac:dyDescent="0.35">
      <c r="E47">
        <v>7.1715999999999553</v>
      </c>
      <c r="K47" s="13"/>
    </row>
    <row r="48" spans="5:11" ht="19.8" thickBot="1" x14ac:dyDescent="0.35">
      <c r="E48">
        <v>7.3023999999999774</v>
      </c>
      <c r="K48" s="12"/>
    </row>
    <row r="49" spans="5:11" ht="19.8" thickBot="1" x14ac:dyDescent="0.35">
      <c r="E49">
        <v>7.4331999999999994</v>
      </c>
      <c r="K49" s="13"/>
    </row>
    <row r="50" spans="5:11" ht="19.8" thickBot="1" x14ac:dyDescent="0.35">
      <c r="E50">
        <v>7.5639999999999645</v>
      </c>
      <c r="K50" s="12"/>
    </row>
    <row r="51" spans="5:11" ht="19.8" thickBot="1" x14ac:dyDescent="0.35">
      <c r="E51">
        <v>7.6947999999999865</v>
      </c>
      <c r="K51" s="13"/>
    </row>
    <row r="52" spans="5:11" ht="19.8" thickBot="1" x14ac:dyDescent="0.35">
      <c r="E52">
        <v>7.8256000000000085</v>
      </c>
      <c r="K52" s="12"/>
    </row>
    <row r="53" spans="5:11" ht="19.8" thickBot="1" x14ac:dyDescent="0.35">
      <c r="E53">
        <v>7.9563999999999737</v>
      </c>
      <c r="K53" s="13"/>
    </row>
    <row r="54" spans="5:11" ht="19.8" thickBot="1" x14ac:dyDescent="0.35">
      <c r="E54">
        <v>8.0871999999999957</v>
      </c>
      <c r="K54" s="12"/>
    </row>
    <row r="55" spans="5:11" ht="19.8" thickBot="1" x14ac:dyDescent="0.35">
      <c r="E55">
        <v>8.2179999999999609</v>
      </c>
      <c r="K55" s="13"/>
    </row>
    <row r="56" spans="5:11" ht="19.8" thickBot="1" x14ac:dyDescent="0.35">
      <c r="E56">
        <v>8.3487999999999829</v>
      </c>
      <c r="K56" s="12"/>
    </row>
    <row r="57" spans="5:11" ht="19.8" thickBot="1" x14ac:dyDescent="0.35">
      <c r="E57">
        <v>8.4796000000000049</v>
      </c>
      <c r="K57" s="13"/>
    </row>
    <row r="58" spans="5:11" ht="19.8" thickBot="1" x14ac:dyDescent="0.35">
      <c r="E58">
        <v>8.6103999999999701</v>
      </c>
      <c r="K58" s="12"/>
    </row>
    <row r="59" spans="5:11" ht="19.8" thickBot="1" x14ac:dyDescent="0.35">
      <c r="E59">
        <v>8.7411999999999921</v>
      </c>
      <c r="K59" s="13"/>
    </row>
    <row r="60" spans="5:11" ht="19.8" thickBot="1" x14ac:dyDescent="0.35">
      <c r="E60">
        <v>8.8719999999999573</v>
      </c>
      <c r="K60" s="12"/>
    </row>
    <row r="61" spans="5:11" ht="19.8" thickBot="1" x14ac:dyDescent="0.35">
      <c r="E61">
        <v>9.0027999999999793</v>
      </c>
      <c r="K61" s="13"/>
    </row>
    <row r="62" spans="5:11" ht="19.8" thickBot="1" x14ac:dyDescent="0.35">
      <c r="E62">
        <v>9.1336000000000013</v>
      </c>
      <c r="K62" s="12"/>
    </row>
    <row r="63" spans="5:11" ht="19.8" thickBot="1" x14ac:dyDescent="0.35">
      <c r="E63">
        <v>9.2643999999999664</v>
      </c>
      <c r="K63" s="13"/>
    </row>
    <row r="64" spans="5:11" ht="19.8" thickBot="1" x14ac:dyDescent="0.35">
      <c r="E64">
        <v>9.3951999999999884</v>
      </c>
      <c r="K64" s="12"/>
    </row>
    <row r="65" spans="5:11" ht="19.8" thickBot="1" x14ac:dyDescent="0.35">
      <c r="E65">
        <v>9.5259999999999536</v>
      </c>
      <c r="K65" s="13"/>
    </row>
    <row r="66" spans="5:11" ht="19.8" thickBot="1" x14ac:dyDescent="0.35">
      <c r="K66" s="1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DDE81-BF08-42F6-853D-740428506110}">
  <dimension ref="A1:L80"/>
  <sheetViews>
    <sheetView tabSelected="1" topLeftCell="A51" zoomScale="90" workbookViewId="0">
      <selection activeCell="A67" sqref="A67:L67"/>
    </sheetView>
  </sheetViews>
  <sheetFormatPr defaultColWidth="8.6640625" defaultRowHeight="14.4" x14ac:dyDescent="0.3"/>
  <cols>
    <col min="1" max="1" width="30" customWidth="1"/>
    <col min="2" max="9" width="14" customWidth="1"/>
    <col min="10" max="12" width="10" customWidth="1"/>
  </cols>
  <sheetData>
    <row r="1" spans="1:12" ht="15.6" x14ac:dyDescent="0.3">
      <c r="A1" s="57" t="s">
        <v>85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x14ac:dyDescent="0.3">
      <c r="A2" s="58" t="s">
        <v>87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4" spans="1:12" ht="15" thickBot="1" x14ac:dyDescent="0.35">
      <c r="A4" s="60" t="s">
        <v>88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2" ht="39.75" customHeight="1" x14ac:dyDescent="0.3">
      <c r="A5" s="76" t="s">
        <v>49</v>
      </c>
      <c r="B5" s="76" t="s">
        <v>50</v>
      </c>
      <c r="C5" s="76" t="s">
        <v>51</v>
      </c>
      <c r="D5" s="76" t="s">
        <v>52</v>
      </c>
      <c r="E5" s="76" t="s">
        <v>53</v>
      </c>
      <c r="F5" s="76" t="s">
        <v>54</v>
      </c>
      <c r="G5" s="76" t="s">
        <v>55</v>
      </c>
      <c r="H5" s="76" t="s">
        <v>56</v>
      </c>
      <c r="I5" s="76" t="s">
        <v>57</v>
      </c>
      <c r="J5" s="28"/>
      <c r="K5" s="28"/>
      <c r="L5" s="28"/>
    </row>
    <row r="6" spans="1:12" x14ac:dyDescent="0.3">
      <c r="A6" s="70">
        <v>2020</v>
      </c>
      <c r="B6" s="71">
        <v>14.67</v>
      </c>
      <c r="C6" s="71">
        <v>102.9834</v>
      </c>
      <c r="D6" s="71">
        <v>102.98</v>
      </c>
      <c r="E6" s="71">
        <v>110.7585</v>
      </c>
      <c r="F6" s="71">
        <v>110.76</v>
      </c>
      <c r="G6" s="71">
        <v>111.0519</v>
      </c>
      <c r="H6" s="71">
        <v>111.05</v>
      </c>
      <c r="I6" s="72" t="s">
        <v>64</v>
      </c>
      <c r="J6" s="28"/>
      <c r="K6" s="28"/>
      <c r="L6" s="28"/>
    </row>
    <row r="7" spans="1:12" x14ac:dyDescent="0.3">
      <c r="A7" s="70">
        <v>2021</v>
      </c>
      <c r="B7" s="71">
        <v>14.76</v>
      </c>
      <c r="C7" s="71">
        <v>103.6152</v>
      </c>
      <c r="D7" s="71">
        <v>206.6</v>
      </c>
      <c r="E7" s="71">
        <v>111.438</v>
      </c>
      <c r="F7" s="71">
        <v>222.2</v>
      </c>
      <c r="G7" s="71">
        <v>111.7332</v>
      </c>
      <c r="H7" s="71">
        <v>222.79</v>
      </c>
      <c r="I7" s="72" t="s">
        <v>64</v>
      </c>
      <c r="J7" s="28"/>
      <c r="K7" s="28"/>
      <c r="L7" s="28"/>
    </row>
    <row r="8" spans="1:12" x14ac:dyDescent="0.3">
      <c r="A8" s="70">
        <v>2022</v>
      </c>
      <c r="B8" s="71">
        <v>15.82</v>
      </c>
      <c r="C8" s="71">
        <v>111.0564</v>
      </c>
      <c r="D8" s="71">
        <v>317.64999999999998</v>
      </c>
      <c r="E8" s="71">
        <v>119.441</v>
      </c>
      <c r="F8" s="71">
        <v>341.64</v>
      </c>
      <c r="G8" s="71">
        <v>119.7574</v>
      </c>
      <c r="H8" s="71">
        <v>342.54</v>
      </c>
      <c r="I8" s="72" t="s">
        <v>64</v>
      </c>
      <c r="J8" s="28"/>
      <c r="K8" s="28"/>
      <c r="L8" s="28"/>
    </row>
    <row r="9" spans="1:12" x14ac:dyDescent="0.3">
      <c r="A9" s="70">
        <v>2023</v>
      </c>
      <c r="B9" s="71">
        <v>16.350000000000001</v>
      </c>
      <c r="C9" s="71">
        <v>114.777</v>
      </c>
      <c r="D9" s="71">
        <v>432.43</v>
      </c>
      <c r="E9" s="71">
        <v>123.4425</v>
      </c>
      <c r="F9" s="71">
        <v>465.08</v>
      </c>
      <c r="G9" s="71">
        <v>123.76949999999999</v>
      </c>
      <c r="H9" s="71">
        <v>466.31</v>
      </c>
      <c r="I9" s="72" t="s">
        <v>64</v>
      </c>
      <c r="J9" s="28"/>
      <c r="K9" s="28"/>
      <c r="L9" s="28"/>
    </row>
    <row r="10" spans="1:12" x14ac:dyDescent="0.3">
      <c r="A10" s="70">
        <v>2024</v>
      </c>
      <c r="B10" s="71">
        <v>16.899999999999999</v>
      </c>
      <c r="C10" s="71">
        <v>118.63800000000001</v>
      </c>
      <c r="D10" s="71">
        <v>551.07000000000005</v>
      </c>
      <c r="E10" s="71">
        <v>127.595</v>
      </c>
      <c r="F10" s="71">
        <v>592.67999999999995</v>
      </c>
      <c r="G10" s="71">
        <v>127.93300000000001</v>
      </c>
      <c r="H10" s="71">
        <v>594.25</v>
      </c>
      <c r="I10" s="72" t="s">
        <v>64</v>
      </c>
      <c r="J10" s="28"/>
      <c r="K10" s="28"/>
      <c r="L10" s="28"/>
    </row>
    <row r="11" spans="1:12" x14ac:dyDescent="0.3">
      <c r="A11" s="70">
        <v>2025</v>
      </c>
      <c r="B11" s="71">
        <v>17.47</v>
      </c>
      <c r="C11" s="71">
        <v>122.63939999999999</v>
      </c>
      <c r="D11" s="71">
        <v>673.71</v>
      </c>
      <c r="E11" s="71">
        <v>131.89850000000001</v>
      </c>
      <c r="F11" s="71">
        <v>724.57</v>
      </c>
      <c r="G11" s="71">
        <v>132.24789999999999</v>
      </c>
      <c r="H11" s="71">
        <v>726.49</v>
      </c>
      <c r="I11" s="72" t="s">
        <v>64</v>
      </c>
      <c r="J11" s="28"/>
      <c r="K11" s="28"/>
      <c r="L11" s="28"/>
    </row>
    <row r="12" spans="1:12" x14ac:dyDescent="0.3">
      <c r="A12" s="70">
        <v>2026</v>
      </c>
      <c r="B12" s="71">
        <v>18.05</v>
      </c>
      <c r="C12" s="71">
        <v>126.711</v>
      </c>
      <c r="D12" s="71">
        <v>800.42</v>
      </c>
      <c r="E12" s="71">
        <v>136.2775</v>
      </c>
      <c r="F12" s="71">
        <v>860.85</v>
      </c>
      <c r="G12" s="71">
        <v>136.63849999999999</v>
      </c>
      <c r="H12" s="71">
        <v>863.13</v>
      </c>
      <c r="I12" s="72" t="s">
        <v>64</v>
      </c>
      <c r="J12" s="28"/>
      <c r="K12" s="28"/>
      <c r="L12" s="28"/>
    </row>
    <row r="13" spans="1:12" x14ac:dyDescent="0.3">
      <c r="A13" s="70">
        <v>2027</v>
      </c>
      <c r="B13" s="71">
        <v>18.66</v>
      </c>
      <c r="C13" s="71">
        <v>130.9932</v>
      </c>
      <c r="D13" s="71">
        <v>931.41</v>
      </c>
      <c r="E13" s="71">
        <v>140.88300000000001</v>
      </c>
      <c r="F13" s="71">
        <v>1001.73</v>
      </c>
      <c r="G13" s="71">
        <v>141.25620000000001</v>
      </c>
      <c r="H13" s="71">
        <v>1004.39</v>
      </c>
      <c r="I13" s="72" t="s">
        <v>64</v>
      </c>
      <c r="J13" s="28"/>
      <c r="K13" s="28"/>
      <c r="L13" s="28"/>
    </row>
    <row r="14" spans="1:12" x14ac:dyDescent="0.3">
      <c r="A14" s="70">
        <v>2028</v>
      </c>
      <c r="B14" s="71">
        <v>19.28</v>
      </c>
      <c r="C14" s="71">
        <v>135.34559999999999</v>
      </c>
      <c r="D14" s="71">
        <v>1066.76</v>
      </c>
      <c r="E14" s="71">
        <v>145.56399999999999</v>
      </c>
      <c r="F14" s="71">
        <v>1147.3</v>
      </c>
      <c r="G14" s="71">
        <v>145.9496</v>
      </c>
      <c r="H14" s="71">
        <v>1150.3399999999999</v>
      </c>
      <c r="I14" s="72" t="s">
        <v>64</v>
      </c>
      <c r="J14" s="28"/>
      <c r="K14" s="28"/>
      <c r="L14" s="28"/>
    </row>
    <row r="15" spans="1:12" x14ac:dyDescent="0.3">
      <c r="A15" s="70">
        <v>2029</v>
      </c>
      <c r="B15" s="71">
        <v>19.93</v>
      </c>
      <c r="C15" s="71">
        <v>139.90860000000001</v>
      </c>
      <c r="D15" s="71">
        <v>1206.67</v>
      </c>
      <c r="E15" s="71">
        <v>150.47149999999999</v>
      </c>
      <c r="F15" s="71">
        <v>1297.77</v>
      </c>
      <c r="G15" s="71">
        <v>150.87010000000001</v>
      </c>
      <c r="H15" s="71">
        <v>1301.21</v>
      </c>
      <c r="I15" s="72" t="s">
        <v>64</v>
      </c>
      <c r="J15" s="28"/>
      <c r="K15" s="28"/>
      <c r="L15" s="28"/>
    </row>
    <row r="16" spans="1:12" x14ac:dyDescent="0.3">
      <c r="A16" s="29">
        <v>2030</v>
      </c>
      <c r="B16" s="30">
        <v>20.59</v>
      </c>
      <c r="C16" s="30">
        <v>144.54179999999999</v>
      </c>
      <c r="D16" s="30">
        <v>1351.21</v>
      </c>
      <c r="E16" s="30">
        <v>155.4545</v>
      </c>
      <c r="F16" s="30">
        <v>1453.22</v>
      </c>
      <c r="G16" s="30">
        <v>155.8663</v>
      </c>
      <c r="H16" s="30">
        <v>1457.07</v>
      </c>
      <c r="I16" s="31" t="s">
        <v>65</v>
      </c>
      <c r="J16" s="28"/>
      <c r="K16" s="28"/>
      <c r="L16" s="28"/>
    </row>
    <row r="17" spans="1:12" x14ac:dyDescent="0.3">
      <c r="A17" s="29">
        <v>2031</v>
      </c>
      <c r="B17" s="30">
        <v>21.28</v>
      </c>
      <c r="C17" s="30">
        <v>149.38560000000001</v>
      </c>
      <c r="D17" s="30">
        <v>1500.6</v>
      </c>
      <c r="E17" s="30">
        <v>160.66399999999999</v>
      </c>
      <c r="F17" s="30">
        <v>1613.89</v>
      </c>
      <c r="G17" s="30">
        <v>161.08959999999999</v>
      </c>
      <c r="H17" s="30">
        <v>1618.16</v>
      </c>
      <c r="I17" s="31" t="s">
        <v>65</v>
      </c>
      <c r="J17" s="28"/>
      <c r="K17" s="28"/>
      <c r="L17" s="28"/>
    </row>
    <row r="18" spans="1:12" x14ac:dyDescent="0.3">
      <c r="A18" s="29">
        <v>2032</v>
      </c>
      <c r="B18" s="30">
        <v>22</v>
      </c>
      <c r="C18" s="30">
        <v>154.44</v>
      </c>
      <c r="D18" s="30">
        <v>1655.04</v>
      </c>
      <c r="E18" s="30">
        <v>166.1</v>
      </c>
      <c r="F18" s="30">
        <v>1779.99</v>
      </c>
      <c r="G18" s="30">
        <v>166.54</v>
      </c>
      <c r="H18" s="30">
        <v>1784.7</v>
      </c>
      <c r="I18" s="31" t="s">
        <v>65</v>
      </c>
      <c r="J18" s="28"/>
      <c r="K18" s="28"/>
      <c r="L18" s="28"/>
    </row>
    <row r="19" spans="1:12" x14ac:dyDescent="0.3">
      <c r="A19" s="29">
        <v>2033</v>
      </c>
      <c r="B19" s="30">
        <v>22.73</v>
      </c>
      <c r="C19" s="30">
        <v>159.56460000000001</v>
      </c>
      <c r="D19" s="30">
        <v>1814.6</v>
      </c>
      <c r="E19" s="30">
        <v>171.61150000000001</v>
      </c>
      <c r="F19" s="30">
        <v>1951.6</v>
      </c>
      <c r="G19" s="30">
        <v>172.06610000000001</v>
      </c>
      <c r="H19" s="30">
        <v>1956.77</v>
      </c>
      <c r="I19" s="31" t="s">
        <v>65</v>
      </c>
      <c r="J19" s="28"/>
      <c r="K19" s="28"/>
      <c r="L19" s="28"/>
    </row>
    <row r="20" spans="1:12" x14ac:dyDescent="0.3">
      <c r="A20" s="29">
        <v>2034</v>
      </c>
      <c r="B20" s="30">
        <v>23.5</v>
      </c>
      <c r="C20" s="30">
        <v>164.97</v>
      </c>
      <c r="D20" s="30">
        <v>1979.57</v>
      </c>
      <c r="E20" s="30">
        <v>177.42500000000001</v>
      </c>
      <c r="F20" s="30">
        <v>2129.02</v>
      </c>
      <c r="G20" s="30">
        <v>177.89500000000001</v>
      </c>
      <c r="H20" s="30">
        <v>2134.66</v>
      </c>
      <c r="I20" s="31" t="s">
        <v>65</v>
      </c>
      <c r="J20" s="28"/>
      <c r="K20" s="28"/>
      <c r="L20" s="28"/>
    </row>
    <row r="21" spans="1:12" x14ac:dyDescent="0.3">
      <c r="A21" s="29">
        <v>2035</v>
      </c>
      <c r="B21" s="30">
        <v>24.28</v>
      </c>
      <c r="C21" s="30">
        <v>170.44560000000001</v>
      </c>
      <c r="D21" s="30">
        <v>2150.02</v>
      </c>
      <c r="E21" s="30">
        <v>183.31399999999999</v>
      </c>
      <c r="F21" s="30">
        <v>2312.34</v>
      </c>
      <c r="G21" s="30">
        <v>183.7996</v>
      </c>
      <c r="H21" s="30">
        <v>2318.46</v>
      </c>
      <c r="I21" s="31" t="s">
        <v>65</v>
      </c>
      <c r="J21" s="28"/>
      <c r="K21" s="28"/>
      <c r="L21" s="28"/>
    </row>
    <row r="22" spans="1:12" x14ac:dyDescent="0.3">
      <c r="A22" s="29">
        <v>2036</v>
      </c>
      <c r="B22" s="30">
        <v>25.1</v>
      </c>
      <c r="C22" s="30">
        <v>176.202</v>
      </c>
      <c r="D22" s="30">
        <v>2326.2199999999998</v>
      </c>
      <c r="E22" s="30">
        <v>189.505</v>
      </c>
      <c r="F22" s="30">
        <v>2501.84</v>
      </c>
      <c r="G22" s="30">
        <v>190.00700000000001</v>
      </c>
      <c r="H22" s="30">
        <v>2508.4699999999998</v>
      </c>
      <c r="I22" s="31" t="s">
        <v>65</v>
      </c>
      <c r="J22" s="28"/>
      <c r="K22" s="28"/>
      <c r="L22" s="28"/>
    </row>
    <row r="23" spans="1:12" x14ac:dyDescent="0.3">
      <c r="A23" s="29">
        <v>2037</v>
      </c>
      <c r="B23" s="30">
        <v>25.94</v>
      </c>
      <c r="C23" s="30">
        <v>182.09880000000001</v>
      </c>
      <c r="D23" s="30">
        <v>2508.3200000000002</v>
      </c>
      <c r="E23" s="30">
        <v>195.84700000000001</v>
      </c>
      <c r="F23" s="30">
        <v>2697.69</v>
      </c>
      <c r="G23" s="30">
        <v>196.36580000000001</v>
      </c>
      <c r="H23" s="30">
        <v>2704.84</v>
      </c>
      <c r="I23" s="31" t="s">
        <v>65</v>
      </c>
      <c r="J23" s="28"/>
      <c r="K23" s="28"/>
      <c r="L23" s="28"/>
    </row>
    <row r="24" spans="1:12" x14ac:dyDescent="0.3">
      <c r="A24" s="29">
        <v>2038</v>
      </c>
      <c r="B24" s="30">
        <v>26.81</v>
      </c>
      <c r="C24" s="30">
        <v>188.2062</v>
      </c>
      <c r="D24" s="30">
        <v>2696.52</v>
      </c>
      <c r="E24" s="30">
        <v>202.41550000000001</v>
      </c>
      <c r="F24" s="30">
        <v>2900.11</v>
      </c>
      <c r="G24" s="30">
        <v>202.95169999999999</v>
      </c>
      <c r="H24" s="30">
        <v>2907.79</v>
      </c>
      <c r="I24" s="31" t="s">
        <v>65</v>
      </c>
      <c r="J24" s="28"/>
      <c r="K24" s="28"/>
      <c r="L24" s="28"/>
    </row>
    <row r="25" spans="1:12" x14ac:dyDescent="0.3">
      <c r="A25" s="29">
        <v>2039</v>
      </c>
      <c r="B25" s="30">
        <v>27.71</v>
      </c>
      <c r="C25" s="30">
        <v>194.52420000000001</v>
      </c>
      <c r="D25" s="30">
        <v>2891.05</v>
      </c>
      <c r="E25" s="30">
        <v>209.2105</v>
      </c>
      <c r="F25" s="30">
        <v>3109.32</v>
      </c>
      <c r="G25" s="30">
        <v>209.7647</v>
      </c>
      <c r="H25" s="30">
        <v>3117.55</v>
      </c>
      <c r="I25" s="31" t="s">
        <v>65</v>
      </c>
      <c r="J25" s="28"/>
      <c r="K25" s="28"/>
      <c r="L25" s="28"/>
    </row>
    <row r="26" spans="1:12" x14ac:dyDescent="0.3">
      <c r="A26" s="73">
        <v>2040</v>
      </c>
      <c r="B26" s="74">
        <v>28.63</v>
      </c>
      <c r="C26" s="74">
        <v>200.98259999999999</v>
      </c>
      <c r="D26" s="74">
        <v>3092.03</v>
      </c>
      <c r="E26" s="74">
        <v>216.15649999999999</v>
      </c>
      <c r="F26" s="74">
        <v>3325.47</v>
      </c>
      <c r="G26" s="74">
        <v>216.72909999999999</v>
      </c>
      <c r="H26" s="74">
        <v>3334.28</v>
      </c>
      <c r="I26" s="75" t="s">
        <v>66</v>
      </c>
      <c r="J26" s="28"/>
      <c r="K26" s="28"/>
      <c r="L26" s="28"/>
    </row>
    <row r="27" spans="1:12" x14ac:dyDescent="0.3">
      <c r="A27" s="73">
        <v>2041</v>
      </c>
      <c r="B27" s="74">
        <v>29.59</v>
      </c>
      <c r="C27" s="74">
        <v>207.7218</v>
      </c>
      <c r="D27" s="74">
        <v>3299.75</v>
      </c>
      <c r="E27" s="74">
        <v>223.40450000000001</v>
      </c>
      <c r="F27" s="74">
        <v>3548.88</v>
      </c>
      <c r="G27" s="74">
        <v>223.99629999999999</v>
      </c>
      <c r="H27" s="74">
        <v>3558.28</v>
      </c>
      <c r="I27" s="75" t="s">
        <v>66</v>
      </c>
      <c r="J27" s="28"/>
      <c r="K27" s="28"/>
      <c r="L27" s="28"/>
    </row>
    <row r="28" spans="1:12" x14ac:dyDescent="0.3">
      <c r="A28" s="73">
        <v>2042</v>
      </c>
      <c r="B28" s="74">
        <v>30.58</v>
      </c>
      <c r="C28" s="74">
        <v>214.67160000000001</v>
      </c>
      <c r="D28" s="74">
        <v>3514.42</v>
      </c>
      <c r="E28" s="74">
        <v>230.87899999999999</v>
      </c>
      <c r="F28" s="74">
        <v>3779.76</v>
      </c>
      <c r="G28" s="74">
        <v>231.4906</v>
      </c>
      <c r="H28" s="74">
        <v>3789.77</v>
      </c>
      <c r="I28" s="75" t="s">
        <v>66</v>
      </c>
      <c r="J28" s="28"/>
      <c r="K28" s="28"/>
      <c r="L28" s="28"/>
    </row>
    <row r="29" spans="1:12" x14ac:dyDescent="0.3">
      <c r="A29" s="73">
        <v>2043</v>
      </c>
      <c r="B29" s="74">
        <v>31.61</v>
      </c>
      <c r="C29" s="74">
        <v>221.90219999999999</v>
      </c>
      <c r="D29" s="74">
        <v>3736.32</v>
      </c>
      <c r="E29" s="74">
        <v>238.65549999999999</v>
      </c>
      <c r="F29" s="74">
        <v>4018.41</v>
      </c>
      <c r="G29" s="74">
        <v>239.2877</v>
      </c>
      <c r="H29" s="74">
        <v>4029.06</v>
      </c>
      <c r="I29" s="75" t="s">
        <v>66</v>
      </c>
      <c r="J29" s="28"/>
      <c r="K29" s="28"/>
      <c r="L29" s="28"/>
    </row>
    <row r="30" spans="1:12" x14ac:dyDescent="0.3">
      <c r="A30" s="73">
        <v>2044</v>
      </c>
      <c r="B30" s="74">
        <v>32.67</v>
      </c>
      <c r="C30" s="74">
        <v>229.3434</v>
      </c>
      <c r="D30" s="74">
        <v>3965.67</v>
      </c>
      <c r="E30" s="74">
        <v>246.6585</v>
      </c>
      <c r="F30" s="74">
        <v>4265.07</v>
      </c>
      <c r="G30" s="74">
        <v>247.31190000000001</v>
      </c>
      <c r="H30" s="74">
        <v>4276.37</v>
      </c>
      <c r="I30" s="75" t="s">
        <v>66</v>
      </c>
      <c r="J30" s="28"/>
      <c r="K30" s="28"/>
      <c r="L30" s="28"/>
    </row>
    <row r="31" spans="1:12" x14ac:dyDescent="0.3">
      <c r="A31" s="73">
        <v>2045</v>
      </c>
      <c r="B31" s="74">
        <v>33.76</v>
      </c>
      <c r="C31" s="74">
        <v>236.99520000000001</v>
      </c>
      <c r="D31" s="74">
        <v>4202.66</v>
      </c>
      <c r="E31" s="74">
        <v>254.88800000000001</v>
      </c>
      <c r="F31" s="74">
        <v>4519.96</v>
      </c>
      <c r="G31" s="74">
        <v>255.56319999999999</v>
      </c>
      <c r="H31" s="74">
        <v>4531.93</v>
      </c>
      <c r="I31" s="75" t="s">
        <v>66</v>
      </c>
      <c r="J31" s="28"/>
      <c r="K31" s="28"/>
      <c r="L31" s="28"/>
    </row>
    <row r="32" spans="1:12" x14ac:dyDescent="0.3">
      <c r="A32" s="73">
        <v>2046</v>
      </c>
      <c r="B32" s="74">
        <v>34.89</v>
      </c>
      <c r="C32" s="74">
        <v>244.92779999999999</v>
      </c>
      <c r="D32" s="74">
        <v>4447.59</v>
      </c>
      <c r="E32" s="74">
        <v>263.41950000000003</v>
      </c>
      <c r="F32" s="74">
        <v>4783.38</v>
      </c>
      <c r="G32" s="74">
        <v>264.1173</v>
      </c>
      <c r="H32" s="74">
        <v>4796.05</v>
      </c>
      <c r="I32" s="75" t="s">
        <v>66</v>
      </c>
      <c r="J32" s="28"/>
      <c r="K32" s="28"/>
      <c r="L32" s="28"/>
    </row>
    <row r="33" spans="1:12" x14ac:dyDescent="0.3">
      <c r="A33" s="73">
        <v>2047</v>
      </c>
      <c r="B33" s="74">
        <v>36.06</v>
      </c>
      <c r="C33" s="74">
        <v>253.1412</v>
      </c>
      <c r="D33" s="74">
        <v>4700.7299999999996</v>
      </c>
      <c r="E33" s="74">
        <v>272.25299999999999</v>
      </c>
      <c r="F33" s="74">
        <v>5055.63</v>
      </c>
      <c r="G33" s="74">
        <v>272.9742</v>
      </c>
      <c r="H33" s="74">
        <v>5069.0200000000004</v>
      </c>
      <c r="I33" s="75" t="s">
        <v>66</v>
      </c>
      <c r="J33" s="28"/>
      <c r="K33" s="28"/>
      <c r="L33" s="28"/>
    </row>
    <row r="34" spans="1:12" x14ac:dyDescent="0.3">
      <c r="A34" s="73">
        <v>2048</v>
      </c>
      <c r="B34" s="74">
        <v>37.270000000000003</v>
      </c>
      <c r="C34" s="74">
        <v>261.6354</v>
      </c>
      <c r="D34" s="74">
        <v>4962.37</v>
      </c>
      <c r="E34" s="74">
        <v>281.38850000000002</v>
      </c>
      <c r="F34" s="74">
        <v>5337.02</v>
      </c>
      <c r="G34" s="74">
        <v>282.13389999999998</v>
      </c>
      <c r="H34" s="74">
        <v>5351.16</v>
      </c>
      <c r="I34" s="75" t="s">
        <v>66</v>
      </c>
      <c r="J34" s="28"/>
      <c r="K34" s="28"/>
      <c r="L34" s="28"/>
    </row>
    <row r="35" spans="1:12" x14ac:dyDescent="0.3">
      <c r="A35" s="73">
        <v>2049</v>
      </c>
      <c r="B35" s="74">
        <v>38.520000000000003</v>
      </c>
      <c r="C35" s="74">
        <v>270.41039999999998</v>
      </c>
      <c r="D35" s="74">
        <v>5232.78</v>
      </c>
      <c r="E35" s="74">
        <v>290.82600000000002</v>
      </c>
      <c r="F35" s="74">
        <v>5627.85</v>
      </c>
      <c r="G35" s="74">
        <v>291.59640000000002</v>
      </c>
      <c r="H35" s="74">
        <v>5642.75</v>
      </c>
      <c r="I35" s="75" t="s">
        <v>66</v>
      </c>
      <c r="J35" s="28"/>
      <c r="K35" s="28"/>
      <c r="L35" s="28"/>
    </row>
    <row r="36" spans="1:12" x14ac:dyDescent="0.3">
      <c r="A36" s="61">
        <v>2050</v>
      </c>
      <c r="B36" s="62">
        <v>39.81</v>
      </c>
      <c r="C36" s="62">
        <v>279.46620000000001</v>
      </c>
      <c r="D36" s="62">
        <v>5512.24</v>
      </c>
      <c r="E36" s="62">
        <v>300.56549999999999</v>
      </c>
      <c r="F36" s="62">
        <v>5928.41</v>
      </c>
      <c r="G36" s="62">
        <v>301.36169999999998</v>
      </c>
      <c r="H36" s="62">
        <v>5944.12</v>
      </c>
      <c r="I36" s="63" t="s">
        <v>67</v>
      </c>
      <c r="J36" s="28"/>
      <c r="K36" s="28"/>
      <c r="L36" s="28"/>
    </row>
    <row r="37" spans="1:12" x14ac:dyDescent="0.3">
      <c r="A37" s="61">
        <v>2051</v>
      </c>
      <c r="B37" s="62">
        <v>41.14</v>
      </c>
      <c r="C37" s="62">
        <v>288.80279999999999</v>
      </c>
      <c r="D37" s="62">
        <v>5801.05</v>
      </c>
      <c r="E37" s="62">
        <v>310.60700000000003</v>
      </c>
      <c r="F37" s="62">
        <v>6239.02</v>
      </c>
      <c r="G37" s="62">
        <v>311.4298</v>
      </c>
      <c r="H37" s="62">
        <v>6255.55</v>
      </c>
      <c r="I37" s="63" t="s">
        <v>67</v>
      </c>
      <c r="J37" s="28"/>
      <c r="K37" s="28"/>
      <c r="L37" s="28"/>
    </row>
    <row r="38" spans="1:12" x14ac:dyDescent="0.3">
      <c r="A38" s="61">
        <v>2052</v>
      </c>
      <c r="B38" s="62">
        <v>42.52</v>
      </c>
      <c r="C38" s="62">
        <v>298.49040000000002</v>
      </c>
      <c r="D38" s="62">
        <v>6099.54</v>
      </c>
      <c r="E38" s="62">
        <v>321.02600000000001</v>
      </c>
      <c r="F38" s="62">
        <v>6560.04</v>
      </c>
      <c r="G38" s="62">
        <v>321.87639999999999</v>
      </c>
      <c r="H38" s="62">
        <v>6577.42</v>
      </c>
      <c r="I38" s="63" t="s">
        <v>67</v>
      </c>
      <c r="J38" s="28"/>
      <c r="K38" s="28"/>
      <c r="L38" s="28"/>
    </row>
    <row r="39" spans="1:12" x14ac:dyDescent="0.3">
      <c r="A39" s="61">
        <v>2053</v>
      </c>
      <c r="B39" s="62">
        <v>43.95</v>
      </c>
      <c r="C39" s="62">
        <v>308.529</v>
      </c>
      <c r="D39" s="62">
        <v>6408.07</v>
      </c>
      <c r="E39" s="62">
        <v>331.82249999999999</v>
      </c>
      <c r="F39" s="62">
        <v>6891.87</v>
      </c>
      <c r="G39" s="62">
        <v>332.70150000000001</v>
      </c>
      <c r="H39" s="62">
        <v>6910.12</v>
      </c>
      <c r="I39" s="63" t="s">
        <v>67</v>
      </c>
      <c r="J39" s="28"/>
      <c r="K39" s="28"/>
      <c r="L39" s="28"/>
    </row>
    <row r="40" spans="1:12" x14ac:dyDescent="0.3">
      <c r="A40" s="61">
        <v>2054</v>
      </c>
      <c r="B40" s="62">
        <v>45.42</v>
      </c>
      <c r="C40" s="62">
        <v>318.84840000000003</v>
      </c>
      <c r="D40" s="62">
        <v>6726.91</v>
      </c>
      <c r="E40" s="62">
        <v>342.92099999999999</v>
      </c>
      <c r="F40" s="62">
        <v>7234.79</v>
      </c>
      <c r="G40" s="62">
        <v>343.82940000000002</v>
      </c>
      <c r="H40" s="62">
        <v>7253.95</v>
      </c>
      <c r="I40" s="63" t="s">
        <v>67</v>
      </c>
      <c r="J40" s="28"/>
      <c r="K40" s="28"/>
      <c r="L40" s="28"/>
    </row>
    <row r="41" spans="1:12" x14ac:dyDescent="0.3">
      <c r="A41" s="61">
        <v>2055</v>
      </c>
      <c r="B41" s="62">
        <v>46.94</v>
      </c>
      <c r="C41" s="62">
        <v>329.5188</v>
      </c>
      <c r="D41" s="62">
        <v>7056.43</v>
      </c>
      <c r="E41" s="62">
        <v>354.39699999999999</v>
      </c>
      <c r="F41" s="62">
        <v>7589.18</v>
      </c>
      <c r="G41" s="62">
        <v>355.33580000000001</v>
      </c>
      <c r="H41" s="62">
        <v>7609.29</v>
      </c>
      <c r="I41" s="63" t="s">
        <v>67</v>
      </c>
      <c r="J41" s="28"/>
      <c r="K41" s="28"/>
      <c r="L41" s="28"/>
    </row>
    <row r="42" spans="1:12" x14ac:dyDescent="0.3">
      <c r="A42" s="61">
        <v>2056</v>
      </c>
      <c r="B42" s="62">
        <v>48.51</v>
      </c>
      <c r="C42" s="62">
        <v>340.54020000000003</v>
      </c>
      <c r="D42" s="62">
        <v>7396.97</v>
      </c>
      <c r="E42" s="62">
        <v>366.25049999999999</v>
      </c>
      <c r="F42" s="62">
        <v>7955.44</v>
      </c>
      <c r="G42" s="62">
        <v>367.22070000000002</v>
      </c>
      <c r="H42" s="62">
        <v>7976.51</v>
      </c>
      <c r="I42" s="63" t="s">
        <v>67</v>
      </c>
      <c r="J42" s="28"/>
      <c r="K42" s="28"/>
      <c r="L42" s="28"/>
    </row>
    <row r="43" spans="1:12" x14ac:dyDescent="0.3">
      <c r="A43" s="61">
        <v>2057</v>
      </c>
      <c r="B43" s="62">
        <v>50.14</v>
      </c>
      <c r="C43" s="62">
        <v>351.9828</v>
      </c>
      <c r="D43" s="62">
        <v>7748.96</v>
      </c>
      <c r="E43" s="62">
        <v>378.55700000000002</v>
      </c>
      <c r="F43" s="62">
        <v>8333.99</v>
      </c>
      <c r="G43" s="62">
        <v>379.5598</v>
      </c>
      <c r="H43" s="62">
        <v>8356.07</v>
      </c>
      <c r="I43" s="63" t="s">
        <v>67</v>
      </c>
      <c r="J43" s="28"/>
      <c r="K43" s="28"/>
      <c r="L43" s="28"/>
    </row>
    <row r="44" spans="1:12" x14ac:dyDescent="0.3">
      <c r="A44" s="61">
        <v>2058</v>
      </c>
      <c r="B44" s="62">
        <v>51.82</v>
      </c>
      <c r="C44" s="62">
        <v>363.77640000000002</v>
      </c>
      <c r="D44" s="62">
        <v>8112.73</v>
      </c>
      <c r="E44" s="62">
        <v>391.24099999999999</v>
      </c>
      <c r="F44" s="62">
        <v>8725.23</v>
      </c>
      <c r="G44" s="62">
        <v>392.2774</v>
      </c>
      <c r="H44" s="62">
        <v>8748.35</v>
      </c>
      <c r="I44" s="63" t="s">
        <v>67</v>
      </c>
      <c r="J44" s="28"/>
      <c r="K44" s="28"/>
      <c r="L44" s="28"/>
    </row>
    <row r="45" spans="1:12" x14ac:dyDescent="0.3">
      <c r="A45" s="61">
        <v>2059</v>
      </c>
      <c r="B45" s="62">
        <v>53.56</v>
      </c>
      <c r="C45" s="62">
        <v>375.99119999999999</v>
      </c>
      <c r="D45" s="62">
        <v>8488.7199999999993</v>
      </c>
      <c r="E45" s="62">
        <v>404.37799999999999</v>
      </c>
      <c r="F45" s="62">
        <v>9129.61</v>
      </c>
      <c r="G45" s="62">
        <v>405.44920000000002</v>
      </c>
      <c r="H45" s="62">
        <v>9153.7999999999993</v>
      </c>
      <c r="I45" s="63" t="s">
        <v>67</v>
      </c>
      <c r="J45" s="28"/>
      <c r="K45" s="28"/>
      <c r="L45" s="28"/>
    </row>
    <row r="46" spans="1:12" x14ac:dyDescent="0.3">
      <c r="A46" s="64">
        <v>2060</v>
      </c>
      <c r="B46" s="65">
        <v>55.35</v>
      </c>
      <c r="C46" s="65">
        <v>388.55700000000002</v>
      </c>
      <c r="D46" s="65">
        <v>8877.2800000000007</v>
      </c>
      <c r="E46" s="65">
        <v>417.89249999999998</v>
      </c>
      <c r="F46" s="65">
        <v>9547.5</v>
      </c>
      <c r="G46" s="65">
        <v>418.99950000000001</v>
      </c>
      <c r="H46" s="65">
        <v>9572.7900000000009</v>
      </c>
      <c r="I46" s="66" t="s">
        <v>68</v>
      </c>
      <c r="J46" s="28"/>
      <c r="K46" s="28"/>
      <c r="L46" s="28"/>
    </row>
    <row r="47" spans="1:12" x14ac:dyDescent="0.3">
      <c r="A47" s="64">
        <v>2061</v>
      </c>
      <c r="B47" s="65">
        <v>57.2</v>
      </c>
      <c r="C47" s="65">
        <v>401.54399999999998</v>
      </c>
      <c r="D47" s="65">
        <v>9278.83</v>
      </c>
      <c r="E47" s="65">
        <v>431.86</v>
      </c>
      <c r="F47" s="65">
        <v>9979.36</v>
      </c>
      <c r="G47" s="65">
        <v>433.00400000000002</v>
      </c>
      <c r="H47" s="65">
        <v>10005.799999999999</v>
      </c>
      <c r="I47" s="66" t="s">
        <v>68</v>
      </c>
      <c r="J47" s="28"/>
      <c r="K47" s="28"/>
      <c r="L47" s="28"/>
    </row>
    <row r="48" spans="1:12" x14ac:dyDescent="0.3">
      <c r="A48" s="64">
        <v>2062</v>
      </c>
      <c r="B48" s="65">
        <v>59.12</v>
      </c>
      <c r="C48" s="65">
        <v>415.0224</v>
      </c>
      <c r="D48" s="65">
        <v>9693.85</v>
      </c>
      <c r="E48" s="65">
        <v>446.35599999999999</v>
      </c>
      <c r="F48" s="65">
        <v>10425.719999999999</v>
      </c>
      <c r="G48" s="65">
        <v>447.53840000000002</v>
      </c>
      <c r="H48" s="65">
        <v>10453.34</v>
      </c>
      <c r="I48" s="66" t="s">
        <v>68</v>
      </c>
      <c r="J48" s="28"/>
      <c r="K48" s="28"/>
      <c r="L48" s="28"/>
    </row>
    <row r="49" spans="1:12" x14ac:dyDescent="0.3">
      <c r="A49" s="64">
        <v>2063</v>
      </c>
      <c r="B49" s="65">
        <v>61.1</v>
      </c>
      <c r="C49" s="65">
        <v>428.92200000000003</v>
      </c>
      <c r="D49" s="65">
        <v>10122.77</v>
      </c>
      <c r="E49" s="65">
        <v>461.30500000000001</v>
      </c>
      <c r="F49" s="65">
        <v>10887.02</v>
      </c>
      <c r="G49" s="65">
        <v>462.52699999999999</v>
      </c>
      <c r="H49" s="65">
        <v>10915.86</v>
      </c>
      <c r="I49" s="66" t="s">
        <v>68</v>
      </c>
      <c r="J49" s="28"/>
      <c r="K49" s="28"/>
      <c r="L49" s="28"/>
    </row>
    <row r="50" spans="1:12" x14ac:dyDescent="0.3">
      <c r="A50" s="64">
        <v>2064</v>
      </c>
      <c r="B50" s="65">
        <v>63.15</v>
      </c>
      <c r="C50" s="65">
        <v>443.31299999999999</v>
      </c>
      <c r="D50" s="65">
        <v>10566.08</v>
      </c>
      <c r="E50" s="65">
        <v>476.78250000000003</v>
      </c>
      <c r="F50" s="65">
        <v>11363.81</v>
      </c>
      <c r="G50" s="65">
        <v>478.0455</v>
      </c>
      <c r="H50" s="65">
        <v>11393.91</v>
      </c>
      <c r="I50" s="66" t="s">
        <v>68</v>
      </c>
      <c r="J50" s="28"/>
      <c r="K50" s="28"/>
      <c r="L50" s="28"/>
    </row>
    <row r="51" spans="1:12" x14ac:dyDescent="0.3">
      <c r="A51" s="64">
        <v>2065</v>
      </c>
      <c r="B51" s="65">
        <v>65.27</v>
      </c>
      <c r="C51" s="65">
        <v>458.19540000000001</v>
      </c>
      <c r="D51" s="65">
        <v>11024.28</v>
      </c>
      <c r="E51" s="65">
        <v>492.7885</v>
      </c>
      <c r="F51" s="65">
        <v>11856.6</v>
      </c>
      <c r="G51" s="65">
        <v>494.09390000000002</v>
      </c>
      <c r="H51" s="65">
        <v>11888</v>
      </c>
      <c r="I51" s="66" t="s">
        <v>68</v>
      </c>
      <c r="J51" s="28"/>
      <c r="K51" s="28"/>
      <c r="L51" s="28"/>
    </row>
    <row r="52" spans="1:12" x14ac:dyDescent="0.3">
      <c r="A52" s="64">
        <v>2066</v>
      </c>
      <c r="B52" s="65">
        <v>67.45</v>
      </c>
      <c r="C52" s="65">
        <v>473.49900000000002</v>
      </c>
      <c r="D52" s="65">
        <v>11497.78</v>
      </c>
      <c r="E52" s="65">
        <v>509.2475</v>
      </c>
      <c r="F52" s="65">
        <v>12365.84</v>
      </c>
      <c r="G52" s="65">
        <v>510.59649999999999</v>
      </c>
      <c r="H52" s="65">
        <v>12398.6</v>
      </c>
      <c r="I52" s="66" t="s">
        <v>68</v>
      </c>
      <c r="J52" s="28"/>
      <c r="K52" s="28"/>
      <c r="L52" s="28"/>
    </row>
    <row r="53" spans="1:12" x14ac:dyDescent="0.3">
      <c r="A53" s="64">
        <v>2067</v>
      </c>
      <c r="B53" s="65">
        <v>69.709999999999994</v>
      </c>
      <c r="C53" s="65">
        <v>489.36419999999998</v>
      </c>
      <c r="D53" s="65">
        <v>11987.14</v>
      </c>
      <c r="E53" s="65">
        <v>526.31050000000005</v>
      </c>
      <c r="F53" s="65">
        <v>12892.15</v>
      </c>
      <c r="G53" s="65">
        <v>527.7047</v>
      </c>
      <c r="H53" s="65">
        <v>12926.3</v>
      </c>
      <c r="I53" s="66" t="s">
        <v>68</v>
      </c>
      <c r="J53" s="28"/>
      <c r="K53" s="28"/>
      <c r="L53" s="28"/>
    </row>
    <row r="54" spans="1:12" x14ac:dyDescent="0.3">
      <c r="A54" s="64">
        <v>2068</v>
      </c>
      <c r="B54" s="65">
        <v>72.05</v>
      </c>
      <c r="C54" s="65">
        <v>505.791</v>
      </c>
      <c r="D54" s="65">
        <v>12492.93</v>
      </c>
      <c r="E54" s="65">
        <v>543.97749999999996</v>
      </c>
      <c r="F54" s="65">
        <v>13436.13</v>
      </c>
      <c r="G54" s="65">
        <v>545.41849999999999</v>
      </c>
      <c r="H54" s="65">
        <v>13471.72</v>
      </c>
      <c r="I54" s="66" t="s">
        <v>68</v>
      </c>
      <c r="J54" s="28"/>
      <c r="K54" s="28"/>
      <c r="L54" s="28"/>
    </row>
    <row r="55" spans="1:12" x14ac:dyDescent="0.3">
      <c r="A55" s="64">
        <v>2069</v>
      </c>
      <c r="B55" s="65">
        <v>74.459999999999994</v>
      </c>
      <c r="C55" s="65">
        <v>522.70920000000001</v>
      </c>
      <c r="D55" s="65">
        <v>13015.64</v>
      </c>
      <c r="E55" s="65">
        <v>562.173</v>
      </c>
      <c r="F55" s="65">
        <v>13998.3</v>
      </c>
      <c r="G55" s="65">
        <v>563.66219999999998</v>
      </c>
      <c r="H55" s="65">
        <v>14035.39</v>
      </c>
      <c r="I55" s="66" t="s">
        <v>68</v>
      </c>
      <c r="J55" s="28"/>
      <c r="K55" s="28"/>
      <c r="L55" s="28"/>
    </row>
    <row r="56" spans="1:12" x14ac:dyDescent="0.3">
      <c r="A56" s="67">
        <v>2070</v>
      </c>
      <c r="B56" s="68">
        <v>76.959999999999994</v>
      </c>
      <c r="C56" s="68">
        <v>540.25919999999996</v>
      </c>
      <c r="D56" s="68">
        <v>13555.9</v>
      </c>
      <c r="E56" s="68">
        <v>581.048</v>
      </c>
      <c r="F56" s="68">
        <v>14579.35</v>
      </c>
      <c r="G56" s="68">
        <v>582.58720000000005</v>
      </c>
      <c r="H56" s="68">
        <v>14617.97</v>
      </c>
      <c r="I56" s="69" t="s">
        <v>68</v>
      </c>
      <c r="J56" s="28"/>
      <c r="K56" s="28"/>
      <c r="L56" s="28"/>
    </row>
    <row r="58" spans="1:12" ht="15" thickBot="1" x14ac:dyDescent="0.35">
      <c r="A58" s="59" t="s">
        <v>89</v>
      </c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</row>
    <row r="59" spans="1:12" ht="36" customHeight="1" x14ac:dyDescent="0.3">
      <c r="A59" s="32" t="s">
        <v>57</v>
      </c>
      <c r="B59" s="32" t="s">
        <v>58</v>
      </c>
      <c r="C59" s="32" t="s">
        <v>59</v>
      </c>
      <c r="D59" s="32" t="s">
        <v>60</v>
      </c>
      <c r="E59" s="32" t="s">
        <v>61</v>
      </c>
      <c r="F59" s="32" t="s">
        <v>62</v>
      </c>
      <c r="G59" s="32" t="s">
        <v>63</v>
      </c>
    </row>
    <row r="60" spans="1:12" x14ac:dyDescent="0.3">
      <c r="A60" s="45" t="s">
        <v>64</v>
      </c>
      <c r="B60" s="45">
        <v>2020</v>
      </c>
      <c r="C60" s="45">
        <v>2029</v>
      </c>
      <c r="D60" s="45">
        <v>10</v>
      </c>
      <c r="E60" s="46">
        <v>1206.67</v>
      </c>
      <c r="F60" s="46">
        <v>1297.77</v>
      </c>
      <c r="G60" s="46">
        <v>1301.21</v>
      </c>
    </row>
    <row r="61" spans="1:12" x14ac:dyDescent="0.3">
      <c r="A61" s="47" t="s">
        <v>65</v>
      </c>
      <c r="B61" s="47">
        <v>2030</v>
      </c>
      <c r="C61" s="47">
        <v>2039</v>
      </c>
      <c r="D61" s="47">
        <v>10</v>
      </c>
      <c r="E61" s="48">
        <v>1684.38</v>
      </c>
      <c r="F61" s="48">
        <v>1811.55</v>
      </c>
      <c r="G61" s="48">
        <v>1816.35</v>
      </c>
    </row>
    <row r="62" spans="1:12" x14ac:dyDescent="0.3">
      <c r="A62" s="49" t="s">
        <v>66</v>
      </c>
      <c r="B62" s="49">
        <v>2040</v>
      </c>
      <c r="C62" s="49">
        <v>2049</v>
      </c>
      <c r="D62" s="49">
        <v>10</v>
      </c>
      <c r="E62" s="50">
        <v>2341.73</v>
      </c>
      <c r="F62" s="50">
        <v>2518.5300000000002</v>
      </c>
      <c r="G62" s="50">
        <v>2525.1999999999998</v>
      </c>
    </row>
    <row r="63" spans="1:12" x14ac:dyDescent="0.3">
      <c r="A63" s="51" t="s">
        <v>67</v>
      </c>
      <c r="B63" s="51">
        <v>2050</v>
      </c>
      <c r="C63" s="51">
        <v>2059</v>
      </c>
      <c r="D63" s="51">
        <v>10</v>
      </c>
      <c r="E63" s="52">
        <v>3255.95</v>
      </c>
      <c r="F63" s="52">
        <v>3501.77</v>
      </c>
      <c r="G63" s="52">
        <v>3511.04</v>
      </c>
    </row>
    <row r="64" spans="1:12" ht="15" thickBot="1" x14ac:dyDescent="0.35">
      <c r="A64" s="53" t="s">
        <v>68</v>
      </c>
      <c r="B64" s="53">
        <v>2060</v>
      </c>
      <c r="C64" s="53">
        <v>2070</v>
      </c>
      <c r="D64" s="53">
        <v>11</v>
      </c>
      <c r="E64" s="54">
        <v>5067.18</v>
      </c>
      <c r="F64" s="54">
        <v>5449.74</v>
      </c>
      <c r="G64" s="54">
        <v>5464.18</v>
      </c>
    </row>
    <row r="65" spans="1:12" ht="15" thickBot="1" x14ac:dyDescent="0.35">
      <c r="A65" s="35" t="s">
        <v>69</v>
      </c>
      <c r="B65" s="35" t="s">
        <v>70</v>
      </c>
      <c r="C65" s="35" t="s">
        <v>71</v>
      </c>
      <c r="D65" s="35">
        <v>51</v>
      </c>
      <c r="E65" s="36">
        <v>13555.9</v>
      </c>
      <c r="F65" s="36">
        <v>14579.35</v>
      </c>
      <c r="G65" s="36">
        <v>14617.97</v>
      </c>
    </row>
    <row r="67" spans="1:12" ht="15" thickBot="1" x14ac:dyDescent="0.35">
      <c r="A67" s="59" t="s">
        <v>90</v>
      </c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</row>
    <row r="68" spans="1:12" ht="36" customHeight="1" x14ac:dyDescent="0.3">
      <c r="A68" s="32" t="s">
        <v>72</v>
      </c>
      <c r="B68" s="32" t="s">
        <v>73</v>
      </c>
      <c r="C68" s="32" t="s">
        <v>74</v>
      </c>
      <c r="D68" s="32" t="s">
        <v>75</v>
      </c>
    </row>
    <row r="69" spans="1:12" x14ac:dyDescent="0.3">
      <c r="A69" s="37" t="s">
        <v>76</v>
      </c>
      <c r="B69" s="38">
        <v>1206.67</v>
      </c>
      <c r="C69" s="38">
        <v>1297.77</v>
      </c>
      <c r="D69" s="38">
        <v>1301.21</v>
      </c>
    </row>
    <row r="70" spans="1:12" x14ac:dyDescent="0.3">
      <c r="A70" s="39" t="s">
        <v>77</v>
      </c>
      <c r="B70" s="40">
        <v>2891.05</v>
      </c>
      <c r="C70" s="40">
        <v>3109.32</v>
      </c>
      <c r="D70" s="40">
        <v>3117.55</v>
      </c>
    </row>
    <row r="71" spans="1:12" x14ac:dyDescent="0.3">
      <c r="A71" s="41" t="s">
        <v>78</v>
      </c>
      <c r="B71" s="42">
        <v>5232.78</v>
      </c>
      <c r="C71" s="42">
        <v>5627.85</v>
      </c>
      <c r="D71" s="42">
        <v>5642.75</v>
      </c>
    </row>
    <row r="72" spans="1:12" x14ac:dyDescent="0.3">
      <c r="A72" s="43" t="s">
        <v>79</v>
      </c>
      <c r="B72" s="44">
        <v>8488.7199999999993</v>
      </c>
      <c r="C72" s="44">
        <v>9129.61</v>
      </c>
      <c r="D72" s="44">
        <v>9153.7999999999993</v>
      </c>
    </row>
    <row r="73" spans="1:12" x14ac:dyDescent="0.3">
      <c r="A73" s="33" t="s">
        <v>80</v>
      </c>
      <c r="B73" s="34">
        <v>13555.9</v>
      </c>
      <c r="C73" s="34">
        <v>14579.35</v>
      </c>
      <c r="D73" s="34">
        <v>14617.97</v>
      </c>
    </row>
    <row r="75" spans="1:12" x14ac:dyDescent="0.3">
      <c r="A75" s="77" t="s">
        <v>81</v>
      </c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</row>
    <row r="76" spans="1:12" ht="18" customHeight="1" x14ac:dyDescent="0.3">
      <c r="A76" s="55" t="s">
        <v>82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</row>
    <row r="77" spans="1:12" ht="18" customHeight="1" x14ac:dyDescent="0.3">
      <c r="A77" s="55" t="s">
        <v>83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</row>
    <row r="78" spans="1:12" ht="18" customHeight="1" x14ac:dyDescent="0.3">
      <c r="A78" s="55" t="s">
        <v>84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</row>
    <row r="79" spans="1:12" ht="18" customHeight="1" x14ac:dyDescent="0.3">
      <c r="A79" s="55" t="s">
        <v>86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</row>
    <row r="80" spans="1:12" ht="18" customHeight="1" x14ac:dyDescent="0.3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</row>
  </sheetData>
  <mergeCells count="11">
    <mergeCell ref="A75:L75"/>
    <mergeCell ref="A1:L1"/>
    <mergeCell ref="A2:L2"/>
    <mergeCell ref="A4:L4"/>
    <mergeCell ref="A58:L58"/>
    <mergeCell ref="A67:L67"/>
    <mergeCell ref="A76:L76"/>
    <mergeCell ref="A77:L77"/>
    <mergeCell ref="A78:L78"/>
    <mergeCell ref="A79:L79"/>
    <mergeCell ref="A80:L8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3:Q66"/>
  <sheetViews>
    <sheetView topLeftCell="A43" zoomScale="83" workbookViewId="0">
      <selection activeCell="F4" sqref="F4:N66"/>
    </sheetView>
  </sheetViews>
  <sheetFormatPr defaultRowHeight="14.4" x14ac:dyDescent="0.3"/>
  <sheetData>
    <row r="3" spans="6:16" ht="15" thickBot="1" x14ac:dyDescent="0.35"/>
    <row r="4" spans="6:16" ht="15" thickBot="1" x14ac:dyDescent="0.35">
      <c r="F4" s="1" t="s">
        <v>0</v>
      </c>
      <c r="G4" t="s">
        <v>2</v>
      </c>
      <c r="H4" t="s">
        <v>9</v>
      </c>
      <c r="I4" t="s">
        <v>10</v>
      </c>
      <c r="J4" t="s">
        <v>11</v>
      </c>
      <c r="L4" t="s">
        <v>8</v>
      </c>
      <c r="M4" t="s">
        <v>12</v>
      </c>
      <c r="N4" t="s">
        <v>13</v>
      </c>
    </row>
    <row r="5" spans="6:16" x14ac:dyDescent="0.3">
      <c r="F5" s="3">
        <v>2010</v>
      </c>
      <c r="G5">
        <v>12.66</v>
      </c>
      <c r="H5">
        <f>G5*7.02</f>
        <v>88.873199999999997</v>
      </c>
      <c r="I5">
        <f>G5*7.55</f>
        <v>95.582999999999998</v>
      </c>
      <c r="J5">
        <f>G5*7.57</f>
        <v>95.836200000000005</v>
      </c>
    </row>
    <row r="6" spans="6:16" x14ac:dyDescent="0.3">
      <c r="F6" s="5">
        <v>2011</v>
      </c>
      <c r="G6">
        <v>13.08</v>
      </c>
      <c r="H6">
        <f t="shared" ref="H6:H65" si="0">G6*7.02</f>
        <v>91.821599999999989</v>
      </c>
      <c r="I6">
        <f t="shared" ref="I6:I65" si="1">G6*7.55</f>
        <v>98.754000000000005</v>
      </c>
      <c r="J6">
        <f t="shared" ref="J6:J65" si="2">G6*7.57</f>
        <v>99.015600000000006</v>
      </c>
    </row>
    <row r="7" spans="6:16" x14ac:dyDescent="0.3">
      <c r="F7" s="5">
        <v>2012</v>
      </c>
      <c r="G7">
        <v>13.18</v>
      </c>
      <c r="H7">
        <f t="shared" si="0"/>
        <v>92.523599999999988</v>
      </c>
      <c r="I7">
        <f t="shared" si="1"/>
        <v>99.509</v>
      </c>
      <c r="J7">
        <f t="shared" si="2"/>
        <v>99.772599999999997</v>
      </c>
    </row>
    <row r="8" spans="6:16" x14ac:dyDescent="0.3">
      <c r="F8" s="5">
        <v>2013</v>
      </c>
      <c r="G8">
        <v>13.54</v>
      </c>
      <c r="H8">
        <f t="shared" si="0"/>
        <v>95.050799999999995</v>
      </c>
      <c r="I8">
        <f t="shared" si="1"/>
        <v>102.22699999999999</v>
      </c>
      <c r="J8">
        <f t="shared" si="2"/>
        <v>102.4978</v>
      </c>
    </row>
    <row r="9" spans="6:16" x14ac:dyDescent="0.3">
      <c r="F9" s="5">
        <v>2014</v>
      </c>
      <c r="G9">
        <v>13.63</v>
      </c>
      <c r="H9">
        <f t="shared" si="0"/>
        <v>95.682599999999994</v>
      </c>
      <c r="I9">
        <f t="shared" si="1"/>
        <v>102.90650000000001</v>
      </c>
      <c r="J9">
        <f t="shared" si="2"/>
        <v>103.17910000000001</v>
      </c>
    </row>
    <row r="10" spans="6:16" x14ac:dyDescent="0.3">
      <c r="F10" s="5">
        <v>2015</v>
      </c>
      <c r="G10">
        <v>13.55</v>
      </c>
      <c r="H10">
        <f t="shared" si="0"/>
        <v>95.120999999999995</v>
      </c>
      <c r="I10">
        <f t="shared" si="1"/>
        <v>102.30250000000001</v>
      </c>
      <c r="J10">
        <f t="shared" si="2"/>
        <v>102.57350000000001</v>
      </c>
    </row>
    <row r="11" spans="6:16" x14ac:dyDescent="0.3">
      <c r="F11" s="5">
        <v>2016</v>
      </c>
      <c r="G11">
        <v>14.68</v>
      </c>
      <c r="H11">
        <f t="shared" si="0"/>
        <v>103.05359999999999</v>
      </c>
      <c r="I11">
        <f t="shared" si="1"/>
        <v>110.83399999999999</v>
      </c>
      <c r="J11">
        <f t="shared" si="2"/>
        <v>111.1276</v>
      </c>
    </row>
    <row r="12" spans="6:16" x14ac:dyDescent="0.3">
      <c r="F12" s="5">
        <v>2017</v>
      </c>
      <c r="G12">
        <v>14.52</v>
      </c>
      <c r="H12">
        <f t="shared" si="0"/>
        <v>101.93039999999999</v>
      </c>
      <c r="I12">
        <f t="shared" si="1"/>
        <v>109.62599999999999</v>
      </c>
      <c r="J12">
        <f t="shared" si="2"/>
        <v>109.9164</v>
      </c>
    </row>
    <row r="13" spans="6:16" x14ac:dyDescent="0.3">
      <c r="F13" s="5">
        <v>2018</v>
      </c>
      <c r="G13">
        <v>14.41</v>
      </c>
      <c r="H13">
        <f t="shared" si="0"/>
        <v>101.15819999999999</v>
      </c>
      <c r="I13">
        <f t="shared" si="1"/>
        <v>108.7955</v>
      </c>
      <c r="J13">
        <f t="shared" si="2"/>
        <v>109.08370000000001</v>
      </c>
    </row>
    <row r="14" spans="6:16" x14ac:dyDescent="0.3">
      <c r="F14" s="5">
        <v>2019</v>
      </c>
      <c r="G14">
        <v>14.34</v>
      </c>
      <c r="H14">
        <f t="shared" si="0"/>
        <v>100.66679999999999</v>
      </c>
      <c r="I14">
        <f t="shared" si="1"/>
        <v>108.267</v>
      </c>
      <c r="J14">
        <f t="shared" si="2"/>
        <v>108.55380000000001</v>
      </c>
    </row>
    <row r="15" spans="6:16" ht="15" thickBot="1" x14ac:dyDescent="0.35">
      <c r="F15" s="5">
        <v>2020</v>
      </c>
      <c r="G15">
        <v>14.67</v>
      </c>
      <c r="H15">
        <f t="shared" si="0"/>
        <v>102.98339999999999</v>
      </c>
      <c r="I15">
        <f t="shared" si="1"/>
        <v>110.7585</v>
      </c>
      <c r="J15">
        <f t="shared" si="2"/>
        <v>111.0519</v>
      </c>
      <c r="K15">
        <f>G15*6.92</f>
        <v>101.5164</v>
      </c>
    </row>
    <row r="16" spans="6:16" ht="15" thickBot="1" x14ac:dyDescent="0.35">
      <c r="F16" s="7">
        <v>2021</v>
      </c>
      <c r="G16">
        <v>14.76</v>
      </c>
      <c r="H16">
        <f t="shared" si="0"/>
        <v>103.61519999999999</v>
      </c>
      <c r="I16">
        <f t="shared" si="1"/>
        <v>111.438</v>
      </c>
      <c r="J16">
        <f t="shared" si="2"/>
        <v>111.7332</v>
      </c>
      <c r="P16" s="1"/>
    </row>
    <row r="17" spans="6:17" ht="19.8" thickBot="1" x14ac:dyDescent="0.35">
      <c r="F17" s="9">
        <v>2022</v>
      </c>
      <c r="G17" s="12">
        <v>15.82</v>
      </c>
      <c r="H17">
        <f t="shared" si="0"/>
        <v>111.0564</v>
      </c>
      <c r="I17">
        <f t="shared" si="1"/>
        <v>119.441</v>
      </c>
      <c r="J17">
        <f t="shared" si="2"/>
        <v>119.7574</v>
      </c>
      <c r="P17" s="9"/>
      <c r="Q17" s="12"/>
    </row>
    <row r="18" spans="6:17" ht="19.8" thickBot="1" x14ac:dyDescent="0.35">
      <c r="F18" s="9">
        <v>2023</v>
      </c>
      <c r="G18" s="13">
        <v>16.350000000000001</v>
      </c>
      <c r="H18">
        <f t="shared" si="0"/>
        <v>114.777</v>
      </c>
      <c r="I18">
        <f t="shared" si="1"/>
        <v>123.44250000000001</v>
      </c>
      <c r="J18">
        <f t="shared" si="2"/>
        <v>123.76950000000002</v>
      </c>
      <c r="P18" s="9"/>
      <c r="Q18" s="13"/>
    </row>
    <row r="19" spans="6:17" ht="19.8" thickBot="1" x14ac:dyDescent="0.35">
      <c r="F19" s="9">
        <v>2024</v>
      </c>
      <c r="G19" s="12">
        <v>16.899999999999999</v>
      </c>
      <c r="H19">
        <f t="shared" si="0"/>
        <v>118.63799999999998</v>
      </c>
      <c r="I19">
        <f t="shared" si="1"/>
        <v>127.59499999999998</v>
      </c>
      <c r="J19">
        <f t="shared" si="2"/>
        <v>127.93299999999999</v>
      </c>
      <c r="P19" s="9"/>
      <c r="Q19" s="12"/>
    </row>
    <row r="20" spans="6:17" ht="19.8" thickBot="1" x14ac:dyDescent="0.35">
      <c r="F20" s="9">
        <v>2025</v>
      </c>
      <c r="G20" s="13">
        <v>17.47</v>
      </c>
      <c r="H20">
        <f t="shared" si="0"/>
        <v>122.63939999999998</v>
      </c>
      <c r="I20">
        <f t="shared" si="1"/>
        <v>131.89849999999998</v>
      </c>
      <c r="J20">
        <f t="shared" si="2"/>
        <v>132.24789999999999</v>
      </c>
      <c r="P20" s="9"/>
      <c r="Q20" s="13"/>
    </row>
    <row r="21" spans="6:17" ht="19.8" thickBot="1" x14ac:dyDescent="0.35">
      <c r="F21" s="9">
        <v>2026</v>
      </c>
      <c r="G21" s="12">
        <v>18.05</v>
      </c>
      <c r="H21">
        <f t="shared" si="0"/>
        <v>126.711</v>
      </c>
      <c r="I21">
        <f t="shared" si="1"/>
        <v>136.2775</v>
      </c>
      <c r="J21">
        <f t="shared" si="2"/>
        <v>136.63850000000002</v>
      </c>
      <c r="P21" s="9"/>
      <c r="Q21" s="12"/>
    </row>
    <row r="22" spans="6:17" ht="19.8" thickBot="1" x14ac:dyDescent="0.35">
      <c r="F22" s="9">
        <v>2027</v>
      </c>
      <c r="G22" s="13">
        <v>18.66</v>
      </c>
      <c r="H22">
        <f t="shared" si="0"/>
        <v>130.9932</v>
      </c>
      <c r="I22">
        <f t="shared" si="1"/>
        <v>140.88300000000001</v>
      </c>
      <c r="J22">
        <f t="shared" si="2"/>
        <v>141.25620000000001</v>
      </c>
      <c r="P22" s="9"/>
      <c r="Q22" s="13"/>
    </row>
    <row r="23" spans="6:17" ht="19.8" thickBot="1" x14ac:dyDescent="0.35">
      <c r="F23" s="9">
        <v>2028</v>
      </c>
      <c r="G23" s="12">
        <v>19.28</v>
      </c>
      <c r="H23">
        <f t="shared" si="0"/>
        <v>135.34559999999999</v>
      </c>
      <c r="I23">
        <f t="shared" si="1"/>
        <v>145.56399999999999</v>
      </c>
      <c r="J23">
        <f t="shared" si="2"/>
        <v>145.9496</v>
      </c>
      <c r="P23" s="9"/>
      <c r="Q23" s="12"/>
    </row>
    <row r="24" spans="6:17" ht="19.8" thickBot="1" x14ac:dyDescent="0.35">
      <c r="F24" s="9">
        <v>2029</v>
      </c>
      <c r="G24" s="13">
        <v>19.93</v>
      </c>
      <c r="H24">
        <f t="shared" si="0"/>
        <v>139.90859999999998</v>
      </c>
      <c r="I24">
        <f t="shared" si="1"/>
        <v>150.47149999999999</v>
      </c>
      <c r="J24">
        <f t="shared" si="2"/>
        <v>150.87010000000001</v>
      </c>
      <c r="L24">
        <f>H24+H23+H22+H21+H20+H19+H18+H17+H16+H15</f>
        <v>1206.6677999999999</v>
      </c>
      <c r="M24">
        <f>I24+I23+I22+I21+I20++I19+I18+I17+I16+I15</f>
        <v>1297.7695000000001</v>
      </c>
      <c r="N24">
        <f>J24+J23+J22+J21+J20+J19+J18+J17+J16+J15</f>
        <v>1301.2072999999998</v>
      </c>
      <c r="P24" s="9"/>
      <c r="Q24" s="13"/>
    </row>
    <row r="25" spans="6:17" ht="19.8" thickBot="1" x14ac:dyDescent="0.35">
      <c r="F25" s="9">
        <v>2030</v>
      </c>
      <c r="G25" s="12">
        <v>20.59</v>
      </c>
      <c r="H25">
        <f t="shared" si="0"/>
        <v>144.54179999999999</v>
      </c>
      <c r="I25">
        <f>G25*7.55</f>
        <v>155.4545</v>
      </c>
      <c r="J25">
        <f t="shared" si="2"/>
        <v>155.8663</v>
      </c>
      <c r="K25">
        <f>G25*6.7</f>
        <v>137.953</v>
      </c>
      <c r="L25">
        <f>H25+L24</f>
        <v>1351.2095999999999</v>
      </c>
      <c r="M25">
        <f>I25+M24</f>
        <v>1453.2240000000002</v>
      </c>
      <c r="N25">
        <f>J25+N24</f>
        <v>1457.0735999999997</v>
      </c>
      <c r="P25" s="9"/>
      <c r="Q25" s="12"/>
    </row>
    <row r="26" spans="6:17" ht="19.8" thickBot="1" x14ac:dyDescent="0.35">
      <c r="F26" s="9">
        <v>2031</v>
      </c>
      <c r="G26" s="13">
        <v>21.28</v>
      </c>
      <c r="H26">
        <f t="shared" si="0"/>
        <v>149.38560000000001</v>
      </c>
      <c r="I26">
        <f t="shared" si="1"/>
        <v>160.66400000000002</v>
      </c>
      <c r="J26">
        <f t="shared" si="2"/>
        <v>161.08960000000002</v>
      </c>
      <c r="P26" s="9"/>
      <c r="Q26" s="13"/>
    </row>
    <row r="27" spans="6:17" ht="19.8" thickBot="1" x14ac:dyDescent="0.35">
      <c r="F27" s="9">
        <v>2032</v>
      </c>
      <c r="G27" s="12">
        <v>22</v>
      </c>
      <c r="H27">
        <f t="shared" si="0"/>
        <v>154.44</v>
      </c>
      <c r="I27">
        <f t="shared" si="1"/>
        <v>166.1</v>
      </c>
      <c r="J27">
        <f t="shared" si="2"/>
        <v>166.54000000000002</v>
      </c>
      <c r="P27" s="9"/>
      <c r="Q27" s="12"/>
    </row>
    <row r="28" spans="6:17" ht="19.8" thickBot="1" x14ac:dyDescent="0.35">
      <c r="F28" s="9">
        <v>2033</v>
      </c>
      <c r="G28" s="13">
        <v>22.73</v>
      </c>
      <c r="H28">
        <f t="shared" si="0"/>
        <v>159.56459999999998</v>
      </c>
      <c r="I28">
        <f t="shared" si="1"/>
        <v>171.61150000000001</v>
      </c>
      <c r="J28">
        <f t="shared" si="2"/>
        <v>172.06610000000001</v>
      </c>
      <c r="P28" s="9"/>
      <c r="Q28" s="13"/>
    </row>
    <row r="29" spans="6:17" ht="19.8" thickBot="1" x14ac:dyDescent="0.35">
      <c r="F29" s="9">
        <v>2034</v>
      </c>
      <c r="G29" s="12">
        <v>23.5</v>
      </c>
      <c r="H29">
        <f t="shared" si="0"/>
        <v>164.97</v>
      </c>
      <c r="I29">
        <f t="shared" si="1"/>
        <v>177.42499999999998</v>
      </c>
      <c r="J29">
        <f t="shared" si="2"/>
        <v>177.89500000000001</v>
      </c>
      <c r="P29" s="9"/>
      <c r="Q29" s="12"/>
    </row>
    <row r="30" spans="6:17" ht="19.8" thickBot="1" x14ac:dyDescent="0.35">
      <c r="F30" s="9">
        <v>2035</v>
      </c>
      <c r="G30" s="13">
        <v>24.28</v>
      </c>
      <c r="H30">
        <f t="shared" si="0"/>
        <v>170.44559999999998</v>
      </c>
      <c r="I30">
        <f t="shared" si="1"/>
        <v>183.31399999999999</v>
      </c>
      <c r="J30">
        <f t="shared" si="2"/>
        <v>183.79960000000003</v>
      </c>
      <c r="P30" s="9"/>
      <c r="Q30" s="13"/>
    </row>
    <row r="31" spans="6:17" ht="19.8" thickBot="1" x14ac:dyDescent="0.35">
      <c r="F31" s="9">
        <v>2036</v>
      </c>
      <c r="G31" s="12">
        <v>25.1</v>
      </c>
      <c r="H31">
        <f t="shared" si="0"/>
        <v>176.202</v>
      </c>
      <c r="I31">
        <f t="shared" si="1"/>
        <v>189.505</v>
      </c>
      <c r="J31">
        <f t="shared" si="2"/>
        <v>190.00700000000001</v>
      </c>
      <c r="P31" s="9"/>
      <c r="Q31" s="12"/>
    </row>
    <row r="32" spans="6:17" ht="19.8" thickBot="1" x14ac:dyDescent="0.35">
      <c r="F32" s="9">
        <v>2037</v>
      </c>
      <c r="G32" s="13">
        <v>25.94</v>
      </c>
      <c r="H32">
        <f t="shared" si="0"/>
        <v>182.09880000000001</v>
      </c>
      <c r="I32">
        <f t="shared" si="1"/>
        <v>195.84700000000001</v>
      </c>
      <c r="J32">
        <f t="shared" si="2"/>
        <v>196.36580000000001</v>
      </c>
      <c r="P32" s="9"/>
      <c r="Q32" s="13"/>
    </row>
    <row r="33" spans="6:17" ht="19.8" thickBot="1" x14ac:dyDescent="0.35">
      <c r="F33" s="9">
        <v>2038</v>
      </c>
      <c r="G33" s="12">
        <v>26.81</v>
      </c>
      <c r="H33">
        <f t="shared" si="0"/>
        <v>188.20619999999997</v>
      </c>
      <c r="I33">
        <f t="shared" si="1"/>
        <v>202.41549999999998</v>
      </c>
      <c r="J33">
        <f t="shared" si="2"/>
        <v>202.95169999999999</v>
      </c>
      <c r="P33" s="9"/>
      <c r="Q33" s="12"/>
    </row>
    <row r="34" spans="6:17" ht="19.8" thickBot="1" x14ac:dyDescent="0.35">
      <c r="F34" s="9">
        <v>2039</v>
      </c>
      <c r="G34" s="13">
        <v>27.71</v>
      </c>
      <c r="H34">
        <f t="shared" si="0"/>
        <v>194.52420000000001</v>
      </c>
      <c r="I34">
        <f t="shared" si="1"/>
        <v>209.2105</v>
      </c>
      <c r="J34">
        <f t="shared" si="2"/>
        <v>209.7647</v>
      </c>
      <c r="L34">
        <f>SUM(H25:H34)+L24</f>
        <v>2891.0466000000001</v>
      </c>
      <c r="M34">
        <f>SUM(I25:I34)+M24</f>
        <v>3109.3164999999999</v>
      </c>
      <c r="N34">
        <f>SUM(J25:J34)+N24</f>
        <v>3117.5531000000001</v>
      </c>
      <c r="P34" s="9"/>
      <c r="Q34" s="13"/>
    </row>
    <row r="35" spans="6:17" ht="19.8" thickBot="1" x14ac:dyDescent="0.35">
      <c r="F35" s="9">
        <v>2040</v>
      </c>
      <c r="G35" s="12">
        <v>28.63</v>
      </c>
      <c r="H35">
        <f t="shared" si="0"/>
        <v>200.98259999999999</v>
      </c>
      <c r="I35">
        <f t="shared" si="1"/>
        <v>216.15649999999999</v>
      </c>
      <c r="J35">
        <f t="shared" si="2"/>
        <v>216.72909999999999</v>
      </c>
      <c r="K35">
        <f>G35*6.5</f>
        <v>186.095</v>
      </c>
      <c r="L35">
        <f>H35+L34</f>
        <v>3092.0291999999999</v>
      </c>
      <c r="M35">
        <f>I35+M34</f>
        <v>3325.473</v>
      </c>
      <c r="N35">
        <f>J35+N34</f>
        <v>3334.2822000000001</v>
      </c>
      <c r="P35" s="9"/>
      <c r="Q35" s="12"/>
    </row>
    <row r="36" spans="6:17" ht="19.8" thickBot="1" x14ac:dyDescent="0.35">
      <c r="F36" s="9">
        <v>2041</v>
      </c>
      <c r="G36" s="13">
        <v>29.59</v>
      </c>
      <c r="H36">
        <f t="shared" si="0"/>
        <v>207.72179999999997</v>
      </c>
      <c r="I36">
        <f t="shared" si="1"/>
        <v>223.40449999999998</v>
      </c>
      <c r="J36">
        <f t="shared" si="2"/>
        <v>223.99630000000002</v>
      </c>
      <c r="P36" s="9"/>
      <c r="Q36" s="13"/>
    </row>
    <row r="37" spans="6:17" ht="19.8" thickBot="1" x14ac:dyDescent="0.35">
      <c r="F37" s="9">
        <v>2042</v>
      </c>
      <c r="G37" s="12">
        <v>30.58</v>
      </c>
      <c r="H37">
        <f t="shared" si="0"/>
        <v>214.67159999999998</v>
      </c>
      <c r="I37">
        <f t="shared" si="1"/>
        <v>230.87899999999999</v>
      </c>
      <c r="J37">
        <f t="shared" si="2"/>
        <v>231.4906</v>
      </c>
      <c r="P37" s="9"/>
      <c r="Q37" s="12"/>
    </row>
    <row r="38" spans="6:17" ht="19.8" thickBot="1" x14ac:dyDescent="0.35">
      <c r="F38" s="9">
        <v>2043</v>
      </c>
      <c r="G38" s="13">
        <v>31.61</v>
      </c>
      <c r="H38">
        <f t="shared" si="0"/>
        <v>221.90219999999999</v>
      </c>
      <c r="I38">
        <f t="shared" si="1"/>
        <v>238.65549999999999</v>
      </c>
      <c r="J38">
        <f t="shared" si="2"/>
        <v>239.2877</v>
      </c>
      <c r="P38" s="9"/>
      <c r="Q38" s="13"/>
    </row>
    <row r="39" spans="6:17" ht="19.8" thickBot="1" x14ac:dyDescent="0.35">
      <c r="F39" s="9">
        <v>2044</v>
      </c>
      <c r="G39" s="12">
        <v>32.67</v>
      </c>
      <c r="H39">
        <f t="shared" si="0"/>
        <v>229.3434</v>
      </c>
      <c r="I39">
        <f t="shared" si="1"/>
        <v>246.6585</v>
      </c>
      <c r="J39">
        <f t="shared" si="2"/>
        <v>247.31190000000001</v>
      </c>
      <c r="P39" s="9"/>
      <c r="Q39" s="12"/>
    </row>
    <row r="40" spans="6:17" ht="19.8" thickBot="1" x14ac:dyDescent="0.35">
      <c r="F40" s="9">
        <v>2045</v>
      </c>
      <c r="G40" s="13">
        <v>33.76</v>
      </c>
      <c r="H40">
        <f t="shared" si="0"/>
        <v>236.99519999999998</v>
      </c>
      <c r="I40">
        <f t="shared" si="1"/>
        <v>254.88799999999998</v>
      </c>
      <c r="J40">
        <f t="shared" si="2"/>
        <v>255.56319999999999</v>
      </c>
      <c r="P40" s="9"/>
      <c r="Q40" s="13"/>
    </row>
    <row r="41" spans="6:17" ht="19.8" thickBot="1" x14ac:dyDescent="0.35">
      <c r="F41" s="9">
        <v>2046</v>
      </c>
      <c r="G41" s="12">
        <v>34.89</v>
      </c>
      <c r="H41">
        <f t="shared" si="0"/>
        <v>244.92779999999999</v>
      </c>
      <c r="I41">
        <f t="shared" si="1"/>
        <v>263.41949999999997</v>
      </c>
      <c r="J41">
        <f t="shared" si="2"/>
        <v>264.1173</v>
      </c>
      <c r="P41" s="9"/>
      <c r="Q41" s="12"/>
    </row>
    <row r="42" spans="6:17" ht="19.8" thickBot="1" x14ac:dyDescent="0.35">
      <c r="F42" s="9">
        <v>2047</v>
      </c>
      <c r="G42" s="13">
        <v>36.06</v>
      </c>
      <c r="H42">
        <f t="shared" si="0"/>
        <v>253.1412</v>
      </c>
      <c r="I42">
        <f t="shared" si="1"/>
        <v>272.25299999999999</v>
      </c>
      <c r="J42">
        <f t="shared" si="2"/>
        <v>272.97420000000005</v>
      </c>
      <c r="P42" s="9"/>
      <c r="Q42" s="13"/>
    </row>
    <row r="43" spans="6:17" ht="19.8" thickBot="1" x14ac:dyDescent="0.35">
      <c r="F43" s="9">
        <v>2048</v>
      </c>
      <c r="G43" s="12">
        <v>37.270000000000003</v>
      </c>
      <c r="H43">
        <f t="shared" si="0"/>
        <v>261.6354</v>
      </c>
      <c r="I43">
        <f t="shared" si="1"/>
        <v>281.38850000000002</v>
      </c>
      <c r="J43">
        <f t="shared" si="2"/>
        <v>282.13390000000004</v>
      </c>
      <c r="P43" s="9"/>
      <c r="Q43" s="12"/>
    </row>
    <row r="44" spans="6:17" ht="19.8" thickBot="1" x14ac:dyDescent="0.35">
      <c r="F44" s="9">
        <v>2049</v>
      </c>
      <c r="G44" s="13">
        <v>38.520000000000003</v>
      </c>
      <c r="H44">
        <f t="shared" si="0"/>
        <v>270.41039999999998</v>
      </c>
      <c r="I44">
        <f t="shared" si="1"/>
        <v>290.82600000000002</v>
      </c>
      <c r="J44">
        <f t="shared" si="2"/>
        <v>291.59640000000002</v>
      </c>
      <c r="L44">
        <f>SUM(H35:H44)+L34</f>
        <v>5232.7782000000007</v>
      </c>
      <c r="M44">
        <f>SUM(I35:I44)+M34</f>
        <v>5627.8454999999994</v>
      </c>
      <c r="N44">
        <f>SUM(J35:J44)+N34</f>
        <v>5642.7536999999993</v>
      </c>
      <c r="P44" s="9"/>
      <c r="Q44" s="13"/>
    </row>
    <row r="45" spans="6:17" ht="19.8" thickBot="1" x14ac:dyDescent="0.35">
      <c r="F45" s="9">
        <v>2050</v>
      </c>
      <c r="G45" s="12">
        <v>39.81</v>
      </c>
      <c r="H45">
        <f>G45*7.02</f>
        <v>279.46620000000001</v>
      </c>
      <c r="I45">
        <f>G45*7.55</f>
        <v>300.56549999999999</v>
      </c>
      <c r="J45">
        <f t="shared" si="2"/>
        <v>301.36170000000004</v>
      </c>
      <c r="K45">
        <f>G45*6.42</f>
        <v>255.58020000000002</v>
      </c>
      <c r="L45">
        <f>H45+L44</f>
        <v>5512.2444000000005</v>
      </c>
      <c r="M45">
        <f>I45+M44</f>
        <v>5928.4109999999991</v>
      </c>
      <c r="N45">
        <f>J45+N44</f>
        <v>5944.1153999999997</v>
      </c>
      <c r="P45" s="9"/>
      <c r="Q45" s="12"/>
    </row>
    <row r="46" spans="6:17" ht="19.8" thickBot="1" x14ac:dyDescent="0.35">
      <c r="F46" s="9">
        <v>2051</v>
      </c>
      <c r="G46" s="13">
        <v>41.14</v>
      </c>
      <c r="H46">
        <f t="shared" si="0"/>
        <v>288.80279999999999</v>
      </c>
      <c r="I46">
        <f t="shared" si="1"/>
        <v>310.60699999999997</v>
      </c>
      <c r="J46">
        <f t="shared" si="2"/>
        <v>311.4298</v>
      </c>
      <c r="P46" s="9"/>
      <c r="Q46" s="13"/>
    </row>
    <row r="47" spans="6:17" ht="19.8" thickBot="1" x14ac:dyDescent="0.35">
      <c r="F47" s="9">
        <v>2052</v>
      </c>
      <c r="G47" s="12">
        <v>42.52</v>
      </c>
      <c r="H47">
        <f t="shared" si="0"/>
        <v>298.49040000000002</v>
      </c>
      <c r="I47">
        <f t="shared" si="1"/>
        <v>321.02600000000001</v>
      </c>
      <c r="J47">
        <f t="shared" si="2"/>
        <v>321.87640000000005</v>
      </c>
      <c r="P47" s="9"/>
      <c r="Q47" s="12"/>
    </row>
    <row r="48" spans="6:17" ht="19.8" thickBot="1" x14ac:dyDescent="0.35">
      <c r="F48" s="9">
        <v>2053</v>
      </c>
      <c r="G48" s="13">
        <v>43.95</v>
      </c>
      <c r="H48">
        <f t="shared" si="0"/>
        <v>308.529</v>
      </c>
      <c r="I48">
        <f t="shared" si="1"/>
        <v>331.82249999999999</v>
      </c>
      <c r="J48">
        <f t="shared" si="2"/>
        <v>332.70150000000001</v>
      </c>
      <c r="P48" s="9"/>
      <c r="Q48" s="13"/>
    </row>
    <row r="49" spans="6:17" ht="19.8" thickBot="1" x14ac:dyDescent="0.35">
      <c r="F49" s="9">
        <v>2054</v>
      </c>
      <c r="G49" s="12">
        <v>45.42</v>
      </c>
      <c r="H49">
        <f t="shared" si="0"/>
        <v>318.84839999999997</v>
      </c>
      <c r="I49">
        <f t="shared" si="1"/>
        <v>342.92099999999999</v>
      </c>
      <c r="J49">
        <f t="shared" si="2"/>
        <v>343.82940000000002</v>
      </c>
      <c r="P49" s="9"/>
      <c r="Q49" s="12"/>
    </row>
    <row r="50" spans="6:17" ht="19.8" thickBot="1" x14ac:dyDescent="0.35">
      <c r="F50" s="9">
        <v>2055</v>
      </c>
      <c r="G50" s="13">
        <v>46.94</v>
      </c>
      <c r="H50">
        <f t="shared" si="0"/>
        <v>329.51879999999994</v>
      </c>
      <c r="I50">
        <f t="shared" si="1"/>
        <v>354.39699999999999</v>
      </c>
      <c r="J50">
        <f t="shared" si="2"/>
        <v>355.33580000000001</v>
      </c>
      <c r="P50" s="9"/>
      <c r="Q50" s="13"/>
    </row>
    <row r="51" spans="6:17" ht="19.8" thickBot="1" x14ac:dyDescent="0.35">
      <c r="F51" s="9">
        <v>2056</v>
      </c>
      <c r="G51" s="12">
        <v>48.51</v>
      </c>
      <c r="H51">
        <f t="shared" si="0"/>
        <v>340.54019999999997</v>
      </c>
      <c r="I51">
        <f t="shared" si="1"/>
        <v>366.25049999999999</v>
      </c>
      <c r="J51">
        <f t="shared" si="2"/>
        <v>367.22070000000002</v>
      </c>
      <c r="P51" s="9"/>
      <c r="Q51" s="12"/>
    </row>
    <row r="52" spans="6:17" ht="19.8" thickBot="1" x14ac:dyDescent="0.35">
      <c r="F52" s="9">
        <v>2057</v>
      </c>
      <c r="G52" s="13">
        <v>50.14</v>
      </c>
      <c r="H52">
        <f t="shared" si="0"/>
        <v>351.9828</v>
      </c>
      <c r="I52">
        <f t="shared" si="1"/>
        <v>378.55700000000002</v>
      </c>
      <c r="J52">
        <f t="shared" si="2"/>
        <v>379.5598</v>
      </c>
      <c r="P52" s="9"/>
      <c r="Q52" s="13"/>
    </row>
    <row r="53" spans="6:17" ht="19.8" thickBot="1" x14ac:dyDescent="0.35">
      <c r="F53" s="9">
        <v>2058</v>
      </c>
      <c r="G53" s="12">
        <v>51.82</v>
      </c>
      <c r="H53">
        <f t="shared" si="0"/>
        <v>363.77639999999997</v>
      </c>
      <c r="I53">
        <f t="shared" si="1"/>
        <v>391.24099999999999</v>
      </c>
      <c r="J53">
        <f t="shared" si="2"/>
        <v>392.2774</v>
      </c>
      <c r="P53" s="9"/>
      <c r="Q53" s="12"/>
    </row>
    <row r="54" spans="6:17" ht="19.8" thickBot="1" x14ac:dyDescent="0.35">
      <c r="F54" s="9">
        <v>2059</v>
      </c>
      <c r="G54" s="13">
        <v>53.56</v>
      </c>
      <c r="H54">
        <f t="shared" si="0"/>
        <v>375.99119999999999</v>
      </c>
      <c r="I54">
        <f t="shared" si="1"/>
        <v>404.37799999999999</v>
      </c>
      <c r="J54">
        <f t="shared" si="2"/>
        <v>405.44920000000002</v>
      </c>
      <c r="L54">
        <f>SUM(H45:H54)+L44</f>
        <v>8488.7243999999992</v>
      </c>
      <c r="M54">
        <f>SUM(I45:I54)+M44</f>
        <v>9129.610999999999</v>
      </c>
      <c r="N54">
        <f>SUM(J45:J54)+N44</f>
        <v>9153.7953999999991</v>
      </c>
      <c r="P54" s="9"/>
      <c r="Q54" s="13"/>
    </row>
    <row r="55" spans="6:17" ht="19.8" thickBot="1" x14ac:dyDescent="0.35">
      <c r="F55" s="9">
        <v>2060</v>
      </c>
      <c r="G55" s="12">
        <v>55.35</v>
      </c>
      <c r="H55">
        <f>G55*7.02</f>
        <v>388.55699999999996</v>
      </c>
      <c r="I55">
        <f t="shared" si="1"/>
        <v>417.89249999999998</v>
      </c>
      <c r="J55">
        <f t="shared" si="2"/>
        <v>418.99950000000001</v>
      </c>
      <c r="K55">
        <f>G55*6.3</f>
        <v>348.70499999999998</v>
      </c>
      <c r="L55">
        <f>H55+L54</f>
        <v>8877.2813999999998</v>
      </c>
      <c r="M55">
        <f>I55+M54</f>
        <v>9547.5034999999989</v>
      </c>
      <c r="N55">
        <f>J55+N54</f>
        <v>9572.794899999999</v>
      </c>
      <c r="P55" s="9"/>
      <c r="Q55" s="12"/>
    </row>
    <row r="56" spans="6:17" ht="19.8" thickBot="1" x14ac:dyDescent="0.35">
      <c r="F56" s="9">
        <v>2061</v>
      </c>
      <c r="G56" s="13">
        <v>57.2</v>
      </c>
      <c r="H56">
        <f t="shared" si="0"/>
        <v>401.54399999999998</v>
      </c>
      <c r="I56">
        <f t="shared" si="1"/>
        <v>431.86</v>
      </c>
      <c r="J56">
        <f t="shared" si="2"/>
        <v>433.00400000000002</v>
      </c>
      <c r="P56" s="9"/>
      <c r="Q56" s="13"/>
    </row>
    <row r="57" spans="6:17" ht="19.8" thickBot="1" x14ac:dyDescent="0.35">
      <c r="F57" s="9">
        <v>2062</v>
      </c>
      <c r="G57" s="12">
        <v>59.12</v>
      </c>
      <c r="H57">
        <f t="shared" si="0"/>
        <v>415.02239999999995</v>
      </c>
      <c r="I57">
        <f t="shared" si="1"/>
        <v>446.35599999999999</v>
      </c>
      <c r="J57">
        <f t="shared" si="2"/>
        <v>447.53840000000002</v>
      </c>
      <c r="P57" s="9"/>
      <c r="Q57" s="12"/>
    </row>
    <row r="58" spans="6:17" ht="19.8" thickBot="1" x14ac:dyDescent="0.35">
      <c r="F58" s="9">
        <v>2063</v>
      </c>
      <c r="G58" s="13">
        <v>61.1</v>
      </c>
      <c r="H58">
        <f t="shared" si="0"/>
        <v>428.92199999999997</v>
      </c>
      <c r="I58">
        <f t="shared" si="1"/>
        <v>461.30500000000001</v>
      </c>
      <c r="J58">
        <f t="shared" si="2"/>
        <v>462.52700000000004</v>
      </c>
      <c r="P58" s="9"/>
      <c r="Q58" s="13"/>
    </row>
    <row r="59" spans="6:17" ht="19.8" thickBot="1" x14ac:dyDescent="0.35">
      <c r="F59" s="9">
        <v>2064</v>
      </c>
      <c r="G59" s="12">
        <v>63.15</v>
      </c>
      <c r="H59">
        <f t="shared" si="0"/>
        <v>443.31299999999999</v>
      </c>
      <c r="I59">
        <f t="shared" si="1"/>
        <v>476.78249999999997</v>
      </c>
      <c r="J59">
        <f t="shared" si="2"/>
        <v>478.0455</v>
      </c>
      <c r="P59" s="9"/>
      <c r="Q59" s="12"/>
    </row>
    <row r="60" spans="6:17" ht="19.8" thickBot="1" x14ac:dyDescent="0.35">
      <c r="F60" s="9">
        <v>2065</v>
      </c>
      <c r="G60" s="13">
        <v>65.27</v>
      </c>
      <c r="H60">
        <f t="shared" si="0"/>
        <v>458.19539999999995</v>
      </c>
      <c r="I60">
        <f t="shared" si="1"/>
        <v>492.78849999999994</v>
      </c>
      <c r="J60">
        <f t="shared" si="2"/>
        <v>494.09389999999996</v>
      </c>
      <c r="P60" s="9"/>
      <c r="Q60" s="13"/>
    </row>
    <row r="61" spans="6:17" ht="19.8" thickBot="1" x14ac:dyDescent="0.35">
      <c r="F61" s="9">
        <v>2066</v>
      </c>
      <c r="G61" s="12">
        <v>67.45</v>
      </c>
      <c r="H61">
        <f t="shared" si="0"/>
        <v>473.49899999999997</v>
      </c>
      <c r="I61">
        <f t="shared" si="1"/>
        <v>509.2475</v>
      </c>
      <c r="J61">
        <f t="shared" si="2"/>
        <v>510.59650000000005</v>
      </c>
      <c r="P61" s="9"/>
      <c r="Q61" s="12"/>
    </row>
    <row r="62" spans="6:17" ht="19.8" thickBot="1" x14ac:dyDescent="0.35">
      <c r="F62" s="9">
        <v>2067</v>
      </c>
      <c r="G62" s="13">
        <v>69.709999999999994</v>
      </c>
      <c r="H62">
        <f t="shared" si="0"/>
        <v>489.36419999999993</v>
      </c>
      <c r="I62">
        <f t="shared" si="1"/>
        <v>526.31049999999993</v>
      </c>
      <c r="J62">
        <f t="shared" si="2"/>
        <v>527.7047</v>
      </c>
      <c r="P62" s="9"/>
      <c r="Q62" s="13"/>
    </row>
    <row r="63" spans="6:17" ht="19.8" thickBot="1" x14ac:dyDescent="0.35">
      <c r="F63" s="9">
        <v>2068</v>
      </c>
      <c r="G63" s="12">
        <v>72.05</v>
      </c>
      <c r="H63">
        <f t="shared" si="0"/>
        <v>505.79099999999994</v>
      </c>
      <c r="I63">
        <f t="shared" si="1"/>
        <v>543.97749999999996</v>
      </c>
      <c r="J63">
        <f t="shared" si="2"/>
        <v>545.41849999999999</v>
      </c>
      <c r="P63" s="9"/>
      <c r="Q63" s="12"/>
    </row>
    <row r="64" spans="6:17" ht="19.8" thickBot="1" x14ac:dyDescent="0.35">
      <c r="F64" s="9">
        <v>2069</v>
      </c>
      <c r="G64" s="13">
        <v>74.459999999999994</v>
      </c>
      <c r="H64">
        <f t="shared" si="0"/>
        <v>522.7091999999999</v>
      </c>
      <c r="I64">
        <f t="shared" si="1"/>
        <v>562.17299999999989</v>
      </c>
      <c r="J64">
        <f t="shared" si="2"/>
        <v>563.66219999999998</v>
      </c>
      <c r="L64">
        <f>SUM(H55:H64)+L54</f>
        <v>13015.641599999999</v>
      </c>
      <c r="M64">
        <f>SUM(I55:I64)+M54</f>
        <v>13998.304</v>
      </c>
      <c r="N64">
        <f>SUM(J55:J64)+N54</f>
        <v>14035.385599999998</v>
      </c>
      <c r="P64" s="9"/>
      <c r="Q64" s="13"/>
    </row>
    <row r="65" spans="6:17" ht="19.8" thickBot="1" x14ac:dyDescent="0.35">
      <c r="F65" s="9">
        <v>2070</v>
      </c>
      <c r="G65" s="12">
        <v>76.959999999999994</v>
      </c>
      <c r="H65">
        <f t="shared" si="0"/>
        <v>540.25919999999996</v>
      </c>
      <c r="I65">
        <f t="shared" si="1"/>
        <v>581.04799999999989</v>
      </c>
      <c r="J65">
        <f t="shared" si="2"/>
        <v>582.58719999999994</v>
      </c>
      <c r="K65">
        <f>G65*6.2</f>
        <v>477.15199999999999</v>
      </c>
      <c r="L65">
        <f>H65+L64</f>
        <v>13555.900799999999</v>
      </c>
      <c r="M65">
        <f>I65+M64</f>
        <v>14579.352000000001</v>
      </c>
      <c r="N65">
        <f>J65+N64</f>
        <v>14617.972799999998</v>
      </c>
      <c r="P65" s="9"/>
      <c r="Q65" s="12"/>
    </row>
    <row r="66" spans="6:17" x14ac:dyDescent="0.3">
      <c r="H66">
        <f>SUM(H15:H65)</f>
        <v>13555.900799999999</v>
      </c>
      <c r="I66">
        <f>SUM(I15:I65)</f>
        <v>14579.352000000003</v>
      </c>
      <c r="J66">
        <f>SUM(J15:J65)</f>
        <v>14617.9728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3028B-7D9E-4B65-9B91-2DE06660A740}">
  <dimension ref="E4:J20"/>
  <sheetViews>
    <sheetView workbookViewId="0">
      <selection activeCell="H21" sqref="H21"/>
    </sheetView>
  </sheetViews>
  <sheetFormatPr defaultRowHeight="14.4" x14ac:dyDescent="0.3"/>
  <cols>
    <col min="5" max="5" width="22.33203125" customWidth="1"/>
    <col min="6" max="6" width="18.44140625" customWidth="1"/>
    <col min="7" max="7" width="21.44140625" customWidth="1"/>
    <col min="8" max="8" width="20.6640625" customWidth="1"/>
    <col min="9" max="9" width="29.44140625" customWidth="1"/>
    <col min="10" max="10" width="21.6640625" customWidth="1"/>
  </cols>
  <sheetData>
    <row r="4" spans="5:10" x14ac:dyDescent="0.3">
      <c r="G4" t="s">
        <v>45</v>
      </c>
      <c r="H4" t="s">
        <v>46</v>
      </c>
      <c r="I4" t="s">
        <v>47</v>
      </c>
      <c r="J4" t="s">
        <v>48</v>
      </c>
    </row>
    <row r="5" spans="5:10" x14ac:dyDescent="0.3">
      <c r="E5" t="s">
        <v>14</v>
      </c>
      <c r="F5" t="s">
        <v>15</v>
      </c>
      <c r="G5" t="s">
        <v>16</v>
      </c>
      <c r="H5" t="s">
        <v>16</v>
      </c>
      <c r="I5" t="s">
        <v>16</v>
      </c>
      <c r="J5" t="s">
        <v>16</v>
      </c>
    </row>
    <row r="6" spans="5:10" x14ac:dyDescent="0.3">
      <c r="E6" t="s">
        <v>17</v>
      </c>
      <c r="F6" t="s">
        <v>18</v>
      </c>
      <c r="G6">
        <v>17.185880999999998</v>
      </c>
      <c r="H6">
        <v>8.0090085000000002</v>
      </c>
      <c r="I6">
        <v>7.1421026999999997</v>
      </c>
      <c r="J6">
        <f>G6*30%+H6*50%+I6*20%</f>
        <v>10.588689089999999</v>
      </c>
    </row>
    <row r="7" spans="5:10" x14ac:dyDescent="0.3">
      <c r="E7" t="s">
        <v>19</v>
      </c>
      <c r="F7" t="s">
        <v>18</v>
      </c>
      <c r="G7">
        <v>74.653197000000006</v>
      </c>
      <c r="H7">
        <v>35.087570999999997</v>
      </c>
      <c r="I7">
        <v>53.607090999999997</v>
      </c>
      <c r="J7">
        <f t="shared" ref="J7:J20" si="0">G7*30%+H7*50%+I7*20%</f>
        <v>50.6611628</v>
      </c>
    </row>
    <row r="8" spans="5:10" x14ac:dyDescent="0.3">
      <c r="E8" t="s">
        <v>20</v>
      </c>
      <c r="F8" t="s">
        <v>21</v>
      </c>
      <c r="G8">
        <v>1.2300968999999999</v>
      </c>
      <c r="H8">
        <v>0.56974347999999997</v>
      </c>
      <c r="I8">
        <v>-0.18464459</v>
      </c>
      <c r="J8">
        <f t="shared" si="0"/>
        <v>0.61697189199999991</v>
      </c>
    </row>
    <row r="9" spans="5:10" x14ac:dyDescent="0.3">
      <c r="E9" t="s">
        <v>22</v>
      </c>
      <c r="F9" t="s">
        <v>23</v>
      </c>
      <c r="G9">
        <v>2259.7618000000002</v>
      </c>
      <c r="H9">
        <v>1062.8116</v>
      </c>
      <c r="I9">
        <v>1452.9495999999999</v>
      </c>
      <c r="J9">
        <f t="shared" si="0"/>
        <v>1499.9242599999998</v>
      </c>
    </row>
    <row r="10" spans="5:10" x14ac:dyDescent="0.3">
      <c r="E10" t="s">
        <v>24</v>
      </c>
      <c r="F10" t="s">
        <v>25</v>
      </c>
      <c r="G10" s="27">
        <v>8.3440631E-5</v>
      </c>
      <c r="H10" s="27">
        <v>3.7551039E-5</v>
      </c>
      <c r="I10" s="27">
        <v>2.0362741999999999E-5</v>
      </c>
      <c r="J10">
        <f t="shared" si="0"/>
        <v>4.7880257199999995E-5</v>
      </c>
    </row>
    <row r="11" spans="5:10" x14ac:dyDescent="0.3">
      <c r="E11" t="s">
        <v>26</v>
      </c>
      <c r="F11" t="s">
        <v>27</v>
      </c>
      <c r="G11">
        <v>1.3644908</v>
      </c>
      <c r="H11">
        <v>0.57883722999999998</v>
      </c>
      <c r="I11">
        <v>-1.7979854</v>
      </c>
      <c r="J11">
        <f t="shared" si="0"/>
        <v>0.33916877499999998</v>
      </c>
    </row>
    <row r="12" spans="5:10" x14ac:dyDescent="0.3">
      <c r="E12" t="s">
        <v>28</v>
      </c>
      <c r="F12" t="s">
        <v>29</v>
      </c>
      <c r="G12">
        <v>40867.995000000003</v>
      </c>
      <c r="H12">
        <v>19210.013999999999</v>
      </c>
      <c r="I12">
        <v>7333.1205</v>
      </c>
      <c r="J12">
        <f t="shared" si="0"/>
        <v>23332.029600000002</v>
      </c>
    </row>
    <row r="13" spans="5:10" x14ac:dyDescent="0.3">
      <c r="E13" t="s">
        <v>30</v>
      </c>
      <c r="F13" t="s">
        <v>31</v>
      </c>
      <c r="G13">
        <v>20209.569</v>
      </c>
      <c r="H13">
        <v>9551.2538000000004</v>
      </c>
      <c r="I13">
        <v>12364.567999999999</v>
      </c>
      <c r="J13">
        <f t="shared" si="0"/>
        <v>13311.411199999999</v>
      </c>
    </row>
    <row r="14" spans="5:10" x14ac:dyDescent="0.3">
      <c r="E14" t="s">
        <v>32</v>
      </c>
      <c r="F14" t="s">
        <v>33</v>
      </c>
      <c r="G14">
        <v>18.856583000000001</v>
      </c>
      <c r="H14">
        <v>8.5757086999999999</v>
      </c>
      <c r="I14">
        <v>1.0944121</v>
      </c>
      <c r="J14">
        <f t="shared" si="0"/>
        <v>10.16371167</v>
      </c>
    </row>
    <row r="15" spans="5:10" x14ac:dyDescent="0.3">
      <c r="E15" t="s">
        <v>34</v>
      </c>
      <c r="F15" t="s">
        <v>35</v>
      </c>
      <c r="G15">
        <v>14.497553999999999</v>
      </c>
      <c r="H15">
        <v>6.9799603000000001</v>
      </c>
      <c r="I15">
        <v>5.7326056999999997</v>
      </c>
      <c r="J15">
        <f t="shared" si="0"/>
        <v>8.9857674900000006</v>
      </c>
    </row>
    <row r="16" spans="5:10" x14ac:dyDescent="0.3">
      <c r="E16" t="s">
        <v>36</v>
      </c>
      <c r="F16" t="s">
        <v>33</v>
      </c>
      <c r="G16">
        <v>5.3018014999999998</v>
      </c>
      <c r="H16">
        <v>2.4520053000000002</v>
      </c>
      <c r="I16">
        <v>3.4442991000000001E-3</v>
      </c>
      <c r="J16">
        <f t="shared" si="0"/>
        <v>2.81723195982</v>
      </c>
    </row>
    <row r="17" spans="5:10" x14ac:dyDescent="0.3">
      <c r="E17" t="s">
        <v>37</v>
      </c>
      <c r="F17" t="s">
        <v>38</v>
      </c>
      <c r="G17">
        <v>0.17615943000000001</v>
      </c>
      <c r="H17">
        <v>8.3306030000000003E-2</v>
      </c>
      <c r="I17">
        <v>9.4212643999999998E-2</v>
      </c>
      <c r="J17">
        <f t="shared" si="0"/>
        <v>0.11334337280000001</v>
      </c>
    </row>
    <row r="18" spans="5:10" x14ac:dyDescent="0.3">
      <c r="E18" t="s">
        <v>39</v>
      </c>
      <c r="F18" t="s">
        <v>40</v>
      </c>
      <c r="G18">
        <v>1547.7554</v>
      </c>
      <c r="H18">
        <v>653.93146999999999</v>
      </c>
      <c r="I18">
        <v>-247.84229999999999</v>
      </c>
      <c r="J18">
        <f t="shared" si="0"/>
        <v>741.72389500000008</v>
      </c>
    </row>
    <row r="19" spans="5:10" x14ac:dyDescent="0.3">
      <c r="E19" t="s">
        <v>41</v>
      </c>
      <c r="F19" t="s">
        <v>42</v>
      </c>
      <c r="G19">
        <v>26813.238000000001</v>
      </c>
      <c r="H19">
        <v>11366.254999999999</v>
      </c>
      <c r="I19">
        <v>-34036.587</v>
      </c>
      <c r="J19">
        <f t="shared" si="0"/>
        <v>6919.781500000001</v>
      </c>
    </row>
    <row r="20" spans="5:10" x14ac:dyDescent="0.3">
      <c r="E20" t="s">
        <v>43</v>
      </c>
      <c r="F20" t="s">
        <v>44</v>
      </c>
      <c r="G20">
        <v>160.21438000000001</v>
      </c>
      <c r="H20">
        <v>81.474297000000007</v>
      </c>
      <c r="I20">
        <v>133.97725</v>
      </c>
      <c r="J20">
        <f t="shared" si="0"/>
        <v>115.59691250000002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GDP calculation</vt:lpstr>
      <vt:lpstr>GDP vs Production</vt:lpstr>
      <vt:lpstr>Annual and Decadal CO2 emission</vt:lpstr>
      <vt:lpstr>CO2 calculation</vt:lpstr>
      <vt:lpstr>Technology Intervention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Triya Mukherjee</dc:creator>
  <cp:lastModifiedBy>Triya Mukherjee</cp:lastModifiedBy>
  <dcterms:created xsi:type="dcterms:W3CDTF">2023-07-21T10:30:42Z</dcterms:created>
  <dcterms:modified xsi:type="dcterms:W3CDTF">2026-04-24T06:59:54Z</dcterms:modified>
</cp:coreProperties>
</file>