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rmaia588\Documents\Papers\Effect of Ion Substitution and Disorder on the Conductivity Argyrodite Solid-State Electrolyte\to submit Journal of Materials Chemistry A\"/>
    </mc:Choice>
  </mc:AlternateContent>
  <xr:revisionPtr revIDLastSave="0" documentId="13_ncr:1_{E953FE9C-639E-408B-9256-EE2A5C12B698}" xr6:coauthVersionLast="47" xr6:coauthVersionMax="47" xr10:uidLastSave="{00000000-0000-0000-0000-000000000000}"/>
  <bookViews>
    <workbookView xWindow="-28920" yWindow="-1890" windowWidth="29040" windowHeight="17520" tabRatio="26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G134" i="1" l="1"/>
  <c r="BG135" i="1"/>
  <c r="BG136" i="1"/>
  <c r="BG137" i="1"/>
  <c r="BG138" i="1"/>
  <c r="BH138" i="1" s="1"/>
  <c r="BG139" i="1"/>
  <c r="BG140" i="1"/>
  <c r="BG133" i="1"/>
  <c r="BH133" i="1" s="1"/>
  <c r="R165" i="1"/>
  <c r="R166" i="1"/>
  <c r="R167" i="1"/>
  <c r="R168" i="1"/>
  <c r="R169" i="1"/>
  <c r="R170" i="1"/>
  <c r="R171" i="1"/>
  <c r="R172" i="1"/>
  <c r="R173" i="1"/>
  <c r="R174" i="1"/>
  <c r="R175" i="1"/>
  <c r="R176" i="1"/>
  <c r="P3" i="1"/>
  <c r="P12" i="1"/>
  <c r="P15" i="1"/>
  <c r="P24" i="1"/>
  <c r="P27" i="1"/>
  <c r="P36" i="1"/>
  <c r="P39" i="1"/>
  <c r="P48" i="1"/>
  <c r="P51" i="1"/>
  <c r="P60" i="1"/>
  <c r="P63" i="1"/>
  <c r="P72" i="1"/>
  <c r="P75" i="1"/>
  <c r="P84" i="1"/>
  <c r="P87" i="1"/>
  <c r="P96" i="1"/>
  <c r="P99" i="1"/>
  <c r="P108" i="1"/>
  <c r="P111" i="1"/>
  <c r="P120" i="1"/>
  <c r="P123" i="1"/>
  <c r="P132" i="1"/>
  <c r="P135" i="1"/>
  <c r="P144" i="1"/>
  <c r="P147" i="1"/>
  <c r="P156" i="1"/>
  <c r="P159" i="1"/>
  <c r="P168" i="1"/>
  <c r="P171" i="1"/>
  <c r="N2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L109" i="1"/>
  <c r="J3" i="1"/>
  <c r="J6" i="1"/>
  <c r="J75" i="1"/>
  <c r="J78" i="1"/>
  <c r="J147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H148" i="1"/>
  <c r="H150" i="1"/>
  <c r="H176" i="1"/>
  <c r="F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O2" i="1"/>
  <c r="P2" i="1" s="1"/>
  <c r="O3" i="1"/>
  <c r="O4" i="1"/>
  <c r="P4" i="1" s="1"/>
  <c r="O5" i="1"/>
  <c r="P5" i="1" s="1"/>
  <c r="O6" i="1"/>
  <c r="P6" i="1" s="1"/>
  <c r="O7" i="1"/>
  <c r="P7" i="1" s="1"/>
  <c r="O8" i="1"/>
  <c r="P8" i="1" s="1"/>
  <c r="O9" i="1"/>
  <c r="P9" i="1" s="1"/>
  <c r="O10" i="1"/>
  <c r="P10" i="1" s="1"/>
  <c r="O11" i="1"/>
  <c r="P11" i="1" s="1"/>
  <c r="O12" i="1"/>
  <c r="O13" i="1"/>
  <c r="P13" i="1" s="1"/>
  <c r="O14" i="1"/>
  <c r="P14" i="1" s="1"/>
  <c r="O15" i="1"/>
  <c r="O16" i="1"/>
  <c r="P16" i="1" s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O25" i="1"/>
  <c r="P25" i="1" s="1"/>
  <c r="O26" i="1"/>
  <c r="P26" i="1" s="1"/>
  <c r="O27" i="1"/>
  <c r="O28" i="1"/>
  <c r="P28" i="1" s="1"/>
  <c r="O29" i="1"/>
  <c r="P29" i="1" s="1"/>
  <c r="O30" i="1"/>
  <c r="P30" i="1" s="1"/>
  <c r="O31" i="1"/>
  <c r="P31" i="1" s="1"/>
  <c r="O32" i="1"/>
  <c r="P32" i="1" s="1"/>
  <c r="O33" i="1"/>
  <c r="P33" i="1" s="1"/>
  <c r="O34" i="1"/>
  <c r="P34" i="1" s="1"/>
  <c r="O35" i="1"/>
  <c r="P35" i="1" s="1"/>
  <c r="O36" i="1"/>
  <c r="O37" i="1"/>
  <c r="P37" i="1" s="1"/>
  <c r="O38" i="1"/>
  <c r="P38" i="1" s="1"/>
  <c r="O39" i="1"/>
  <c r="O40" i="1"/>
  <c r="P40" i="1" s="1"/>
  <c r="O41" i="1"/>
  <c r="P41" i="1" s="1"/>
  <c r="O42" i="1"/>
  <c r="P42" i="1" s="1"/>
  <c r="O43" i="1"/>
  <c r="P43" i="1" s="1"/>
  <c r="O44" i="1"/>
  <c r="P44" i="1" s="1"/>
  <c r="O45" i="1"/>
  <c r="P45" i="1" s="1"/>
  <c r="O46" i="1"/>
  <c r="P46" i="1" s="1"/>
  <c r="O47" i="1"/>
  <c r="P47" i="1" s="1"/>
  <c r="O48" i="1"/>
  <c r="O49" i="1"/>
  <c r="P49" i="1" s="1"/>
  <c r="O50" i="1"/>
  <c r="P50" i="1" s="1"/>
  <c r="O51" i="1"/>
  <c r="O52" i="1"/>
  <c r="P52" i="1" s="1"/>
  <c r="O53" i="1"/>
  <c r="P53" i="1" s="1"/>
  <c r="O54" i="1"/>
  <c r="P54" i="1" s="1"/>
  <c r="O55" i="1"/>
  <c r="P55" i="1" s="1"/>
  <c r="O56" i="1"/>
  <c r="P56" i="1" s="1"/>
  <c r="O57" i="1"/>
  <c r="P57" i="1" s="1"/>
  <c r="O58" i="1"/>
  <c r="P58" i="1" s="1"/>
  <c r="O59" i="1"/>
  <c r="P59" i="1" s="1"/>
  <c r="O60" i="1"/>
  <c r="O61" i="1"/>
  <c r="P61" i="1" s="1"/>
  <c r="O62" i="1"/>
  <c r="P62" i="1" s="1"/>
  <c r="O63" i="1"/>
  <c r="O64" i="1"/>
  <c r="P64" i="1" s="1"/>
  <c r="O65" i="1"/>
  <c r="P65" i="1" s="1"/>
  <c r="O66" i="1"/>
  <c r="P66" i="1" s="1"/>
  <c r="O67" i="1"/>
  <c r="P67" i="1" s="1"/>
  <c r="O68" i="1"/>
  <c r="P68" i="1" s="1"/>
  <c r="O69" i="1"/>
  <c r="P69" i="1" s="1"/>
  <c r="O70" i="1"/>
  <c r="P70" i="1" s="1"/>
  <c r="O71" i="1"/>
  <c r="P71" i="1" s="1"/>
  <c r="O72" i="1"/>
  <c r="O73" i="1"/>
  <c r="P73" i="1" s="1"/>
  <c r="O74" i="1"/>
  <c r="P74" i="1" s="1"/>
  <c r="O75" i="1"/>
  <c r="O76" i="1"/>
  <c r="P76" i="1" s="1"/>
  <c r="O77" i="1"/>
  <c r="P77" i="1" s="1"/>
  <c r="O78" i="1"/>
  <c r="P78" i="1" s="1"/>
  <c r="O79" i="1"/>
  <c r="P79" i="1" s="1"/>
  <c r="O80" i="1"/>
  <c r="P80" i="1" s="1"/>
  <c r="O81" i="1"/>
  <c r="P81" i="1" s="1"/>
  <c r="O82" i="1"/>
  <c r="P82" i="1" s="1"/>
  <c r="O83" i="1"/>
  <c r="P83" i="1" s="1"/>
  <c r="O84" i="1"/>
  <c r="O85" i="1"/>
  <c r="P85" i="1" s="1"/>
  <c r="O86" i="1"/>
  <c r="P86" i="1" s="1"/>
  <c r="O87" i="1"/>
  <c r="O88" i="1"/>
  <c r="P88" i="1" s="1"/>
  <c r="O89" i="1"/>
  <c r="P89" i="1" s="1"/>
  <c r="O90" i="1"/>
  <c r="P90" i="1" s="1"/>
  <c r="O91" i="1"/>
  <c r="P91" i="1" s="1"/>
  <c r="O92" i="1"/>
  <c r="P92" i="1" s="1"/>
  <c r="O93" i="1"/>
  <c r="P93" i="1" s="1"/>
  <c r="O94" i="1"/>
  <c r="P94" i="1" s="1"/>
  <c r="O95" i="1"/>
  <c r="P95" i="1" s="1"/>
  <c r="O96" i="1"/>
  <c r="O97" i="1"/>
  <c r="P97" i="1" s="1"/>
  <c r="O98" i="1"/>
  <c r="P98" i="1" s="1"/>
  <c r="O99" i="1"/>
  <c r="O100" i="1"/>
  <c r="P100" i="1" s="1"/>
  <c r="O101" i="1"/>
  <c r="P101" i="1" s="1"/>
  <c r="O102" i="1"/>
  <c r="P102" i="1" s="1"/>
  <c r="O103" i="1"/>
  <c r="P103" i="1" s="1"/>
  <c r="O104" i="1"/>
  <c r="P104" i="1" s="1"/>
  <c r="O105" i="1"/>
  <c r="P105" i="1" s="1"/>
  <c r="O106" i="1"/>
  <c r="P106" i="1" s="1"/>
  <c r="O107" i="1"/>
  <c r="P107" i="1" s="1"/>
  <c r="O108" i="1"/>
  <c r="O109" i="1"/>
  <c r="P109" i="1" s="1"/>
  <c r="O110" i="1"/>
  <c r="P110" i="1" s="1"/>
  <c r="O111" i="1"/>
  <c r="O112" i="1"/>
  <c r="P112" i="1" s="1"/>
  <c r="O113" i="1"/>
  <c r="P113" i="1" s="1"/>
  <c r="O114" i="1"/>
  <c r="P114" i="1" s="1"/>
  <c r="O115" i="1"/>
  <c r="P115" i="1" s="1"/>
  <c r="O116" i="1"/>
  <c r="P116" i="1" s="1"/>
  <c r="O117" i="1"/>
  <c r="P117" i="1" s="1"/>
  <c r="O118" i="1"/>
  <c r="P118" i="1" s="1"/>
  <c r="O119" i="1"/>
  <c r="P119" i="1" s="1"/>
  <c r="O120" i="1"/>
  <c r="O121" i="1"/>
  <c r="P121" i="1" s="1"/>
  <c r="O122" i="1"/>
  <c r="P122" i="1" s="1"/>
  <c r="O123" i="1"/>
  <c r="O124" i="1"/>
  <c r="P124" i="1" s="1"/>
  <c r="O125" i="1"/>
  <c r="P125" i="1" s="1"/>
  <c r="O126" i="1"/>
  <c r="P126" i="1" s="1"/>
  <c r="O127" i="1"/>
  <c r="P127" i="1" s="1"/>
  <c r="O128" i="1"/>
  <c r="P128" i="1" s="1"/>
  <c r="O129" i="1"/>
  <c r="P129" i="1" s="1"/>
  <c r="O130" i="1"/>
  <c r="P130" i="1" s="1"/>
  <c r="O131" i="1"/>
  <c r="P131" i="1" s="1"/>
  <c r="O132" i="1"/>
  <c r="O133" i="1"/>
  <c r="P133" i="1" s="1"/>
  <c r="O134" i="1"/>
  <c r="P134" i="1" s="1"/>
  <c r="O135" i="1"/>
  <c r="O136" i="1"/>
  <c r="P136" i="1" s="1"/>
  <c r="O137" i="1"/>
  <c r="P137" i="1" s="1"/>
  <c r="O138" i="1"/>
  <c r="P138" i="1" s="1"/>
  <c r="O139" i="1"/>
  <c r="P139" i="1" s="1"/>
  <c r="O140" i="1"/>
  <c r="P140" i="1" s="1"/>
  <c r="O141" i="1"/>
  <c r="P141" i="1" s="1"/>
  <c r="O142" i="1"/>
  <c r="P142" i="1" s="1"/>
  <c r="O143" i="1"/>
  <c r="P143" i="1" s="1"/>
  <c r="O144" i="1"/>
  <c r="O145" i="1"/>
  <c r="P145" i="1" s="1"/>
  <c r="O146" i="1"/>
  <c r="P146" i="1" s="1"/>
  <c r="O147" i="1"/>
  <c r="O148" i="1"/>
  <c r="P148" i="1" s="1"/>
  <c r="O149" i="1"/>
  <c r="P149" i="1" s="1"/>
  <c r="O150" i="1"/>
  <c r="P150" i="1" s="1"/>
  <c r="O151" i="1"/>
  <c r="P151" i="1" s="1"/>
  <c r="O152" i="1"/>
  <c r="P152" i="1" s="1"/>
  <c r="O153" i="1"/>
  <c r="P153" i="1" s="1"/>
  <c r="O154" i="1"/>
  <c r="P154" i="1" s="1"/>
  <c r="O155" i="1"/>
  <c r="P155" i="1" s="1"/>
  <c r="O156" i="1"/>
  <c r="O157" i="1"/>
  <c r="P157" i="1" s="1"/>
  <c r="O158" i="1"/>
  <c r="P158" i="1" s="1"/>
  <c r="O159" i="1"/>
  <c r="O160" i="1"/>
  <c r="P160" i="1" s="1"/>
  <c r="O161" i="1"/>
  <c r="P161" i="1" s="1"/>
  <c r="O162" i="1"/>
  <c r="P162" i="1" s="1"/>
  <c r="O163" i="1"/>
  <c r="P163" i="1" s="1"/>
  <c r="O164" i="1"/>
  <c r="P164" i="1" s="1"/>
  <c r="O165" i="1"/>
  <c r="P165" i="1" s="1"/>
  <c r="O166" i="1"/>
  <c r="P166" i="1" s="1"/>
  <c r="O167" i="1"/>
  <c r="P167" i="1" s="1"/>
  <c r="O168" i="1"/>
  <c r="O169" i="1"/>
  <c r="P169" i="1" s="1"/>
  <c r="O170" i="1"/>
  <c r="P170" i="1" s="1"/>
  <c r="O171" i="1"/>
  <c r="O172" i="1"/>
  <c r="P172" i="1" s="1"/>
  <c r="O173" i="1"/>
  <c r="P173" i="1" s="1"/>
  <c r="O174" i="1"/>
  <c r="P174" i="1" s="1"/>
  <c r="O175" i="1"/>
  <c r="P175" i="1" s="1"/>
  <c r="O176" i="1"/>
  <c r="P176" i="1" s="1"/>
  <c r="K8" i="1"/>
  <c r="L8" i="1" s="1"/>
  <c r="K12" i="1"/>
  <c r="L12" i="1" s="1"/>
  <c r="K25" i="1"/>
  <c r="L25" i="1" s="1"/>
  <c r="K32" i="1"/>
  <c r="L32" i="1" s="1"/>
  <c r="K36" i="1"/>
  <c r="L36" i="1" s="1"/>
  <c r="K44" i="1"/>
  <c r="L44" i="1" s="1"/>
  <c r="K52" i="1"/>
  <c r="L52" i="1" s="1"/>
  <c r="K56" i="1"/>
  <c r="L56" i="1" s="1"/>
  <c r="K64" i="1"/>
  <c r="L64" i="1" s="1"/>
  <c r="K68" i="1"/>
  <c r="L68" i="1" s="1"/>
  <c r="K74" i="1"/>
  <c r="L74" i="1" s="1"/>
  <c r="K80" i="1"/>
  <c r="L80" i="1" s="1"/>
  <c r="K86" i="1"/>
  <c r="L86" i="1" s="1"/>
  <c r="K92" i="1"/>
  <c r="L92" i="1" s="1"/>
  <c r="K98" i="1"/>
  <c r="L98" i="1" s="1"/>
  <c r="K101" i="1"/>
  <c r="L101" i="1" s="1"/>
  <c r="K104" i="1"/>
  <c r="L104" i="1" s="1"/>
  <c r="K108" i="1"/>
  <c r="L108" i="1" s="1"/>
  <c r="K109" i="1"/>
  <c r="K110" i="1"/>
  <c r="L110" i="1" s="1"/>
  <c r="K113" i="1"/>
  <c r="L113" i="1" s="1"/>
  <c r="K116" i="1"/>
  <c r="L116" i="1" s="1"/>
  <c r="K120" i="1"/>
  <c r="L120" i="1" s="1"/>
  <c r="K122" i="1"/>
  <c r="L122" i="1" s="1"/>
  <c r="K125" i="1"/>
  <c r="L125" i="1" s="1"/>
  <c r="K128" i="1"/>
  <c r="L128" i="1" s="1"/>
  <c r="K132" i="1"/>
  <c r="L132" i="1" s="1"/>
  <c r="K134" i="1"/>
  <c r="L134" i="1" s="1"/>
  <c r="K140" i="1"/>
  <c r="L140" i="1" s="1"/>
  <c r="K148" i="1"/>
  <c r="L148" i="1" s="1"/>
  <c r="K152" i="1"/>
  <c r="L152" i="1" s="1"/>
  <c r="K153" i="1"/>
  <c r="L153" i="1" s="1"/>
  <c r="K154" i="1"/>
  <c r="L154" i="1" s="1"/>
  <c r="K155" i="1"/>
  <c r="L155" i="1" s="1"/>
  <c r="K156" i="1"/>
  <c r="L156" i="1" s="1"/>
  <c r="K157" i="1"/>
  <c r="L157" i="1" s="1"/>
  <c r="K158" i="1"/>
  <c r="L158" i="1" s="1"/>
  <c r="K159" i="1"/>
  <c r="L159" i="1" s="1"/>
  <c r="K160" i="1"/>
  <c r="L160" i="1" s="1"/>
  <c r="K161" i="1"/>
  <c r="L161" i="1" s="1"/>
  <c r="K162" i="1"/>
  <c r="L162" i="1" s="1"/>
  <c r="K163" i="1"/>
  <c r="L163" i="1" s="1"/>
  <c r="K164" i="1"/>
  <c r="L164" i="1" s="1"/>
  <c r="K165" i="1"/>
  <c r="L165" i="1" s="1"/>
  <c r="K166" i="1"/>
  <c r="L166" i="1" s="1"/>
  <c r="K167" i="1"/>
  <c r="L167" i="1" s="1"/>
  <c r="K168" i="1"/>
  <c r="L168" i="1" s="1"/>
  <c r="K169" i="1"/>
  <c r="L169" i="1" s="1"/>
  <c r="K170" i="1"/>
  <c r="L170" i="1" s="1"/>
  <c r="K171" i="1"/>
  <c r="L171" i="1" s="1"/>
  <c r="K172" i="1"/>
  <c r="L172" i="1" s="1"/>
  <c r="K173" i="1"/>
  <c r="L173" i="1" s="1"/>
  <c r="K174" i="1"/>
  <c r="L174" i="1" s="1"/>
  <c r="K175" i="1"/>
  <c r="L175" i="1" s="1"/>
  <c r="K176" i="1"/>
  <c r="L176" i="1" s="1"/>
  <c r="I148" i="1"/>
  <c r="J148" i="1" s="1"/>
  <c r="I149" i="1"/>
  <c r="J149" i="1" s="1"/>
  <c r="I150" i="1"/>
  <c r="K150" i="1" s="1"/>
  <c r="L150" i="1" s="1"/>
  <c r="I151" i="1"/>
  <c r="J151" i="1" s="1"/>
  <c r="I152" i="1"/>
  <c r="J152" i="1" s="1"/>
  <c r="I147" i="1"/>
  <c r="K147" i="1" s="1"/>
  <c r="L147" i="1" s="1"/>
  <c r="I2" i="1"/>
  <c r="I3" i="1"/>
  <c r="K3" i="1" s="1"/>
  <c r="L3" i="1" s="1"/>
  <c r="I4" i="1"/>
  <c r="I5" i="1"/>
  <c r="I6" i="1"/>
  <c r="K6" i="1" s="1"/>
  <c r="L6" i="1" s="1"/>
  <c r="I7" i="1"/>
  <c r="I8" i="1"/>
  <c r="J8" i="1" s="1"/>
  <c r="I9" i="1"/>
  <c r="I10" i="1"/>
  <c r="I11" i="1"/>
  <c r="I12" i="1"/>
  <c r="J12" i="1" s="1"/>
  <c r="I13" i="1"/>
  <c r="J13" i="1" s="1"/>
  <c r="I14" i="1"/>
  <c r="I15" i="1"/>
  <c r="J15" i="1" s="1"/>
  <c r="I16" i="1"/>
  <c r="I17" i="1"/>
  <c r="I18" i="1"/>
  <c r="K18" i="1" s="1"/>
  <c r="L18" i="1" s="1"/>
  <c r="I19" i="1"/>
  <c r="J19" i="1" s="1"/>
  <c r="I20" i="1"/>
  <c r="J20" i="1" s="1"/>
  <c r="I21" i="1"/>
  <c r="J21" i="1" s="1"/>
  <c r="I22" i="1"/>
  <c r="I23" i="1"/>
  <c r="I24" i="1"/>
  <c r="I25" i="1"/>
  <c r="J25" i="1" s="1"/>
  <c r="I26" i="1"/>
  <c r="I27" i="1"/>
  <c r="K27" i="1" s="1"/>
  <c r="L27" i="1" s="1"/>
  <c r="I28" i="1"/>
  <c r="I29" i="1"/>
  <c r="I30" i="1"/>
  <c r="K30" i="1" s="1"/>
  <c r="L30" i="1" s="1"/>
  <c r="I31" i="1"/>
  <c r="I32" i="1"/>
  <c r="J32" i="1" s="1"/>
  <c r="I33" i="1"/>
  <c r="I34" i="1"/>
  <c r="I35" i="1"/>
  <c r="I36" i="1"/>
  <c r="J36" i="1" s="1"/>
  <c r="I37" i="1"/>
  <c r="J37" i="1" s="1"/>
  <c r="I38" i="1"/>
  <c r="I39" i="1"/>
  <c r="J39" i="1" s="1"/>
  <c r="I40" i="1"/>
  <c r="I41" i="1"/>
  <c r="I42" i="1"/>
  <c r="K42" i="1" s="1"/>
  <c r="L42" i="1" s="1"/>
  <c r="I43" i="1"/>
  <c r="J43" i="1" s="1"/>
  <c r="I44" i="1"/>
  <c r="J44" i="1" s="1"/>
  <c r="I45" i="1"/>
  <c r="J45" i="1" s="1"/>
  <c r="I46" i="1"/>
  <c r="I47" i="1"/>
  <c r="I48" i="1"/>
  <c r="I49" i="1"/>
  <c r="J49" i="1" s="1"/>
  <c r="I50" i="1"/>
  <c r="J50" i="1" s="1"/>
  <c r="I51" i="1"/>
  <c r="K51" i="1" s="1"/>
  <c r="L51" i="1" s="1"/>
  <c r="I52" i="1"/>
  <c r="J52" i="1" s="1"/>
  <c r="I53" i="1"/>
  <c r="I54" i="1"/>
  <c r="K54" i="1" s="1"/>
  <c r="L54" i="1" s="1"/>
  <c r="I55" i="1"/>
  <c r="I56" i="1"/>
  <c r="J56" i="1" s="1"/>
  <c r="I57" i="1"/>
  <c r="J57" i="1" s="1"/>
  <c r="I58" i="1"/>
  <c r="J58" i="1" s="1"/>
  <c r="I59" i="1"/>
  <c r="I60" i="1"/>
  <c r="I61" i="1"/>
  <c r="J61" i="1" s="1"/>
  <c r="I62" i="1"/>
  <c r="J62" i="1" s="1"/>
  <c r="I63" i="1"/>
  <c r="K63" i="1" s="1"/>
  <c r="L63" i="1" s="1"/>
  <c r="I64" i="1"/>
  <c r="J64" i="1" s="1"/>
  <c r="I65" i="1"/>
  <c r="I66" i="1"/>
  <c r="K66" i="1" s="1"/>
  <c r="L66" i="1" s="1"/>
  <c r="I67" i="1"/>
  <c r="I68" i="1"/>
  <c r="J68" i="1" s="1"/>
  <c r="I69" i="1"/>
  <c r="J69" i="1" s="1"/>
  <c r="I70" i="1"/>
  <c r="I71" i="1"/>
  <c r="I72" i="1"/>
  <c r="I73" i="1"/>
  <c r="J73" i="1" s="1"/>
  <c r="I74" i="1"/>
  <c r="J74" i="1" s="1"/>
  <c r="I75" i="1"/>
  <c r="K75" i="1" s="1"/>
  <c r="L75" i="1" s="1"/>
  <c r="I76" i="1"/>
  <c r="J76" i="1" s="1"/>
  <c r="I77" i="1"/>
  <c r="I78" i="1"/>
  <c r="K78" i="1" s="1"/>
  <c r="L78" i="1" s="1"/>
  <c r="I79" i="1"/>
  <c r="I80" i="1"/>
  <c r="J80" i="1" s="1"/>
  <c r="I81" i="1"/>
  <c r="J81" i="1" s="1"/>
  <c r="I82" i="1"/>
  <c r="J82" i="1" s="1"/>
  <c r="I83" i="1"/>
  <c r="I84" i="1"/>
  <c r="I85" i="1"/>
  <c r="J85" i="1" s="1"/>
  <c r="I86" i="1"/>
  <c r="J86" i="1" s="1"/>
  <c r="I87" i="1"/>
  <c r="K87" i="1" s="1"/>
  <c r="L87" i="1" s="1"/>
  <c r="I88" i="1"/>
  <c r="J88" i="1" s="1"/>
  <c r="I89" i="1"/>
  <c r="I90" i="1"/>
  <c r="K90" i="1" s="1"/>
  <c r="L90" i="1" s="1"/>
  <c r="I91" i="1"/>
  <c r="I92" i="1"/>
  <c r="J92" i="1" s="1"/>
  <c r="I93" i="1"/>
  <c r="J93" i="1" s="1"/>
  <c r="I94" i="1"/>
  <c r="I95" i="1"/>
  <c r="I96" i="1"/>
  <c r="I97" i="1"/>
  <c r="J97" i="1" s="1"/>
  <c r="I98" i="1"/>
  <c r="J98" i="1" s="1"/>
  <c r="I99" i="1"/>
  <c r="K99" i="1" s="1"/>
  <c r="L99" i="1" s="1"/>
  <c r="I100" i="1"/>
  <c r="I101" i="1"/>
  <c r="J101" i="1" s="1"/>
  <c r="I102" i="1"/>
  <c r="K102" i="1" s="1"/>
  <c r="L102" i="1" s="1"/>
  <c r="I103" i="1"/>
  <c r="I104" i="1"/>
  <c r="J104" i="1" s="1"/>
  <c r="I105" i="1"/>
  <c r="I106" i="1"/>
  <c r="I107" i="1"/>
  <c r="I108" i="1"/>
  <c r="J108" i="1" s="1"/>
  <c r="I109" i="1"/>
  <c r="J109" i="1" s="1"/>
  <c r="I110" i="1"/>
  <c r="J110" i="1" s="1"/>
  <c r="I111" i="1"/>
  <c r="K111" i="1" s="1"/>
  <c r="L111" i="1" s="1"/>
  <c r="I112" i="1"/>
  <c r="I113" i="1"/>
  <c r="J113" i="1" s="1"/>
  <c r="I114" i="1"/>
  <c r="K114" i="1" s="1"/>
  <c r="L114" i="1" s="1"/>
  <c r="I115" i="1"/>
  <c r="I116" i="1"/>
  <c r="J116" i="1" s="1"/>
  <c r="I117" i="1"/>
  <c r="I118" i="1"/>
  <c r="I119" i="1"/>
  <c r="I120" i="1"/>
  <c r="J120" i="1" s="1"/>
  <c r="I121" i="1"/>
  <c r="J121" i="1" s="1"/>
  <c r="I122" i="1"/>
  <c r="J122" i="1" s="1"/>
  <c r="I123" i="1"/>
  <c r="K123" i="1" s="1"/>
  <c r="L123" i="1" s="1"/>
  <c r="I124" i="1"/>
  <c r="I125" i="1"/>
  <c r="J125" i="1" s="1"/>
  <c r="I126" i="1"/>
  <c r="K126" i="1" s="1"/>
  <c r="L126" i="1" s="1"/>
  <c r="I127" i="1"/>
  <c r="I128" i="1"/>
  <c r="J128" i="1" s="1"/>
  <c r="I129" i="1"/>
  <c r="I130" i="1"/>
  <c r="I131" i="1"/>
  <c r="I132" i="1"/>
  <c r="J132" i="1" s="1"/>
  <c r="I133" i="1"/>
  <c r="I134" i="1"/>
  <c r="J134" i="1" s="1"/>
  <c r="I135" i="1"/>
  <c r="K135" i="1" s="1"/>
  <c r="L135" i="1" s="1"/>
  <c r="I136" i="1"/>
  <c r="I137" i="1"/>
  <c r="I138" i="1"/>
  <c r="J138" i="1" s="1"/>
  <c r="I139" i="1"/>
  <c r="J139" i="1" s="1"/>
  <c r="I140" i="1"/>
  <c r="J140" i="1" s="1"/>
  <c r="I143" i="1"/>
  <c r="J143" i="1" s="1"/>
  <c r="I144" i="1"/>
  <c r="E152" i="1"/>
  <c r="Y152" i="1" s="1"/>
  <c r="E151" i="1"/>
  <c r="F151" i="1" s="1"/>
  <c r="E150" i="1"/>
  <c r="F150" i="1" s="1"/>
  <c r="E149" i="1"/>
  <c r="Z149" i="1" s="1"/>
  <c r="AA149" i="1" s="1"/>
  <c r="E148" i="1"/>
  <c r="Z148" i="1" s="1"/>
  <c r="AA148" i="1" s="1"/>
  <c r="E147" i="1"/>
  <c r="E146" i="1"/>
  <c r="F146" i="1" s="1"/>
  <c r="E145" i="1"/>
  <c r="I145" i="1" s="1"/>
  <c r="E144" i="1"/>
  <c r="F144" i="1" s="1"/>
  <c r="E143" i="1"/>
  <c r="F143" i="1" s="1"/>
  <c r="E142" i="1"/>
  <c r="F142" i="1" s="1"/>
  <c r="Z146" i="1"/>
  <c r="AA146" i="1" s="1"/>
  <c r="G144" i="1"/>
  <c r="E141" i="1"/>
  <c r="XFD1048245" i="1" a="1"/>
  <c r="XFD1048245" i="1" s="1"/>
  <c r="XFD1048246" i="1" a="1"/>
  <c r="XFD1048246" i="1" s="1"/>
  <c r="XFD1048247" i="1" a="1"/>
  <c r="XFD1048247" i="1" s="1"/>
  <c r="XFD1048248" i="1" a="1"/>
  <c r="XFD1048248" i="1" s="1"/>
  <c r="XFD1048249" i="1" a="1"/>
  <c r="XFD1048249" i="1" s="1"/>
  <c r="XFD1048250" i="1" a="1"/>
  <c r="XFD1048250" i="1" s="1"/>
  <c r="XFD1048251" i="1" a="1"/>
  <c r="XFD1048251" i="1" s="1"/>
  <c r="XFD1048252" i="1" a="1"/>
  <c r="XFD1048252" i="1" s="1"/>
  <c r="XFD1048253" i="1" a="1"/>
  <c r="XFD1048253" i="1" s="1"/>
  <c r="XFD1048254" i="1" a="1"/>
  <c r="XFD1048254" i="1" s="1"/>
  <c r="XFD1048255" i="1" a="1"/>
  <c r="XFD1048255" i="1" s="1"/>
  <c r="XFD1048256" i="1" a="1"/>
  <c r="XFD1048256" i="1" s="1"/>
  <c r="XFD1048257" i="1" a="1"/>
  <c r="XFD1048257" i="1" s="1"/>
  <c r="XFD1048258" i="1" a="1"/>
  <c r="XFD1048258" i="1" s="1"/>
  <c r="XFD1048259" i="1" a="1"/>
  <c r="XFD1048259" i="1" s="1"/>
  <c r="XFD1048260" i="1" a="1"/>
  <c r="XFD1048260" i="1" s="1"/>
  <c r="XFD1048261" i="1" a="1"/>
  <c r="XFD1048261" i="1" s="1"/>
  <c r="XFD1048262" i="1" a="1"/>
  <c r="XFD1048262" i="1" s="1"/>
  <c r="XFD1048263" i="1" a="1"/>
  <c r="XFD1048263" i="1" s="1"/>
  <c r="XFD1048264" i="1" a="1"/>
  <c r="XFD1048264" i="1" s="1"/>
  <c r="XFD1048265" i="1" a="1"/>
  <c r="XFD1048265" i="1" s="1"/>
  <c r="XFD1048266" i="1" a="1"/>
  <c r="XFD1048266" i="1" s="1"/>
  <c r="XFD1048267" i="1" a="1"/>
  <c r="XFD1048267" i="1" s="1"/>
  <c r="XFD1048268" i="1" a="1"/>
  <c r="XFD1048268" i="1" s="1"/>
  <c r="XFD1048269" i="1" a="1"/>
  <c r="XFD1048269" i="1" s="1"/>
  <c r="XFD1048270" i="1" a="1"/>
  <c r="XFD1048270" i="1" s="1"/>
  <c r="G2" i="1"/>
  <c r="G3" i="1"/>
  <c r="G4" i="1"/>
  <c r="G5" i="1"/>
  <c r="G6" i="1"/>
  <c r="U6" i="1" s="1"/>
  <c r="G7" i="1"/>
  <c r="G8" i="1"/>
  <c r="G9" i="1"/>
  <c r="G10" i="1"/>
  <c r="G11" i="1"/>
  <c r="G12" i="1"/>
  <c r="G13" i="1"/>
  <c r="G14" i="1"/>
  <c r="G15" i="1"/>
  <c r="G16" i="1"/>
  <c r="G17" i="1"/>
  <c r="G18" i="1"/>
  <c r="U18" i="1" s="1"/>
  <c r="G19" i="1"/>
  <c r="H19" i="1" s="1"/>
  <c r="G20" i="1"/>
  <c r="H20" i="1" s="1"/>
  <c r="G21" i="1"/>
  <c r="G22" i="1"/>
  <c r="G23" i="1"/>
  <c r="H23" i="1" s="1"/>
  <c r="G24" i="1"/>
  <c r="G25" i="1"/>
  <c r="G26" i="1"/>
  <c r="G27" i="1"/>
  <c r="G28" i="1"/>
  <c r="G29" i="1"/>
  <c r="G30" i="1"/>
  <c r="U30" i="1" s="1"/>
  <c r="G31" i="1"/>
  <c r="G32" i="1"/>
  <c r="G33" i="1"/>
  <c r="G34" i="1"/>
  <c r="G35" i="1"/>
  <c r="G36" i="1"/>
  <c r="G37" i="1"/>
  <c r="G38" i="1"/>
  <c r="G39" i="1"/>
  <c r="G40" i="1"/>
  <c r="G41" i="1"/>
  <c r="G42" i="1"/>
  <c r="U42" i="1" s="1"/>
  <c r="G43" i="1"/>
  <c r="H43" i="1" s="1"/>
  <c r="G44" i="1"/>
  <c r="H44" i="1" s="1"/>
  <c r="G45" i="1"/>
  <c r="G46" i="1"/>
  <c r="G47" i="1"/>
  <c r="H47" i="1" s="1"/>
  <c r="G48" i="1"/>
  <c r="G49" i="1"/>
  <c r="G50" i="1"/>
  <c r="G51" i="1"/>
  <c r="G52" i="1"/>
  <c r="G53" i="1"/>
  <c r="G54" i="1"/>
  <c r="U54" i="1" s="1"/>
  <c r="G55" i="1"/>
  <c r="G56" i="1"/>
  <c r="G57" i="1"/>
  <c r="G58" i="1"/>
  <c r="G59" i="1"/>
  <c r="G60" i="1"/>
  <c r="G61" i="1"/>
  <c r="G62" i="1"/>
  <c r="G63" i="1"/>
  <c r="G64" i="1"/>
  <c r="G65" i="1"/>
  <c r="G66" i="1"/>
  <c r="U66" i="1" s="1"/>
  <c r="G67" i="1"/>
  <c r="H67" i="1" s="1"/>
  <c r="G68" i="1"/>
  <c r="H68" i="1" s="1"/>
  <c r="G69" i="1"/>
  <c r="G70" i="1"/>
  <c r="G71" i="1"/>
  <c r="H71" i="1" s="1"/>
  <c r="G72" i="1"/>
  <c r="G73" i="1"/>
  <c r="G74" i="1"/>
  <c r="G75" i="1"/>
  <c r="G76" i="1"/>
  <c r="G77" i="1"/>
  <c r="G78" i="1"/>
  <c r="U78" i="1" s="1"/>
  <c r="G79" i="1"/>
  <c r="G80" i="1"/>
  <c r="G81" i="1"/>
  <c r="G82" i="1"/>
  <c r="G83" i="1"/>
  <c r="G84" i="1"/>
  <c r="G85" i="1"/>
  <c r="G86" i="1"/>
  <c r="G87" i="1"/>
  <c r="G88" i="1"/>
  <c r="G89" i="1"/>
  <c r="G90" i="1"/>
  <c r="U90" i="1" s="1"/>
  <c r="G91" i="1"/>
  <c r="H91" i="1" s="1"/>
  <c r="G92" i="1"/>
  <c r="H92" i="1" s="1"/>
  <c r="G93" i="1"/>
  <c r="G94" i="1"/>
  <c r="G95" i="1"/>
  <c r="H95" i="1" s="1"/>
  <c r="G96" i="1"/>
  <c r="G97" i="1"/>
  <c r="G98" i="1"/>
  <c r="G99" i="1"/>
  <c r="G100" i="1"/>
  <c r="G101" i="1"/>
  <c r="G102" i="1"/>
  <c r="U102" i="1" s="1"/>
  <c r="G103" i="1"/>
  <c r="G104" i="1"/>
  <c r="G105" i="1"/>
  <c r="G106" i="1"/>
  <c r="G107" i="1"/>
  <c r="G108" i="1"/>
  <c r="G109" i="1"/>
  <c r="G110" i="1"/>
  <c r="G111" i="1"/>
  <c r="G112" i="1"/>
  <c r="H112" i="1" s="1"/>
  <c r="G113" i="1"/>
  <c r="G114" i="1"/>
  <c r="U114" i="1" s="1"/>
  <c r="G115" i="1"/>
  <c r="H115" i="1" s="1"/>
  <c r="G116" i="1"/>
  <c r="U116" i="1" s="1"/>
  <c r="G117" i="1"/>
  <c r="G118" i="1"/>
  <c r="G119" i="1"/>
  <c r="U119" i="1" s="1"/>
  <c r="G120" i="1"/>
  <c r="G121" i="1"/>
  <c r="G122" i="1"/>
  <c r="U122" i="1" s="1"/>
  <c r="G123" i="1"/>
  <c r="G124" i="1"/>
  <c r="U124" i="1" s="1"/>
  <c r="G125" i="1"/>
  <c r="G126" i="1"/>
  <c r="U126" i="1" s="1"/>
  <c r="G127" i="1"/>
  <c r="U127" i="1" s="1"/>
  <c r="G128" i="1"/>
  <c r="U128" i="1" s="1"/>
  <c r="G129" i="1"/>
  <c r="G130" i="1"/>
  <c r="G131" i="1"/>
  <c r="G132" i="1"/>
  <c r="G133" i="1"/>
  <c r="G134" i="1"/>
  <c r="G135" i="1"/>
  <c r="G136" i="1"/>
  <c r="G137" i="1"/>
  <c r="G138" i="1"/>
  <c r="H138" i="1" s="1"/>
  <c r="G139" i="1"/>
  <c r="U139" i="1" s="1"/>
  <c r="G140" i="1"/>
  <c r="H140" i="1" s="1"/>
  <c r="G146" i="1"/>
  <c r="G147" i="1"/>
  <c r="G148" i="1"/>
  <c r="G150" i="1"/>
  <c r="G151" i="1"/>
  <c r="U151" i="1" s="1"/>
  <c r="G153" i="1"/>
  <c r="G154" i="1"/>
  <c r="Q154" i="1" s="1"/>
  <c r="R154" i="1" s="1"/>
  <c r="G155" i="1"/>
  <c r="G156" i="1"/>
  <c r="G157" i="1"/>
  <c r="G158" i="1"/>
  <c r="H158" i="1" s="1"/>
  <c r="G159" i="1"/>
  <c r="G160" i="1"/>
  <c r="H160" i="1" s="1"/>
  <c r="G161" i="1"/>
  <c r="G162" i="1"/>
  <c r="G163" i="1"/>
  <c r="U163" i="1" s="1"/>
  <c r="G164" i="1"/>
  <c r="G165" i="1"/>
  <c r="G166" i="1"/>
  <c r="G167" i="1"/>
  <c r="U167" i="1" s="1"/>
  <c r="G168" i="1"/>
  <c r="G169" i="1"/>
  <c r="G170" i="1"/>
  <c r="U170" i="1" s="1"/>
  <c r="G171" i="1"/>
  <c r="G172" i="1"/>
  <c r="U172" i="1" s="1"/>
  <c r="G173" i="1"/>
  <c r="U173" i="1" s="1"/>
  <c r="G174" i="1"/>
  <c r="U174" i="1" s="1"/>
  <c r="G175" i="1"/>
  <c r="U175" i="1" s="1"/>
  <c r="G176" i="1"/>
  <c r="U176" i="1" s="1"/>
  <c r="BV176" i="1"/>
  <c r="BW176" i="1" s="1"/>
  <c r="BV175" i="1"/>
  <c r="BW175" i="1" s="1"/>
  <c r="BV174" i="1"/>
  <c r="BW174" i="1" s="1"/>
  <c r="BV173" i="1"/>
  <c r="BW173" i="1" s="1"/>
  <c r="BV172" i="1"/>
  <c r="BW172" i="1" s="1"/>
  <c r="BV171" i="1"/>
  <c r="BW171" i="1" s="1"/>
  <c r="BV170" i="1"/>
  <c r="BW170" i="1" s="1"/>
  <c r="BV169" i="1"/>
  <c r="BW169" i="1" s="1"/>
  <c r="BV168" i="1"/>
  <c r="BW168" i="1" s="1"/>
  <c r="BV167" i="1"/>
  <c r="BW167" i="1" s="1"/>
  <c r="BV166" i="1"/>
  <c r="BW166" i="1" s="1"/>
  <c r="BV165" i="1"/>
  <c r="BW165" i="1" s="1"/>
  <c r="BF166" i="1"/>
  <c r="BF167" i="1"/>
  <c r="BF168" i="1"/>
  <c r="BF169" i="1"/>
  <c r="BF170" i="1"/>
  <c r="BF171" i="1"/>
  <c r="BF172" i="1"/>
  <c r="BF173" i="1"/>
  <c r="BF174" i="1"/>
  <c r="BF175" i="1"/>
  <c r="BF176" i="1"/>
  <c r="BF165" i="1"/>
  <c r="BB166" i="1"/>
  <c r="BC166" i="1" s="1"/>
  <c r="BB167" i="1"/>
  <c r="BC167" i="1" s="1"/>
  <c r="BB168" i="1"/>
  <c r="BC168" i="1" s="1"/>
  <c r="BB169" i="1"/>
  <c r="BC169" i="1" s="1"/>
  <c r="BB170" i="1"/>
  <c r="BC170" i="1" s="1"/>
  <c r="BB171" i="1"/>
  <c r="BC171" i="1" s="1"/>
  <c r="BB172" i="1"/>
  <c r="BC172" i="1" s="1"/>
  <c r="BB173" i="1"/>
  <c r="BC173" i="1" s="1"/>
  <c r="BB174" i="1"/>
  <c r="BC174" i="1" s="1"/>
  <c r="BB175" i="1"/>
  <c r="BC175" i="1" s="1"/>
  <c r="BB176" i="1"/>
  <c r="BC176" i="1" s="1"/>
  <c r="BB165" i="1"/>
  <c r="BC165" i="1" s="1"/>
  <c r="BA166" i="1"/>
  <c r="BA167" i="1"/>
  <c r="BA168" i="1"/>
  <c r="BA169" i="1"/>
  <c r="BA170" i="1"/>
  <c r="BA171" i="1"/>
  <c r="BA172" i="1"/>
  <c r="BA173" i="1"/>
  <c r="BA174" i="1"/>
  <c r="BA175" i="1"/>
  <c r="BA176" i="1"/>
  <c r="BA165" i="1"/>
  <c r="AS166" i="1"/>
  <c r="AS167" i="1"/>
  <c r="AS168" i="1"/>
  <c r="AS169" i="1"/>
  <c r="AS170" i="1"/>
  <c r="AS171" i="1"/>
  <c r="AS172" i="1"/>
  <c r="AS173" i="1"/>
  <c r="AS174" i="1"/>
  <c r="AS175" i="1"/>
  <c r="AS176" i="1"/>
  <c r="AS165" i="1"/>
  <c r="AI166" i="1"/>
  <c r="AI167" i="1"/>
  <c r="AI168" i="1"/>
  <c r="AI169" i="1"/>
  <c r="AI170" i="1"/>
  <c r="AI171" i="1"/>
  <c r="AI172" i="1"/>
  <c r="AI173" i="1"/>
  <c r="AI174" i="1"/>
  <c r="AI175" i="1"/>
  <c r="AI176" i="1"/>
  <c r="AI165" i="1"/>
  <c r="AF176" i="1"/>
  <c r="AG176" i="1" s="1"/>
  <c r="AF175" i="1"/>
  <c r="AG175" i="1" s="1"/>
  <c r="AF174" i="1"/>
  <c r="AG174" i="1" s="1"/>
  <c r="AF173" i="1"/>
  <c r="AG173" i="1" s="1"/>
  <c r="AF172" i="1"/>
  <c r="AG172" i="1" s="1"/>
  <c r="AF171" i="1"/>
  <c r="AG171" i="1" s="1"/>
  <c r="AF170" i="1"/>
  <c r="AG170" i="1" s="1"/>
  <c r="AF169" i="1"/>
  <c r="AG169" i="1" s="1"/>
  <c r="AF168" i="1"/>
  <c r="AG168" i="1" s="1"/>
  <c r="AF167" i="1"/>
  <c r="AG167" i="1" s="1"/>
  <c r="AF166" i="1"/>
  <c r="AG166" i="1" s="1"/>
  <c r="AF165" i="1"/>
  <c r="AG165" i="1" s="1"/>
  <c r="AA166" i="1"/>
  <c r="AA167" i="1"/>
  <c r="AA168" i="1"/>
  <c r="AA169" i="1"/>
  <c r="AA170" i="1"/>
  <c r="AA171" i="1"/>
  <c r="AA172" i="1"/>
  <c r="AA173" i="1"/>
  <c r="AA174" i="1"/>
  <c r="AA175" i="1"/>
  <c r="AA176" i="1"/>
  <c r="AA165" i="1"/>
  <c r="Y166" i="1"/>
  <c r="Y167" i="1"/>
  <c r="Y168" i="1"/>
  <c r="Y169" i="1"/>
  <c r="Y170" i="1"/>
  <c r="Y171" i="1"/>
  <c r="Y172" i="1"/>
  <c r="Y173" i="1"/>
  <c r="Y174" i="1"/>
  <c r="Y175" i="1"/>
  <c r="Y176" i="1"/>
  <c r="Y165" i="1"/>
  <c r="BV147" i="1"/>
  <c r="BW147" i="1" s="1"/>
  <c r="BV164" i="1"/>
  <c r="BW164" i="1" s="1"/>
  <c r="BV163" i="1"/>
  <c r="BW163" i="1" s="1"/>
  <c r="BV162" i="1"/>
  <c r="BW162" i="1" s="1"/>
  <c r="BV161" i="1"/>
  <c r="BW161" i="1" s="1"/>
  <c r="BV160" i="1"/>
  <c r="BW160" i="1" s="1"/>
  <c r="BV159" i="1"/>
  <c r="BW159" i="1" s="1"/>
  <c r="BV158" i="1"/>
  <c r="BW158" i="1" s="1"/>
  <c r="BV157" i="1"/>
  <c r="BW157" i="1" s="1"/>
  <c r="BV156" i="1"/>
  <c r="BW156" i="1" s="1"/>
  <c r="BV155" i="1"/>
  <c r="BW155" i="1" s="1"/>
  <c r="BV154" i="1"/>
  <c r="BW154" i="1" s="1"/>
  <c r="BV153" i="1"/>
  <c r="BW153" i="1" s="1"/>
  <c r="BV152" i="1"/>
  <c r="BW152" i="1" s="1"/>
  <c r="BV151" i="1"/>
  <c r="BW151" i="1" s="1"/>
  <c r="BV150" i="1"/>
  <c r="BW150" i="1" s="1"/>
  <c r="BV149" i="1"/>
  <c r="BW149" i="1" s="1"/>
  <c r="BV148" i="1"/>
  <c r="BW148" i="1" s="1"/>
  <c r="BV146" i="1"/>
  <c r="BW146" i="1" s="1"/>
  <c r="BV145" i="1"/>
  <c r="BW145" i="1" s="1"/>
  <c r="BV144" i="1"/>
  <c r="BW144" i="1" s="1"/>
  <c r="BV143" i="1"/>
  <c r="BW143" i="1" s="1"/>
  <c r="BV142" i="1"/>
  <c r="BW142" i="1" s="1"/>
  <c r="BV141" i="1"/>
  <c r="BW141" i="1" s="1"/>
  <c r="BG142" i="1"/>
  <c r="BH142" i="1" s="1"/>
  <c r="BG143" i="1"/>
  <c r="BH143" i="1" s="1"/>
  <c r="BG144" i="1"/>
  <c r="BH144" i="1" s="1"/>
  <c r="BG145" i="1"/>
  <c r="BH145" i="1" s="1"/>
  <c r="BG146" i="1"/>
  <c r="BH146" i="1" s="1"/>
  <c r="BG147" i="1"/>
  <c r="BH147" i="1" s="1"/>
  <c r="BG148" i="1"/>
  <c r="BH148" i="1" s="1"/>
  <c r="BG149" i="1"/>
  <c r="BH149" i="1" s="1"/>
  <c r="BG150" i="1"/>
  <c r="BH150" i="1" s="1"/>
  <c r="BG151" i="1"/>
  <c r="BH151" i="1" s="1"/>
  <c r="BG152" i="1"/>
  <c r="BH152" i="1" s="1"/>
  <c r="BG153" i="1"/>
  <c r="BH153" i="1" s="1"/>
  <c r="BG154" i="1"/>
  <c r="BH154" i="1" s="1"/>
  <c r="BG155" i="1"/>
  <c r="BH155" i="1" s="1"/>
  <c r="BG156" i="1"/>
  <c r="BH156" i="1" s="1"/>
  <c r="BG157" i="1"/>
  <c r="BH157" i="1" s="1"/>
  <c r="BG158" i="1"/>
  <c r="BH158" i="1" s="1"/>
  <c r="BG159" i="1"/>
  <c r="BH159" i="1" s="1"/>
  <c r="BG160" i="1"/>
  <c r="BH160" i="1" s="1"/>
  <c r="BG161" i="1"/>
  <c r="BH161" i="1" s="1"/>
  <c r="BG162" i="1"/>
  <c r="BH162" i="1" s="1"/>
  <c r="BG163" i="1"/>
  <c r="BH163" i="1" s="1"/>
  <c r="BG164" i="1"/>
  <c r="BH164" i="1" s="1"/>
  <c r="BG141" i="1"/>
  <c r="BH141" i="1" s="1"/>
  <c r="BF142" i="1"/>
  <c r="BF143" i="1"/>
  <c r="BF144" i="1"/>
  <c r="BF145" i="1"/>
  <c r="BF146" i="1"/>
  <c r="BF147" i="1"/>
  <c r="BF148" i="1"/>
  <c r="BF149" i="1"/>
  <c r="BF150" i="1"/>
  <c r="BF151" i="1"/>
  <c r="BF152" i="1"/>
  <c r="BF153" i="1"/>
  <c r="BF154" i="1"/>
  <c r="BF155" i="1"/>
  <c r="BF156" i="1"/>
  <c r="BF157" i="1"/>
  <c r="BF158" i="1"/>
  <c r="BF159" i="1"/>
  <c r="BF160" i="1"/>
  <c r="BF161" i="1"/>
  <c r="BF162" i="1"/>
  <c r="BF163" i="1"/>
  <c r="BF164" i="1"/>
  <c r="BF141" i="1"/>
  <c r="BB160" i="1"/>
  <c r="BC160" i="1" s="1"/>
  <c r="BB161" i="1"/>
  <c r="BC161" i="1" s="1"/>
  <c r="BB162" i="1"/>
  <c r="BC162" i="1" s="1"/>
  <c r="BB163" i="1"/>
  <c r="BC163" i="1" s="1"/>
  <c r="BB164" i="1"/>
  <c r="BC164" i="1" s="1"/>
  <c r="BB159" i="1"/>
  <c r="BC159" i="1" s="1"/>
  <c r="BB154" i="1"/>
  <c r="BC154" i="1" s="1"/>
  <c r="BB155" i="1"/>
  <c r="BC155" i="1" s="1"/>
  <c r="BB156" i="1"/>
  <c r="BC156" i="1" s="1"/>
  <c r="BB157" i="1"/>
  <c r="BC157" i="1" s="1"/>
  <c r="BB158" i="1"/>
  <c r="BC158" i="1" s="1"/>
  <c r="BB153" i="1"/>
  <c r="BC153" i="1" s="1"/>
  <c r="BB148" i="1"/>
  <c r="BC148" i="1" s="1"/>
  <c r="BB149" i="1"/>
  <c r="BC149" i="1" s="1"/>
  <c r="BB150" i="1"/>
  <c r="BC150" i="1" s="1"/>
  <c r="BB151" i="1"/>
  <c r="BC151" i="1" s="1"/>
  <c r="BB152" i="1"/>
  <c r="BC152" i="1" s="1"/>
  <c r="BB147" i="1"/>
  <c r="BC147" i="1" s="1"/>
  <c r="BB142" i="1"/>
  <c r="BC142" i="1" s="1"/>
  <c r="BB143" i="1"/>
  <c r="BC143" i="1" s="1"/>
  <c r="BB144" i="1"/>
  <c r="BC144" i="1" s="1"/>
  <c r="BB145" i="1"/>
  <c r="BC145" i="1" s="1"/>
  <c r="BB146" i="1"/>
  <c r="BC146" i="1" s="1"/>
  <c r="BB141" i="1"/>
  <c r="BC141" i="1" s="1"/>
  <c r="BA155" i="1"/>
  <c r="BA156" i="1"/>
  <c r="BA157" i="1"/>
  <c r="BA158" i="1"/>
  <c r="BA159" i="1"/>
  <c r="BA160" i="1"/>
  <c r="BA161" i="1"/>
  <c r="BA162" i="1"/>
  <c r="BA163" i="1"/>
  <c r="BA164" i="1"/>
  <c r="BA154" i="1"/>
  <c r="BA153" i="1"/>
  <c r="BA152" i="1"/>
  <c r="BA151" i="1"/>
  <c r="BA150" i="1"/>
  <c r="BA149" i="1"/>
  <c r="BA148" i="1"/>
  <c r="BA147" i="1"/>
  <c r="BA146" i="1"/>
  <c r="BA145" i="1"/>
  <c r="BA144" i="1"/>
  <c r="BA143" i="1"/>
  <c r="BA142" i="1"/>
  <c r="BA141" i="1"/>
  <c r="AW160" i="1"/>
  <c r="AX160" i="1" s="1"/>
  <c r="AY160" i="1" s="1"/>
  <c r="AW161" i="1"/>
  <c r="AX161" i="1" s="1"/>
  <c r="AY161" i="1" s="1"/>
  <c r="AW162" i="1"/>
  <c r="AX162" i="1" s="1"/>
  <c r="AY162" i="1" s="1"/>
  <c r="AW163" i="1"/>
  <c r="AX163" i="1" s="1"/>
  <c r="AY163" i="1" s="1"/>
  <c r="AW164" i="1"/>
  <c r="AX164" i="1" s="1"/>
  <c r="AY164" i="1" s="1"/>
  <c r="AW159" i="1"/>
  <c r="AX159" i="1" s="1"/>
  <c r="AY159" i="1" s="1"/>
  <c r="AW154" i="1"/>
  <c r="AX154" i="1" s="1"/>
  <c r="AY154" i="1" s="1"/>
  <c r="AW155" i="1"/>
  <c r="AX155" i="1" s="1"/>
  <c r="AY155" i="1" s="1"/>
  <c r="AW156" i="1"/>
  <c r="AX156" i="1" s="1"/>
  <c r="AY156" i="1" s="1"/>
  <c r="AW157" i="1"/>
  <c r="AX157" i="1" s="1"/>
  <c r="AY157" i="1" s="1"/>
  <c r="AW158" i="1"/>
  <c r="AX158" i="1" s="1"/>
  <c r="AY158" i="1" s="1"/>
  <c r="AW153" i="1"/>
  <c r="AX153" i="1" s="1"/>
  <c r="AY153" i="1" s="1"/>
  <c r="AW148" i="1"/>
  <c r="AX148" i="1" s="1"/>
  <c r="AY148" i="1" s="1"/>
  <c r="AW149" i="1"/>
  <c r="AX149" i="1" s="1"/>
  <c r="AY149" i="1" s="1"/>
  <c r="AW150" i="1"/>
  <c r="AX150" i="1" s="1"/>
  <c r="AY150" i="1" s="1"/>
  <c r="AW151" i="1"/>
  <c r="AX151" i="1" s="1"/>
  <c r="AY151" i="1" s="1"/>
  <c r="AW152" i="1"/>
  <c r="AX152" i="1" s="1"/>
  <c r="AY152" i="1" s="1"/>
  <c r="AW147" i="1"/>
  <c r="AX147" i="1" s="1"/>
  <c r="AY147" i="1" s="1"/>
  <c r="AW142" i="1"/>
  <c r="AX142" i="1" s="1"/>
  <c r="AY142" i="1" s="1"/>
  <c r="AW143" i="1"/>
  <c r="AX143" i="1" s="1"/>
  <c r="AY143" i="1" s="1"/>
  <c r="AW144" i="1"/>
  <c r="AX144" i="1" s="1"/>
  <c r="AY144" i="1" s="1"/>
  <c r="AW145" i="1"/>
  <c r="AX145" i="1" s="1"/>
  <c r="AY145" i="1" s="1"/>
  <c r="AW146" i="1"/>
  <c r="AX146" i="1" s="1"/>
  <c r="AY146" i="1" s="1"/>
  <c r="AW141" i="1"/>
  <c r="AX141" i="1" s="1"/>
  <c r="AY141" i="1" s="1"/>
  <c r="AI142" i="1"/>
  <c r="AI143" i="1"/>
  <c r="AI144" i="1"/>
  <c r="AI145" i="1"/>
  <c r="AI146" i="1"/>
  <c r="AI147" i="1"/>
  <c r="AI148" i="1"/>
  <c r="AI149" i="1"/>
  <c r="AI150" i="1"/>
  <c r="AI151" i="1"/>
  <c r="AI152" i="1"/>
  <c r="AI153" i="1"/>
  <c r="AI154" i="1"/>
  <c r="AI155" i="1"/>
  <c r="AI156" i="1"/>
  <c r="AI157" i="1"/>
  <c r="AI158" i="1"/>
  <c r="AI159" i="1"/>
  <c r="AI160" i="1"/>
  <c r="AI161" i="1"/>
  <c r="AI162" i="1"/>
  <c r="AI163" i="1"/>
  <c r="AI164" i="1"/>
  <c r="AI141" i="1"/>
  <c r="AF164" i="1"/>
  <c r="AG164" i="1" s="1"/>
  <c r="AF163" i="1"/>
  <c r="AG163" i="1" s="1"/>
  <c r="AF162" i="1"/>
  <c r="AG162" i="1" s="1"/>
  <c r="AF161" i="1"/>
  <c r="AG161" i="1" s="1"/>
  <c r="AF160" i="1"/>
  <c r="AG160" i="1" s="1"/>
  <c r="AF159" i="1"/>
  <c r="AG159" i="1" s="1"/>
  <c r="AF158" i="1"/>
  <c r="AG158" i="1" s="1"/>
  <c r="AF157" i="1"/>
  <c r="AG157" i="1" s="1"/>
  <c r="AF156" i="1"/>
  <c r="AG156" i="1" s="1"/>
  <c r="AF155" i="1"/>
  <c r="AG155" i="1" s="1"/>
  <c r="AF154" i="1"/>
  <c r="AG154" i="1" s="1"/>
  <c r="AF153" i="1"/>
  <c r="AG153" i="1" s="1"/>
  <c r="AF152" i="1"/>
  <c r="AG152" i="1" s="1"/>
  <c r="AF151" i="1"/>
  <c r="AG151" i="1" s="1"/>
  <c r="AF150" i="1"/>
  <c r="AG150" i="1" s="1"/>
  <c r="AF149" i="1"/>
  <c r="AG149" i="1" s="1"/>
  <c r="AF148" i="1"/>
  <c r="AG148" i="1" s="1"/>
  <c r="AF147" i="1"/>
  <c r="AG147" i="1" s="1"/>
  <c r="AF144" i="1"/>
  <c r="AG144" i="1" s="1"/>
  <c r="AF146" i="1"/>
  <c r="AG146" i="1" s="1"/>
  <c r="AF145" i="1"/>
  <c r="AG145" i="1" s="1"/>
  <c r="AF143" i="1"/>
  <c r="AG143" i="1" s="1"/>
  <c r="AF142" i="1"/>
  <c r="AG142" i="1" s="1"/>
  <c r="AF141" i="1"/>
  <c r="AG141" i="1" s="1"/>
  <c r="Z144" i="1"/>
  <c r="AA144" i="1" s="1"/>
  <c r="Z145" i="1"/>
  <c r="AA145" i="1" s="1"/>
  <c r="Z150" i="1"/>
  <c r="AA150" i="1" s="1"/>
  <c r="Z151" i="1"/>
  <c r="AA151" i="1" s="1"/>
  <c r="Z153" i="1"/>
  <c r="AA153" i="1" s="1"/>
  <c r="Z154" i="1"/>
  <c r="AA154" i="1" s="1"/>
  <c r="Z155" i="1"/>
  <c r="AA155" i="1" s="1"/>
  <c r="Z156" i="1"/>
  <c r="AA156" i="1" s="1"/>
  <c r="Z157" i="1"/>
  <c r="AA157" i="1" s="1"/>
  <c r="Z158" i="1"/>
  <c r="AA158" i="1" s="1"/>
  <c r="Z159" i="1"/>
  <c r="AA159" i="1" s="1"/>
  <c r="Z160" i="1"/>
  <c r="AA160" i="1" s="1"/>
  <c r="Z161" i="1"/>
  <c r="AA161" i="1" s="1"/>
  <c r="Z162" i="1"/>
  <c r="AA162" i="1" s="1"/>
  <c r="Z163" i="1"/>
  <c r="AA163" i="1" s="1"/>
  <c r="Z164" i="1"/>
  <c r="AA164" i="1" s="1"/>
  <c r="Y144" i="1"/>
  <c r="Y145" i="1"/>
  <c r="Y146" i="1"/>
  <c r="Y147" i="1"/>
  <c r="Y148" i="1"/>
  <c r="Y149" i="1"/>
  <c r="Y150" i="1"/>
  <c r="Y151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2" i="1"/>
  <c r="Y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Z3" i="1"/>
  <c r="AA3" i="1" s="1"/>
  <c r="Z4" i="1"/>
  <c r="AA4" i="1" s="1"/>
  <c r="Z5" i="1"/>
  <c r="AA5" i="1" s="1"/>
  <c r="Z6" i="1"/>
  <c r="AA6" i="1" s="1"/>
  <c r="Z7" i="1"/>
  <c r="AA7" i="1" s="1"/>
  <c r="Z8" i="1"/>
  <c r="AA8" i="1" s="1"/>
  <c r="Z9" i="1"/>
  <c r="AA9" i="1" s="1"/>
  <c r="Z10" i="1"/>
  <c r="AA10" i="1" s="1"/>
  <c r="Z11" i="1"/>
  <c r="AA11" i="1" s="1"/>
  <c r="Z12" i="1"/>
  <c r="AA12" i="1" s="1"/>
  <c r="Z13" i="1"/>
  <c r="AA13" i="1" s="1"/>
  <c r="Z14" i="1"/>
  <c r="AA14" i="1" s="1"/>
  <c r="Z15" i="1"/>
  <c r="AA15" i="1" s="1"/>
  <c r="Z16" i="1"/>
  <c r="AA16" i="1" s="1"/>
  <c r="Z17" i="1"/>
  <c r="AA17" i="1" s="1"/>
  <c r="Z18" i="1"/>
  <c r="AA18" i="1" s="1"/>
  <c r="Z19" i="1"/>
  <c r="AA19" i="1" s="1"/>
  <c r="Z20" i="1"/>
  <c r="AA20" i="1" s="1"/>
  <c r="Z21" i="1"/>
  <c r="AA21" i="1" s="1"/>
  <c r="Z22" i="1"/>
  <c r="AA22" i="1" s="1"/>
  <c r="Z23" i="1"/>
  <c r="AA23" i="1" s="1"/>
  <c r="Z24" i="1"/>
  <c r="AA24" i="1" s="1"/>
  <c r="Z25" i="1"/>
  <c r="AA25" i="1" s="1"/>
  <c r="Z26" i="1"/>
  <c r="AA26" i="1" s="1"/>
  <c r="Z27" i="1"/>
  <c r="AA27" i="1" s="1"/>
  <c r="Z28" i="1"/>
  <c r="AA28" i="1" s="1"/>
  <c r="Z29" i="1"/>
  <c r="AA29" i="1" s="1"/>
  <c r="Z30" i="1"/>
  <c r="AA30" i="1" s="1"/>
  <c r="Z31" i="1"/>
  <c r="AA31" i="1" s="1"/>
  <c r="Z32" i="1"/>
  <c r="AA32" i="1" s="1"/>
  <c r="Z33" i="1"/>
  <c r="AA33" i="1" s="1"/>
  <c r="Z34" i="1"/>
  <c r="AA34" i="1" s="1"/>
  <c r="Z35" i="1"/>
  <c r="AA35" i="1" s="1"/>
  <c r="Z36" i="1"/>
  <c r="AA36" i="1" s="1"/>
  <c r="Z37" i="1"/>
  <c r="AA37" i="1" s="1"/>
  <c r="Z38" i="1"/>
  <c r="AA38" i="1" s="1"/>
  <c r="Z39" i="1"/>
  <c r="AA39" i="1" s="1"/>
  <c r="Z40" i="1"/>
  <c r="AA40" i="1" s="1"/>
  <c r="Z41" i="1"/>
  <c r="AA41" i="1" s="1"/>
  <c r="Z42" i="1"/>
  <c r="AA42" i="1" s="1"/>
  <c r="Z43" i="1"/>
  <c r="AA43" i="1" s="1"/>
  <c r="Z44" i="1"/>
  <c r="AA44" i="1" s="1"/>
  <c r="Z45" i="1"/>
  <c r="AA45" i="1" s="1"/>
  <c r="Z46" i="1"/>
  <c r="AA46" i="1" s="1"/>
  <c r="Z47" i="1"/>
  <c r="AA47" i="1" s="1"/>
  <c r="Z48" i="1"/>
  <c r="AA48" i="1" s="1"/>
  <c r="Z49" i="1"/>
  <c r="AA49" i="1" s="1"/>
  <c r="Z50" i="1"/>
  <c r="AA50" i="1" s="1"/>
  <c r="Z51" i="1"/>
  <c r="AA51" i="1" s="1"/>
  <c r="Z52" i="1"/>
  <c r="AA52" i="1" s="1"/>
  <c r="Z53" i="1"/>
  <c r="AA53" i="1" s="1"/>
  <c r="Z54" i="1"/>
  <c r="AA54" i="1" s="1"/>
  <c r="Z55" i="1"/>
  <c r="AA55" i="1" s="1"/>
  <c r="Z56" i="1"/>
  <c r="AA56" i="1" s="1"/>
  <c r="Z57" i="1"/>
  <c r="AA57" i="1" s="1"/>
  <c r="Z58" i="1"/>
  <c r="AA58" i="1" s="1"/>
  <c r="Z59" i="1"/>
  <c r="AA59" i="1" s="1"/>
  <c r="Z60" i="1"/>
  <c r="AA60" i="1" s="1"/>
  <c r="Z61" i="1"/>
  <c r="AA61" i="1" s="1"/>
  <c r="Z62" i="1"/>
  <c r="AA62" i="1" s="1"/>
  <c r="Z63" i="1"/>
  <c r="AA63" i="1" s="1"/>
  <c r="Z64" i="1"/>
  <c r="AA64" i="1" s="1"/>
  <c r="Z65" i="1"/>
  <c r="AA65" i="1" s="1"/>
  <c r="Z66" i="1"/>
  <c r="AA66" i="1" s="1"/>
  <c r="Z67" i="1"/>
  <c r="AA67" i="1" s="1"/>
  <c r="Z68" i="1"/>
  <c r="AA68" i="1" s="1"/>
  <c r="Z69" i="1"/>
  <c r="AA69" i="1" s="1"/>
  <c r="Z70" i="1"/>
  <c r="AA70" i="1" s="1"/>
  <c r="Z71" i="1"/>
  <c r="AA71" i="1" s="1"/>
  <c r="Z72" i="1"/>
  <c r="AA72" i="1" s="1"/>
  <c r="Z73" i="1"/>
  <c r="AA73" i="1" s="1"/>
  <c r="Z74" i="1"/>
  <c r="AA74" i="1" s="1"/>
  <c r="Z75" i="1"/>
  <c r="AA75" i="1" s="1"/>
  <c r="Z76" i="1"/>
  <c r="AA76" i="1" s="1"/>
  <c r="Z77" i="1"/>
  <c r="AA77" i="1" s="1"/>
  <c r="Z78" i="1"/>
  <c r="AA78" i="1" s="1"/>
  <c r="Z79" i="1"/>
  <c r="AA79" i="1" s="1"/>
  <c r="Z80" i="1"/>
  <c r="AA80" i="1" s="1"/>
  <c r="Z81" i="1"/>
  <c r="AA81" i="1" s="1"/>
  <c r="Z82" i="1"/>
  <c r="AA82" i="1" s="1"/>
  <c r="Z83" i="1"/>
  <c r="AA83" i="1" s="1"/>
  <c r="Z84" i="1"/>
  <c r="AA84" i="1" s="1"/>
  <c r="Z85" i="1"/>
  <c r="AA85" i="1" s="1"/>
  <c r="Z86" i="1"/>
  <c r="AA86" i="1" s="1"/>
  <c r="Z87" i="1"/>
  <c r="AA87" i="1" s="1"/>
  <c r="Z88" i="1"/>
  <c r="AA88" i="1" s="1"/>
  <c r="Z89" i="1"/>
  <c r="AA89" i="1" s="1"/>
  <c r="Z90" i="1"/>
  <c r="AA90" i="1" s="1"/>
  <c r="Z91" i="1"/>
  <c r="AA91" i="1" s="1"/>
  <c r="Z92" i="1"/>
  <c r="AA92" i="1" s="1"/>
  <c r="Z93" i="1"/>
  <c r="AA93" i="1" s="1"/>
  <c r="Z94" i="1"/>
  <c r="AA94" i="1" s="1"/>
  <c r="Z95" i="1"/>
  <c r="AA95" i="1" s="1"/>
  <c r="Z96" i="1"/>
  <c r="AA96" i="1" s="1"/>
  <c r="Z97" i="1"/>
  <c r="AA97" i="1" s="1"/>
  <c r="Z98" i="1"/>
  <c r="AA98" i="1" s="1"/>
  <c r="Z99" i="1"/>
  <c r="AA99" i="1" s="1"/>
  <c r="Z100" i="1"/>
  <c r="AA100" i="1" s="1"/>
  <c r="Z101" i="1"/>
  <c r="AA101" i="1" s="1"/>
  <c r="Z102" i="1"/>
  <c r="AA102" i="1" s="1"/>
  <c r="Z103" i="1"/>
  <c r="AA103" i="1" s="1"/>
  <c r="Z104" i="1"/>
  <c r="AA104" i="1" s="1"/>
  <c r="Z105" i="1"/>
  <c r="AA105" i="1" s="1"/>
  <c r="Z106" i="1"/>
  <c r="AA106" i="1" s="1"/>
  <c r="Z107" i="1"/>
  <c r="AA107" i="1" s="1"/>
  <c r="Z108" i="1"/>
  <c r="AA108" i="1" s="1"/>
  <c r="Z109" i="1"/>
  <c r="AA109" i="1" s="1"/>
  <c r="Z110" i="1"/>
  <c r="AA110" i="1" s="1"/>
  <c r="Z111" i="1"/>
  <c r="AA111" i="1" s="1"/>
  <c r="Z112" i="1"/>
  <c r="AA112" i="1" s="1"/>
  <c r="Z113" i="1"/>
  <c r="AA113" i="1" s="1"/>
  <c r="Z114" i="1"/>
  <c r="AA114" i="1" s="1"/>
  <c r="Z115" i="1"/>
  <c r="AA115" i="1" s="1"/>
  <c r="Z116" i="1"/>
  <c r="AA116" i="1" s="1"/>
  <c r="Z117" i="1"/>
  <c r="AA117" i="1" s="1"/>
  <c r="Z118" i="1"/>
  <c r="AA118" i="1" s="1"/>
  <c r="Z119" i="1"/>
  <c r="AA119" i="1" s="1"/>
  <c r="Z120" i="1"/>
  <c r="AA120" i="1" s="1"/>
  <c r="Z121" i="1"/>
  <c r="AA121" i="1" s="1"/>
  <c r="Z122" i="1"/>
  <c r="AA122" i="1" s="1"/>
  <c r="Z123" i="1"/>
  <c r="AA123" i="1" s="1"/>
  <c r="Z124" i="1"/>
  <c r="AA124" i="1" s="1"/>
  <c r="Z125" i="1"/>
  <c r="AA125" i="1" s="1"/>
  <c r="Z126" i="1"/>
  <c r="AA126" i="1" s="1"/>
  <c r="Z127" i="1"/>
  <c r="AA127" i="1" s="1"/>
  <c r="Z128" i="1"/>
  <c r="AA128" i="1" s="1"/>
  <c r="Z129" i="1"/>
  <c r="AA129" i="1" s="1"/>
  <c r="Z130" i="1"/>
  <c r="AA130" i="1" s="1"/>
  <c r="Z131" i="1"/>
  <c r="AA131" i="1" s="1"/>
  <c r="Z132" i="1"/>
  <c r="AA132" i="1" s="1"/>
  <c r="Z133" i="1"/>
  <c r="AA133" i="1" s="1"/>
  <c r="Z134" i="1"/>
  <c r="AA134" i="1" s="1"/>
  <c r="Z135" i="1"/>
  <c r="AA135" i="1" s="1"/>
  <c r="Z136" i="1"/>
  <c r="AA136" i="1" s="1"/>
  <c r="Z137" i="1"/>
  <c r="AA137" i="1" s="1"/>
  <c r="Z138" i="1"/>
  <c r="AA138" i="1" s="1"/>
  <c r="Z139" i="1"/>
  <c r="AA139" i="1" s="1"/>
  <c r="Z140" i="1"/>
  <c r="AA140" i="1" s="1"/>
  <c r="Z2" i="1"/>
  <c r="AA2" i="1" s="1"/>
  <c r="AI129" i="1"/>
  <c r="AI134" i="1"/>
  <c r="AI135" i="1"/>
  <c r="AI136" i="1"/>
  <c r="AI137" i="1"/>
  <c r="AI138" i="1"/>
  <c r="AI139" i="1"/>
  <c r="AI140" i="1"/>
  <c r="AI133" i="1"/>
  <c r="BW133" i="1"/>
  <c r="BW134" i="1"/>
  <c r="BW135" i="1"/>
  <c r="BW136" i="1"/>
  <c r="BW137" i="1"/>
  <c r="BW138" i="1"/>
  <c r="BW139" i="1"/>
  <c r="BW140" i="1"/>
  <c r="BJ134" i="1"/>
  <c r="BJ135" i="1"/>
  <c r="BJ136" i="1"/>
  <c r="BJ137" i="1"/>
  <c r="BJ138" i="1"/>
  <c r="BJ139" i="1"/>
  <c r="BJ140" i="1"/>
  <c r="BJ133" i="1"/>
  <c r="BH134" i="1"/>
  <c r="BH135" i="1"/>
  <c r="BH136" i="1"/>
  <c r="BH137" i="1"/>
  <c r="BH139" i="1"/>
  <c r="BH140" i="1"/>
  <c r="BF134" i="1"/>
  <c r="BF135" i="1"/>
  <c r="BF136" i="1"/>
  <c r="BF137" i="1"/>
  <c r="BF138" i="1"/>
  <c r="BF139" i="1"/>
  <c r="BF140" i="1"/>
  <c r="BF133" i="1"/>
  <c r="BB134" i="1"/>
  <c r="BC134" i="1" s="1"/>
  <c r="BB135" i="1"/>
  <c r="BC135" i="1" s="1"/>
  <c r="BB136" i="1"/>
  <c r="BC136" i="1" s="1"/>
  <c r="BB137" i="1"/>
  <c r="BC137" i="1" s="1"/>
  <c r="BB138" i="1"/>
  <c r="BC138" i="1" s="1"/>
  <c r="BB139" i="1"/>
  <c r="BC139" i="1" s="1"/>
  <c r="BB140" i="1"/>
  <c r="BC140" i="1" s="1"/>
  <c r="BB133" i="1"/>
  <c r="BC133" i="1" s="1"/>
  <c r="BA134" i="1"/>
  <c r="BA135" i="1"/>
  <c r="BA136" i="1"/>
  <c r="BA137" i="1"/>
  <c r="BA138" i="1"/>
  <c r="BA139" i="1"/>
  <c r="BA140" i="1"/>
  <c r="BA133" i="1"/>
  <c r="AW140" i="1"/>
  <c r="AX140" i="1" s="1"/>
  <c r="AY140" i="1" s="1"/>
  <c r="AW139" i="1"/>
  <c r="AX139" i="1" s="1"/>
  <c r="AY139" i="1" s="1"/>
  <c r="AW138" i="1"/>
  <c r="AX138" i="1" s="1"/>
  <c r="AY138" i="1" s="1"/>
  <c r="AW137" i="1"/>
  <c r="AX137" i="1" s="1"/>
  <c r="AY137" i="1" s="1"/>
  <c r="AW136" i="1"/>
  <c r="AX136" i="1" s="1"/>
  <c r="AY136" i="1" s="1"/>
  <c r="AW135" i="1"/>
  <c r="AX135" i="1" s="1"/>
  <c r="AY135" i="1" s="1"/>
  <c r="AW134" i="1"/>
  <c r="AX134" i="1" s="1"/>
  <c r="AY134" i="1" s="1"/>
  <c r="AW133" i="1"/>
  <c r="AX133" i="1" s="1"/>
  <c r="AY133" i="1" s="1"/>
  <c r="AG134" i="1"/>
  <c r="AG135" i="1"/>
  <c r="AG136" i="1"/>
  <c r="AG137" i="1"/>
  <c r="AG138" i="1"/>
  <c r="AG139" i="1"/>
  <c r="AG140" i="1"/>
  <c r="AG133" i="1"/>
  <c r="AI2" i="1"/>
  <c r="AI3" i="1"/>
  <c r="AI4" i="1"/>
  <c r="AI5" i="1"/>
  <c r="AI6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12" i="1"/>
  <c r="AI113" i="1"/>
  <c r="AI114" i="1"/>
  <c r="AI115" i="1"/>
  <c r="AI116" i="1"/>
  <c r="AI117" i="1"/>
  <c r="AI118" i="1"/>
  <c r="AI119" i="1"/>
  <c r="AI120" i="1"/>
  <c r="AI121" i="1"/>
  <c r="AI122" i="1"/>
  <c r="AI123" i="1"/>
  <c r="AI124" i="1"/>
  <c r="AI125" i="1"/>
  <c r="AI126" i="1"/>
  <c r="AI127" i="1"/>
  <c r="AI128" i="1"/>
  <c r="BO129" i="1"/>
  <c r="BO130" i="1"/>
  <c r="BO131" i="1"/>
  <c r="BO132" i="1"/>
  <c r="BL130" i="1"/>
  <c r="BM130" i="1" s="1"/>
  <c r="BL131" i="1"/>
  <c r="BM131" i="1" s="1"/>
  <c r="BL132" i="1"/>
  <c r="BM132" i="1" s="1"/>
  <c r="BL129" i="1"/>
  <c r="BM129" i="1" s="1"/>
  <c r="BJ130" i="1"/>
  <c r="BJ131" i="1"/>
  <c r="BJ132" i="1"/>
  <c r="BJ129" i="1"/>
  <c r="U156" i="1" l="1"/>
  <c r="H156" i="1"/>
  <c r="Q156" i="1"/>
  <c r="R156" i="1" s="1"/>
  <c r="U101" i="1"/>
  <c r="H101" i="1"/>
  <c r="Q101" i="1"/>
  <c r="R101" i="1" s="1"/>
  <c r="U65" i="1"/>
  <c r="H65" i="1"/>
  <c r="U17" i="1"/>
  <c r="H17" i="1"/>
  <c r="U52" i="1"/>
  <c r="Q52" i="1"/>
  <c r="R52" i="1" s="1"/>
  <c r="U165" i="1"/>
  <c r="H165" i="1"/>
  <c r="U153" i="1"/>
  <c r="H153" i="1"/>
  <c r="Q153" i="1"/>
  <c r="R153" i="1" s="1"/>
  <c r="U134" i="1"/>
  <c r="Q134" i="1"/>
  <c r="R134" i="1" s="1"/>
  <c r="U110" i="1"/>
  <c r="Q110" i="1"/>
  <c r="R110" i="1" s="1"/>
  <c r="U98" i="1"/>
  <c r="Q98" i="1"/>
  <c r="R98" i="1" s="1"/>
  <c r="U86" i="1"/>
  <c r="Q86" i="1"/>
  <c r="R86" i="1" s="1"/>
  <c r="U74" i="1"/>
  <c r="Q74" i="1"/>
  <c r="R74" i="1" s="1"/>
  <c r="U62" i="1"/>
  <c r="U50" i="1"/>
  <c r="U38" i="1"/>
  <c r="U26" i="1"/>
  <c r="U14" i="1"/>
  <c r="H14" i="1"/>
  <c r="U2" i="1"/>
  <c r="H2" i="1"/>
  <c r="K145" i="1"/>
  <c r="L145" i="1" s="1"/>
  <c r="J145" i="1"/>
  <c r="K127" i="1"/>
  <c r="L127" i="1" s="1"/>
  <c r="J127" i="1"/>
  <c r="K115" i="1"/>
  <c r="L115" i="1" s="1"/>
  <c r="J115" i="1"/>
  <c r="K103" i="1"/>
  <c r="L103" i="1" s="1"/>
  <c r="J103" i="1"/>
  <c r="K91" i="1"/>
  <c r="L91" i="1" s="1"/>
  <c r="J91" i="1"/>
  <c r="K79" i="1"/>
  <c r="L79" i="1" s="1"/>
  <c r="J79" i="1"/>
  <c r="K67" i="1"/>
  <c r="L67" i="1" s="1"/>
  <c r="J67" i="1"/>
  <c r="K55" i="1"/>
  <c r="L55" i="1" s="1"/>
  <c r="J55" i="1"/>
  <c r="J31" i="1"/>
  <c r="K31" i="1"/>
  <c r="L31" i="1" s="1"/>
  <c r="J7" i="1"/>
  <c r="K7" i="1"/>
  <c r="L7" i="1" s="1"/>
  <c r="K49" i="1"/>
  <c r="L49" i="1" s="1"/>
  <c r="K19" i="1"/>
  <c r="L19" i="1" s="1"/>
  <c r="H167" i="1"/>
  <c r="H119" i="1"/>
  <c r="J135" i="1"/>
  <c r="J63" i="1"/>
  <c r="U137" i="1"/>
  <c r="H137" i="1"/>
  <c r="Q137" i="1"/>
  <c r="R137" i="1" s="1"/>
  <c r="U89" i="1"/>
  <c r="H89" i="1"/>
  <c r="U53" i="1"/>
  <c r="H53" i="1"/>
  <c r="Q53" i="1"/>
  <c r="R53" i="1" s="1"/>
  <c r="U29" i="1"/>
  <c r="H29" i="1"/>
  <c r="U136" i="1"/>
  <c r="U100" i="1"/>
  <c r="U64" i="1"/>
  <c r="Q64" i="1"/>
  <c r="R64" i="1" s="1"/>
  <c r="U40" i="1"/>
  <c r="Q40" i="1"/>
  <c r="R40" i="1" s="1"/>
  <c r="U4" i="1"/>
  <c r="Q4" i="1"/>
  <c r="R4" i="1" s="1"/>
  <c r="U164" i="1"/>
  <c r="Q164" i="1"/>
  <c r="R164" i="1" s="1"/>
  <c r="U133" i="1"/>
  <c r="H133" i="1"/>
  <c r="U121" i="1"/>
  <c r="H121" i="1"/>
  <c r="U109" i="1"/>
  <c r="Q109" i="1"/>
  <c r="R109" i="1" s="1"/>
  <c r="H109" i="1"/>
  <c r="U97" i="1"/>
  <c r="Q97" i="1"/>
  <c r="R97" i="1" s="1"/>
  <c r="H97" i="1"/>
  <c r="U85" i="1"/>
  <c r="H85" i="1"/>
  <c r="U73" i="1"/>
  <c r="H73" i="1"/>
  <c r="U61" i="1"/>
  <c r="H61" i="1"/>
  <c r="U49" i="1"/>
  <c r="H49" i="1"/>
  <c r="U37" i="1"/>
  <c r="H37" i="1"/>
  <c r="U25" i="1"/>
  <c r="Q25" i="1"/>
  <c r="R25" i="1" s="1"/>
  <c r="H25" i="1"/>
  <c r="U13" i="1"/>
  <c r="Q13" i="1"/>
  <c r="R13" i="1" s="1"/>
  <c r="H13" i="1"/>
  <c r="K151" i="1"/>
  <c r="L151" i="1" s="1"/>
  <c r="K73" i="1"/>
  <c r="L73" i="1" s="1"/>
  <c r="K45" i="1"/>
  <c r="L45" i="1" s="1"/>
  <c r="K15" i="1"/>
  <c r="L15" i="1" s="1"/>
  <c r="F152" i="1"/>
  <c r="H164" i="1"/>
  <c r="H116" i="1"/>
  <c r="J126" i="1"/>
  <c r="J54" i="1"/>
  <c r="Q90" i="1"/>
  <c r="R90" i="1" s="1"/>
  <c r="Q18" i="1"/>
  <c r="R18" i="1" s="1"/>
  <c r="U125" i="1"/>
  <c r="H125" i="1"/>
  <c r="U88" i="1"/>
  <c r="U28" i="1"/>
  <c r="J33" i="1"/>
  <c r="K33" i="1"/>
  <c r="L33" i="1" s="1"/>
  <c r="U150" i="1"/>
  <c r="Q150" i="1"/>
  <c r="R150" i="1" s="1"/>
  <c r="U132" i="1"/>
  <c r="H132" i="1"/>
  <c r="Q132" i="1"/>
  <c r="R132" i="1" s="1"/>
  <c r="U120" i="1"/>
  <c r="H120" i="1"/>
  <c r="U108" i="1"/>
  <c r="Q108" i="1"/>
  <c r="R108" i="1" s="1"/>
  <c r="H108" i="1"/>
  <c r="U96" i="1"/>
  <c r="Q96" i="1"/>
  <c r="R96" i="1" s="1"/>
  <c r="H96" i="1"/>
  <c r="U84" i="1"/>
  <c r="H84" i="1"/>
  <c r="U72" i="1"/>
  <c r="Q72" i="1"/>
  <c r="R72" i="1" s="1"/>
  <c r="H72" i="1"/>
  <c r="U60" i="1"/>
  <c r="H60" i="1"/>
  <c r="U48" i="1"/>
  <c r="H48" i="1"/>
  <c r="U36" i="1"/>
  <c r="Q36" i="1"/>
  <c r="R36" i="1" s="1"/>
  <c r="H36" i="1"/>
  <c r="U24" i="1"/>
  <c r="H24" i="1"/>
  <c r="U12" i="1"/>
  <c r="Q12" i="1"/>
  <c r="R12" i="1" s="1"/>
  <c r="H12" i="1"/>
  <c r="Z147" i="1"/>
  <c r="AA147" i="1" s="1"/>
  <c r="F147" i="1"/>
  <c r="K137" i="1"/>
  <c r="L137" i="1" s="1"/>
  <c r="J137" i="1"/>
  <c r="K89" i="1"/>
  <c r="L89" i="1" s="1"/>
  <c r="J89" i="1"/>
  <c r="K77" i="1"/>
  <c r="L77" i="1" s="1"/>
  <c r="J77" i="1"/>
  <c r="K65" i="1"/>
  <c r="L65" i="1" s="1"/>
  <c r="J65" i="1"/>
  <c r="K53" i="1"/>
  <c r="L53" i="1" s="1"/>
  <c r="J53" i="1"/>
  <c r="K41" i="1"/>
  <c r="L41" i="1" s="1"/>
  <c r="J41" i="1"/>
  <c r="K29" i="1"/>
  <c r="L29" i="1" s="1"/>
  <c r="J29" i="1"/>
  <c r="K17" i="1"/>
  <c r="L17" i="1" s="1"/>
  <c r="J17" i="1"/>
  <c r="K5" i="1"/>
  <c r="L5" i="1" s="1"/>
  <c r="J5" i="1"/>
  <c r="K149" i="1"/>
  <c r="L149" i="1" s="1"/>
  <c r="K121" i="1"/>
  <c r="L121" i="1" s="1"/>
  <c r="K97" i="1"/>
  <c r="L97" i="1" s="1"/>
  <c r="K69" i="1"/>
  <c r="L69" i="1" s="1"/>
  <c r="K13" i="1"/>
  <c r="L13" i="1" s="1"/>
  <c r="F145" i="1"/>
  <c r="H163" i="1"/>
  <c r="H139" i="1"/>
  <c r="J123" i="1"/>
  <c r="J51" i="1"/>
  <c r="U168" i="1"/>
  <c r="H168" i="1"/>
  <c r="U113" i="1"/>
  <c r="H113" i="1"/>
  <c r="Q113" i="1"/>
  <c r="R113" i="1" s="1"/>
  <c r="U77" i="1"/>
  <c r="H77" i="1"/>
  <c r="Q77" i="1"/>
  <c r="R77" i="1" s="1"/>
  <c r="U5" i="1"/>
  <c r="H5" i="1"/>
  <c r="U155" i="1"/>
  <c r="Q155" i="1"/>
  <c r="R155" i="1" s="1"/>
  <c r="U76" i="1"/>
  <c r="U16" i="1"/>
  <c r="U162" i="1"/>
  <c r="Q162" i="1"/>
  <c r="R162" i="1" s="1"/>
  <c r="U148" i="1"/>
  <c r="Q148" i="1"/>
  <c r="R148" i="1" s="1"/>
  <c r="U131" i="1"/>
  <c r="U107" i="1"/>
  <c r="U95" i="1"/>
  <c r="Q95" i="1"/>
  <c r="R95" i="1" s="1"/>
  <c r="U83" i="1"/>
  <c r="U71" i="1"/>
  <c r="U59" i="1"/>
  <c r="U47" i="1"/>
  <c r="U35" i="1"/>
  <c r="U23" i="1"/>
  <c r="Q23" i="1"/>
  <c r="R23" i="1" s="1"/>
  <c r="U11" i="1"/>
  <c r="Y141" i="1"/>
  <c r="F141" i="1"/>
  <c r="K136" i="1"/>
  <c r="L136" i="1" s="1"/>
  <c r="J136" i="1"/>
  <c r="K124" i="1"/>
  <c r="L124" i="1" s="1"/>
  <c r="J124" i="1"/>
  <c r="K112" i="1"/>
  <c r="L112" i="1" s="1"/>
  <c r="J112" i="1"/>
  <c r="K100" i="1"/>
  <c r="L100" i="1" s="1"/>
  <c r="J100" i="1"/>
  <c r="K40" i="1"/>
  <c r="L40" i="1" s="1"/>
  <c r="J40" i="1"/>
  <c r="K28" i="1"/>
  <c r="L28" i="1" s="1"/>
  <c r="J28" i="1"/>
  <c r="K16" i="1"/>
  <c r="L16" i="1" s="1"/>
  <c r="J16" i="1"/>
  <c r="K4" i="1"/>
  <c r="L4" i="1" s="1"/>
  <c r="J4" i="1"/>
  <c r="K93" i="1"/>
  <c r="L93" i="1" s="1"/>
  <c r="K43" i="1"/>
  <c r="L43" i="1" s="1"/>
  <c r="H162" i="1"/>
  <c r="H114" i="1"/>
  <c r="H90" i="1"/>
  <c r="H66" i="1"/>
  <c r="H42" i="1"/>
  <c r="H18" i="1"/>
  <c r="J114" i="1"/>
  <c r="J42" i="1"/>
  <c r="Q163" i="1"/>
  <c r="R163" i="1" s="1"/>
  <c r="Q78" i="1"/>
  <c r="R78" i="1" s="1"/>
  <c r="Q6" i="1"/>
  <c r="R6" i="1" s="1"/>
  <c r="U161" i="1"/>
  <c r="H161" i="1"/>
  <c r="Q161" i="1"/>
  <c r="R161" i="1" s="1"/>
  <c r="U147" i="1"/>
  <c r="H147" i="1"/>
  <c r="Q147" i="1"/>
  <c r="R147" i="1" s="1"/>
  <c r="U130" i="1"/>
  <c r="H130" i="1"/>
  <c r="U118" i="1"/>
  <c r="H118" i="1"/>
  <c r="U106" i="1"/>
  <c r="H106" i="1"/>
  <c r="Q106" i="1"/>
  <c r="R106" i="1" s="1"/>
  <c r="U94" i="1"/>
  <c r="H94" i="1"/>
  <c r="U82" i="1"/>
  <c r="H82" i="1"/>
  <c r="U70" i="1"/>
  <c r="H70" i="1"/>
  <c r="U58" i="1"/>
  <c r="H58" i="1"/>
  <c r="U46" i="1"/>
  <c r="H46" i="1"/>
  <c r="U34" i="1"/>
  <c r="H34" i="1"/>
  <c r="U22" i="1"/>
  <c r="H22" i="1"/>
  <c r="U10" i="1"/>
  <c r="H10" i="1"/>
  <c r="Q10" i="1"/>
  <c r="R10" i="1" s="1"/>
  <c r="G142" i="1"/>
  <c r="K143" i="1"/>
  <c r="L143" i="1" s="1"/>
  <c r="K39" i="1"/>
  <c r="L39" i="1" s="1"/>
  <c r="H136" i="1"/>
  <c r="H88" i="1"/>
  <c r="H64" i="1"/>
  <c r="H40" i="1"/>
  <c r="H16" i="1"/>
  <c r="J111" i="1"/>
  <c r="U160" i="1"/>
  <c r="Q160" i="1"/>
  <c r="R160" i="1" s="1"/>
  <c r="U146" i="1"/>
  <c r="U129" i="1"/>
  <c r="H129" i="1"/>
  <c r="U117" i="1"/>
  <c r="H117" i="1"/>
  <c r="U105" i="1"/>
  <c r="H105" i="1"/>
  <c r="U93" i="1"/>
  <c r="H93" i="1"/>
  <c r="U81" i="1"/>
  <c r="H81" i="1"/>
  <c r="U69" i="1"/>
  <c r="H69" i="1"/>
  <c r="U57" i="1"/>
  <c r="H57" i="1"/>
  <c r="U45" i="1"/>
  <c r="H45" i="1"/>
  <c r="U33" i="1"/>
  <c r="H33" i="1"/>
  <c r="U21" i="1"/>
  <c r="H21" i="1"/>
  <c r="U9" i="1"/>
  <c r="H9" i="1"/>
  <c r="G143" i="1"/>
  <c r="K38" i="1"/>
  <c r="L38" i="1" s="1"/>
  <c r="J38" i="1"/>
  <c r="K26" i="1"/>
  <c r="L26" i="1" s="1"/>
  <c r="J26" i="1"/>
  <c r="K14" i="1"/>
  <c r="L14" i="1" s="1"/>
  <c r="J14" i="1"/>
  <c r="K2" i="1"/>
  <c r="L2" i="1" s="1"/>
  <c r="J2" i="1"/>
  <c r="K88" i="1"/>
  <c r="L88" i="1" s="1"/>
  <c r="K62" i="1"/>
  <c r="L62" i="1" s="1"/>
  <c r="K37" i="1"/>
  <c r="L37" i="1" s="1"/>
  <c r="H134" i="1"/>
  <c r="H110" i="1"/>
  <c r="H86" i="1"/>
  <c r="H62" i="1"/>
  <c r="H38" i="1"/>
  <c r="H11" i="1"/>
  <c r="J102" i="1"/>
  <c r="J30" i="1"/>
  <c r="Q66" i="1"/>
  <c r="R66" i="1" s="1"/>
  <c r="U171" i="1"/>
  <c r="H171" i="1"/>
  <c r="U159" i="1"/>
  <c r="H159" i="1"/>
  <c r="Q159" i="1"/>
  <c r="R159" i="1" s="1"/>
  <c r="U140" i="1"/>
  <c r="Q140" i="1"/>
  <c r="R140" i="1" s="1"/>
  <c r="U104" i="1"/>
  <c r="Q104" i="1"/>
  <c r="R104" i="1" s="1"/>
  <c r="U92" i="1"/>
  <c r="Q92" i="1"/>
  <c r="R92" i="1" s="1"/>
  <c r="U80" i="1"/>
  <c r="Q80" i="1"/>
  <c r="R80" i="1" s="1"/>
  <c r="U68" i="1"/>
  <c r="Q68" i="1"/>
  <c r="R68" i="1" s="1"/>
  <c r="U56" i="1"/>
  <c r="Q56" i="1"/>
  <c r="R56" i="1" s="1"/>
  <c r="U44" i="1"/>
  <c r="Q44" i="1"/>
  <c r="R44" i="1" s="1"/>
  <c r="U32" i="1"/>
  <c r="Q32" i="1"/>
  <c r="R32" i="1" s="1"/>
  <c r="U20" i="1"/>
  <c r="U8" i="1"/>
  <c r="Q8" i="1"/>
  <c r="R8" i="1" s="1"/>
  <c r="U144" i="1"/>
  <c r="H144" i="1"/>
  <c r="K133" i="1"/>
  <c r="L133" i="1" s="1"/>
  <c r="J133" i="1"/>
  <c r="K139" i="1"/>
  <c r="L139" i="1" s="1"/>
  <c r="K61" i="1"/>
  <c r="L61" i="1" s="1"/>
  <c r="H155" i="1"/>
  <c r="H131" i="1"/>
  <c r="H107" i="1"/>
  <c r="H83" i="1"/>
  <c r="H59" i="1"/>
  <c r="H35" i="1"/>
  <c r="H8" i="1"/>
  <c r="J99" i="1"/>
  <c r="J27" i="1"/>
  <c r="U158" i="1"/>
  <c r="Q158" i="1"/>
  <c r="R158" i="1" s="1"/>
  <c r="U115" i="1"/>
  <c r="Q115" i="1"/>
  <c r="R115" i="1" s="1"/>
  <c r="U103" i="1"/>
  <c r="Q103" i="1"/>
  <c r="R103" i="1" s="1"/>
  <c r="U91" i="1"/>
  <c r="Q91" i="1"/>
  <c r="R91" i="1" s="1"/>
  <c r="U79" i="1"/>
  <c r="Q79" i="1"/>
  <c r="R79" i="1" s="1"/>
  <c r="U67" i="1"/>
  <c r="Q67" i="1"/>
  <c r="R67" i="1" s="1"/>
  <c r="U55" i="1"/>
  <c r="Q55" i="1"/>
  <c r="R55" i="1" s="1"/>
  <c r="U43" i="1"/>
  <c r="U31" i="1"/>
  <c r="Q31" i="1"/>
  <c r="R31" i="1" s="1"/>
  <c r="U19" i="1"/>
  <c r="Q19" i="1"/>
  <c r="R19" i="1" s="1"/>
  <c r="U7" i="1"/>
  <c r="H7" i="1"/>
  <c r="Q7" i="1"/>
  <c r="R7" i="1" s="1"/>
  <c r="G145" i="1"/>
  <c r="K96" i="1"/>
  <c r="L96" i="1" s="1"/>
  <c r="J96" i="1"/>
  <c r="K84" i="1"/>
  <c r="L84" i="1" s="1"/>
  <c r="J84" i="1"/>
  <c r="K72" i="1"/>
  <c r="L72" i="1" s="1"/>
  <c r="J72" i="1"/>
  <c r="K60" i="1"/>
  <c r="L60" i="1" s="1"/>
  <c r="J60" i="1"/>
  <c r="J48" i="1"/>
  <c r="K48" i="1"/>
  <c r="L48" i="1" s="1"/>
  <c r="J24" i="1"/>
  <c r="K24" i="1"/>
  <c r="L24" i="1" s="1"/>
  <c r="K138" i="1"/>
  <c r="L138" i="1" s="1"/>
  <c r="K85" i="1"/>
  <c r="L85" i="1" s="1"/>
  <c r="K58" i="1"/>
  <c r="L58" i="1" s="1"/>
  <c r="H128" i="1"/>
  <c r="H104" i="1"/>
  <c r="H80" i="1"/>
  <c r="H56" i="1"/>
  <c r="H32" i="1"/>
  <c r="H6" i="1"/>
  <c r="J90" i="1"/>
  <c r="J18" i="1"/>
  <c r="Q139" i="1"/>
  <c r="R139" i="1" s="1"/>
  <c r="Q54" i="1"/>
  <c r="R54" i="1" s="1"/>
  <c r="U169" i="1"/>
  <c r="H169" i="1"/>
  <c r="U157" i="1"/>
  <c r="Q157" i="1"/>
  <c r="R157" i="1" s="1"/>
  <c r="H157" i="1"/>
  <c r="U138" i="1"/>
  <c r="Q138" i="1"/>
  <c r="R138" i="1" s="1"/>
  <c r="K144" i="1"/>
  <c r="L144" i="1" s="1"/>
  <c r="J144" i="1"/>
  <c r="K131" i="1"/>
  <c r="L131" i="1" s="1"/>
  <c r="J131" i="1"/>
  <c r="K119" i="1"/>
  <c r="L119" i="1" s="1"/>
  <c r="J119" i="1"/>
  <c r="K107" i="1"/>
  <c r="L107" i="1" s="1"/>
  <c r="J107" i="1"/>
  <c r="K95" i="1"/>
  <c r="L95" i="1" s="1"/>
  <c r="J95" i="1"/>
  <c r="K83" i="1"/>
  <c r="L83" i="1" s="1"/>
  <c r="J83" i="1"/>
  <c r="K71" i="1"/>
  <c r="L71" i="1" s="1"/>
  <c r="J71" i="1"/>
  <c r="K59" i="1"/>
  <c r="L59" i="1" s="1"/>
  <c r="J59" i="1"/>
  <c r="K47" i="1"/>
  <c r="L47" i="1" s="1"/>
  <c r="J47" i="1"/>
  <c r="K35" i="1"/>
  <c r="L35" i="1" s="1"/>
  <c r="J35" i="1"/>
  <c r="K23" i="1"/>
  <c r="L23" i="1" s="1"/>
  <c r="J23" i="1"/>
  <c r="K11" i="1"/>
  <c r="L11" i="1" s="1"/>
  <c r="J11" i="1"/>
  <c r="K82" i="1"/>
  <c r="L82" i="1" s="1"/>
  <c r="K57" i="1"/>
  <c r="L57" i="1" s="1"/>
  <c r="H151" i="1"/>
  <c r="H127" i="1"/>
  <c r="H103" i="1"/>
  <c r="H79" i="1"/>
  <c r="H55" i="1"/>
  <c r="H31" i="1"/>
  <c r="H4" i="1"/>
  <c r="J87" i="1"/>
  <c r="Q130" i="1"/>
  <c r="R130" i="1" s="1"/>
  <c r="Q45" i="1"/>
  <c r="R45" i="1" s="1"/>
  <c r="K130" i="1"/>
  <c r="L130" i="1" s="1"/>
  <c r="J130" i="1"/>
  <c r="K118" i="1"/>
  <c r="L118" i="1" s="1"/>
  <c r="J118" i="1"/>
  <c r="K106" i="1"/>
  <c r="L106" i="1" s="1"/>
  <c r="J106" i="1"/>
  <c r="J94" i="1"/>
  <c r="K94" i="1"/>
  <c r="L94" i="1" s="1"/>
  <c r="J70" i="1"/>
  <c r="K70" i="1"/>
  <c r="L70" i="1" s="1"/>
  <c r="K46" i="1"/>
  <c r="L46" i="1" s="1"/>
  <c r="J46" i="1"/>
  <c r="K34" i="1"/>
  <c r="L34" i="1" s="1"/>
  <c r="J34" i="1"/>
  <c r="K22" i="1"/>
  <c r="L22" i="1" s="1"/>
  <c r="J22" i="1"/>
  <c r="K10" i="1"/>
  <c r="L10" i="1" s="1"/>
  <c r="J10" i="1"/>
  <c r="K81" i="1"/>
  <c r="L81" i="1" s="1"/>
  <c r="H126" i="1"/>
  <c r="H102" i="1"/>
  <c r="H78" i="1"/>
  <c r="H54" i="1"/>
  <c r="H30" i="1"/>
  <c r="J150" i="1"/>
  <c r="Q114" i="1"/>
  <c r="R114" i="1" s="1"/>
  <c r="Q42" i="1"/>
  <c r="R42" i="1" s="1"/>
  <c r="I142" i="1"/>
  <c r="K129" i="1"/>
  <c r="L129" i="1" s="1"/>
  <c r="J129" i="1"/>
  <c r="K117" i="1"/>
  <c r="L117" i="1" s="1"/>
  <c r="J117" i="1"/>
  <c r="K105" i="1"/>
  <c r="L105" i="1" s="1"/>
  <c r="J105" i="1"/>
  <c r="J9" i="1"/>
  <c r="K9" i="1"/>
  <c r="L9" i="1" s="1"/>
  <c r="K21" i="1"/>
  <c r="L21" i="1" s="1"/>
  <c r="H124" i="1"/>
  <c r="H100" i="1"/>
  <c r="H76" i="1"/>
  <c r="H52" i="1"/>
  <c r="H28" i="1"/>
  <c r="Q105" i="1"/>
  <c r="R105" i="1" s="1"/>
  <c r="Q33" i="1"/>
  <c r="R33" i="1" s="1"/>
  <c r="U41" i="1"/>
  <c r="H41" i="1"/>
  <c r="Q41" i="1"/>
  <c r="R41" i="1" s="1"/>
  <c r="U112" i="1"/>
  <c r="Q112" i="1"/>
  <c r="R112" i="1" s="1"/>
  <c r="Z143" i="1"/>
  <c r="AA143" i="1" s="1"/>
  <c r="U166" i="1"/>
  <c r="H166" i="1"/>
  <c r="U154" i="1"/>
  <c r="H154" i="1"/>
  <c r="U135" i="1"/>
  <c r="H135" i="1"/>
  <c r="Q135" i="1"/>
  <c r="R135" i="1" s="1"/>
  <c r="U123" i="1"/>
  <c r="H123" i="1"/>
  <c r="U111" i="1"/>
  <c r="H111" i="1"/>
  <c r="Q111" i="1"/>
  <c r="R111" i="1" s="1"/>
  <c r="U99" i="1"/>
  <c r="H99" i="1"/>
  <c r="Q99" i="1"/>
  <c r="R99" i="1" s="1"/>
  <c r="U87" i="1"/>
  <c r="H87" i="1"/>
  <c r="Q87" i="1"/>
  <c r="R87" i="1" s="1"/>
  <c r="U75" i="1"/>
  <c r="H75" i="1"/>
  <c r="Q75" i="1"/>
  <c r="R75" i="1" s="1"/>
  <c r="U63" i="1"/>
  <c r="H63" i="1"/>
  <c r="Q63" i="1"/>
  <c r="R63" i="1" s="1"/>
  <c r="U51" i="1"/>
  <c r="H51" i="1"/>
  <c r="Q51" i="1"/>
  <c r="R51" i="1" s="1"/>
  <c r="U39" i="1"/>
  <c r="H39" i="1"/>
  <c r="Q39" i="1"/>
  <c r="R39" i="1" s="1"/>
  <c r="U27" i="1"/>
  <c r="H27" i="1"/>
  <c r="Q27" i="1"/>
  <c r="R27" i="1" s="1"/>
  <c r="U15" i="1"/>
  <c r="H15" i="1"/>
  <c r="Q15" i="1"/>
  <c r="R15" i="1" s="1"/>
  <c r="U3" i="1"/>
  <c r="H3" i="1"/>
  <c r="Q3" i="1"/>
  <c r="R3" i="1" s="1"/>
  <c r="K76" i="1"/>
  <c r="L76" i="1" s="1"/>
  <c r="K50" i="1"/>
  <c r="L50" i="1" s="1"/>
  <c r="K20" i="1"/>
  <c r="L20" i="1" s="1"/>
  <c r="H170" i="1"/>
  <c r="H146" i="1"/>
  <c r="H122" i="1"/>
  <c r="H98" i="1"/>
  <c r="H74" i="1"/>
  <c r="H50" i="1"/>
  <c r="H26" i="1"/>
  <c r="J66" i="1"/>
  <c r="Q102" i="1"/>
  <c r="R102" i="1" s="1"/>
  <c r="Q30" i="1"/>
  <c r="R30" i="1" s="1"/>
  <c r="H175" i="1"/>
  <c r="H174" i="1"/>
  <c r="H173" i="1"/>
  <c r="H172" i="1"/>
  <c r="G149" i="1"/>
  <c r="I146" i="1"/>
  <c r="F149" i="1"/>
  <c r="F148" i="1"/>
  <c r="I141" i="1"/>
  <c r="G152" i="1"/>
  <c r="Z152" i="1"/>
  <c r="AA152" i="1" s="1"/>
  <c r="Y143" i="1"/>
  <c r="Z142" i="1"/>
  <c r="AA142" i="1" s="1"/>
  <c r="Y142" i="1"/>
  <c r="Z141" i="1"/>
  <c r="AA141" i="1" s="1"/>
  <c r="G141" i="1"/>
  <c r="BG132" i="1"/>
  <c r="BH132" i="1" s="1"/>
  <c r="BF132" i="1"/>
  <c r="BC132" i="1"/>
  <c r="BA132" i="1"/>
  <c r="AW132" i="1"/>
  <c r="AX132" i="1" s="1"/>
  <c r="AY132" i="1" s="1"/>
  <c r="AR132" i="1"/>
  <c r="AS132" i="1" s="1"/>
  <c r="AP132" i="1"/>
  <c r="BW132" i="1"/>
  <c r="AF132" i="1"/>
  <c r="BG131" i="1"/>
  <c r="BH131" i="1" s="1"/>
  <c r="BF131" i="1"/>
  <c r="BC131" i="1"/>
  <c r="BA131" i="1"/>
  <c r="AW131" i="1"/>
  <c r="AX131" i="1" s="1"/>
  <c r="AY131" i="1" s="1"/>
  <c r="AR131" i="1"/>
  <c r="AS131" i="1" s="1"/>
  <c r="AP131" i="1"/>
  <c r="BW131" i="1"/>
  <c r="AF131" i="1"/>
  <c r="BG130" i="1"/>
  <c r="BH130" i="1" s="1"/>
  <c r="BE130" i="1"/>
  <c r="BF130" i="1" s="1"/>
  <c r="BB130" i="1"/>
  <c r="BC130" i="1" s="1"/>
  <c r="BA130" i="1"/>
  <c r="AW130" i="1"/>
  <c r="AX130" i="1" s="1"/>
  <c r="AY130" i="1" s="1"/>
  <c r="AR130" i="1"/>
  <c r="AS130" i="1" s="1"/>
  <c r="AP130" i="1"/>
  <c r="BW130" i="1"/>
  <c r="AF130" i="1"/>
  <c r="BG129" i="1"/>
  <c r="BH129" i="1" s="1"/>
  <c r="BF129" i="1"/>
  <c r="BB129" i="1"/>
  <c r="BC129" i="1" s="1"/>
  <c r="BA129" i="1"/>
  <c r="AW129" i="1"/>
  <c r="AX129" i="1" s="1"/>
  <c r="AY129" i="1" s="1"/>
  <c r="AR129" i="1"/>
  <c r="AS129" i="1" s="1"/>
  <c r="AP129" i="1"/>
  <c r="BW129" i="1"/>
  <c r="AF129" i="1"/>
  <c r="BN128" i="1"/>
  <c r="BO128" i="1" s="1"/>
  <c r="BJ128" i="1"/>
  <c r="BG128" i="1"/>
  <c r="BH128" i="1" s="1"/>
  <c r="BE128" i="1"/>
  <c r="BF128" i="1" s="1"/>
  <c r="BB128" i="1"/>
  <c r="BC128" i="1" s="1"/>
  <c r="BA128" i="1"/>
  <c r="AX128" i="1"/>
  <c r="AY128" i="1" s="1"/>
  <c r="AR128" i="1"/>
  <c r="AS128" i="1" s="1"/>
  <c r="AO128" i="1"/>
  <c r="AP128" i="1" s="1"/>
  <c r="BV128" i="1"/>
  <c r="BW128" i="1" s="1"/>
  <c r="AF128" i="1"/>
  <c r="BN127" i="1"/>
  <c r="BO127" i="1" s="1"/>
  <c r="BJ127" i="1"/>
  <c r="BG127" i="1"/>
  <c r="BH127" i="1" s="1"/>
  <c r="BE127" i="1"/>
  <c r="BF127" i="1" s="1"/>
  <c r="BB127" i="1"/>
  <c r="BC127" i="1" s="1"/>
  <c r="BA127" i="1"/>
  <c r="AX127" i="1"/>
  <c r="AY127" i="1" s="1"/>
  <c r="AR127" i="1"/>
  <c r="AS127" i="1" s="1"/>
  <c r="AO127" i="1"/>
  <c r="AP127" i="1" s="1"/>
  <c r="BV127" i="1"/>
  <c r="BW127" i="1" s="1"/>
  <c r="AF127" i="1"/>
  <c r="BN126" i="1"/>
  <c r="BO126" i="1" s="1"/>
  <c r="BJ126" i="1"/>
  <c r="BG126" i="1"/>
  <c r="BH126" i="1" s="1"/>
  <c r="BE126" i="1"/>
  <c r="BF126" i="1" s="1"/>
  <c r="BB126" i="1"/>
  <c r="BC126" i="1" s="1"/>
  <c r="BA126" i="1"/>
  <c r="AX126" i="1"/>
  <c r="AY126" i="1" s="1"/>
  <c r="AR126" i="1"/>
  <c r="AS126" i="1" s="1"/>
  <c r="AO126" i="1"/>
  <c r="AP126" i="1" s="1"/>
  <c r="BV126" i="1"/>
  <c r="BW126" i="1" s="1"/>
  <c r="AF126" i="1"/>
  <c r="BN125" i="1"/>
  <c r="BO125" i="1" s="1"/>
  <c r="BJ125" i="1"/>
  <c r="BG125" i="1"/>
  <c r="BH125" i="1" s="1"/>
  <c r="BE125" i="1"/>
  <c r="BF125" i="1" s="1"/>
  <c r="BB125" i="1"/>
  <c r="BC125" i="1" s="1"/>
  <c r="BA125" i="1"/>
  <c r="AX125" i="1"/>
  <c r="AY125" i="1" s="1"/>
  <c r="AR125" i="1"/>
  <c r="AS125" i="1" s="1"/>
  <c r="AO125" i="1"/>
  <c r="AP125" i="1" s="1"/>
  <c r="BV125" i="1"/>
  <c r="BW125" i="1" s="1"/>
  <c r="AF125" i="1"/>
  <c r="BN124" i="1"/>
  <c r="BO124" i="1" s="1"/>
  <c r="BJ124" i="1"/>
  <c r="BG124" i="1"/>
  <c r="BH124" i="1" s="1"/>
  <c r="BE124" i="1"/>
  <c r="BF124" i="1" s="1"/>
  <c r="BB124" i="1"/>
  <c r="BC124" i="1" s="1"/>
  <c r="BA124" i="1"/>
  <c r="AX124" i="1"/>
  <c r="AY124" i="1" s="1"/>
  <c r="AR124" i="1"/>
  <c r="AS124" i="1" s="1"/>
  <c r="AO124" i="1"/>
  <c r="AP124" i="1" s="1"/>
  <c r="BV124" i="1"/>
  <c r="BW124" i="1" s="1"/>
  <c r="AF124" i="1"/>
  <c r="BN123" i="1"/>
  <c r="BO123" i="1" s="1"/>
  <c r="BJ123" i="1"/>
  <c r="BG123" i="1"/>
  <c r="BH123" i="1" s="1"/>
  <c r="BE123" i="1"/>
  <c r="BF123" i="1" s="1"/>
  <c r="BB123" i="1"/>
  <c r="BC123" i="1" s="1"/>
  <c r="BA123" i="1"/>
  <c r="AX123" i="1"/>
  <c r="AY123" i="1" s="1"/>
  <c r="AR123" i="1"/>
  <c r="AS123" i="1" s="1"/>
  <c r="AO123" i="1"/>
  <c r="AP123" i="1" s="1"/>
  <c r="BV123" i="1"/>
  <c r="BW123" i="1" s="1"/>
  <c r="AF123" i="1"/>
  <c r="BN122" i="1"/>
  <c r="BO122" i="1" s="1"/>
  <c r="BJ122" i="1"/>
  <c r="BG122" i="1"/>
  <c r="BH122" i="1" s="1"/>
  <c r="BE122" i="1"/>
  <c r="BF122" i="1" s="1"/>
  <c r="BB122" i="1"/>
  <c r="BC122" i="1" s="1"/>
  <c r="BA122" i="1"/>
  <c r="AX122" i="1"/>
  <c r="AY122" i="1" s="1"/>
  <c r="AR122" i="1"/>
  <c r="AS122" i="1" s="1"/>
  <c r="AO122" i="1"/>
  <c r="AP122" i="1" s="1"/>
  <c r="BV122" i="1"/>
  <c r="BW122" i="1" s="1"/>
  <c r="AF122" i="1"/>
  <c r="BN121" i="1"/>
  <c r="BO121" i="1" s="1"/>
  <c r="BJ121" i="1"/>
  <c r="BG121" i="1"/>
  <c r="BH121" i="1" s="1"/>
  <c r="BE121" i="1"/>
  <c r="BF121" i="1" s="1"/>
  <c r="BB121" i="1"/>
  <c r="BC121" i="1" s="1"/>
  <c r="BA121" i="1"/>
  <c r="AX121" i="1"/>
  <c r="AY121" i="1" s="1"/>
  <c r="AR121" i="1"/>
  <c r="AS121" i="1" s="1"/>
  <c r="AO121" i="1"/>
  <c r="AP121" i="1" s="1"/>
  <c r="BV121" i="1"/>
  <c r="BW121" i="1" s="1"/>
  <c r="AF121" i="1"/>
  <c r="BN120" i="1"/>
  <c r="BO120" i="1" s="1"/>
  <c r="BJ120" i="1"/>
  <c r="BG120" i="1"/>
  <c r="BH120" i="1" s="1"/>
  <c r="BE120" i="1"/>
  <c r="BF120" i="1" s="1"/>
  <c r="BB120" i="1"/>
  <c r="BC120" i="1" s="1"/>
  <c r="BA120" i="1"/>
  <c r="AX120" i="1"/>
  <c r="AY120" i="1" s="1"/>
  <c r="AR120" i="1"/>
  <c r="AS120" i="1" s="1"/>
  <c r="AO120" i="1"/>
  <c r="AP120" i="1" s="1"/>
  <c r="BV120" i="1"/>
  <c r="BW120" i="1" s="1"/>
  <c r="AF120" i="1"/>
  <c r="BN119" i="1"/>
  <c r="BO119" i="1" s="1"/>
  <c r="BJ119" i="1"/>
  <c r="BG119" i="1"/>
  <c r="BH119" i="1" s="1"/>
  <c r="BE119" i="1"/>
  <c r="BF119" i="1" s="1"/>
  <c r="BB119" i="1"/>
  <c r="BC119" i="1" s="1"/>
  <c r="BA119" i="1"/>
  <c r="AX119" i="1"/>
  <c r="AY119" i="1" s="1"/>
  <c r="AR119" i="1"/>
  <c r="AS119" i="1" s="1"/>
  <c r="AO119" i="1"/>
  <c r="AP119" i="1" s="1"/>
  <c r="BV119" i="1"/>
  <c r="BW119" i="1" s="1"/>
  <c r="AF119" i="1"/>
  <c r="BN118" i="1"/>
  <c r="BO118" i="1" s="1"/>
  <c r="BJ118" i="1"/>
  <c r="BG118" i="1"/>
  <c r="BH118" i="1" s="1"/>
  <c r="BE118" i="1"/>
  <c r="BF118" i="1" s="1"/>
  <c r="BB118" i="1"/>
  <c r="BC118" i="1" s="1"/>
  <c r="BA118" i="1"/>
  <c r="AX118" i="1"/>
  <c r="AY118" i="1" s="1"/>
  <c r="AR118" i="1"/>
  <c r="AS118" i="1" s="1"/>
  <c r="AO118" i="1"/>
  <c r="AP118" i="1" s="1"/>
  <c r="BV118" i="1"/>
  <c r="BW118" i="1" s="1"/>
  <c r="AF118" i="1"/>
  <c r="BN117" i="1"/>
  <c r="BO117" i="1" s="1"/>
  <c r="BJ117" i="1"/>
  <c r="BG117" i="1"/>
  <c r="BH117" i="1" s="1"/>
  <c r="BE117" i="1"/>
  <c r="BF117" i="1" s="1"/>
  <c r="BB117" i="1"/>
  <c r="BC117" i="1" s="1"/>
  <c r="BA117" i="1"/>
  <c r="AX117" i="1"/>
  <c r="AY117" i="1" s="1"/>
  <c r="AR117" i="1"/>
  <c r="AS117" i="1" s="1"/>
  <c r="AO117" i="1"/>
  <c r="AP117" i="1" s="1"/>
  <c r="BV117" i="1"/>
  <c r="BW117" i="1" s="1"/>
  <c r="AF117" i="1"/>
  <c r="BN116" i="1"/>
  <c r="BO116" i="1" s="1"/>
  <c r="BJ116" i="1"/>
  <c r="BG116" i="1"/>
  <c r="BH116" i="1" s="1"/>
  <c r="BE116" i="1"/>
  <c r="BF116" i="1" s="1"/>
  <c r="BB116" i="1"/>
  <c r="BC116" i="1" s="1"/>
  <c r="BA116" i="1"/>
  <c r="AX116" i="1"/>
  <c r="AY116" i="1" s="1"/>
  <c r="AR116" i="1"/>
  <c r="AS116" i="1" s="1"/>
  <c r="AO116" i="1"/>
  <c r="AP116" i="1" s="1"/>
  <c r="BV116" i="1"/>
  <c r="BW116" i="1" s="1"/>
  <c r="AF116" i="1"/>
  <c r="BO115" i="1"/>
  <c r="BJ115" i="1"/>
  <c r="BG115" i="1"/>
  <c r="BH115" i="1" s="1"/>
  <c r="BE115" i="1"/>
  <c r="BF115" i="1" s="1"/>
  <c r="BC115" i="1"/>
  <c r="BA115" i="1"/>
  <c r="AX115" i="1"/>
  <c r="AY115" i="1" s="1"/>
  <c r="AR115" i="1"/>
  <c r="AS115" i="1" s="1"/>
  <c r="AO115" i="1"/>
  <c r="AP115" i="1" s="1"/>
  <c r="BV115" i="1"/>
  <c r="BW115" i="1" s="1"/>
  <c r="AF115" i="1"/>
  <c r="BO114" i="1"/>
  <c r="BJ114" i="1"/>
  <c r="BG114" i="1"/>
  <c r="BH114" i="1" s="1"/>
  <c r="BE114" i="1"/>
  <c r="BF114" i="1" s="1"/>
  <c r="BC114" i="1"/>
  <c r="BA114" i="1"/>
  <c r="AX114" i="1"/>
  <c r="AY114" i="1" s="1"/>
  <c r="AR114" i="1"/>
  <c r="AS114" i="1" s="1"/>
  <c r="AO114" i="1"/>
  <c r="AP114" i="1" s="1"/>
  <c r="BV114" i="1"/>
  <c r="BW114" i="1" s="1"/>
  <c r="AF114" i="1"/>
  <c r="BO113" i="1"/>
  <c r="BJ113" i="1"/>
  <c r="BG113" i="1"/>
  <c r="BH113" i="1" s="1"/>
  <c r="BE113" i="1"/>
  <c r="BF113" i="1" s="1"/>
  <c r="BC113" i="1"/>
  <c r="BA113" i="1"/>
  <c r="AX113" i="1"/>
  <c r="AY113" i="1" s="1"/>
  <c r="AR113" i="1"/>
  <c r="AS113" i="1" s="1"/>
  <c r="AO113" i="1"/>
  <c r="AP113" i="1" s="1"/>
  <c r="BV113" i="1"/>
  <c r="BW113" i="1" s="1"/>
  <c r="AF113" i="1"/>
  <c r="BO112" i="1"/>
  <c r="BJ112" i="1"/>
  <c r="BG112" i="1"/>
  <c r="BH112" i="1" s="1"/>
  <c r="BE112" i="1"/>
  <c r="BF112" i="1" s="1"/>
  <c r="BC112" i="1"/>
  <c r="BA112" i="1"/>
  <c r="AX112" i="1"/>
  <c r="AY112" i="1" s="1"/>
  <c r="AR112" i="1"/>
  <c r="AS112" i="1" s="1"/>
  <c r="AO112" i="1"/>
  <c r="AP112" i="1" s="1"/>
  <c r="BV112" i="1"/>
  <c r="BW112" i="1" s="1"/>
  <c r="AF112" i="1"/>
  <c r="BO111" i="1"/>
  <c r="BJ111" i="1"/>
  <c r="BG111" i="1"/>
  <c r="BH111" i="1" s="1"/>
  <c r="BE111" i="1"/>
  <c r="BF111" i="1" s="1"/>
  <c r="BC111" i="1"/>
  <c r="BA111" i="1"/>
  <c r="AX111" i="1"/>
  <c r="AY111" i="1" s="1"/>
  <c r="AR111" i="1"/>
  <c r="AS111" i="1" s="1"/>
  <c r="AO111" i="1"/>
  <c r="AP111" i="1" s="1"/>
  <c r="BV111" i="1"/>
  <c r="BW111" i="1" s="1"/>
  <c r="AF111" i="1"/>
  <c r="BR110" i="1"/>
  <c r="BS110" i="1" s="1"/>
  <c r="BO110" i="1"/>
  <c r="BL110" i="1"/>
  <c r="BM110" i="1" s="1"/>
  <c r="BJ110" i="1"/>
  <c r="BG110" i="1"/>
  <c r="BH110" i="1" s="1"/>
  <c r="BE110" i="1"/>
  <c r="BF110" i="1" s="1"/>
  <c r="BB110" i="1"/>
  <c r="BC110" i="1" s="1"/>
  <c r="BA110" i="1"/>
  <c r="AW110" i="1"/>
  <c r="AX110" i="1" s="1"/>
  <c r="AY110" i="1" s="1"/>
  <c r="AR110" i="1"/>
  <c r="AS110" i="1" s="1"/>
  <c r="AP110" i="1"/>
  <c r="BV110" i="1"/>
  <c r="BW110" i="1" s="1"/>
  <c r="AF110" i="1"/>
  <c r="AG110" i="1" s="1"/>
  <c r="BR109" i="1"/>
  <c r="BS109" i="1" s="1"/>
  <c r="BO109" i="1"/>
  <c r="BL109" i="1"/>
  <c r="BM109" i="1" s="1"/>
  <c r="BJ109" i="1"/>
  <c r="BG109" i="1"/>
  <c r="BH109" i="1" s="1"/>
  <c r="BE109" i="1"/>
  <c r="BF109" i="1" s="1"/>
  <c r="BB109" i="1"/>
  <c r="BC109" i="1" s="1"/>
  <c r="BA109" i="1"/>
  <c r="AW109" i="1"/>
  <c r="AX109" i="1" s="1"/>
  <c r="AY109" i="1" s="1"/>
  <c r="AR109" i="1"/>
  <c r="AS109" i="1" s="1"/>
  <c r="AP109" i="1"/>
  <c r="BV109" i="1"/>
  <c r="BW109" i="1" s="1"/>
  <c r="AF109" i="1"/>
  <c r="AG109" i="1" s="1"/>
  <c r="BR108" i="1"/>
  <c r="BS108" i="1" s="1"/>
  <c r="BO108" i="1"/>
  <c r="BL108" i="1"/>
  <c r="BM108" i="1" s="1"/>
  <c r="BJ108" i="1"/>
  <c r="BG108" i="1"/>
  <c r="BH108" i="1" s="1"/>
  <c r="BE108" i="1"/>
  <c r="BF108" i="1" s="1"/>
  <c r="BB108" i="1"/>
  <c r="BC108" i="1" s="1"/>
  <c r="BA108" i="1"/>
  <c r="AW108" i="1"/>
  <c r="AX108" i="1" s="1"/>
  <c r="AY108" i="1" s="1"/>
  <c r="AR108" i="1"/>
  <c r="AS108" i="1" s="1"/>
  <c r="AP108" i="1"/>
  <c r="BV108" i="1"/>
  <c r="BW108" i="1" s="1"/>
  <c r="AF108" i="1"/>
  <c r="AG108" i="1" s="1"/>
  <c r="BR107" i="1"/>
  <c r="BS107" i="1" s="1"/>
  <c r="BO107" i="1"/>
  <c r="BL107" i="1"/>
  <c r="BM107" i="1" s="1"/>
  <c r="BJ107" i="1"/>
  <c r="BG107" i="1"/>
  <c r="BH107" i="1" s="1"/>
  <c r="BE107" i="1"/>
  <c r="BF107" i="1" s="1"/>
  <c r="BB107" i="1"/>
  <c r="BC107" i="1" s="1"/>
  <c r="BA107" i="1"/>
  <c r="AW107" i="1"/>
  <c r="AX107" i="1" s="1"/>
  <c r="AY107" i="1" s="1"/>
  <c r="AR107" i="1"/>
  <c r="AS107" i="1" s="1"/>
  <c r="AP107" i="1"/>
  <c r="BV107" i="1"/>
  <c r="BW107" i="1" s="1"/>
  <c r="AF107" i="1"/>
  <c r="AG107" i="1" s="1"/>
  <c r="BR106" i="1"/>
  <c r="BS106" i="1" s="1"/>
  <c r="BO106" i="1"/>
  <c r="BL106" i="1"/>
  <c r="BM106" i="1" s="1"/>
  <c r="BJ106" i="1"/>
  <c r="BG106" i="1"/>
  <c r="BH106" i="1" s="1"/>
  <c r="BE106" i="1"/>
  <c r="BF106" i="1" s="1"/>
  <c r="BB106" i="1"/>
  <c r="BC106" i="1" s="1"/>
  <c r="BA106" i="1"/>
  <c r="AW106" i="1"/>
  <c r="AX106" i="1" s="1"/>
  <c r="AY106" i="1" s="1"/>
  <c r="AR106" i="1"/>
  <c r="AS106" i="1" s="1"/>
  <c r="AP106" i="1"/>
  <c r="BV106" i="1"/>
  <c r="BW106" i="1" s="1"/>
  <c r="AF106" i="1"/>
  <c r="AG106" i="1" s="1"/>
  <c r="BR105" i="1"/>
  <c r="BS105" i="1" s="1"/>
  <c r="BO105" i="1"/>
  <c r="BL105" i="1"/>
  <c r="BM105" i="1" s="1"/>
  <c r="BJ105" i="1"/>
  <c r="BG105" i="1"/>
  <c r="BH105" i="1" s="1"/>
  <c r="BE105" i="1"/>
  <c r="BF105" i="1" s="1"/>
  <c r="BB105" i="1"/>
  <c r="BC105" i="1" s="1"/>
  <c r="BA105" i="1"/>
  <c r="AW105" i="1"/>
  <c r="AX105" i="1" s="1"/>
  <c r="AY105" i="1" s="1"/>
  <c r="AR105" i="1"/>
  <c r="AS105" i="1" s="1"/>
  <c r="AP105" i="1"/>
  <c r="BV105" i="1"/>
  <c r="BW105" i="1" s="1"/>
  <c r="AF105" i="1"/>
  <c r="AG105" i="1" s="1"/>
  <c r="BR104" i="1"/>
  <c r="BS104" i="1" s="1"/>
  <c r="BO104" i="1"/>
  <c r="BL104" i="1"/>
  <c r="BM104" i="1" s="1"/>
  <c r="BJ104" i="1"/>
  <c r="BG104" i="1"/>
  <c r="BH104" i="1" s="1"/>
  <c r="BE104" i="1"/>
  <c r="BF104" i="1" s="1"/>
  <c r="BB104" i="1"/>
  <c r="BC104" i="1" s="1"/>
  <c r="BA104" i="1"/>
  <c r="AW104" i="1"/>
  <c r="AX104" i="1" s="1"/>
  <c r="AY104" i="1" s="1"/>
  <c r="AR104" i="1"/>
  <c r="AS104" i="1" s="1"/>
  <c r="AP104" i="1"/>
  <c r="BV104" i="1"/>
  <c r="BW104" i="1" s="1"/>
  <c r="AF104" i="1"/>
  <c r="AG104" i="1" s="1"/>
  <c r="BR103" i="1"/>
  <c r="BS103" i="1" s="1"/>
  <c r="BO103" i="1"/>
  <c r="BL103" i="1"/>
  <c r="BM103" i="1" s="1"/>
  <c r="BJ103" i="1"/>
  <c r="BG103" i="1"/>
  <c r="BH103" i="1" s="1"/>
  <c r="BE103" i="1"/>
  <c r="BF103" i="1" s="1"/>
  <c r="BB103" i="1"/>
  <c r="BC103" i="1" s="1"/>
  <c r="BA103" i="1"/>
  <c r="AW103" i="1"/>
  <c r="AX103" i="1" s="1"/>
  <c r="AY103" i="1" s="1"/>
  <c r="AR103" i="1"/>
  <c r="AS103" i="1" s="1"/>
  <c r="AP103" i="1"/>
  <c r="BV103" i="1"/>
  <c r="BW103" i="1" s="1"/>
  <c r="AF103" i="1"/>
  <c r="AG103" i="1" s="1"/>
  <c r="BR102" i="1"/>
  <c r="BS102" i="1" s="1"/>
  <c r="BO102" i="1"/>
  <c r="BL102" i="1"/>
  <c r="BM102" i="1" s="1"/>
  <c r="BJ102" i="1"/>
  <c r="BG102" i="1"/>
  <c r="BH102" i="1" s="1"/>
  <c r="BE102" i="1"/>
  <c r="BF102" i="1" s="1"/>
  <c r="BB102" i="1"/>
  <c r="BC102" i="1" s="1"/>
  <c r="BA102" i="1"/>
  <c r="AW102" i="1"/>
  <c r="AX102" i="1" s="1"/>
  <c r="AY102" i="1" s="1"/>
  <c r="AR102" i="1"/>
  <c r="AS102" i="1" s="1"/>
  <c r="AP102" i="1"/>
  <c r="BV102" i="1"/>
  <c r="BW102" i="1" s="1"/>
  <c r="AF102" i="1"/>
  <c r="AG102" i="1" s="1"/>
  <c r="BR101" i="1"/>
  <c r="BS101" i="1" s="1"/>
  <c r="BO101" i="1"/>
  <c r="BL101" i="1"/>
  <c r="BM101" i="1" s="1"/>
  <c r="BJ101" i="1"/>
  <c r="BG101" i="1"/>
  <c r="BH101" i="1" s="1"/>
  <c r="BE101" i="1"/>
  <c r="BF101" i="1" s="1"/>
  <c r="BB101" i="1"/>
  <c r="BC101" i="1" s="1"/>
  <c r="BA101" i="1"/>
  <c r="AW101" i="1"/>
  <c r="AX101" i="1" s="1"/>
  <c r="AY101" i="1" s="1"/>
  <c r="AR101" i="1"/>
  <c r="AS101" i="1" s="1"/>
  <c r="AP101" i="1"/>
  <c r="BV101" i="1"/>
  <c r="BW101" i="1" s="1"/>
  <c r="AF101" i="1"/>
  <c r="AG101" i="1" s="1"/>
  <c r="BR100" i="1"/>
  <c r="BS100" i="1" s="1"/>
  <c r="BO100" i="1"/>
  <c r="BL100" i="1"/>
  <c r="BM100" i="1" s="1"/>
  <c r="BJ100" i="1"/>
  <c r="BG100" i="1"/>
  <c r="BH100" i="1" s="1"/>
  <c r="BE100" i="1"/>
  <c r="BF100" i="1" s="1"/>
  <c r="BB100" i="1"/>
  <c r="BC100" i="1" s="1"/>
  <c r="BA100" i="1"/>
  <c r="AW100" i="1"/>
  <c r="AX100" i="1" s="1"/>
  <c r="AY100" i="1" s="1"/>
  <c r="AR100" i="1"/>
  <c r="AS100" i="1" s="1"/>
  <c r="AP100" i="1"/>
  <c r="BV100" i="1"/>
  <c r="BW100" i="1" s="1"/>
  <c r="AF100" i="1"/>
  <c r="AG100" i="1" s="1"/>
  <c r="BR99" i="1"/>
  <c r="BS99" i="1" s="1"/>
  <c r="BO99" i="1"/>
  <c r="BL99" i="1"/>
  <c r="BM99" i="1" s="1"/>
  <c r="BJ99" i="1"/>
  <c r="BG99" i="1"/>
  <c r="BH99" i="1" s="1"/>
  <c r="BE99" i="1"/>
  <c r="BF99" i="1" s="1"/>
  <c r="BB99" i="1"/>
  <c r="BC99" i="1" s="1"/>
  <c r="BA99" i="1"/>
  <c r="AW99" i="1"/>
  <c r="AX99" i="1" s="1"/>
  <c r="AY99" i="1" s="1"/>
  <c r="AR99" i="1"/>
  <c r="AS99" i="1" s="1"/>
  <c r="AP99" i="1"/>
  <c r="BV99" i="1"/>
  <c r="BW99" i="1" s="1"/>
  <c r="AF99" i="1"/>
  <c r="AG99" i="1" s="1"/>
  <c r="BR98" i="1"/>
  <c r="BS98" i="1" s="1"/>
  <c r="BO98" i="1"/>
  <c r="BL98" i="1"/>
  <c r="BM98" i="1" s="1"/>
  <c r="BJ98" i="1"/>
  <c r="BG98" i="1"/>
  <c r="BH98" i="1" s="1"/>
  <c r="BE98" i="1"/>
  <c r="BF98" i="1" s="1"/>
  <c r="BB98" i="1"/>
  <c r="BC98" i="1" s="1"/>
  <c r="BA98" i="1"/>
  <c r="AW98" i="1"/>
  <c r="AX98" i="1" s="1"/>
  <c r="AY98" i="1" s="1"/>
  <c r="AR98" i="1"/>
  <c r="AS98" i="1" s="1"/>
  <c r="AP98" i="1"/>
  <c r="BV98" i="1"/>
  <c r="BW98" i="1" s="1"/>
  <c r="AF98" i="1"/>
  <c r="AG98" i="1" s="1"/>
  <c r="BR97" i="1"/>
  <c r="BS97" i="1" s="1"/>
  <c r="BO97" i="1"/>
  <c r="BL97" i="1"/>
  <c r="BM97" i="1" s="1"/>
  <c r="BJ97" i="1"/>
  <c r="BG97" i="1"/>
  <c r="BH97" i="1" s="1"/>
  <c r="BE97" i="1"/>
  <c r="BF97" i="1" s="1"/>
  <c r="AZ97" i="1"/>
  <c r="AW97" i="1"/>
  <c r="AX97" i="1" s="1"/>
  <c r="AY97" i="1" s="1"/>
  <c r="AR97" i="1"/>
  <c r="AS97" i="1" s="1"/>
  <c r="BV97" i="1"/>
  <c r="BW97" i="1" s="1"/>
  <c r="AG97" i="1"/>
  <c r="BR96" i="1"/>
  <c r="BS96" i="1" s="1"/>
  <c r="BO96" i="1"/>
  <c r="BL96" i="1"/>
  <c r="BM96" i="1" s="1"/>
  <c r="BJ96" i="1"/>
  <c r="BG96" i="1"/>
  <c r="BH96" i="1" s="1"/>
  <c r="BE96" i="1"/>
  <c r="BF96" i="1" s="1"/>
  <c r="AZ96" i="1"/>
  <c r="BA96" i="1" s="1"/>
  <c r="AW96" i="1"/>
  <c r="AX96" i="1" s="1"/>
  <c r="AY96" i="1" s="1"/>
  <c r="AR96" i="1"/>
  <c r="AS96" i="1" s="1"/>
  <c r="BV96" i="1"/>
  <c r="BW96" i="1" s="1"/>
  <c r="AG96" i="1"/>
  <c r="BR95" i="1"/>
  <c r="BS95" i="1" s="1"/>
  <c r="BO95" i="1"/>
  <c r="BL95" i="1"/>
  <c r="BM95" i="1" s="1"/>
  <c r="BJ95" i="1"/>
  <c r="BG95" i="1"/>
  <c r="BH95" i="1" s="1"/>
  <c r="BE95" i="1"/>
  <c r="BF95" i="1" s="1"/>
  <c r="AZ95" i="1"/>
  <c r="BB95" i="1" s="1"/>
  <c r="BC95" i="1" s="1"/>
  <c r="AW95" i="1"/>
  <c r="AX95" i="1" s="1"/>
  <c r="AY95" i="1" s="1"/>
  <c r="AR95" i="1"/>
  <c r="AS95" i="1" s="1"/>
  <c r="BV95" i="1"/>
  <c r="BW95" i="1" s="1"/>
  <c r="AG95" i="1"/>
  <c r="BR94" i="1"/>
  <c r="BS94" i="1" s="1"/>
  <c r="BO94" i="1"/>
  <c r="BL94" i="1"/>
  <c r="BM94" i="1" s="1"/>
  <c r="BJ94" i="1"/>
  <c r="BG94" i="1"/>
  <c r="BH94" i="1" s="1"/>
  <c r="BE94" i="1"/>
  <c r="BF94" i="1" s="1"/>
  <c r="AZ94" i="1"/>
  <c r="AW94" i="1"/>
  <c r="AX94" i="1" s="1"/>
  <c r="AY94" i="1" s="1"/>
  <c r="AR94" i="1"/>
  <c r="AS94" i="1" s="1"/>
  <c r="BV94" i="1"/>
  <c r="BW94" i="1" s="1"/>
  <c r="AG94" i="1"/>
  <c r="BR93" i="1"/>
  <c r="BS93" i="1" s="1"/>
  <c r="BO93" i="1"/>
  <c r="BL93" i="1"/>
  <c r="BM93" i="1" s="1"/>
  <c r="BJ93" i="1"/>
  <c r="BG93" i="1"/>
  <c r="BH93" i="1" s="1"/>
  <c r="BE93" i="1"/>
  <c r="BF93" i="1" s="1"/>
  <c r="AZ93" i="1"/>
  <c r="BB93" i="1" s="1"/>
  <c r="BC93" i="1" s="1"/>
  <c r="AW93" i="1"/>
  <c r="AX93" i="1" s="1"/>
  <c r="AY93" i="1" s="1"/>
  <c r="AR93" i="1"/>
  <c r="AS93" i="1" s="1"/>
  <c r="BV93" i="1"/>
  <c r="BW93" i="1" s="1"/>
  <c r="AG93" i="1"/>
  <c r="BR92" i="1"/>
  <c r="BS92" i="1" s="1"/>
  <c r="BO92" i="1"/>
  <c r="BL92" i="1"/>
  <c r="BM92" i="1" s="1"/>
  <c r="BJ92" i="1"/>
  <c r="BG92" i="1"/>
  <c r="BH92" i="1" s="1"/>
  <c r="BE92" i="1"/>
  <c r="BF92" i="1" s="1"/>
  <c r="AZ92" i="1"/>
  <c r="BB92" i="1" s="1"/>
  <c r="BC92" i="1" s="1"/>
  <c r="AW92" i="1"/>
  <c r="AX92" i="1" s="1"/>
  <c r="AY92" i="1" s="1"/>
  <c r="AR92" i="1"/>
  <c r="AS92" i="1" s="1"/>
  <c r="BV92" i="1"/>
  <c r="BW92" i="1" s="1"/>
  <c r="AG92" i="1"/>
  <c r="BR91" i="1"/>
  <c r="BS91" i="1" s="1"/>
  <c r="BO91" i="1"/>
  <c r="BL91" i="1"/>
  <c r="BM91" i="1" s="1"/>
  <c r="BJ91" i="1"/>
  <c r="BG91" i="1"/>
  <c r="BH91" i="1" s="1"/>
  <c r="BE91" i="1"/>
  <c r="BF91" i="1" s="1"/>
  <c r="AZ91" i="1"/>
  <c r="BA91" i="1" s="1"/>
  <c r="AW91" i="1"/>
  <c r="AX91" i="1" s="1"/>
  <c r="AY91" i="1" s="1"/>
  <c r="AR91" i="1"/>
  <c r="AS91" i="1" s="1"/>
  <c r="BV91" i="1"/>
  <c r="BW91" i="1" s="1"/>
  <c r="AG91" i="1"/>
  <c r="BR90" i="1"/>
  <c r="BS90" i="1" s="1"/>
  <c r="BO90" i="1"/>
  <c r="BL90" i="1"/>
  <c r="BM90" i="1" s="1"/>
  <c r="BJ90" i="1"/>
  <c r="BG90" i="1"/>
  <c r="BH90" i="1" s="1"/>
  <c r="BE90" i="1"/>
  <c r="BF90" i="1" s="1"/>
  <c r="AZ90" i="1"/>
  <c r="BA90" i="1" s="1"/>
  <c r="AW90" i="1"/>
  <c r="AX90" i="1" s="1"/>
  <c r="AY90" i="1" s="1"/>
  <c r="AR90" i="1"/>
  <c r="AS90" i="1" s="1"/>
  <c r="BV90" i="1"/>
  <c r="BW90" i="1" s="1"/>
  <c r="AG90" i="1"/>
  <c r="BR89" i="1"/>
  <c r="BS89" i="1" s="1"/>
  <c r="BO89" i="1"/>
  <c r="BL89" i="1"/>
  <c r="BM89" i="1" s="1"/>
  <c r="BJ89" i="1"/>
  <c r="BG89" i="1"/>
  <c r="BH89" i="1" s="1"/>
  <c r="BE89" i="1"/>
  <c r="BF89" i="1" s="1"/>
  <c r="AZ89" i="1"/>
  <c r="AW89" i="1"/>
  <c r="AX89" i="1" s="1"/>
  <c r="AY89" i="1" s="1"/>
  <c r="AR89" i="1"/>
  <c r="AS89" i="1" s="1"/>
  <c r="BV89" i="1"/>
  <c r="BW89" i="1" s="1"/>
  <c r="AG89" i="1"/>
  <c r="BR88" i="1"/>
  <c r="BS88" i="1" s="1"/>
  <c r="BO88" i="1"/>
  <c r="BL88" i="1"/>
  <c r="BM88" i="1" s="1"/>
  <c r="BJ88" i="1"/>
  <c r="BG88" i="1"/>
  <c r="BH88" i="1" s="1"/>
  <c r="BE88" i="1"/>
  <c r="BF88" i="1" s="1"/>
  <c r="AZ88" i="1"/>
  <c r="BB88" i="1" s="1"/>
  <c r="BC88" i="1" s="1"/>
  <c r="AW88" i="1"/>
  <c r="AX88" i="1" s="1"/>
  <c r="AY88" i="1" s="1"/>
  <c r="AR88" i="1"/>
  <c r="AS88" i="1" s="1"/>
  <c r="BV88" i="1"/>
  <c r="BW88" i="1" s="1"/>
  <c r="AG88" i="1"/>
  <c r="BR87" i="1"/>
  <c r="BS87" i="1" s="1"/>
  <c r="BO87" i="1"/>
  <c r="BL87" i="1"/>
  <c r="BM87" i="1" s="1"/>
  <c r="BJ87" i="1"/>
  <c r="BG87" i="1"/>
  <c r="BH87" i="1" s="1"/>
  <c r="BE87" i="1"/>
  <c r="BF87" i="1" s="1"/>
  <c r="AZ87" i="1"/>
  <c r="BB87" i="1" s="1"/>
  <c r="BC87" i="1" s="1"/>
  <c r="AW87" i="1"/>
  <c r="AX87" i="1" s="1"/>
  <c r="AY87" i="1" s="1"/>
  <c r="AR87" i="1"/>
  <c r="AS87" i="1" s="1"/>
  <c r="BV87" i="1"/>
  <c r="BW87" i="1" s="1"/>
  <c r="AG87" i="1"/>
  <c r="BR86" i="1"/>
  <c r="BS86" i="1" s="1"/>
  <c r="BO86" i="1"/>
  <c r="BL86" i="1"/>
  <c r="BM86" i="1" s="1"/>
  <c r="BJ86" i="1"/>
  <c r="BG86" i="1"/>
  <c r="BH86" i="1" s="1"/>
  <c r="BE86" i="1"/>
  <c r="BF86" i="1" s="1"/>
  <c r="AZ86" i="1"/>
  <c r="AW86" i="1"/>
  <c r="AX86" i="1" s="1"/>
  <c r="AY86" i="1" s="1"/>
  <c r="AR86" i="1"/>
  <c r="AS86" i="1" s="1"/>
  <c r="BV86" i="1"/>
  <c r="BW86" i="1" s="1"/>
  <c r="AG86" i="1"/>
  <c r="BR85" i="1"/>
  <c r="BS85" i="1" s="1"/>
  <c r="BO85" i="1"/>
  <c r="BL85" i="1"/>
  <c r="BM85" i="1" s="1"/>
  <c r="BJ85" i="1"/>
  <c r="BG85" i="1"/>
  <c r="BH85" i="1" s="1"/>
  <c r="BE85" i="1"/>
  <c r="BF85" i="1" s="1"/>
  <c r="AZ85" i="1"/>
  <c r="AW85" i="1"/>
  <c r="AX85" i="1" s="1"/>
  <c r="AY85" i="1" s="1"/>
  <c r="AR85" i="1"/>
  <c r="AS85" i="1" s="1"/>
  <c r="BV85" i="1"/>
  <c r="BW85" i="1" s="1"/>
  <c r="AG85" i="1"/>
  <c r="BR84" i="1"/>
  <c r="BS84" i="1" s="1"/>
  <c r="BO84" i="1"/>
  <c r="BL84" i="1"/>
  <c r="BM84" i="1" s="1"/>
  <c r="BJ84" i="1"/>
  <c r="BG84" i="1"/>
  <c r="BH84" i="1" s="1"/>
  <c r="BE84" i="1"/>
  <c r="BF84" i="1" s="1"/>
  <c r="AZ84" i="1"/>
  <c r="BB84" i="1" s="1"/>
  <c r="BC84" i="1" s="1"/>
  <c r="AW84" i="1"/>
  <c r="AX84" i="1" s="1"/>
  <c r="AY84" i="1" s="1"/>
  <c r="AR84" i="1"/>
  <c r="AS84" i="1" s="1"/>
  <c r="BV84" i="1"/>
  <c r="BW84" i="1" s="1"/>
  <c r="AG84" i="1"/>
  <c r="BR83" i="1"/>
  <c r="BS83" i="1" s="1"/>
  <c r="BO83" i="1"/>
  <c r="BL83" i="1"/>
  <c r="BM83" i="1" s="1"/>
  <c r="BJ83" i="1"/>
  <c r="BG83" i="1"/>
  <c r="BH83" i="1" s="1"/>
  <c r="BE83" i="1"/>
  <c r="BF83" i="1" s="1"/>
  <c r="AZ83" i="1"/>
  <c r="AW83" i="1"/>
  <c r="AX83" i="1" s="1"/>
  <c r="AY83" i="1" s="1"/>
  <c r="AR83" i="1"/>
  <c r="AS83" i="1" s="1"/>
  <c r="BV83" i="1"/>
  <c r="BW83" i="1" s="1"/>
  <c r="AG83" i="1"/>
  <c r="BR82" i="1"/>
  <c r="BS82" i="1" s="1"/>
  <c r="BO82" i="1"/>
  <c r="BL82" i="1"/>
  <c r="BM82" i="1" s="1"/>
  <c r="BJ82" i="1"/>
  <c r="BG82" i="1"/>
  <c r="BH82" i="1" s="1"/>
  <c r="BE82" i="1"/>
  <c r="BF82" i="1" s="1"/>
  <c r="AZ82" i="1"/>
  <c r="BB82" i="1" s="1"/>
  <c r="BC82" i="1" s="1"/>
  <c r="AW82" i="1"/>
  <c r="AX82" i="1" s="1"/>
  <c r="AY82" i="1" s="1"/>
  <c r="AR82" i="1"/>
  <c r="AS82" i="1" s="1"/>
  <c r="BV82" i="1"/>
  <c r="BW82" i="1" s="1"/>
  <c r="AG82" i="1"/>
  <c r="BR81" i="1"/>
  <c r="BS81" i="1" s="1"/>
  <c r="BO81" i="1"/>
  <c r="BL81" i="1"/>
  <c r="BM81" i="1" s="1"/>
  <c r="BJ81" i="1"/>
  <c r="BG81" i="1"/>
  <c r="BH81" i="1" s="1"/>
  <c r="BE81" i="1"/>
  <c r="BF81" i="1" s="1"/>
  <c r="AZ81" i="1"/>
  <c r="BA81" i="1" s="1"/>
  <c r="AW81" i="1"/>
  <c r="AX81" i="1" s="1"/>
  <c r="AY81" i="1" s="1"/>
  <c r="AR81" i="1"/>
  <c r="AS81" i="1" s="1"/>
  <c r="BV81" i="1"/>
  <c r="BW81" i="1" s="1"/>
  <c r="AG81" i="1"/>
  <c r="BR80" i="1"/>
  <c r="BS80" i="1" s="1"/>
  <c r="BO80" i="1"/>
  <c r="BL80" i="1"/>
  <c r="BM80" i="1" s="1"/>
  <c r="BJ80" i="1"/>
  <c r="BG80" i="1"/>
  <c r="BH80" i="1" s="1"/>
  <c r="BE80" i="1"/>
  <c r="BF80" i="1" s="1"/>
  <c r="AZ80" i="1"/>
  <c r="BB80" i="1" s="1"/>
  <c r="BC80" i="1" s="1"/>
  <c r="AW80" i="1"/>
  <c r="AX80" i="1" s="1"/>
  <c r="AY80" i="1" s="1"/>
  <c r="AR80" i="1"/>
  <c r="AS80" i="1" s="1"/>
  <c r="BV80" i="1"/>
  <c r="BW80" i="1" s="1"/>
  <c r="AG80" i="1"/>
  <c r="BR79" i="1"/>
  <c r="BS79" i="1" s="1"/>
  <c r="BO79" i="1"/>
  <c r="BL79" i="1"/>
  <c r="BM79" i="1" s="1"/>
  <c r="BJ79" i="1"/>
  <c r="BG79" i="1"/>
  <c r="BH79" i="1" s="1"/>
  <c r="BE79" i="1"/>
  <c r="BF79" i="1" s="1"/>
  <c r="AZ79" i="1"/>
  <c r="BB79" i="1" s="1"/>
  <c r="BC79" i="1" s="1"/>
  <c r="AW79" i="1"/>
  <c r="AX79" i="1" s="1"/>
  <c r="AY79" i="1" s="1"/>
  <c r="AR79" i="1"/>
  <c r="AS79" i="1" s="1"/>
  <c r="BV79" i="1"/>
  <c r="BW79" i="1" s="1"/>
  <c r="AG79" i="1"/>
  <c r="BR78" i="1"/>
  <c r="BS78" i="1" s="1"/>
  <c r="BO78" i="1"/>
  <c r="BL78" i="1"/>
  <c r="BM78" i="1" s="1"/>
  <c r="BJ78" i="1"/>
  <c r="BG78" i="1"/>
  <c r="BH78" i="1" s="1"/>
  <c r="BE78" i="1"/>
  <c r="BF78" i="1" s="1"/>
  <c r="AZ78" i="1"/>
  <c r="BB78" i="1" s="1"/>
  <c r="BC78" i="1" s="1"/>
  <c r="AW78" i="1"/>
  <c r="AX78" i="1" s="1"/>
  <c r="AY78" i="1" s="1"/>
  <c r="AR78" i="1"/>
  <c r="AS78" i="1" s="1"/>
  <c r="BV78" i="1"/>
  <c r="BW78" i="1" s="1"/>
  <c r="AG78" i="1"/>
  <c r="BR77" i="1"/>
  <c r="BS77" i="1" s="1"/>
  <c r="BO77" i="1"/>
  <c r="BL77" i="1"/>
  <c r="BM77" i="1" s="1"/>
  <c r="BJ77" i="1"/>
  <c r="BG77" i="1"/>
  <c r="BH77" i="1" s="1"/>
  <c r="BE77" i="1"/>
  <c r="BF77" i="1" s="1"/>
  <c r="AZ77" i="1"/>
  <c r="BB77" i="1" s="1"/>
  <c r="BC77" i="1" s="1"/>
  <c r="AW77" i="1"/>
  <c r="AX77" i="1" s="1"/>
  <c r="AY77" i="1" s="1"/>
  <c r="AR77" i="1"/>
  <c r="AS77" i="1" s="1"/>
  <c r="BV77" i="1"/>
  <c r="BW77" i="1" s="1"/>
  <c r="AG77" i="1"/>
  <c r="BR76" i="1"/>
  <c r="BS76" i="1" s="1"/>
  <c r="BO76" i="1"/>
  <c r="BL76" i="1"/>
  <c r="BM76" i="1" s="1"/>
  <c r="BJ76" i="1"/>
  <c r="BG76" i="1"/>
  <c r="BH76" i="1" s="1"/>
  <c r="BE76" i="1"/>
  <c r="BF76" i="1" s="1"/>
  <c r="AZ76" i="1"/>
  <c r="BB76" i="1" s="1"/>
  <c r="BC76" i="1" s="1"/>
  <c r="AW76" i="1"/>
  <c r="AX76" i="1" s="1"/>
  <c r="AY76" i="1" s="1"/>
  <c r="AR76" i="1"/>
  <c r="AS76" i="1" s="1"/>
  <c r="BV76" i="1"/>
  <c r="BW76" i="1" s="1"/>
  <c r="AG76" i="1"/>
  <c r="BR75" i="1"/>
  <c r="BS75" i="1" s="1"/>
  <c r="BO75" i="1"/>
  <c r="BL75" i="1"/>
  <c r="BM75" i="1" s="1"/>
  <c r="BJ75" i="1"/>
  <c r="BG75" i="1"/>
  <c r="BH75" i="1" s="1"/>
  <c r="BE75" i="1"/>
  <c r="BF75" i="1" s="1"/>
  <c r="AZ75" i="1"/>
  <c r="AW75" i="1"/>
  <c r="AX75" i="1" s="1"/>
  <c r="AY75" i="1" s="1"/>
  <c r="AR75" i="1"/>
  <c r="AS75" i="1" s="1"/>
  <c r="BV75" i="1"/>
  <c r="BW75" i="1" s="1"/>
  <c r="AG75" i="1"/>
  <c r="BR74" i="1"/>
  <c r="BS74" i="1" s="1"/>
  <c r="BO74" i="1"/>
  <c r="BL74" i="1"/>
  <c r="BM74" i="1" s="1"/>
  <c r="BJ74" i="1"/>
  <c r="BG74" i="1"/>
  <c r="BH74" i="1" s="1"/>
  <c r="BE74" i="1"/>
  <c r="BF74" i="1" s="1"/>
  <c r="AZ74" i="1"/>
  <c r="AW74" i="1"/>
  <c r="AX74" i="1" s="1"/>
  <c r="AY74" i="1" s="1"/>
  <c r="AR74" i="1"/>
  <c r="AS74" i="1" s="1"/>
  <c r="BV74" i="1"/>
  <c r="BW74" i="1" s="1"/>
  <c r="AG74" i="1"/>
  <c r="BR73" i="1"/>
  <c r="BS73" i="1" s="1"/>
  <c r="BO73" i="1"/>
  <c r="BL73" i="1"/>
  <c r="BM73" i="1" s="1"/>
  <c r="BJ73" i="1"/>
  <c r="BG73" i="1"/>
  <c r="BH73" i="1" s="1"/>
  <c r="BE73" i="1"/>
  <c r="BF73" i="1" s="1"/>
  <c r="BB73" i="1"/>
  <c r="BC73" i="1" s="1"/>
  <c r="AZ73" i="1"/>
  <c r="BA73" i="1" s="1"/>
  <c r="AW73" i="1"/>
  <c r="AX73" i="1" s="1"/>
  <c r="AY73" i="1" s="1"/>
  <c r="AR73" i="1"/>
  <c r="AS73" i="1" s="1"/>
  <c r="BV73" i="1"/>
  <c r="BW73" i="1" s="1"/>
  <c r="AG73" i="1"/>
  <c r="BR72" i="1"/>
  <c r="BS72" i="1" s="1"/>
  <c r="BO72" i="1"/>
  <c r="BL72" i="1"/>
  <c r="BM72" i="1" s="1"/>
  <c r="BJ72" i="1"/>
  <c r="BG72" i="1"/>
  <c r="BH72" i="1" s="1"/>
  <c r="BE72" i="1"/>
  <c r="BF72" i="1" s="1"/>
  <c r="BB72" i="1"/>
  <c r="BC72" i="1" s="1"/>
  <c r="AZ72" i="1"/>
  <c r="BA72" i="1" s="1"/>
  <c r="AW72" i="1"/>
  <c r="AX72" i="1" s="1"/>
  <c r="AY72" i="1" s="1"/>
  <c r="AR72" i="1"/>
  <c r="AS72" i="1" s="1"/>
  <c r="BV72" i="1"/>
  <c r="BW72" i="1" s="1"/>
  <c r="AG72" i="1"/>
  <c r="BR71" i="1"/>
  <c r="BS71" i="1" s="1"/>
  <c r="BO71" i="1"/>
  <c r="BL71" i="1"/>
  <c r="BM71" i="1" s="1"/>
  <c r="BJ71" i="1"/>
  <c r="BG71" i="1"/>
  <c r="BH71" i="1" s="1"/>
  <c r="BE71" i="1"/>
  <c r="BF71" i="1" s="1"/>
  <c r="BB71" i="1"/>
  <c r="BC71" i="1" s="1"/>
  <c r="AZ71" i="1"/>
  <c r="BA71" i="1" s="1"/>
  <c r="AW71" i="1"/>
  <c r="AX71" i="1" s="1"/>
  <c r="AY71" i="1" s="1"/>
  <c r="AR71" i="1"/>
  <c r="AS71" i="1" s="1"/>
  <c r="BV71" i="1"/>
  <c r="BW71" i="1" s="1"/>
  <c r="AG71" i="1"/>
  <c r="BR70" i="1"/>
  <c r="BS70" i="1" s="1"/>
  <c r="BO70" i="1"/>
  <c r="BL70" i="1"/>
  <c r="BM70" i="1" s="1"/>
  <c r="BJ70" i="1"/>
  <c r="BG70" i="1"/>
  <c r="BH70" i="1" s="1"/>
  <c r="BE70" i="1"/>
  <c r="BF70" i="1" s="1"/>
  <c r="BB70" i="1"/>
  <c r="BC70" i="1" s="1"/>
  <c r="AZ70" i="1"/>
  <c r="BA70" i="1" s="1"/>
  <c r="AW70" i="1"/>
  <c r="AX70" i="1" s="1"/>
  <c r="AY70" i="1" s="1"/>
  <c r="AR70" i="1"/>
  <c r="AS70" i="1" s="1"/>
  <c r="BV70" i="1"/>
  <c r="BW70" i="1" s="1"/>
  <c r="AG70" i="1"/>
  <c r="BR69" i="1"/>
  <c r="BS69" i="1" s="1"/>
  <c r="BO69" i="1"/>
  <c r="BL69" i="1"/>
  <c r="BM69" i="1" s="1"/>
  <c r="BJ69" i="1"/>
  <c r="BG69" i="1"/>
  <c r="BH69" i="1" s="1"/>
  <c r="BE69" i="1"/>
  <c r="BF69" i="1" s="1"/>
  <c r="BB69" i="1"/>
  <c r="BC69" i="1" s="1"/>
  <c r="AZ69" i="1"/>
  <c r="BA69" i="1" s="1"/>
  <c r="AW69" i="1"/>
  <c r="AX69" i="1" s="1"/>
  <c r="AY69" i="1" s="1"/>
  <c r="AR69" i="1"/>
  <c r="AS69" i="1" s="1"/>
  <c r="BV69" i="1"/>
  <c r="BW69" i="1" s="1"/>
  <c r="AG69" i="1"/>
  <c r="BR68" i="1"/>
  <c r="BS68" i="1" s="1"/>
  <c r="BO68" i="1"/>
  <c r="BL68" i="1"/>
  <c r="BM68" i="1" s="1"/>
  <c r="BJ68" i="1"/>
  <c r="BG68" i="1"/>
  <c r="BH68" i="1" s="1"/>
  <c r="BE68" i="1"/>
  <c r="BF68" i="1" s="1"/>
  <c r="BB68" i="1"/>
  <c r="BC68" i="1" s="1"/>
  <c r="AZ68" i="1"/>
  <c r="BA68" i="1" s="1"/>
  <c r="AW68" i="1"/>
  <c r="AX68" i="1" s="1"/>
  <c r="AY68" i="1" s="1"/>
  <c r="AR68" i="1"/>
  <c r="AS68" i="1" s="1"/>
  <c r="BV68" i="1"/>
  <c r="BW68" i="1" s="1"/>
  <c r="AG68" i="1"/>
  <c r="BR67" i="1"/>
  <c r="BS67" i="1" s="1"/>
  <c r="BO67" i="1"/>
  <c r="BL67" i="1"/>
  <c r="BM67" i="1" s="1"/>
  <c r="BJ67" i="1"/>
  <c r="BG67" i="1"/>
  <c r="BH67" i="1" s="1"/>
  <c r="BE67" i="1"/>
  <c r="BF67" i="1" s="1"/>
  <c r="BB67" i="1"/>
  <c r="BC67" i="1" s="1"/>
  <c r="AZ67" i="1"/>
  <c r="BA67" i="1" s="1"/>
  <c r="AW67" i="1"/>
  <c r="AX67" i="1" s="1"/>
  <c r="AY67" i="1" s="1"/>
  <c r="AR67" i="1"/>
  <c r="AS67" i="1" s="1"/>
  <c r="BV67" i="1"/>
  <c r="BW67" i="1" s="1"/>
  <c r="AG67" i="1"/>
  <c r="BR66" i="1"/>
  <c r="BS66" i="1" s="1"/>
  <c r="BO66" i="1"/>
  <c r="BL66" i="1"/>
  <c r="BM66" i="1" s="1"/>
  <c r="BJ66" i="1"/>
  <c r="BG66" i="1"/>
  <c r="BH66" i="1" s="1"/>
  <c r="BE66" i="1"/>
  <c r="BF66" i="1" s="1"/>
  <c r="BB66" i="1"/>
  <c r="BC66" i="1" s="1"/>
  <c r="AZ66" i="1"/>
  <c r="BA66" i="1" s="1"/>
  <c r="AW66" i="1"/>
  <c r="AX66" i="1" s="1"/>
  <c r="AY66" i="1" s="1"/>
  <c r="AR66" i="1"/>
  <c r="AS66" i="1" s="1"/>
  <c r="BV66" i="1"/>
  <c r="BW66" i="1" s="1"/>
  <c r="AG66" i="1"/>
  <c r="BR65" i="1"/>
  <c r="BS65" i="1" s="1"/>
  <c r="BO65" i="1"/>
  <c r="BL65" i="1"/>
  <c r="BM65" i="1" s="1"/>
  <c r="BJ65" i="1"/>
  <c r="BG65" i="1"/>
  <c r="BH65" i="1" s="1"/>
  <c r="BE65" i="1"/>
  <c r="BF65" i="1" s="1"/>
  <c r="BB65" i="1"/>
  <c r="BC65" i="1" s="1"/>
  <c r="AZ65" i="1"/>
  <c r="BA65" i="1" s="1"/>
  <c r="AW65" i="1"/>
  <c r="AX65" i="1" s="1"/>
  <c r="AY65" i="1" s="1"/>
  <c r="AR65" i="1"/>
  <c r="AS65" i="1" s="1"/>
  <c r="BV65" i="1"/>
  <c r="BW65" i="1" s="1"/>
  <c r="AG65" i="1"/>
  <c r="BR64" i="1"/>
  <c r="BS64" i="1" s="1"/>
  <c r="BO64" i="1"/>
  <c r="BL64" i="1"/>
  <c r="BM64" i="1" s="1"/>
  <c r="BJ64" i="1"/>
  <c r="BG64" i="1"/>
  <c r="BH64" i="1" s="1"/>
  <c r="BE64" i="1"/>
  <c r="BF64" i="1" s="1"/>
  <c r="BB64" i="1"/>
  <c r="BC64" i="1" s="1"/>
  <c r="AZ64" i="1"/>
  <c r="BA64" i="1" s="1"/>
  <c r="AW64" i="1"/>
  <c r="AX64" i="1" s="1"/>
  <c r="AY64" i="1" s="1"/>
  <c r="AR64" i="1"/>
  <c r="AS64" i="1" s="1"/>
  <c r="BV64" i="1"/>
  <c r="BW64" i="1" s="1"/>
  <c r="AG64" i="1"/>
  <c r="BR63" i="1"/>
  <c r="BS63" i="1" s="1"/>
  <c r="BO63" i="1"/>
  <c r="BL63" i="1"/>
  <c r="BM63" i="1" s="1"/>
  <c r="BJ63" i="1"/>
  <c r="BG63" i="1"/>
  <c r="BH63" i="1" s="1"/>
  <c r="BE63" i="1"/>
  <c r="BF63" i="1" s="1"/>
  <c r="BB63" i="1"/>
  <c r="BC63" i="1" s="1"/>
  <c r="AZ63" i="1"/>
  <c r="BA63" i="1" s="1"/>
  <c r="AW63" i="1"/>
  <c r="AX63" i="1" s="1"/>
  <c r="AY63" i="1" s="1"/>
  <c r="AR63" i="1"/>
  <c r="AS63" i="1" s="1"/>
  <c r="BV63" i="1"/>
  <c r="BW63" i="1" s="1"/>
  <c r="AG63" i="1"/>
  <c r="BR62" i="1"/>
  <c r="BS62" i="1" s="1"/>
  <c r="BO62" i="1"/>
  <c r="BL62" i="1"/>
  <c r="BM62" i="1" s="1"/>
  <c r="BJ62" i="1"/>
  <c r="BG62" i="1"/>
  <c r="BH62" i="1" s="1"/>
  <c r="BE62" i="1"/>
  <c r="BF62" i="1" s="1"/>
  <c r="BB62" i="1"/>
  <c r="BC62" i="1" s="1"/>
  <c r="AZ62" i="1"/>
  <c r="BA62" i="1" s="1"/>
  <c r="AW62" i="1"/>
  <c r="AX62" i="1" s="1"/>
  <c r="AY62" i="1" s="1"/>
  <c r="AR62" i="1"/>
  <c r="AS62" i="1" s="1"/>
  <c r="BV62" i="1"/>
  <c r="BW62" i="1" s="1"/>
  <c r="AG62" i="1"/>
  <c r="BR61" i="1"/>
  <c r="BS61" i="1" s="1"/>
  <c r="BO61" i="1"/>
  <c r="BL61" i="1"/>
  <c r="BM61" i="1" s="1"/>
  <c r="BJ61" i="1"/>
  <c r="BG61" i="1"/>
  <c r="BH61" i="1" s="1"/>
  <c r="BE61" i="1"/>
  <c r="BF61" i="1" s="1"/>
  <c r="BB61" i="1"/>
  <c r="BC61" i="1" s="1"/>
  <c r="AZ61" i="1"/>
  <c r="BA61" i="1" s="1"/>
  <c r="AW61" i="1"/>
  <c r="AX61" i="1" s="1"/>
  <c r="AY61" i="1" s="1"/>
  <c r="AR61" i="1"/>
  <c r="AS61" i="1" s="1"/>
  <c r="BV61" i="1"/>
  <c r="BW61" i="1" s="1"/>
  <c r="AG61" i="1"/>
  <c r="BR60" i="1"/>
  <c r="BS60" i="1" s="1"/>
  <c r="BO60" i="1"/>
  <c r="BL60" i="1"/>
  <c r="BM60" i="1" s="1"/>
  <c r="BJ60" i="1"/>
  <c r="BG60" i="1"/>
  <c r="BH60" i="1" s="1"/>
  <c r="BE60" i="1"/>
  <c r="BF60" i="1" s="1"/>
  <c r="BB60" i="1"/>
  <c r="BC60" i="1" s="1"/>
  <c r="AZ60" i="1"/>
  <c r="BA60" i="1" s="1"/>
  <c r="AW60" i="1"/>
  <c r="AX60" i="1" s="1"/>
  <c r="AY60" i="1" s="1"/>
  <c r="AR60" i="1"/>
  <c r="AS60" i="1" s="1"/>
  <c r="BV60" i="1"/>
  <c r="BW60" i="1" s="1"/>
  <c r="AG60" i="1"/>
  <c r="BR59" i="1"/>
  <c r="BS59" i="1" s="1"/>
  <c r="BO59" i="1"/>
  <c r="BL59" i="1"/>
  <c r="BM59" i="1" s="1"/>
  <c r="BJ59" i="1"/>
  <c r="BG59" i="1"/>
  <c r="BH59" i="1" s="1"/>
  <c r="BE59" i="1"/>
  <c r="BF59" i="1" s="1"/>
  <c r="BB59" i="1"/>
  <c r="BC59" i="1" s="1"/>
  <c r="AZ59" i="1"/>
  <c r="BA59" i="1" s="1"/>
  <c r="AW59" i="1"/>
  <c r="AX59" i="1" s="1"/>
  <c r="AY59" i="1" s="1"/>
  <c r="AR59" i="1"/>
  <c r="AS59" i="1" s="1"/>
  <c r="BV59" i="1"/>
  <c r="BW59" i="1" s="1"/>
  <c r="AG59" i="1"/>
  <c r="BR58" i="1"/>
  <c r="BS58" i="1" s="1"/>
  <c r="BO58" i="1"/>
  <c r="BL58" i="1"/>
  <c r="BM58" i="1" s="1"/>
  <c r="BJ58" i="1"/>
  <c r="BG58" i="1"/>
  <c r="BH58" i="1" s="1"/>
  <c r="BE58" i="1"/>
  <c r="BF58" i="1" s="1"/>
  <c r="BB58" i="1"/>
  <c r="BC58" i="1" s="1"/>
  <c r="AZ58" i="1"/>
  <c r="BA58" i="1" s="1"/>
  <c r="AW58" i="1"/>
  <c r="AX58" i="1" s="1"/>
  <c r="AY58" i="1" s="1"/>
  <c r="AR58" i="1"/>
  <c r="AS58" i="1" s="1"/>
  <c r="BV58" i="1"/>
  <c r="BW58" i="1" s="1"/>
  <c r="AG58" i="1"/>
  <c r="BR57" i="1"/>
  <c r="BS57" i="1" s="1"/>
  <c r="BO57" i="1"/>
  <c r="BL57" i="1"/>
  <c r="BM57" i="1" s="1"/>
  <c r="BJ57" i="1"/>
  <c r="BG57" i="1"/>
  <c r="BH57" i="1" s="1"/>
  <c r="BE57" i="1"/>
  <c r="BF57" i="1" s="1"/>
  <c r="BB57" i="1"/>
  <c r="BC57" i="1" s="1"/>
  <c r="AZ57" i="1"/>
  <c r="BA57" i="1" s="1"/>
  <c r="AW57" i="1"/>
  <c r="AX57" i="1" s="1"/>
  <c r="AY57" i="1" s="1"/>
  <c r="AR57" i="1"/>
  <c r="AS57" i="1" s="1"/>
  <c r="BV57" i="1"/>
  <c r="BW57" i="1" s="1"/>
  <c r="AG57" i="1"/>
  <c r="BR56" i="1"/>
  <c r="BS56" i="1" s="1"/>
  <c r="BO56" i="1"/>
  <c r="BL56" i="1"/>
  <c r="BM56" i="1" s="1"/>
  <c r="BJ56" i="1"/>
  <c r="BG56" i="1"/>
  <c r="BH56" i="1" s="1"/>
  <c r="BE56" i="1"/>
  <c r="BF56" i="1" s="1"/>
  <c r="BB56" i="1"/>
  <c r="BC56" i="1" s="1"/>
  <c r="AZ56" i="1"/>
  <c r="BA56" i="1" s="1"/>
  <c r="AW56" i="1"/>
  <c r="AX56" i="1" s="1"/>
  <c r="AY56" i="1" s="1"/>
  <c r="AR56" i="1"/>
  <c r="AS56" i="1" s="1"/>
  <c r="BV56" i="1"/>
  <c r="BW56" i="1" s="1"/>
  <c r="AG56" i="1"/>
  <c r="BR55" i="1"/>
  <c r="BS55" i="1" s="1"/>
  <c r="BO55" i="1"/>
  <c r="BL55" i="1"/>
  <c r="BM55" i="1" s="1"/>
  <c r="BJ55" i="1"/>
  <c r="BG55" i="1"/>
  <c r="BH55" i="1" s="1"/>
  <c r="BE55" i="1"/>
  <c r="BF55" i="1" s="1"/>
  <c r="BB55" i="1"/>
  <c r="BC55" i="1" s="1"/>
  <c r="AZ55" i="1"/>
  <c r="BA55" i="1" s="1"/>
  <c r="AW55" i="1"/>
  <c r="AX55" i="1" s="1"/>
  <c r="AY55" i="1" s="1"/>
  <c r="AR55" i="1"/>
  <c r="AS55" i="1" s="1"/>
  <c r="BV55" i="1"/>
  <c r="BW55" i="1" s="1"/>
  <c r="AG55" i="1"/>
  <c r="BR54" i="1"/>
  <c r="BS54" i="1" s="1"/>
  <c r="BO54" i="1"/>
  <c r="BL54" i="1"/>
  <c r="BM54" i="1" s="1"/>
  <c r="BJ54" i="1"/>
  <c r="BG54" i="1"/>
  <c r="BH54" i="1" s="1"/>
  <c r="BE54" i="1"/>
  <c r="BF54" i="1" s="1"/>
  <c r="BB54" i="1"/>
  <c r="BC54" i="1" s="1"/>
  <c r="AZ54" i="1"/>
  <c r="BA54" i="1" s="1"/>
  <c r="AW54" i="1"/>
  <c r="AX54" i="1" s="1"/>
  <c r="AY54" i="1" s="1"/>
  <c r="AR54" i="1"/>
  <c r="AS54" i="1" s="1"/>
  <c r="BV54" i="1"/>
  <c r="BW54" i="1" s="1"/>
  <c r="AG54" i="1"/>
  <c r="BR53" i="1"/>
  <c r="BS53" i="1" s="1"/>
  <c r="BO53" i="1"/>
  <c r="BL53" i="1"/>
  <c r="BM53" i="1" s="1"/>
  <c r="BJ53" i="1"/>
  <c r="BG53" i="1"/>
  <c r="BH53" i="1" s="1"/>
  <c r="BE53" i="1"/>
  <c r="BF53" i="1" s="1"/>
  <c r="BB53" i="1"/>
  <c r="BC53" i="1" s="1"/>
  <c r="AZ53" i="1"/>
  <c r="BA53" i="1" s="1"/>
  <c r="AW53" i="1"/>
  <c r="AX53" i="1" s="1"/>
  <c r="AY53" i="1" s="1"/>
  <c r="AR53" i="1"/>
  <c r="AS53" i="1" s="1"/>
  <c r="BV53" i="1"/>
  <c r="BW53" i="1" s="1"/>
  <c r="AG53" i="1"/>
  <c r="BR52" i="1"/>
  <c r="BS52" i="1" s="1"/>
  <c r="BO52" i="1"/>
  <c r="BL52" i="1"/>
  <c r="BM52" i="1" s="1"/>
  <c r="BJ52" i="1"/>
  <c r="BG52" i="1"/>
  <c r="BH52" i="1" s="1"/>
  <c r="BE52" i="1"/>
  <c r="BF52" i="1" s="1"/>
  <c r="BB52" i="1"/>
  <c r="BC52" i="1" s="1"/>
  <c r="AZ52" i="1"/>
  <c r="BA52" i="1" s="1"/>
  <c r="AW52" i="1"/>
  <c r="AX52" i="1" s="1"/>
  <c r="AY52" i="1" s="1"/>
  <c r="AR52" i="1"/>
  <c r="AS52" i="1" s="1"/>
  <c r="BV52" i="1"/>
  <c r="BW52" i="1" s="1"/>
  <c r="AG52" i="1"/>
  <c r="BR51" i="1"/>
  <c r="BS51" i="1" s="1"/>
  <c r="BO51" i="1"/>
  <c r="BL51" i="1"/>
  <c r="BM51" i="1" s="1"/>
  <c r="BJ51" i="1"/>
  <c r="BG51" i="1"/>
  <c r="BH51" i="1" s="1"/>
  <c r="BE51" i="1"/>
  <c r="BF51" i="1" s="1"/>
  <c r="BB51" i="1"/>
  <c r="BC51" i="1" s="1"/>
  <c r="AZ51" i="1"/>
  <c r="BA51" i="1" s="1"/>
  <c r="AW51" i="1"/>
  <c r="AX51" i="1" s="1"/>
  <c r="AY51" i="1" s="1"/>
  <c r="AR51" i="1"/>
  <c r="AS51" i="1" s="1"/>
  <c r="BV51" i="1"/>
  <c r="BW51" i="1" s="1"/>
  <c r="AG51" i="1"/>
  <c r="BR50" i="1"/>
  <c r="BS50" i="1" s="1"/>
  <c r="BO50" i="1"/>
  <c r="BL50" i="1"/>
  <c r="BM50" i="1" s="1"/>
  <c r="BJ50" i="1"/>
  <c r="BG50" i="1"/>
  <c r="BH50" i="1" s="1"/>
  <c r="BE50" i="1"/>
  <c r="BF50" i="1" s="1"/>
  <c r="BB50" i="1"/>
  <c r="BC50" i="1" s="1"/>
  <c r="AZ50" i="1"/>
  <c r="BA50" i="1" s="1"/>
  <c r="AW50" i="1"/>
  <c r="AX50" i="1" s="1"/>
  <c r="AY50" i="1" s="1"/>
  <c r="AR50" i="1"/>
  <c r="AS50" i="1" s="1"/>
  <c r="BV50" i="1"/>
  <c r="BW50" i="1" s="1"/>
  <c r="AG50" i="1"/>
  <c r="BR49" i="1"/>
  <c r="BS49" i="1" s="1"/>
  <c r="BO49" i="1"/>
  <c r="BL49" i="1"/>
  <c r="BM49" i="1" s="1"/>
  <c r="BJ49" i="1"/>
  <c r="BG49" i="1"/>
  <c r="BH49" i="1" s="1"/>
  <c r="BE49" i="1"/>
  <c r="BF49" i="1" s="1"/>
  <c r="AZ49" i="1"/>
  <c r="BB49" i="1" s="1"/>
  <c r="BC49" i="1" s="1"/>
  <c r="AW49" i="1"/>
  <c r="AX49" i="1" s="1"/>
  <c r="AY49" i="1" s="1"/>
  <c r="AR49" i="1"/>
  <c r="AS49" i="1" s="1"/>
  <c r="AP49" i="1"/>
  <c r="BV49" i="1"/>
  <c r="BW49" i="1" s="1"/>
  <c r="AF49" i="1"/>
  <c r="AG49" i="1" s="1"/>
  <c r="BR48" i="1"/>
  <c r="BS48" i="1" s="1"/>
  <c r="BO48" i="1"/>
  <c r="BL48" i="1"/>
  <c r="BM48" i="1" s="1"/>
  <c r="BJ48" i="1"/>
  <c r="BG48" i="1"/>
  <c r="BH48" i="1" s="1"/>
  <c r="BE48" i="1"/>
  <c r="BF48" i="1" s="1"/>
  <c r="AZ48" i="1"/>
  <c r="BB48" i="1" s="1"/>
  <c r="BC48" i="1" s="1"/>
  <c r="AW48" i="1"/>
  <c r="AX48" i="1" s="1"/>
  <c r="AY48" i="1" s="1"/>
  <c r="AR48" i="1"/>
  <c r="AS48" i="1" s="1"/>
  <c r="AP48" i="1"/>
  <c r="BV48" i="1"/>
  <c r="BW48" i="1" s="1"/>
  <c r="AF48" i="1"/>
  <c r="AG48" i="1" s="1"/>
  <c r="BR47" i="1"/>
  <c r="BS47" i="1" s="1"/>
  <c r="BO47" i="1"/>
  <c r="BL47" i="1"/>
  <c r="BM47" i="1" s="1"/>
  <c r="BJ47" i="1"/>
  <c r="BG47" i="1"/>
  <c r="BH47" i="1" s="1"/>
  <c r="BE47" i="1"/>
  <c r="BF47" i="1" s="1"/>
  <c r="AZ47" i="1"/>
  <c r="BB47" i="1" s="1"/>
  <c r="BC47" i="1" s="1"/>
  <c r="AW47" i="1"/>
  <c r="AX47" i="1" s="1"/>
  <c r="AY47" i="1" s="1"/>
  <c r="AR47" i="1"/>
  <c r="AS47" i="1" s="1"/>
  <c r="AP47" i="1"/>
  <c r="BV47" i="1"/>
  <c r="BW47" i="1" s="1"/>
  <c r="AF47" i="1"/>
  <c r="AG47" i="1" s="1"/>
  <c r="BR46" i="1"/>
  <c r="BS46" i="1" s="1"/>
  <c r="BO46" i="1"/>
  <c r="BL46" i="1"/>
  <c r="BM46" i="1" s="1"/>
  <c r="BJ46" i="1"/>
  <c r="BG46" i="1"/>
  <c r="BH46" i="1" s="1"/>
  <c r="BE46" i="1"/>
  <c r="BF46" i="1" s="1"/>
  <c r="AZ46" i="1"/>
  <c r="BB46" i="1" s="1"/>
  <c r="BC46" i="1" s="1"/>
  <c r="AW46" i="1"/>
  <c r="AX46" i="1" s="1"/>
  <c r="AY46" i="1" s="1"/>
  <c r="AR46" i="1"/>
  <c r="AS46" i="1" s="1"/>
  <c r="AP46" i="1"/>
  <c r="BV46" i="1"/>
  <c r="BW46" i="1" s="1"/>
  <c r="AF46" i="1"/>
  <c r="AG46" i="1" s="1"/>
  <c r="BR45" i="1"/>
  <c r="BS45" i="1" s="1"/>
  <c r="BO45" i="1"/>
  <c r="BL45" i="1"/>
  <c r="BM45" i="1" s="1"/>
  <c r="BJ45" i="1"/>
  <c r="BG45" i="1"/>
  <c r="BH45" i="1" s="1"/>
  <c r="BE45" i="1"/>
  <c r="BF45" i="1" s="1"/>
  <c r="AZ45" i="1"/>
  <c r="AW45" i="1"/>
  <c r="AX45" i="1" s="1"/>
  <c r="AY45" i="1" s="1"/>
  <c r="AR45" i="1"/>
  <c r="AS45" i="1" s="1"/>
  <c r="AP45" i="1"/>
  <c r="BV45" i="1"/>
  <c r="BW45" i="1" s="1"/>
  <c r="AF45" i="1"/>
  <c r="AG45" i="1" s="1"/>
  <c r="BR44" i="1"/>
  <c r="BS44" i="1" s="1"/>
  <c r="BO44" i="1"/>
  <c r="BL44" i="1"/>
  <c r="BM44" i="1" s="1"/>
  <c r="BJ44" i="1"/>
  <c r="BG44" i="1"/>
  <c r="BH44" i="1" s="1"/>
  <c r="BE44" i="1"/>
  <c r="BF44" i="1" s="1"/>
  <c r="AZ44" i="1"/>
  <c r="BA44" i="1" s="1"/>
  <c r="AW44" i="1"/>
  <c r="AX44" i="1" s="1"/>
  <c r="AY44" i="1" s="1"/>
  <c r="AR44" i="1"/>
  <c r="AS44" i="1" s="1"/>
  <c r="AP44" i="1"/>
  <c r="BV44" i="1"/>
  <c r="BW44" i="1" s="1"/>
  <c r="AF44" i="1"/>
  <c r="AG44" i="1" s="1"/>
  <c r="BR43" i="1"/>
  <c r="BS43" i="1" s="1"/>
  <c r="BO43" i="1"/>
  <c r="BL43" i="1"/>
  <c r="BM43" i="1" s="1"/>
  <c r="BJ43" i="1"/>
  <c r="BG43" i="1"/>
  <c r="BH43" i="1" s="1"/>
  <c r="BE43" i="1"/>
  <c r="BF43" i="1" s="1"/>
  <c r="AZ43" i="1"/>
  <c r="BA43" i="1" s="1"/>
  <c r="AW43" i="1"/>
  <c r="AX43" i="1" s="1"/>
  <c r="AY43" i="1" s="1"/>
  <c r="AR43" i="1"/>
  <c r="AS43" i="1" s="1"/>
  <c r="AP43" i="1"/>
  <c r="BV43" i="1"/>
  <c r="BW43" i="1" s="1"/>
  <c r="AF43" i="1"/>
  <c r="AG43" i="1" s="1"/>
  <c r="BR42" i="1"/>
  <c r="BS42" i="1" s="1"/>
  <c r="BO42" i="1"/>
  <c r="BL42" i="1"/>
  <c r="BM42" i="1" s="1"/>
  <c r="BJ42" i="1"/>
  <c r="BG42" i="1"/>
  <c r="BH42" i="1" s="1"/>
  <c r="BE42" i="1"/>
  <c r="BF42" i="1" s="1"/>
  <c r="AZ42" i="1"/>
  <c r="BB42" i="1" s="1"/>
  <c r="BC42" i="1" s="1"/>
  <c r="AW42" i="1"/>
  <c r="AX42" i="1" s="1"/>
  <c r="AY42" i="1" s="1"/>
  <c r="AR42" i="1"/>
  <c r="AS42" i="1" s="1"/>
  <c r="AP42" i="1"/>
  <c r="BV42" i="1"/>
  <c r="BW42" i="1" s="1"/>
  <c r="AF42" i="1"/>
  <c r="AG42" i="1" s="1"/>
  <c r="BR41" i="1"/>
  <c r="BS41" i="1" s="1"/>
  <c r="BO41" i="1"/>
  <c r="BL41" i="1"/>
  <c r="BM41" i="1" s="1"/>
  <c r="BJ41" i="1"/>
  <c r="BG41" i="1"/>
  <c r="BH41" i="1" s="1"/>
  <c r="BE41" i="1"/>
  <c r="BF41" i="1" s="1"/>
  <c r="AZ41" i="1"/>
  <c r="BB41" i="1" s="1"/>
  <c r="BC41" i="1" s="1"/>
  <c r="AW41" i="1"/>
  <c r="AX41" i="1" s="1"/>
  <c r="AY41" i="1" s="1"/>
  <c r="AR41" i="1"/>
  <c r="AS41" i="1" s="1"/>
  <c r="AP41" i="1"/>
  <c r="BV41" i="1"/>
  <c r="BW41" i="1" s="1"/>
  <c r="AF41" i="1"/>
  <c r="AG41" i="1" s="1"/>
  <c r="BR40" i="1"/>
  <c r="BS40" i="1" s="1"/>
  <c r="BO40" i="1"/>
  <c r="BL40" i="1"/>
  <c r="BM40" i="1" s="1"/>
  <c r="BJ40" i="1"/>
  <c r="BG40" i="1"/>
  <c r="BH40" i="1" s="1"/>
  <c r="BE40" i="1"/>
  <c r="BF40" i="1" s="1"/>
  <c r="AZ40" i="1"/>
  <c r="AW40" i="1"/>
  <c r="AX40" i="1" s="1"/>
  <c r="AY40" i="1" s="1"/>
  <c r="AR40" i="1"/>
  <c r="AS40" i="1" s="1"/>
  <c r="AP40" i="1"/>
  <c r="BV40" i="1"/>
  <c r="BW40" i="1" s="1"/>
  <c r="AF40" i="1"/>
  <c r="AG40" i="1" s="1"/>
  <c r="BR39" i="1"/>
  <c r="BS39" i="1" s="1"/>
  <c r="BO39" i="1"/>
  <c r="BL39" i="1"/>
  <c r="BM39" i="1" s="1"/>
  <c r="BJ39" i="1"/>
  <c r="BG39" i="1"/>
  <c r="BH39" i="1" s="1"/>
  <c r="BE39" i="1"/>
  <c r="BF39" i="1" s="1"/>
  <c r="AZ39" i="1"/>
  <c r="BB39" i="1" s="1"/>
  <c r="BC39" i="1" s="1"/>
  <c r="AW39" i="1"/>
  <c r="AX39" i="1" s="1"/>
  <c r="AY39" i="1" s="1"/>
  <c r="AR39" i="1"/>
  <c r="AS39" i="1" s="1"/>
  <c r="AP39" i="1"/>
  <c r="BV39" i="1"/>
  <c r="BW39" i="1" s="1"/>
  <c r="AF39" i="1"/>
  <c r="AG39" i="1" s="1"/>
  <c r="BR38" i="1"/>
  <c r="BS38" i="1" s="1"/>
  <c r="BO38" i="1"/>
  <c r="BL38" i="1"/>
  <c r="BM38" i="1" s="1"/>
  <c r="BJ38" i="1"/>
  <c r="BG38" i="1"/>
  <c r="BH38" i="1" s="1"/>
  <c r="BE38" i="1"/>
  <c r="BF38" i="1" s="1"/>
  <c r="AZ38" i="1"/>
  <c r="BA38" i="1" s="1"/>
  <c r="AW38" i="1"/>
  <c r="AX38" i="1" s="1"/>
  <c r="AY38" i="1" s="1"/>
  <c r="AR38" i="1"/>
  <c r="AS38" i="1" s="1"/>
  <c r="AP38" i="1"/>
  <c r="BV38" i="1"/>
  <c r="BW38" i="1" s="1"/>
  <c r="AF38" i="1"/>
  <c r="AG38" i="1" s="1"/>
  <c r="BR37" i="1"/>
  <c r="BS37" i="1" s="1"/>
  <c r="BO37" i="1"/>
  <c r="BL37" i="1"/>
  <c r="BM37" i="1" s="1"/>
  <c r="BI37" i="1"/>
  <c r="BJ37" i="1" s="1"/>
  <c r="BG37" i="1"/>
  <c r="BH37" i="1" s="1"/>
  <c r="BE37" i="1"/>
  <c r="BF37" i="1" s="1"/>
  <c r="AZ37" i="1"/>
  <c r="BA37" i="1" s="1"/>
  <c r="AW37" i="1"/>
  <c r="AX37" i="1" s="1"/>
  <c r="AY37" i="1" s="1"/>
  <c r="AR37" i="1"/>
  <c r="AS37" i="1" s="1"/>
  <c r="AP37" i="1"/>
  <c r="BV37" i="1"/>
  <c r="BW37" i="1" s="1"/>
  <c r="AF37" i="1"/>
  <c r="AG37" i="1" s="1"/>
  <c r="BR36" i="1"/>
  <c r="BS36" i="1" s="1"/>
  <c r="BO36" i="1"/>
  <c r="BL36" i="1"/>
  <c r="BM36" i="1" s="1"/>
  <c r="BI36" i="1"/>
  <c r="BJ36" i="1" s="1"/>
  <c r="BG36" i="1"/>
  <c r="BH36" i="1" s="1"/>
  <c r="BE36" i="1"/>
  <c r="BF36" i="1" s="1"/>
  <c r="AZ36" i="1"/>
  <c r="BB36" i="1" s="1"/>
  <c r="BC36" i="1" s="1"/>
  <c r="AW36" i="1"/>
  <c r="AX36" i="1" s="1"/>
  <c r="AY36" i="1" s="1"/>
  <c r="AR36" i="1"/>
  <c r="AS36" i="1" s="1"/>
  <c r="AP36" i="1"/>
  <c r="BV36" i="1"/>
  <c r="BW36" i="1" s="1"/>
  <c r="AF36" i="1"/>
  <c r="AG36" i="1" s="1"/>
  <c r="BR35" i="1"/>
  <c r="BS35" i="1" s="1"/>
  <c r="BO35" i="1"/>
  <c r="BL35" i="1"/>
  <c r="BM35" i="1" s="1"/>
  <c r="BI35" i="1"/>
  <c r="BJ35" i="1" s="1"/>
  <c r="BG35" i="1"/>
  <c r="BH35" i="1" s="1"/>
  <c r="BE35" i="1"/>
  <c r="BF35" i="1" s="1"/>
  <c r="AZ35" i="1"/>
  <c r="BA35" i="1" s="1"/>
  <c r="AW35" i="1"/>
  <c r="AX35" i="1" s="1"/>
  <c r="AY35" i="1" s="1"/>
  <c r="AR35" i="1"/>
  <c r="AS35" i="1" s="1"/>
  <c r="AP35" i="1"/>
  <c r="BV35" i="1"/>
  <c r="BW35" i="1" s="1"/>
  <c r="AF35" i="1"/>
  <c r="AG35" i="1" s="1"/>
  <c r="BR34" i="1"/>
  <c r="BS34" i="1" s="1"/>
  <c r="BO34" i="1"/>
  <c r="BL34" i="1"/>
  <c r="BM34" i="1" s="1"/>
  <c r="BI34" i="1"/>
  <c r="BJ34" i="1" s="1"/>
  <c r="BG34" i="1"/>
  <c r="BH34" i="1" s="1"/>
  <c r="BE34" i="1"/>
  <c r="BF34" i="1" s="1"/>
  <c r="AZ34" i="1"/>
  <c r="BB34" i="1" s="1"/>
  <c r="BC34" i="1" s="1"/>
  <c r="AW34" i="1"/>
  <c r="AX34" i="1" s="1"/>
  <c r="AY34" i="1" s="1"/>
  <c r="AR34" i="1"/>
  <c r="AS34" i="1" s="1"/>
  <c r="AP34" i="1"/>
  <c r="BV34" i="1"/>
  <c r="BW34" i="1" s="1"/>
  <c r="AF34" i="1"/>
  <c r="AG34" i="1" s="1"/>
  <c r="BR33" i="1"/>
  <c r="BS33" i="1" s="1"/>
  <c r="BO33" i="1"/>
  <c r="BL33" i="1"/>
  <c r="BM33" i="1" s="1"/>
  <c r="BI33" i="1"/>
  <c r="BJ33" i="1" s="1"/>
  <c r="BG33" i="1"/>
  <c r="BH33" i="1" s="1"/>
  <c r="BE33" i="1"/>
  <c r="BF33" i="1" s="1"/>
  <c r="AZ33" i="1"/>
  <c r="AW33" i="1"/>
  <c r="AX33" i="1" s="1"/>
  <c r="AY33" i="1" s="1"/>
  <c r="AR33" i="1"/>
  <c r="AS33" i="1" s="1"/>
  <c r="AP33" i="1"/>
  <c r="BV33" i="1"/>
  <c r="BW33" i="1" s="1"/>
  <c r="AF33" i="1"/>
  <c r="AG33" i="1" s="1"/>
  <c r="BR32" i="1"/>
  <c r="BS32" i="1" s="1"/>
  <c r="BO32" i="1"/>
  <c r="BL32" i="1"/>
  <c r="BM32" i="1" s="1"/>
  <c r="BI32" i="1"/>
  <c r="BJ32" i="1" s="1"/>
  <c r="BG32" i="1"/>
  <c r="BH32" i="1" s="1"/>
  <c r="BE32" i="1"/>
  <c r="BF32" i="1" s="1"/>
  <c r="AZ32" i="1"/>
  <c r="BB32" i="1" s="1"/>
  <c r="BC32" i="1" s="1"/>
  <c r="AW32" i="1"/>
  <c r="AX32" i="1" s="1"/>
  <c r="AY32" i="1" s="1"/>
  <c r="AR32" i="1"/>
  <c r="AS32" i="1" s="1"/>
  <c r="AP32" i="1"/>
  <c r="BV32" i="1"/>
  <c r="BW32" i="1" s="1"/>
  <c r="AF32" i="1"/>
  <c r="AG32" i="1" s="1"/>
  <c r="BR31" i="1"/>
  <c r="BS31" i="1" s="1"/>
  <c r="BO31" i="1"/>
  <c r="BL31" i="1"/>
  <c r="BM31" i="1" s="1"/>
  <c r="BI31" i="1"/>
  <c r="BJ31" i="1" s="1"/>
  <c r="BG31" i="1"/>
  <c r="BH31" i="1" s="1"/>
  <c r="BE31" i="1"/>
  <c r="BF31" i="1" s="1"/>
  <c r="AZ31" i="1"/>
  <c r="BA31" i="1" s="1"/>
  <c r="AW31" i="1"/>
  <c r="AX31" i="1" s="1"/>
  <c r="AY31" i="1" s="1"/>
  <c r="AR31" i="1"/>
  <c r="AS31" i="1" s="1"/>
  <c r="AP31" i="1"/>
  <c r="BV31" i="1"/>
  <c r="BW31" i="1" s="1"/>
  <c r="AF31" i="1"/>
  <c r="AG31" i="1" s="1"/>
  <c r="BR30" i="1"/>
  <c r="BS30" i="1" s="1"/>
  <c r="BO30" i="1"/>
  <c r="BL30" i="1"/>
  <c r="BM30" i="1" s="1"/>
  <c r="BI30" i="1"/>
  <c r="BJ30" i="1" s="1"/>
  <c r="BG30" i="1"/>
  <c r="BH30" i="1" s="1"/>
  <c r="BE30" i="1"/>
  <c r="BF30" i="1" s="1"/>
  <c r="AZ30" i="1"/>
  <c r="BB30" i="1" s="1"/>
  <c r="BC30" i="1" s="1"/>
  <c r="AW30" i="1"/>
  <c r="AX30" i="1" s="1"/>
  <c r="AY30" i="1" s="1"/>
  <c r="AR30" i="1"/>
  <c r="AS30" i="1" s="1"/>
  <c r="AP30" i="1"/>
  <c r="BV30" i="1"/>
  <c r="BW30" i="1" s="1"/>
  <c r="AF30" i="1"/>
  <c r="AG30" i="1" s="1"/>
  <c r="BR29" i="1"/>
  <c r="BS29" i="1" s="1"/>
  <c r="BO29" i="1"/>
  <c r="BL29" i="1"/>
  <c r="BM29" i="1" s="1"/>
  <c r="BI29" i="1"/>
  <c r="BJ29" i="1" s="1"/>
  <c r="BG29" i="1"/>
  <c r="BH29" i="1" s="1"/>
  <c r="BE29" i="1"/>
  <c r="BF29" i="1" s="1"/>
  <c r="AZ29" i="1"/>
  <c r="BA29" i="1" s="1"/>
  <c r="AW29" i="1"/>
  <c r="AX29" i="1" s="1"/>
  <c r="AY29" i="1" s="1"/>
  <c r="AR29" i="1"/>
  <c r="AS29" i="1" s="1"/>
  <c r="AP29" i="1"/>
  <c r="BV29" i="1"/>
  <c r="BW29" i="1" s="1"/>
  <c r="AF29" i="1"/>
  <c r="AG29" i="1" s="1"/>
  <c r="BR28" i="1"/>
  <c r="BS28" i="1" s="1"/>
  <c r="BO28" i="1"/>
  <c r="BL28" i="1"/>
  <c r="BM28" i="1" s="1"/>
  <c r="BI28" i="1"/>
  <c r="BJ28" i="1" s="1"/>
  <c r="BG28" i="1"/>
  <c r="BH28" i="1" s="1"/>
  <c r="BE28" i="1"/>
  <c r="BF28" i="1" s="1"/>
  <c r="AZ28" i="1"/>
  <c r="AW28" i="1"/>
  <c r="AX28" i="1" s="1"/>
  <c r="AY28" i="1" s="1"/>
  <c r="AR28" i="1"/>
  <c r="AS28" i="1" s="1"/>
  <c r="AP28" i="1"/>
  <c r="BV28" i="1"/>
  <c r="BW28" i="1" s="1"/>
  <c r="AF28" i="1"/>
  <c r="AG28" i="1" s="1"/>
  <c r="BR27" i="1"/>
  <c r="BS27" i="1" s="1"/>
  <c r="BO27" i="1"/>
  <c r="BL27" i="1"/>
  <c r="BM27" i="1" s="1"/>
  <c r="BI27" i="1"/>
  <c r="BJ27" i="1" s="1"/>
  <c r="BG27" i="1"/>
  <c r="BH27" i="1" s="1"/>
  <c r="BE27" i="1"/>
  <c r="BF27" i="1" s="1"/>
  <c r="AZ27" i="1"/>
  <c r="BB27" i="1" s="1"/>
  <c r="BC27" i="1" s="1"/>
  <c r="AW27" i="1"/>
  <c r="AX27" i="1" s="1"/>
  <c r="AY27" i="1" s="1"/>
  <c r="AR27" i="1"/>
  <c r="AS27" i="1" s="1"/>
  <c r="AP27" i="1"/>
  <c r="BV27" i="1"/>
  <c r="BW27" i="1" s="1"/>
  <c r="AF27" i="1"/>
  <c r="AG27" i="1" s="1"/>
  <c r="BR26" i="1"/>
  <c r="BS26" i="1" s="1"/>
  <c r="BO26" i="1"/>
  <c r="BL26" i="1"/>
  <c r="BM26" i="1" s="1"/>
  <c r="BI26" i="1"/>
  <c r="BJ26" i="1" s="1"/>
  <c r="BG26" i="1"/>
  <c r="BH26" i="1" s="1"/>
  <c r="BE26" i="1"/>
  <c r="BF26" i="1" s="1"/>
  <c r="AZ26" i="1"/>
  <c r="BA26" i="1" s="1"/>
  <c r="AW26" i="1"/>
  <c r="AX26" i="1" s="1"/>
  <c r="AY26" i="1" s="1"/>
  <c r="AR26" i="1"/>
  <c r="AS26" i="1" s="1"/>
  <c r="AP26" i="1"/>
  <c r="BV26" i="1"/>
  <c r="BW26" i="1" s="1"/>
  <c r="AF26" i="1"/>
  <c r="AG26" i="1" s="1"/>
  <c r="BR25" i="1"/>
  <c r="BS25" i="1" s="1"/>
  <c r="BO25" i="1"/>
  <c r="BL25" i="1"/>
  <c r="BM25" i="1" s="1"/>
  <c r="BJ25" i="1"/>
  <c r="BG25" i="1"/>
  <c r="BH25" i="1" s="1"/>
  <c r="BE25" i="1"/>
  <c r="BF25" i="1" s="1"/>
  <c r="BB25" i="1"/>
  <c r="BC25" i="1" s="1"/>
  <c r="AZ25" i="1"/>
  <c r="BA25" i="1" s="1"/>
  <c r="AW25" i="1"/>
  <c r="AX25" i="1" s="1"/>
  <c r="AY25" i="1" s="1"/>
  <c r="AR25" i="1"/>
  <c r="AS25" i="1" s="1"/>
  <c r="AP25" i="1"/>
  <c r="BV25" i="1"/>
  <c r="BW25" i="1" s="1"/>
  <c r="AF25" i="1"/>
  <c r="AG25" i="1" s="1"/>
  <c r="BR24" i="1"/>
  <c r="BS24" i="1" s="1"/>
  <c r="BO24" i="1"/>
  <c r="BL24" i="1"/>
  <c r="BM24" i="1" s="1"/>
  <c r="BJ24" i="1"/>
  <c r="BG24" i="1"/>
  <c r="BH24" i="1" s="1"/>
  <c r="BE24" i="1"/>
  <c r="BF24" i="1" s="1"/>
  <c r="BB24" i="1"/>
  <c r="BC24" i="1" s="1"/>
  <c r="AZ24" i="1"/>
  <c r="BA24" i="1" s="1"/>
  <c r="AW24" i="1"/>
  <c r="AX24" i="1" s="1"/>
  <c r="AY24" i="1" s="1"/>
  <c r="AR24" i="1"/>
  <c r="AS24" i="1" s="1"/>
  <c r="AP24" i="1"/>
  <c r="BV24" i="1"/>
  <c r="BW24" i="1" s="1"/>
  <c r="AF24" i="1"/>
  <c r="AG24" i="1" s="1"/>
  <c r="BR23" i="1"/>
  <c r="BS23" i="1" s="1"/>
  <c r="BO23" i="1"/>
  <c r="BL23" i="1"/>
  <c r="BM23" i="1" s="1"/>
  <c r="BJ23" i="1"/>
  <c r="BG23" i="1"/>
  <c r="BH23" i="1" s="1"/>
  <c r="BE23" i="1"/>
  <c r="BF23" i="1" s="1"/>
  <c r="BB23" i="1"/>
  <c r="BC23" i="1" s="1"/>
  <c r="AZ23" i="1"/>
  <c r="BA23" i="1" s="1"/>
  <c r="AW23" i="1"/>
  <c r="AX23" i="1" s="1"/>
  <c r="AY23" i="1" s="1"/>
  <c r="AR23" i="1"/>
  <c r="AS23" i="1" s="1"/>
  <c r="AP23" i="1"/>
  <c r="BV23" i="1"/>
  <c r="BW23" i="1" s="1"/>
  <c r="AF23" i="1"/>
  <c r="AG23" i="1" s="1"/>
  <c r="BR22" i="1"/>
  <c r="BS22" i="1" s="1"/>
  <c r="BO22" i="1"/>
  <c r="BL22" i="1"/>
  <c r="BM22" i="1" s="1"/>
  <c r="BJ22" i="1"/>
  <c r="BG22" i="1"/>
  <c r="BH22" i="1" s="1"/>
  <c r="BE22" i="1"/>
  <c r="BF22" i="1" s="1"/>
  <c r="BB22" i="1"/>
  <c r="BC22" i="1" s="1"/>
  <c r="AZ22" i="1"/>
  <c r="BA22" i="1" s="1"/>
  <c r="AW22" i="1"/>
  <c r="AX22" i="1" s="1"/>
  <c r="AY22" i="1" s="1"/>
  <c r="AR22" i="1"/>
  <c r="AS22" i="1" s="1"/>
  <c r="AP22" i="1"/>
  <c r="BV22" i="1"/>
  <c r="BW22" i="1" s="1"/>
  <c r="AF22" i="1"/>
  <c r="AG22" i="1" s="1"/>
  <c r="BR21" i="1"/>
  <c r="BS21" i="1" s="1"/>
  <c r="BO21" i="1"/>
  <c r="BL21" i="1"/>
  <c r="BM21" i="1" s="1"/>
  <c r="BJ21" i="1"/>
  <c r="BG21" i="1"/>
  <c r="BH21" i="1" s="1"/>
  <c r="BE21" i="1"/>
  <c r="BF21" i="1" s="1"/>
  <c r="BB21" i="1"/>
  <c r="BC21" i="1" s="1"/>
  <c r="AZ21" i="1"/>
  <c r="BA21" i="1" s="1"/>
  <c r="AW21" i="1"/>
  <c r="AX21" i="1" s="1"/>
  <c r="AY21" i="1" s="1"/>
  <c r="AR21" i="1"/>
  <c r="AS21" i="1" s="1"/>
  <c r="AP21" i="1"/>
  <c r="BV21" i="1"/>
  <c r="BW21" i="1" s="1"/>
  <c r="AF21" i="1"/>
  <c r="AG21" i="1" s="1"/>
  <c r="BR20" i="1"/>
  <c r="BS20" i="1" s="1"/>
  <c r="BO20" i="1"/>
  <c r="BL20" i="1"/>
  <c r="BM20" i="1" s="1"/>
  <c r="BJ20" i="1"/>
  <c r="BG20" i="1"/>
  <c r="BH20" i="1" s="1"/>
  <c r="BE20" i="1"/>
  <c r="BF20" i="1" s="1"/>
  <c r="BB20" i="1"/>
  <c r="BC20" i="1" s="1"/>
  <c r="AZ20" i="1"/>
  <c r="BA20" i="1" s="1"/>
  <c r="AW20" i="1"/>
  <c r="AX20" i="1" s="1"/>
  <c r="AY20" i="1" s="1"/>
  <c r="AR20" i="1"/>
  <c r="AS20" i="1" s="1"/>
  <c r="AP20" i="1"/>
  <c r="BV20" i="1"/>
  <c r="BW20" i="1" s="1"/>
  <c r="AF20" i="1"/>
  <c r="AG20" i="1" s="1"/>
  <c r="BR19" i="1"/>
  <c r="BS19" i="1" s="1"/>
  <c r="BO19" i="1"/>
  <c r="BL19" i="1"/>
  <c r="BM19" i="1" s="1"/>
  <c r="BJ19" i="1"/>
  <c r="BG19" i="1"/>
  <c r="BH19" i="1" s="1"/>
  <c r="BE19" i="1"/>
  <c r="BF19" i="1" s="1"/>
  <c r="BB19" i="1"/>
  <c r="BC19" i="1" s="1"/>
  <c r="AZ19" i="1"/>
  <c r="BA19" i="1" s="1"/>
  <c r="AW19" i="1"/>
  <c r="AX19" i="1" s="1"/>
  <c r="AY19" i="1" s="1"/>
  <c r="AR19" i="1"/>
  <c r="AS19" i="1" s="1"/>
  <c r="AP19" i="1"/>
  <c r="BV19" i="1"/>
  <c r="BW19" i="1" s="1"/>
  <c r="AF19" i="1"/>
  <c r="AG19" i="1" s="1"/>
  <c r="BR18" i="1"/>
  <c r="BS18" i="1" s="1"/>
  <c r="BO18" i="1"/>
  <c r="BL18" i="1"/>
  <c r="BM18" i="1" s="1"/>
  <c r="BJ18" i="1"/>
  <c r="BG18" i="1"/>
  <c r="BH18" i="1" s="1"/>
  <c r="BE18" i="1"/>
  <c r="BF18" i="1" s="1"/>
  <c r="BB18" i="1"/>
  <c r="BC18" i="1" s="1"/>
  <c r="AZ18" i="1"/>
  <c r="BA18" i="1" s="1"/>
  <c r="AW18" i="1"/>
  <c r="AX18" i="1" s="1"/>
  <c r="AY18" i="1" s="1"/>
  <c r="AR18" i="1"/>
  <c r="AS18" i="1" s="1"/>
  <c r="AP18" i="1"/>
  <c r="BV18" i="1"/>
  <c r="BW18" i="1" s="1"/>
  <c r="AF18" i="1"/>
  <c r="AG18" i="1" s="1"/>
  <c r="BR17" i="1"/>
  <c r="BS17" i="1" s="1"/>
  <c r="BO17" i="1"/>
  <c r="BL17" i="1"/>
  <c r="BM17" i="1" s="1"/>
  <c r="BJ17" i="1"/>
  <c r="BG17" i="1"/>
  <c r="BH17" i="1" s="1"/>
  <c r="BE17" i="1"/>
  <c r="BF17" i="1" s="1"/>
  <c r="BB17" i="1"/>
  <c r="BC17" i="1" s="1"/>
  <c r="AZ17" i="1"/>
  <c r="BA17" i="1" s="1"/>
  <c r="AW17" i="1"/>
  <c r="AX17" i="1" s="1"/>
  <c r="AY17" i="1" s="1"/>
  <c r="AR17" i="1"/>
  <c r="AS17" i="1" s="1"/>
  <c r="AP17" i="1"/>
  <c r="BV17" i="1"/>
  <c r="BW17" i="1" s="1"/>
  <c r="AF17" i="1"/>
  <c r="AG17" i="1" s="1"/>
  <c r="BR16" i="1"/>
  <c r="BS16" i="1" s="1"/>
  <c r="BO16" i="1"/>
  <c r="BL16" i="1"/>
  <c r="BM16" i="1" s="1"/>
  <c r="BJ16" i="1"/>
  <c r="BG16" i="1"/>
  <c r="BH16" i="1" s="1"/>
  <c r="BE16" i="1"/>
  <c r="BF16" i="1" s="1"/>
  <c r="BB16" i="1"/>
  <c r="BC16" i="1" s="1"/>
  <c r="AZ16" i="1"/>
  <c r="BA16" i="1" s="1"/>
  <c r="AW16" i="1"/>
  <c r="AX16" i="1" s="1"/>
  <c r="AY16" i="1" s="1"/>
  <c r="AR16" i="1"/>
  <c r="AS16" i="1" s="1"/>
  <c r="AP16" i="1"/>
  <c r="BV16" i="1"/>
  <c r="BW16" i="1" s="1"/>
  <c r="AF16" i="1"/>
  <c r="AG16" i="1" s="1"/>
  <c r="BR15" i="1"/>
  <c r="BS15" i="1" s="1"/>
  <c r="BO15" i="1"/>
  <c r="BL15" i="1"/>
  <c r="BM15" i="1" s="1"/>
  <c r="BJ15" i="1"/>
  <c r="BG15" i="1"/>
  <c r="BH15" i="1" s="1"/>
  <c r="BE15" i="1"/>
  <c r="BF15" i="1" s="1"/>
  <c r="BB15" i="1"/>
  <c r="BC15" i="1" s="1"/>
  <c r="AZ15" i="1"/>
  <c r="BA15" i="1" s="1"/>
  <c r="AW15" i="1"/>
  <c r="AX15" i="1" s="1"/>
  <c r="AY15" i="1" s="1"/>
  <c r="AR15" i="1"/>
  <c r="AS15" i="1" s="1"/>
  <c r="AP15" i="1"/>
  <c r="BV15" i="1"/>
  <c r="BW15" i="1" s="1"/>
  <c r="AF15" i="1"/>
  <c r="AG15" i="1" s="1"/>
  <c r="BR14" i="1"/>
  <c r="BS14" i="1" s="1"/>
  <c r="BO14" i="1"/>
  <c r="BL14" i="1"/>
  <c r="BM14" i="1" s="1"/>
  <c r="BJ14" i="1"/>
  <c r="BG14" i="1"/>
  <c r="BH14" i="1" s="1"/>
  <c r="BE14" i="1"/>
  <c r="BF14" i="1" s="1"/>
  <c r="BB14" i="1"/>
  <c r="BC14" i="1" s="1"/>
  <c r="AZ14" i="1"/>
  <c r="BA14" i="1" s="1"/>
  <c r="AW14" i="1"/>
  <c r="AX14" i="1" s="1"/>
  <c r="AY14" i="1" s="1"/>
  <c r="AR14" i="1"/>
  <c r="AS14" i="1" s="1"/>
  <c r="AP14" i="1"/>
  <c r="BV14" i="1"/>
  <c r="BW14" i="1" s="1"/>
  <c r="AF14" i="1"/>
  <c r="AG14" i="1" s="1"/>
  <c r="BR13" i="1"/>
  <c r="BS13" i="1" s="1"/>
  <c r="BO13" i="1"/>
  <c r="BL13" i="1"/>
  <c r="BM13" i="1" s="1"/>
  <c r="BI13" i="1"/>
  <c r="BJ13" i="1" s="1"/>
  <c r="BG13" i="1"/>
  <c r="BH13" i="1" s="1"/>
  <c r="BE13" i="1"/>
  <c r="BF13" i="1" s="1"/>
  <c r="BB13" i="1"/>
  <c r="BC13" i="1" s="1"/>
  <c r="AZ13" i="1"/>
  <c r="BA13" i="1" s="1"/>
  <c r="AW13" i="1"/>
  <c r="AX13" i="1" s="1"/>
  <c r="AY13" i="1" s="1"/>
  <c r="AR13" i="1"/>
  <c r="AS13" i="1" s="1"/>
  <c r="AP13" i="1"/>
  <c r="BV13" i="1"/>
  <c r="BW13" i="1" s="1"/>
  <c r="AF13" i="1"/>
  <c r="AG13" i="1" s="1"/>
  <c r="BR12" i="1"/>
  <c r="BS12" i="1" s="1"/>
  <c r="BO12" i="1"/>
  <c r="BL12" i="1"/>
  <c r="BM12" i="1" s="1"/>
  <c r="BI12" i="1"/>
  <c r="BJ12" i="1" s="1"/>
  <c r="BG12" i="1"/>
  <c r="BH12" i="1" s="1"/>
  <c r="BE12" i="1"/>
  <c r="BF12" i="1" s="1"/>
  <c r="BB12" i="1"/>
  <c r="BC12" i="1" s="1"/>
  <c r="AZ12" i="1"/>
  <c r="BA12" i="1" s="1"/>
  <c r="AW12" i="1"/>
  <c r="AX12" i="1" s="1"/>
  <c r="AY12" i="1" s="1"/>
  <c r="AR12" i="1"/>
  <c r="AS12" i="1" s="1"/>
  <c r="AP12" i="1"/>
  <c r="BV12" i="1"/>
  <c r="BW12" i="1" s="1"/>
  <c r="AF12" i="1"/>
  <c r="AG12" i="1" s="1"/>
  <c r="BR11" i="1"/>
  <c r="BS11" i="1" s="1"/>
  <c r="BO11" i="1"/>
  <c r="BL11" i="1"/>
  <c r="BM11" i="1" s="1"/>
  <c r="BI11" i="1"/>
  <c r="BJ11" i="1" s="1"/>
  <c r="BG11" i="1"/>
  <c r="BH11" i="1" s="1"/>
  <c r="BE11" i="1"/>
  <c r="BF11" i="1" s="1"/>
  <c r="BB11" i="1"/>
  <c r="BC11" i="1" s="1"/>
  <c r="AZ11" i="1"/>
  <c r="BA11" i="1" s="1"/>
  <c r="AW11" i="1"/>
  <c r="AX11" i="1" s="1"/>
  <c r="AY11" i="1" s="1"/>
  <c r="AR11" i="1"/>
  <c r="AS11" i="1" s="1"/>
  <c r="AP11" i="1"/>
  <c r="BV11" i="1"/>
  <c r="BW11" i="1" s="1"/>
  <c r="AF11" i="1"/>
  <c r="AG11" i="1" s="1"/>
  <c r="BR10" i="1"/>
  <c r="BS10" i="1" s="1"/>
  <c r="BO10" i="1"/>
  <c r="BL10" i="1"/>
  <c r="BM10" i="1" s="1"/>
  <c r="BI10" i="1"/>
  <c r="BJ10" i="1" s="1"/>
  <c r="BG10" i="1"/>
  <c r="BH10" i="1" s="1"/>
  <c r="BE10" i="1"/>
  <c r="BF10" i="1" s="1"/>
  <c r="BB10" i="1"/>
  <c r="BC10" i="1" s="1"/>
  <c r="AZ10" i="1"/>
  <c r="BA10" i="1" s="1"/>
  <c r="AW10" i="1"/>
  <c r="AX10" i="1" s="1"/>
  <c r="AY10" i="1" s="1"/>
  <c r="AR10" i="1"/>
  <c r="AS10" i="1" s="1"/>
  <c r="AP10" i="1"/>
  <c r="BV10" i="1"/>
  <c r="BW10" i="1" s="1"/>
  <c r="AF10" i="1"/>
  <c r="AG10" i="1" s="1"/>
  <c r="BR9" i="1"/>
  <c r="BS9" i="1" s="1"/>
  <c r="BO9" i="1"/>
  <c r="BL9" i="1"/>
  <c r="BM9" i="1" s="1"/>
  <c r="BI9" i="1"/>
  <c r="BJ9" i="1" s="1"/>
  <c r="BG9" i="1"/>
  <c r="BH9" i="1" s="1"/>
  <c r="BE9" i="1"/>
  <c r="BF9" i="1" s="1"/>
  <c r="BB9" i="1"/>
  <c r="BC9" i="1" s="1"/>
  <c r="AZ9" i="1"/>
  <c r="BA9" i="1" s="1"/>
  <c r="AW9" i="1"/>
  <c r="AX9" i="1" s="1"/>
  <c r="AY9" i="1" s="1"/>
  <c r="AR9" i="1"/>
  <c r="AS9" i="1" s="1"/>
  <c r="AP9" i="1"/>
  <c r="BV9" i="1"/>
  <c r="BW9" i="1" s="1"/>
  <c r="AF9" i="1"/>
  <c r="AG9" i="1" s="1"/>
  <c r="BR8" i="1"/>
  <c r="BS8" i="1" s="1"/>
  <c r="BO8" i="1"/>
  <c r="BL8" i="1"/>
  <c r="BM8" i="1" s="1"/>
  <c r="BI8" i="1"/>
  <c r="BJ8" i="1" s="1"/>
  <c r="BG8" i="1"/>
  <c r="BH8" i="1" s="1"/>
  <c r="BE8" i="1"/>
  <c r="BF8" i="1" s="1"/>
  <c r="BB8" i="1"/>
  <c r="BC8" i="1" s="1"/>
  <c r="AZ8" i="1"/>
  <c r="BA8" i="1" s="1"/>
  <c r="AW8" i="1"/>
  <c r="AX8" i="1" s="1"/>
  <c r="AY8" i="1" s="1"/>
  <c r="AR8" i="1"/>
  <c r="AS8" i="1" s="1"/>
  <c r="AP8" i="1"/>
  <c r="BV8" i="1"/>
  <c r="BW8" i="1" s="1"/>
  <c r="AF8" i="1"/>
  <c r="AG8" i="1" s="1"/>
  <c r="BR7" i="1"/>
  <c r="BS7" i="1" s="1"/>
  <c r="BO7" i="1"/>
  <c r="BL7" i="1"/>
  <c r="BM7" i="1" s="1"/>
  <c r="BI7" i="1"/>
  <c r="BJ7" i="1" s="1"/>
  <c r="BG7" i="1"/>
  <c r="BH7" i="1" s="1"/>
  <c r="BE7" i="1"/>
  <c r="BF7" i="1" s="1"/>
  <c r="BB7" i="1"/>
  <c r="BC7" i="1" s="1"/>
  <c r="AZ7" i="1"/>
  <c r="BA7" i="1" s="1"/>
  <c r="AW7" i="1"/>
  <c r="AX7" i="1" s="1"/>
  <c r="AY7" i="1" s="1"/>
  <c r="AR7" i="1"/>
  <c r="AS7" i="1" s="1"/>
  <c r="AP7" i="1"/>
  <c r="BV7" i="1"/>
  <c r="BW7" i="1" s="1"/>
  <c r="AF7" i="1"/>
  <c r="AG7" i="1" s="1"/>
  <c r="BR6" i="1"/>
  <c r="BS6" i="1" s="1"/>
  <c r="BO6" i="1"/>
  <c r="BL6" i="1"/>
  <c r="BM6" i="1" s="1"/>
  <c r="BI6" i="1"/>
  <c r="BJ6" i="1" s="1"/>
  <c r="BG6" i="1"/>
  <c r="BH6" i="1" s="1"/>
  <c r="BE6" i="1"/>
  <c r="BF6" i="1" s="1"/>
  <c r="BB6" i="1"/>
  <c r="BC6" i="1" s="1"/>
  <c r="AZ6" i="1"/>
  <c r="BA6" i="1" s="1"/>
  <c r="AW6" i="1"/>
  <c r="AX6" i="1" s="1"/>
  <c r="AY6" i="1" s="1"/>
  <c r="AR6" i="1"/>
  <c r="AS6" i="1" s="1"/>
  <c r="AP6" i="1"/>
  <c r="BV6" i="1"/>
  <c r="BW6" i="1" s="1"/>
  <c r="AF6" i="1"/>
  <c r="AG6" i="1" s="1"/>
  <c r="BR5" i="1"/>
  <c r="BS5" i="1" s="1"/>
  <c r="BO5" i="1"/>
  <c r="BL5" i="1"/>
  <c r="BM5" i="1" s="1"/>
  <c r="BI5" i="1"/>
  <c r="BJ5" i="1" s="1"/>
  <c r="BG5" i="1"/>
  <c r="BH5" i="1" s="1"/>
  <c r="BE5" i="1"/>
  <c r="BF5" i="1" s="1"/>
  <c r="BB5" i="1"/>
  <c r="BC5" i="1" s="1"/>
  <c r="AZ5" i="1"/>
  <c r="BA5" i="1" s="1"/>
  <c r="AW5" i="1"/>
  <c r="AX5" i="1" s="1"/>
  <c r="AY5" i="1" s="1"/>
  <c r="AR5" i="1"/>
  <c r="AS5" i="1" s="1"/>
  <c r="AP5" i="1"/>
  <c r="BV5" i="1"/>
  <c r="BW5" i="1" s="1"/>
  <c r="AF5" i="1"/>
  <c r="AG5" i="1" s="1"/>
  <c r="BR4" i="1"/>
  <c r="BS4" i="1" s="1"/>
  <c r="BO4" i="1"/>
  <c r="BL4" i="1"/>
  <c r="BM4" i="1" s="1"/>
  <c r="BI4" i="1"/>
  <c r="BJ4" i="1" s="1"/>
  <c r="BG4" i="1"/>
  <c r="BH4" i="1" s="1"/>
  <c r="BE4" i="1"/>
  <c r="BF4" i="1" s="1"/>
  <c r="BB4" i="1"/>
  <c r="BC4" i="1" s="1"/>
  <c r="AZ4" i="1"/>
  <c r="BA4" i="1" s="1"/>
  <c r="AW4" i="1"/>
  <c r="AX4" i="1" s="1"/>
  <c r="AY4" i="1" s="1"/>
  <c r="AR4" i="1"/>
  <c r="AS4" i="1" s="1"/>
  <c r="AP4" i="1"/>
  <c r="BV4" i="1"/>
  <c r="BW4" i="1" s="1"/>
  <c r="AF4" i="1"/>
  <c r="AG4" i="1" s="1"/>
  <c r="BR3" i="1"/>
  <c r="BS3" i="1" s="1"/>
  <c r="BO3" i="1"/>
  <c r="BL3" i="1"/>
  <c r="BM3" i="1" s="1"/>
  <c r="BI3" i="1"/>
  <c r="BJ3" i="1" s="1"/>
  <c r="BG3" i="1"/>
  <c r="BH3" i="1" s="1"/>
  <c r="BE3" i="1"/>
  <c r="BF3" i="1" s="1"/>
  <c r="BB3" i="1"/>
  <c r="BC3" i="1" s="1"/>
  <c r="AZ3" i="1"/>
  <c r="BA3" i="1" s="1"/>
  <c r="AW3" i="1"/>
  <c r="AX3" i="1" s="1"/>
  <c r="AY3" i="1" s="1"/>
  <c r="AR3" i="1"/>
  <c r="AS3" i="1" s="1"/>
  <c r="AP3" i="1"/>
  <c r="BV3" i="1"/>
  <c r="BW3" i="1" s="1"/>
  <c r="AF3" i="1"/>
  <c r="AG3" i="1" s="1"/>
  <c r="BR2" i="1"/>
  <c r="BS2" i="1" s="1"/>
  <c r="BO2" i="1"/>
  <c r="BL2" i="1"/>
  <c r="BM2" i="1" s="1"/>
  <c r="BI2" i="1"/>
  <c r="BJ2" i="1" s="1"/>
  <c r="BG2" i="1"/>
  <c r="BH2" i="1" s="1"/>
  <c r="BE2" i="1"/>
  <c r="BF2" i="1" s="1"/>
  <c r="BB2" i="1"/>
  <c r="BC2" i="1" s="1"/>
  <c r="AZ2" i="1"/>
  <c r="BA2" i="1" s="1"/>
  <c r="AW2" i="1"/>
  <c r="AX2" i="1" s="1"/>
  <c r="AY2" i="1" s="1"/>
  <c r="AR2" i="1"/>
  <c r="AS2" i="1" s="1"/>
  <c r="AP2" i="1"/>
  <c r="BV2" i="1"/>
  <c r="BW2" i="1" s="1"/>
  <c r="AF2" i="1"/>
  <c r="AG2" i="1" s="1"/>
  <c r="Q144" i="1" l="1"/>
  <c r="R144" i="1" s="1"/>
  <c r="Q76" i="1"/>
  <c r="R76" i="1" s="1"/>
  <c r="Q49" i="1"/>
  <c r="R49" i="1" s="1"/>
  <c r="Q2" i="1"/>
  <c r="R2" i="1" s="1"/>
  <c r="Q62" i="1"/>
  <c r="R62" i="1" s="1"/>
  <c r="U143" i="1"/>
  <c r="Q143" i="1"/>
  <c r="R143" i="1" s="1"/>
  <c r="H143" i="1"/>
  <c r="U142" i="1"/>
  <c r="H142" i="1"/>
  <c r="Q24" i="1"/>
  <c r="R24" i="1" s="1"/>
  <c r="K146" i="1"/>
  <c r="J146" i="1"/>
  <c r="Q58" i="1"/>
  <c r="R58" i="1" s="1"/>
  <c r="Q35" i="1"/>
  <c r="R35" i="1" s="1"/>
  <c r="Q107" i="1"/>
  <c r="R107" i="1" s="1"/>
  <c r="U149" i="1"/>
  <c r="H149" i="1"/>
  <c r="Q149" i="1"/>
  <c r="R149" i="1" s="1"/>
  <c r="Q61" i="1"/>
  <c r="R61" i="1" s="1"/>
  <c r="Q14" i="1"/>
  <c r="R14" i="1" s="1"/>
  <c r="U141" i="1"/>
  <c r="H141" i="1"/>
  <c r="Q47" i="1"/>
  <c r="R47" i="1" s="1"/>
  <c r="Q131" i="1"/>
  <c r="R131" i="1" s="1"/>
  <c r="Q5" i="1"/>
  <c r="R5" i="1" s="1"/>
  <c r="Q84" i="1"/>
  <c r="R84" i="1" s="1"/>
  <c r="Q89" i="1"/>
  <c r="R89" i="1" s="1"/>
  <c r="Q20" i="1"/>
  <c r="R20" i="1" s="1"/>
  <c r="Q151" i="1"/>
  <c r="R151" i="1" s="1"/>
  <c r="Q22" i="1"/>
  <c r="R22" i="1" s="1"/>
  <c r="Q70" i="1"/>
  <c r="R70" i="1" s="1"/>
  <c r="Q43" i="1"/>
  <c r="R43" i="1" s="1"/>
  <c r="Q59" i="1"/>
  <c r="R59" i="1" s="1"/>
  <c r="Q73" i="1"/>
  <c r="R73" i="1" s="1"/>
  <c r="Q100" i="1"/>
  <c r="R100" i="1" s="1"/>
  <c r="Q26" i="1"/>
  <c r="R26" i="1" s="1"/>
  <c r="Q48" i="1"/>
  <c r="R48" i="1" s="1"/>
  <c r="Q17" i="1"/>
  <c r="R17" i="1" s="1"/>
  <c r="Q9" i="1"/>
  <c r="R9" i="1" s="1"/>
  <c r="Q34" i="1"/>
  <c r="R34" i="1" s="1"/>
  <c r="Q82" i="1"/>
  <c r="R82" i="1" s="1"/>
  <c r="Q71" i="1"/>
  <c r="R71" i="1" s="1"/>
  <c r="Q133" i="1"/>
  <c r="R133" i="1" s="1"/>
  <c r="Q136" i="1"/>
  <c r="R136" i="1" s="1"/>
  <c r="Q38" i="1"/>
  <c r="R38" i="1" s="1"/>
  <c r="Q21" i="1"/>
  <c r="R21" i="1" s="1"/>
  <c r="Q28" i="1"/>
  <c r="R28" i="1" s="1"/>
  <c r="Q37" i="1"/>
  <c r="R37" i="1" s="1"/>
  <c r="Q85" i="1"/>
  <c r="R85" i="1" s="1"/>
  <c r="Q69" i="1"/>
  <c r="R69" i="1" s="1"/>
  <c r="U152" i="1"/>
  <c r="Q152" i="1"/>
  <c r="R152" i="1" s="1"/>
  <c r="H152" i="1"/>
  <c r="K142" i="1"/>
  <c r="L142" i="1" s="1"/>
  <c r="J142" i="1"/>
  <c r="U145" i="1"/>
  <c r="Q145" i="1"/>
  <c r="R145" i="1" s="1"/>
  <c r="H145" i="1"/>
  <c r="Q57" i="1"/>
  <c r="R57" i="1" s="1"/>
  <c r="Q129" i="1"/>
  <c r="R129" i="1" s="1"/>
  <c r="Q11" i="1"/>
  <c r="R11" i="1" s="1"/>
  <c r="Q83" i="1"/>
  <c r="R83" i="1" s="1"/>
  <c r="Q16" i="1"/>
  <c r="R16" i="1" s="1"/>
  <c r="Q60" i="1"/>
  <c r="R60" i="1" s="1"/>
  <c r="Q29" i="1"/>
  <c r="R29" i="1" s="1"/>
  <c r="Q50" i="1"/>
  <c r="R50" i="1" s="1"/>
  <c r="Q65" i="1"/>
  <c r="R65" i="1" s="1"/>
  <c r="Q81" i="1"/>
  <c r="R81" i="1" s="1"/>
  <c r="K141" i="1"/>
  <c r="L141" i="1" s="1"/>
  <c r="J141" i="1"/>
  <c r="Q46" i="1"/>
  <c r="R46" i="1" s="1"/>
  <c r="Q94" i="1"/>
  <c r="R94" i="1" s="1"/>
  <c r="Q88" i="1"/>
  <c r="R88" i="1" s="1"/>
  <c r="Q93" i="1"/>
  <c r="R93" i="1" s="1"/>
  <c r="CB84" i="1"/>
  <c r="CD84" i="1" s="1"/>
  <c r="BA79" i="1"/>
  <c r="BB35" i="1"/>
  <c r="BC35" i="1" s="1"/>
  <c r="CB35" i="1" s="1"/>
  <c r="CD35" i="1" s="1"/>
  <c r="CB95" i="1"/>
  <c r="CD95" i="1" s="1"/>
  <c r="CB98" i="1"/>
  <c r="CD98" i="1" s="1"/>
  <c r="CB36" i="1"/>
  <c r="CD36" i="1" s="1"/>
  <c r="BB44" i="1"/>
  <c r="BC44" i="1" s="1"/>
  <c r="CB44" i="1" s="1"/>
  <c r="CD44" i="1" s="1"/>
  <c r="CB39" i="1"/>
  <c r="CD39" i="1" s="1"/>
  <c r="BA95" i="1"/>
  <c r="BB96" i="1"/>
  <c r="BC96" i="1" s="1"/>
  <c r="CB96" i="1" s="1"/>
  <c r="CD96" i="1" s="1"/>
  <c r="BB43" i="1"/>
  <c r="BC43" i="1" s="1"/>
  <c r="CB43" i="1" s="1"/>
  <c r="CD43" i="1" s="1"/>
  <c r="BA34" i="1"/>
  <c r="CB18" i="1"/>
  <c r="CD18" i="1" s="1"/>
  <c r="CB8" i="1"/>
  <c r="CD8" i="1" s="1"/>
  <c r="CB10" i="1"/>
  <c r="CD10" i="1" s="1"/>
  <c r="CB20" i="1"/>
  <c r="CD20" i="1" s="1"/>
  <c r="CB107" i="1"/>
  <c r="CD107" i="1" s="1"/>
  <c r="CB55" i="1"/>
  <c r="CD55" i="1" s="1"/>
  <c r="CB56" i="1"/>
  <c r="CD56" i="1" s="1"/>
  <c r="CB57" i="1"/>
  <c r="CD57" i="1" s="1"/>
  <c r="CB58" i="1"/>
  <c r="CD58" i="1" s="1"/>
  <c r="CB59" i="1"/>
  <c r="CD59" i="1" s="1"/>
  <c r="CB60" i="1"/>
  <c r="CD60" i="1" s="1"/>
  <c r="CB61" i="1"/>
  <c r="CD61" i="1" s="1"/>
  <c r="CB62" i="1"/>
  <c r="CD62" i="1" s="1"/>
  <c r="CB63" i="1"/>
  <c r="CD63" i="1" s="1"/>
  <c r="CB64" i="1"/>
  <c r="CD64" i="1" s="1"/>
  <c r="CB123" i="1"/>
  <c r="CD123" i="1" s="1"/>
  <c r="CB122" i="1"/>
  <c r="CD122" i="1" s="1"/>
  <c r="CB131" i="1"/>
  <c r="CD131" i="1" s="1"/>
  <c r="CB121" i="1"/>
  <c r="CD121" i="1" s="1"/>
  <c r="CB9" i="1"/>
  <c r="CD9" i="1" s="1"/>
  <c r="CB19" i="1"/>
  <c r="CD19" i="1" s="1"/>
  <c r="CB99" i="1"/>
  <c r="CD99" i="1" s="1"/>
  <c r="CB126" i="1"/>
  <c r="CD126" i="1" s="1"/>
  <c r="CB2" i="1"/>
  <c r="CD2" i="1" s="1"/>
  <c r="CB3" i="1"/>
  <c r="CD3" i="1" s="1"/>
  <c r="CB66" i="1"/>
  <c r="CD66" i="1" s="1"/>
  <c r="CB67" i="1"/>
  <c r="CD67" i="1" s="1"/>
  <c r="CB68" i="1"/>
  <c r="CD68" i="1" s="1"/>
  <c r="CB69" i="1"/>
  <c r="CD69" i="1" s="1"/>
  <c r="CB70" i="1"/>
  <c r="CD70" i="1" s="1"/>
  <c r="CB71" i="1"/>
  <c r="CD71" i="1" s="1"/>
  <c r="CB72" i="1"/>
  <c r="CD72" i="1" s="1"/>
  <c r="CB73" i="1"/>
  <c r="CD73" i="1" s="1"/>
  <c r="CB77" i="1"/>
  <c r="CD77" i="1" s="1"/>
  <c r="CB78" i="1"/>
  <c r="CD78" i="1" s="1"/>
  <c r="CB79" i="1"/>
  <c r="CD79" i="1" s="1"/>
  <c r="CB80" i="1"/>
  <c r="CD80" i="1" s="1"/>
  <c r="CB93" i="1"/>
  <c r="CD93" i="1" s="1"/>
  <c r="CB111" i="1"/>
  <c r="CD111" i="1" s="1"/>
  <c r="CB11" i="1"/>
  <c r="CD11" i="1" s="1"/>
  <c r="CB21" i="1"/>
  <c r="CD21" i="1" s="1"/>
  <c r="CB65" i="1"/>
  <c r="CD65" i="1" s="1"/>
  <c r="CB82" i="1"/>
  <c r="CD82" i="1" s="1"/>
  <c r="CB76" i="1"/>
  <c r="CD76" i="1" s="1"/>
  <c r="CB48" i="1"/>
  <c r="CD48" i="1" s="1"/>
  <c r="CB49" i="1"/>
  <c r="CD49" i="1" s="1"/>
  <c r="CB104" i="1"/>
  <c r="CD104" i="1" s="1"/>
  <c r="CB30" i="1"/>
  <c r="CD30" i="1" s="1"/>
  <c r="CB105" i="1"/>
  <c r="CD105" i="1" s="1"/>
  <c r="CB16" i="1"/>
  <c r="CD16" i="1" s="1"/>
  <c r="CB32" i="1"/>
  <c r="CD32" i="1" s="1"/>
  <c r="CB34" i="1"/>
  <c r="CD34" i="1" s="1"/>
  <c r="CB87" i="1"/>
  <c r="CD87" i="1" s="1"/>
  <c r="CB118" i="1"/>
  <c r="CD118" i="1" s="1"/>
  <c r="CB119" i="1"/>
  <c r="CD119" i="1" s="1"/>
  <c r="CB17" i="1"/>
  <c r="CD17" i="1" s="1"/>
  <c r="CB106" i="1"/>
  <c r="CD106" i="1" s="1"/>
  <c r="CB120" i="1"/>
  <c r="CD120" i="1" s="1"/>
  <c r="CB130" i="1"/>
  <c r="CD130" i="1" s="1"/>
  <c r="CB114" i="1"/>
  <c r="CD114" i="1" s="1"/>
  <c r="CB116" i="1"/>
  <c r="CD116" i="1" s="1"/>
  <c r="CB129" i="1"/>
  <c r="CD129" i="1" s="1"/>
  <c r="CB4" i="1"/>
  <c r="CD4" i="1" s="1"/>
  <c r="CB12" i="1"/>
  <c r="CD12" i="1" s="1"/>
  <c r="CB22" i="1"/>
  <c r="CD22" i="1" s="1"/>
  <c r="CB100" i="1"/>
  <c r="CD100" i="1" s="1"/>
  <c r="CB113" i="1"/>
  <c r="CD113" i="1" s="1"/>
  <c r="CB128" i="1"/>
  <c r="CD128" i="1" s="1"/>
  <c r="CB41" i="1"/>
  <c r="CD41" i="1" s="1"/>
  <c r="CB42" i="1"/>
  <c r="CD42" i="1" s="1"/>
  <c r="CB101" i="1"/>
  <c r="CD101" i="1" s="1"/>
  <c r="CB108" i="1"/>
  <c r="CD108" i="1" s="1"/>
  <c r="CB112" i="1"/>
  <c r="CD112" i="1" s="1"/>
  <c r="CB127" i="1"/>
  <c r="CD127" i="1" s="1"/>
  <c r="CB23" i="1"/>
  <c r="CD23" i="1" s="1"/>
  <c r="CB92" i="1"/>
  <c r="CD92" i="1" s="1"/>
  <c r="CB102" i="1"/>
  <c r="CD102" i="1" s="1"/>
  <c r="CB109" i="1"/>
  <c r="CD109" i="1" s="1"/>
  <c r="CB115" i="1"/>
  <c r="CD115" i="1" s="1"/>
  <c r="CB6" i="1"/>
  <c r="CD6" i="1" s="1"/>
  <c r="CB14" i="1"/>
  <c r="CD14" i="1" s="1"/>
  <c r="CB25" i="1"/>
  <c r="CD25" i="1" s="1"/>
  <c r="CB125" i="1"/>
  <c r="CD125" i="1" s="1"/>
  <c r="CB132" i="1"/>
  <c r="CD132" i="1" s="1"/>
  <c r="CB117" i="1"/>
  <c r="CD117" i="1" s="1"/>
  <c r="CB5" i="1"/>
  <c r="CD5" i="1" s="1"/>
  <c r="CB7" i="1"/>
  <c r="CD7" i="1" s="1"/>
  <c r="CB103" i="1"/>
  <c r="CD103" i="1" s="1"/>
  <c r="CB110" i="1"/>
  <c r="CD110" i="1" s="1"/>
  <c r="CB124" i="1"/>
  <c r="CD124" i="1" s="1"/>
  <c r="CB13" i="1"/>
  <c r="CD13" i="1" s="1"/>
  <c r="CB24" i="1"/>
  <c r="CD24" i="1" s="1"/>
  <c r="CB15" i="1"/>
  <c r="CD15" i="1" s="1"/>
  <c r="CB27" i="1"/>
  <c r="CD27" i="1" s="1"/>
  <c r="CB46" i="1"/>
  <c r="CD46" i="1" s="1"/>
  <c r="CB47" i="1"/>
  <c r="CD47" i="1" s="1"/>
  <c r="CB50" i="1"/>
  <c r="CD50" i="1" s="1"/>
  <c r="CB51" i="1"/>
  <c r="CD51" i="1" s="1"/>
  <c r="CB52" i="1"/>
  <c r="CD52" i="1" s="1"/>
  <c r="CB53" i="1"/>
  <c r="CD53" i="1" s="1"/>
  <c r="CB54" i="1"/>
  <c r="CD54" i="1" s="1"/>
  <c r="CB88" i="1"/>
  <c r="CD88" i="1" s="1"/>
  <c r="BB37" i="1"/>
  <c r="BC37" i="1" s="1"/>
  <c r="CB37" i="1" s="1"/>
  <c r="CD37" i="1" s="1"/>
  <c r="BA30" i="1"/>
  <c r="BA85" i="1"/>
  <c r="BB85" i="1"/>
  <c r="BC85" i="1" s="1"/>
  <c r="CB85" i="1" s="1"/>
  <c r="CD85" i="1" s="1"/>
  <c r="BB28" i="1"/>
  <c r="BC28" i="1" s="1"/>
  <c r="CB28" i="1" s="1"/>
  <c r="CD28" i="1" s="1"/>
  <c r="BA28" i="1"/>
  <c r="BA82" i="1"/>
  <c r="BB83" i="1"/>
  <c r="BC83" i="1" s="1"/>
  <c r="CB83" i="1" s="1"/>
  <c r="CD83" i="1" s="1"/>
  <c r="BA83" i="1"/>
  <c r="BA46" i="1"/>
  <c r="BA27" i="1"/>
  <c r="BA76" i="1"/>
  <c r="BB38" i="1"/>
  <c r="BC38" i="1" s="1"/>
  <c r="CB38" i="1" s="1"/>
  <c r="CD38" i="1" s="1"/>
  <c r="BB26" i="1"/>
  <c r="BC26" i="1" s="1"/>
  <c r="CB26" i="1" s="1"/>
  <c r="CD26" i="1" s="1"/>
  <c r="BA36" i="1"/>
  <c r="BB97" i="1"/>
  <c r="BC97" i="1" s="1"/>
  <c r="CB97" i="1" s="1"/>
  <c r="CD97" i="1" s="1"/>
  <c r="BA97" i="1"/>
  <c r="BA49" i="1"/>
  <c r="BA88" i="1"/>
  <c r="BA42" i="1"/>
  <c r="BB45" i="1"/>
  <c r="BC45" i="1" s="1"/>
  <c r="CB45" i="1" s="1"/>
  <c r="CD45" i="1" s="1"/>
  <c r="BA45" i="1"/>
  <c r="BA77" i="1"/>
  <c r="BA84" i="1"/>
  <c r="BB29" i="1"/>
  <c r="BC29" i="1" s="1"/>
  <c r="CB29" i="1" s="1"/>
  <c r="CD29" i="1" s="1"/>
  <c r="BA47" i="1"/>
  <c r="BB90" i="1"/>
  <c r="BC90" i="1" s="1"/>
  <c r="CB90" i="1" s="1"/>
  <c r="CD90" i="1" s="1"/>
  <c r="BB81" i="1"/>
  <c r="BC81" i="1" s="1"/>
  <c r="CB81" i="1" s="1"/>
  <c r="CD81" i="1" s="1"/>
  <c r="BA92" i="1"/>
  <c r="BB91" i="1"/>
  <c r="BC91" i="1" s="1"/>
  <c r="CB91" i="1" s="1"/>
  <c r="CD91" i="1" s="1"/>
  <c r="BA48" i="1"/>
  <c r="BB74" i="1"/>
  <c r="BC74" i="1" s="1"/>
  <c r="CB74" i="1" s="1"/>
  <c r="CD74" i="1" s="1"/>
  <c r="BA74" i="1"/>
  <c r="BA87" i="1"/>
  <c r="BA93" i="1"/>
  <c r="BB31" i="1"/>
  <c r="BC31" i="1" s="1"/>
  <c r="CB31" i="1" s="1"/>
  <c r="CD31" i="1" s="1"/>
  <c r="BA41" i="1"/>
  <c r="BB94" i="1"/>
  <c r="BC94" i="1" s="1"/>
  <c r="CB94" i="1" s="1"/>
  <c r="CD94" i="1" s="1"/>
  <c r="BA94" i="1"/>
  <c r="BA32" i="1"/>
  <c r="BB75" i="1"/>
  <c r="BC75" i="1" s="1"/>
  <c r="CB75" i="1" s="1"/>
  <c r="CD75" i="1" s="1"/>
  <c r="BA75" i="1"/>
  <c r="BB33" i="1"/>
  <c r="BC33" i="1" s="1"/>
  <c r="CB33" i="1" s="1"/>
  <c r="CD33" i="1" s="1"/>
  <c r="BA33" i="1"/>
  <c r="BB40" i="1"/>
  <c r="BC40" i="1" s="1"/>
  <c r="CB40" i="1" s="1"/>
  <c r="CD40" i="1" s="1"/>
  <c r="BA40" i="1"/>
  <c r="BA78" i="1"/>
  <c r="BB86" i="1"/>
  <c r="BC86" i="1" s="1"/>
  <c r="CB86" i="1" s="1"/>
  <c r="CD86" i="1" s="1"/>
  <c r="BA86" i="1"/>
  <c r="BA39" i="1"/>
  <c r="BA80" i="1"/>
  <c r="BB89" i="1"/>
  <c r="BC89" i="1" s="1"/>
  <c r="CB89" i="1" s="1"/>
  <c r="CD89" i="1" s="1"/>
  <c r="BA89" i="1"/>
  <c r="Q142" i="1" l="1"/>
  <c r="R142" i="1" s="1"/>
  <c r="Q141" i="1"/>
  <c r="R141" i="1" s="1"/>
  <c r="L146" i="1"/>
  <c r="Q146" i="1"/>
  <c r="R14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<sst xmlns="http://schemas.openxmlformats.org/spreadsheetml/2006/main" count="1557" uniqueCount="111">
  <si>
    <t>paper</t>
  </si>
  <si>
    <t>figure or table</t>
  </si>
  <si>
    <t>temperature (K)</t>
  </si>
  <si>
    <t>grain size (m)</t>
  </si>
  <si>
    <t>electrolyte thickness (m)</t>
  </si>
  <si>
    <t>porosity (%)</t>
  </si>
  <si>
    <t>series</t>
  </si>
  <si>
    <t xml:space="preserve">glassy or crystalline </t>
  </si>
  <si>
    <t>general chemical formula</t>
  </si>
  <si>
    <t>specific chemical formula</t>
  </si>
  <si>
    <t>crystalline</t>
  </si>
  <si>
    <t>conductivity (S.cm-1)</t>
  </si>
  <si>
    <t>technique used to measure conductivity</t>
  </si>
  <si>
    <t>preparatation technique</t>
  </si>
  <si>
    <t>current collectors</t>
  </si>
  <si>
    <t>stainless steel</t>
  </si>
  <si>
    <t>mechanic milling then heating</t>
  </si>
  <si>
    <t>applied pressure of pelletization (MPa)</t>
  </si>
  <si>
    <t>applied time of pelletization (s)</t>
  </si>
  <si>
    <t>applied time against current collector (s)</t>
  </si>
  <si>
    <r>
      <t>unit cell volume (</t>
    </r>
    <r>
      <rPr>
        <sz val="11"/>
        <color theme="1"/>
        <rFont val="Calibri"/>
        <family val="2"/>
      </rPr>
      <t>Ᾰ</t>
    </r>
    <r>
      <rPr>
        <sz val="11"/>
        <color theme="1"/>
        <rFont val="Calibri"/>
        <family val="2"/>
        <scheme val="minor"/>
      </rPr>
      <t>3)</t>
    </r>
  </si>
  <si>
    <t>lithium content (mol/mol)</t>
  </si>
  <si>
    <t>lithium content (mol/g_electrode)</t>
  </si>
  <si>
    <t>applied pressure against current collector (Pa)</t>
  </si>
  <si>
    <t>relative density (%)</t>
  </si>
  <si>
    <t>Pressure during measurement (Pa)</t>
  </si>
  <si>
    <t>Figure S2</t>
  </si>
  <si>
    <t>Sample</t>
  </si>
  <si>
    <t>Li6PS5X</t>
  </si>
  <si>
    <t>Impedence spectroscopy</t>
  </si>
  <si>
    <t>Figure S3</t>
  </si>
  <si>
    <t>Figure S4</t>
  </si>
  <si>
    <t>Li6PS5Cl</t>
  </si>
  <si>
    <t>Li6PS5Br0.75I0.25</t>
  </si>
  <si>
    <t>Li6PS5Br0.25I0.75</t>
  </si>
  <si>
    <t>Theoretical density (g.cm-3)</t>
  </si>
  <si>
    <t>Li6PS5I</t>
  </si>
  <si>
    <t>Excitation voltage (mV)</t>
  </si>
  <si>
    <t>titanium</t>
  </si>
  <si>
    <t>1/T</t>
  </si>
  <si>
    <t>LOG10 Condutivity</t>
  </si>
  <si>
    <t>LOG10 Pressure_measurement</t>
  </si>
  <si>
    <t>Applied pressure of pelletization (Pa)</t>
  </si>
  <si>
    <t>LOG10 Pressure_Pelletization</t>
  </si>
  <si>
    <t>unit cell volume (m3)</t>
  </si>
  <si>
    <t>LOG10 Unit cell volume</t>
  </si>
  <si>
    <t>Excitation voltage (V)</t>
  </si>
  <si>
    <t>relative density * theoretical density (g/cm3)</t>
  </si>
  <si>
    <t>LOG 10 lithium content</t>
  </si>
  <si>
    <t>LOG 10 excitation voltage</t>
  </si>
  <si>
    <t>LOG 10 theoretical density</t>
  </si>
  <si>
    <t>LOG 10 rel. density * theor. Density</t>
  </si>
  <si>
    <t>LOG10 Thickness</t>
  </si>
  <si>
    <t>LOG 10 Lithium content mol/g</t>
  </si>
  <si>
    <t>Figure 3b</t>
  </si>
  <si>
    <t>Li6PS5Cl0.5Br0.5</t>
  </si>
  <si>
    <t>Indium foil</t>
  </si>
  <si>
    <t>sintering T (K)</t>
  </si>
  <si>
    <t>sintering time (s)</t>
  </si>
  <si>
    <t>1/sintering T</t>
  </si>
  <si>
    <t>LOG Sintering time</t>
  </si>
  <si>
    <t>Improvement of the ionic conductivity on new substituted borohydride argyrodites</t>
  </si>
  <si>
    <t>Table 1</t>
  </si>
  <si>
    <t>Calculated Log  Conductivity</t>
  </si>
  <si>
    <t>difference^2</t>
  </si>
  <si>
    <t>sum of difference</t>
  </si>
  <si>
    <t>X/S disorder (Ge=Cl)</t>
  </si>
  <si>
    <t>LOG X/S disorder (Ge=Cl)</t>
  </si>
  <si>
    <t>Inducing High Ionic Conductivity in the Lithium SuperionicArgyrodites Li6+xP1−xGexS5 I for All-Solid-State Batteries</t>
  </si>
  <si>
    <t>Figure 5b</t>
  </si>
  <si>
    <t>Li6+xP1-xGexS5I</t>
  </si>
  <si>
    <t>Li6+0P1-0Ge0S5I</t>
  </si>
  <si>
    <t>Ge/P disorder</t>
  </si>
  <si>
    <t>LOG10X/S disorder</t>
  </si>
  <si>
    <t>LOGGe/P disorder</t>
  </si>
  <si>
    <t>Fast ion conduction and its origin in Li6-xPS5-xBr1+x</t>
  </si>
  <si>
    <t>Fig 2c</t>
  </si>
  <si>
    <t>Li6-xPS5-xBr1+x</t>
  </si>
  <si>
    <t>Li6PS5Br1</t>
  </si>
  <si>
    <t>Li6-0.3PS5-0.3Br1+0.3</t>
  </si>
  <si>
    <t>Li6-0.5PS5-0.5Br1+0.5</t>
  </si>
  <si>
    <t>Li6-0.7PS5-0.7Br1+0.7</t>
  </si>
  <si>
    <t>High Lithium Ion Conductivity of Glass–Ceramics Derived from Mechanically Milled Glassy Powders</t>
  </si>
  <si>
    <t>Figure 1</t>
  </si>
  <si>
    <t>Li7PS6</t>
  </si>
  <si>
    <t>Li7PS7</t>
  </si>
  <si>
    <t>Li7PS8</t>
  </si>
  <si>
    <t>Li7PS9</t>
  </si>
  <si>
    <t>Li7PS10</t>
  </si>
  <si>
    <t>Li7PS11</t>
  </si>
  <si>
    <t>Li7PS12</t>
  </si>
  <si>
    <t>Li7PS13</t>
  </si>
  <si>
    <t>Li7PS14</t>
  </si>
  <si>
    <t>Li7PS15</t>
  </si>
  <si>
    <t>Li7PS16</t>
  </si>
  <si>
    <t>Li7PS17</t>
  </si>
  <si>
    <t>Log (X4d/S4d)</t>
  </si>
  <si>
    <t>Prob X4d/S4d</t>
  </si>
  <si>
    <t>Ge/(P+Ge)</t>
  </si>
  <si>
    <t>Ge/P</t>
  </si>
  <si>
    <t>Prob X4a/S4a</t>
  </si>
  <si>
    <t>LOG 10 (X4d/(X4d+S4d))</t>
  </si>
  <si>
    <t>X4d/(X4d+S4d)</t>
  </si>
  <si>
    <t>Log10(Prob X4d/S4d)</t>
  </si>
  <si>
    <t xml:space="preserve">X4a/(X4a+S4a) </t>
  </si>
  <si>
    <t>Log10(X4a/(X4a+S4a) )</t>
  </si>
  <si>
    <t>Log10(Prob X4a/S4a)</t>
  </si>
  <si>
    <t>Log10(Ge/(P+Ge))</t>
  </si>
  <si>
    <t>Log10(Ge/P)</t>
  </si>
  <si>
    <t>ABS(X4d/S4d-X4a/S4a)</t>
  </si>
  <si>
    <t>Log10(ABS(X4d/S4d-X4a/S4a))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</si>
</sst>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1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F0354EAB-909B-48AC-B052-8E6BB12EE4D2}">
  <we:reference id="wa104100404" version="3.0.0.1" store="en-US" storeType="OMEX"/>
  <we:alternateReferences>
    <we:reference id="WA104100404" version="3.0.0.1" store="WA104100404" storeType="OMEX"/>
  </we:alternateReferences>
  <we:properties>
    <we:property name="UniqueID" value="&quot;20245171718623137568&quot;"/>
    <we:property name="ZwkEDS1WTB4nGjQNKjhAB1E=" value="&quot;BE9RWGlXXVw=&quot;"/>
    <we:property name="ZwkEDS1WTB4nGjQNKjhCBlA=" value="&quot;BA==&quot;"/>
    <we:property name="ZwkEDS1WTB4nGjQNKjhCEEc=" value="&quot;AQ==&quot;"/>
    <we:property name="ZwkEDS1WTB4nGjQNKjhCF0I=" value="&quot;BQ==&quot;"/>
    <we:property name="ZwkEDS1WTB4nGjQNKjhCGUw=" value="&quot;BA==&quot;"/>
    <we:property name="ZwkEDS1WTB4nGjQNKjhDAVU=" value="&quot;BA==&quot;"/>
    <we:property name="ZwkEDS1WTB4nGjQNKjhDBk4=" value="&quot;BVFR&quot;"/>
    <we:property name="ZwkEDS1WTB4nGjQNKjhDFlg=" value="&quot;BQ==&quot;"/>
    <we:property name="ZwkEDS1WTB4nGjQNKjhDGlc=" value="&quot;BA==&quot;"/>
    <we:property name="ZwkEDS1WTB4nGjQNKjhEGlg=" value="&quot;BE9RWQ==&quot;"/>
    <we:property name="ZwkEDS1WTB4nGjQNKjhRB0c=" value="&quot;BQ==&quot;"/>
    <we:property name="ZwkEDS1WTB4nGjQNKjhRFlc=" value="&quot;BE9RWGg=&quot;"/>
    <we:property name="ZwkEDS1WTB4nGjQNKjhTA1M=" value="&quot;BE9RWGlW&quot;"/>
    <we:property name="ZwkEDS1WTB4nGjQNKjhVG1M=" value="&quot;czMm&quot;"/>
    <we:property name="ZwkEDS1WTB4nGjQNKjhWEFU=" value="&quot;BE9RWGlXXVw=&quot;"/>
    <we:property name="ZwkEDS1WTB4nGjQNKjhXFEQ=" value="&quot;BE9RWGlXXVw=&quot;"/>
    <we:property name="ZwkEDS1WTB4nGjQNKjhZBUc=" value="&quot;BE9YUQ==&quot;"/>
    <we:property name="ZwkEDS1WTB4nGjQNKjhZBV0=" value="&quot;BQ==&quot;"/>
    <we:property name="ZwkEDS1WTB4nGjQNKjhZBVA=" value="&quot;Bw==&quot;"/>
    <we:property name="ZwkEDS1WTB4nGjQNKjhcBUA=" value="&quot;BA==&quot;"/>
    <we:property name="ZwkEDS1WTB4nGjQNKjhcBUQ=" value="&quot;BA==&quot;"/>
    <we:property name="ZwkEDS1WTB4nGjQNKjhdB0A=" value="&quot;BE9RX2w=&quot;"/>
    <we:property name="ZwkEDS1WTB4nGjQNKjhdBlg=" value="&quot;BA==&quot;"/>
    <we:property name="ZwkEDS1WTB4nGjQNKjhdEEA=" value="&quot;Bg==&quot;"/>
    <we:property name="ZwkEDS1WTB4nGjQNKjhdG10=" value="&quot;B1E=&quot;"/>
    <we:property name="ZwkEDS1WTB4nGjQNKjheAUY=" value="&quot;Bg==&quot;"/>
    <we:property name="ZwkEDS1WTB4nGjQNKjheEFM=" value="&quot;BQ==&quot;"/>
    <we:property name="ZwkEDS1WTCApDg8BNg==" value="&quot;Bg==&quot;"/>
    <we:property name="ZwkEDS1WTCIqHA==" value="&quot;ECMiTGs=&quot;"/>
    <we:property name="ZwkEDS1WTDspBCsJOgtVBg==" value="&quot;ECA2TGxdSSwfUno=&quot;"/>
  </we:properties>
  <we:bindings>
    <we:binding id="refEdit" type="matrix" appref="{0891F6D2-825E-4233-986F-770C8AE71655}"/>
    <we:binding id="Worker" type="matrix" appref="{ADF08518-BC4C-4230-A75C-25AD98DD23DF}"/>
    <we:binding id="Obj" type="matrix" appref="{4578FECB-B30F-4E43-93EA-B4FC85801656}"/>
    <we:binding id="Var$AW$5:$AW$8" type="matrix" appref="{26667A83-DC5F-4C3C-BD65-1438B5B176C1}"/>
  </we:bindings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5"/>
  <sheetViews>
    <sheetView tabSelected="1" zoomScale="70" zoomScaleNormal="70" zoomScaleSheetLayoutView="40" workbookViewId="0">
      <selection activeCell="A128" sqref="A2:A128"/>
    </sheetView>
  </sheetViews>
  <sheetFormatPr defaultRowHeight="15" x14ac:dyDescent="0.25"/>
  <cols>
    <col min="1" max="1" width="50.42578125" customWidth="1"/>
    <col min="2" max="2" width="20" bestFit="1" customWidth="1"/>
    <col min="3" max="3" width="24.140625" customWidth="1"/>
    <col min="4" max="4" width="14.5703125" customWidth="1"/>
    <col min="5" max="5" width="16.140625" customWidth="1"/>
    <col min="6" max="6" width="34.7109375" customWidth="1"/>
    <col min="7" max="7" width="24" bestFit="1" customWidth="1"/>
    <col min="8" max="8" width="18.42578125" bestFit="1" customWidth="1"/>
    <col min="9" max="9" width="20.42578125" bestFit="1" customWidth="1"/>
    <col min="10" max="10" width="17.7109375" customWidth="1"/>
    <col min="11" max="11" width="11.85546875" bestFit="1" customWidth="1"/>
    <col min="12" max="12" width="13.140625" customWidth="1"/>
    <col min="13" max="13" width="13.5703125" customWidth="1"/>
    <col min="14" max="14" width="18.28515625" customWidth="1"/>
    <col min="15" max="15" width="58" customWidth="1"/>
    <col min="16" max="16" width="32" bestFit="1" customWidth="1"/>
    <col min="17" max="17" width="28.140625" bestFit="1" customWidth="1"/>
    <col min="18" max="18" width="36.85546875" bestFit="1" customWidth="1"/>
    <col min="19" max="19" width="35" bestFit="1" customWidth="1"/>
    <col min="20" max="20" width="27.28515625" bestFit="1" customWidth="1"/>
    <col min="21" max="21" width="30.140625" bestFit="1" customWidth="1"/>
    <col min="22" max="22" width="42.85546875" bestFit="1" customWidth="1"/>
    <col min="23" max="23" width="38" bestFit="1" customWidth="1"/>
    <col min="24" max="24" width="19.42578125" bestFit="1" customWidth="1"/>
    <col min="25" max="25" width="50.42578125" customWidth="1"/>
    <col min="26" max="26" width="21.5703125" bestFit="1" customWidth="1"/>
    <col min="27" max="27" width="29.7109375" bestFit="1" customWidth="1"/>
    <col min="28" max="28" width="25.85546875" customWidth="1"/>
    <col min="29" max="29" width="33.5703125" bestFit="1" customWidth="1"/>
    <col min="30" max="30" width="33.5703125" customWidth="1"/>
    <col min="31" max="31" width="20.28515625" bestFit="1" customWidth="1"/>
    <col min="32" max="32" width="13.7109375" customWidth="1"/>
    <col min="33" max="33" width="27.5703125" customWidth="1"/>
    <col min="34" max="34" width="15.85546875" bestFit="1" customWidth="1"/>
    <col min="35" max="35" width="19.140625" bestFit="1" customWidth="1"/>
    <col min="36" max="36" width="42.28515625" customWidth="1"/>
    <col min="37" max="37" width="25.140625" customWidth="1"/>
    <col min="38" max="40" width="22.5703125" customWidth="1"/>
    <col min="41" max="41" width="24.140625" bestFit="1" customWidth="1"/>
    <col min="42" max="42" width="28.7109375" customWidth="1"/>
    <col min="43" max="43" width="12.5703125" bestFit="1" customWidth="1"/>
    <col min="44" max="44" width="16.85546875" bestFit="1" customWidth="1"/>
    <col min="45" max="45" width="38.28515625" bestFit="1" customWidth="1"/>
    <col min="46" max="46" width="30" bestFit="1" customWidth="1"/>
    <col min="48" max="48" width="15.28515625" bestFit="1" customWidth="1"/>
    <col min="49" max="49" width="19.85546875" bestFit="1" customWidth="1"/>
    <col min="50" max="50" width="17.5703125" bestFit="1" customWidth="1"/>
    <col min="51" max="51" width="23.28515625" bestFit="1" customWidth="1"/>
    <col min="52" max="52" width="19.140625" bestFit="1" customWidth="1"/>
    <col min="55" max="55" width="21.5703125" bestFit="1" customWidth="1"/>
    <col min="56" max="56" width="18.85546875" bestFit="1" customWidth="1"/>
    <col min="57" max="57" width="27" bestFit="1" customWidth="1"/>
    <col min="59" max="59" width="19" customWidth="1"/>
    <col min="60" max="60" width="16" customWidth="1"/>
  </cols>
  <sheetData>
    <row r="1" spans="1:84" ht="16.5" customHeight="1" x14ac:dyDescent="0.25">
      <c r="A1" t="s">
        <v>0</v>
      </c>
      <c r="B1" t="s">
        <v>1</v>
      </c>
      <c r="C1" t="s">
        <v>27</v>
      </c>
      <c r="D1" t="s">
        <v>8</v>
      </c>
      <c r="E1" t="s">
        <v>102</v>
      </c>
      <c r="F1" t="s">
        <v>101</v>
      </c>
      <c r="G1" t="s">
        <v>97</v>
      </c>
      <c r="H1" t="s">
        <v>103</v>
      </c>
      <c r="I1" t="s">
        <v>104</v>
      </c>
      <c r="J1" t="s">
        <v>105</v>
      </c>
      <c r="K1" t="s">
        <v>100</v>
      </c>
      <c r="L1" t="s">
        <v>106</v>
      </c>
      <c r="M1" t="s">
        <v>98</v>
      </c>
      <c r="N1" t="s">
        <v>107</v>
      </c>
      <c r="O1" t="s">
        <v>99</v>
      </c>
      <c r="P1" t="s">
        <v>108</v>
      </c>
      <c r="Q1" t="s">
        <v>109</v>
      </c>
      <c r="R1" t="s">
        <v>110</v>
      </c>
      <c r="U1" t="s">
        <v>96</v>
      </c>
      <c r="Y1" t="s">
        <v>73</v>
      </c>
      <c r="Z1" t="s">
        <v>72</v>
      </c>
      <c r="AA1" t="s">
        <v>74</v>
      </c>
      <c r="AC1" t="s">
        <v>9</v>
      </c>
      <c r="AD1" t="s">
        <v>6</v>
      </c>
      <c r="AE1" t="s">
        <v>7</v>
      </c>
      <c r="AF1" t="s">
        <v>2</v>
      </c>
      <c r="AG1" t="s">
        <v>39</v>
      </c>
      <c r="AH1" t="s">
        <v>66</v>
      </c>
      <c r="AI1" t="s">
        <v>67</v>
      </c>
      <c r="AL1" t="s">
        <v>12</v>
      </c>
      <c r="AM1" t="s">
        <v>13</v>
      </c>
      <c r="AN1" t="s">
        <v>14</v>
      </c>
      <c r="AO1" t="s">
        <v>25</v>
      </c>
      <c r="AP1" t="s">
        <v>41</v>
      </c>
      <c r="AQ1" t="s">
        <v>17</v>
      </c>
      <c r="AR1" t="s">
        <v>42</v>
      </c>
      <c r="AS1" t="s">
        <v>43</v>
      </c>
      <c r="AT1" t="s">
        <v>18</v>
      </c>
      <c r="AU1" t="s">
        <v>23</v>
      </c>
      <c r="AV1" t="s">
        <v>19</v>
      </c>
      <c r="AW1" t="s">
        <v>20</v>
      </c>
      <c r="AX1" t="s">
        <v>44</v>
      </c>
      <c r="AY1" t="s">
        <v>45</v>
      </c>
      <c r="AZ1" t="s">
        <v>21</v>
      </c>
      <c r="BA1" t="s">
        <v>48</v>
      </c>
      <c r="BB1" t="s">
        <v>22</v>
      </c>
      <c r="BC1" t="s">
        <v>53</v>
      </c>
      <c r="BD1" t="s">
        <v>3</v>
      </c>
      <c r="BE1" t="s">
        <v>57</v>
      </c>
      <c r="BF1" t="s">
        <v>59</v>
      </c>
      <c r="BG1" t="s">
        <v>58</v>
      </c>
      <c r="BH1" t="s">
        <v>60</v>
      </c>
      <c r="BI1" t="s">
        <v>4</v>
      </c>
      <c r="BJ1" t="s">
        <v>52</v>
      </c>
      <c r="BK1" t="s">
        <v>37</v>
      </c>
      <c r="BL1" t="s">
        <v>46</v>
      </c>
      <c r="BM1" t="s">
        <v>49</v>
      </c>
      <c r="BN1" t="s">
        <v>35</v>
      </c>
      <c r="BO1" t="s">
        <v>50</v>
      </c>
      <c r="BP1" t="s">
        <v>5</v>
      </c>
      <c r="BQ1" t="s">
        <v>24</v>
      </c>
      <c r="BR1" t="s">
        <v>47</v>
      </c>
      <c r="BS1" t="s">
        <v>51</v>
      </c>
      <c r="BV1" t="s">
        <v>11</v>
      </c>
      <c r="BW1" t="s">
        <v>40</v>
      </c>
      <c r="CB1" t="s">
        <v>63</v>
      </c>
      <c r="CD1" t="s">
        <v>64</v>
      </c>
      <c r="CF1" t="s">
        <v>65</v>
      </c>
    </row>
    <row r="2" spans="1:84" ht="16.5" customHeight="1" x14ac:dyDescent="0.25">
      <c r="A2" s="3" t="s">
        <v>61</v>
      </c>
      <c r="B2" t="s">
        <v>26</v>
      </c>
      <c r="C2" t="s">
        <v>32</v>
      </c>
      <c r="E2">
        <v>0.62</v>
      </c>
      <c r="F2">
        <f t="shared" ref="F2:F49" si="0">LOG10(E2)</f>
        <v>-0.20760831050174613</v>
      </c>
      <c r="G2">
        <f t="shared" ref="G2:G49" si="1">E2/(1-E2)</f>
        <v>1.631578947368421</v>
      </c>
      <c r="H2">
        <f t="shared" ref="H2:H49" si="2">LOG10(G2)</f>
        <v>0.21260809288144372</v>
      </c>
      <c r="I2">
        <f t="shared" ref="I2:I49" si="3">1-E2</f>
        <v>0.38</v>
      </c>
      <c r="J2">
        <f t="shared" ref="J2:J49" si="4">LOG10(I2)</f>
        <v>-0.42021640338318983</v>
      </c>
      <c r="K2">
        <f t="shared" ref="K2:K49" si="5">I2/(1-I2)</f>
        <v>0.61290322580645162</v>
      </c>
      <c r="L2">
        <f t="shared" ref="L2:L49" si="6">LOG10(K2)</f>
        <v>-0.21260809288144372</v>
      </c>
      <c r="M2">
        <v>0.01</v>
      </c>
      <c r="N2">
        <f t="shared" ref="N2:N49" si="7">LOG10(M2)</f>
        <v>-2</v>
      </c>
      <c r="O2">
        <f t="shared" ref="O2:O49" si="8">M2/(1-M2)</f>
        <v>1.0101010101010102E-2</v>
      </c>
      <c r="P2">
        <f t="shared" ref="P2:P49" si="9">LOG10(O2)</f>
        <v>-1.9956351945975499</v>
      </c>
      <c r="Q2">
        <f t="shared" ref="Q2:Q49" si="10">ABS(G2-K2)</f>
        <v>1.0186757215619693</v>
      </c>
      <c r="R2">
        <f t="shared" ref="R2:R49" si="11">LOG10(Q2)</f>
        <v>8.0359555965419244E-3</v>
      </c>
      <c r="U2">
        <f t="shared" ref="U2:U49" si="12">LOG10(G2)</f>
        <v>0.21260809288144372</v>
      </c>
      <c r="Y2">
        <f t="shared" ref="Y2:Y49" si="13">LOG10(E2)</f>
        <v>-0.20760831050174613</v>
      </c>
      <c r="Z2">
        <f t="shared" ref="Z2:Z49" si="14">AH2-E2+0.01</f>
        <v>0.01</v>
      </c>
      <c r="AA2">
        <f t="shared" ref="AA2:AA49" si="15">LOG10(Z2)</f>
        <v>-2</v>
      </c>
      <c r="AC2" t="s">
        <v>32</v>
      </c>
      <c r="AD2" t="s">
        <v>28</v>
      </c>
      <c r="AE2" t="s">
        <v>10</v>
      </c>
      <c r="AF2">
        <f>1000/4.29</f>
        <v>233.10023310023311</v>
      </c>
      <c r="AG2">
        <f t="shared" ref="AG2:AG46" si="16">1/AF2</f>
        <v>4.2899999999999995E-3</v>
      </c>
      <c r="AH2">
        <v>0.62</v>
      </c>
      <c r="AI2">
        <f t="shared" ref="AI2:AI46" si="17">LOG10(AH2)</f>
        <v>-0.20760831050174613</v>
      </c>
      <c r="AL2" t="s">
        <v>29</v>
      </c>
      <c r="AM2" t="s">
        <v>16</v>
      </c>
      <c r="AN2" t="s">
        <v>15</v>
      </c>
      <c r="AO2" s="1">
        <v>50000000</v>
      </c>
      <c r="AP2" s="1">
        <f t="shared" ref="AP2:AP46" si="18">LOG10(AO2)</f>
        <v>7.6989700043360187</v>
      </c>
      <c r="AQ2">
        <v>380</v>
      </c>
      <c r="AR2">
        <f t="shared" ref="AR2:AR46" si="19">AQ2*10^6</f>
        <v>380000000</v>
      </c>
      <c r="AS2">
        <f t="shared" ref="AS2:AS46" si="20">LOG10(AR2)</f>
        <v>8.5797835966168101</v>
      </c>
      <c r="AU2" s="1">
        <v>380000000</v>
      </c>
      <c r="AW2">
        <f>9.86^3</f>
        <v>958.58525599999984</v>
      </c>
      <c r="AX2">
        <f t="shared" ref="AX2:AX46" si="21">AW2*10^-30</f>
        <v>9.5858525599999981E-28</v>
      </c>
      <c r="AY2">
        <f t="shared" ref="AY2:AY46" si="22">LOG10(AX2)</f>
        <v>-27.018369255176367</v>
      </c>
      <c r="AZ2">
        <f>6/1</f>
        <v>6</v>
      </c>
      <c r="BA2">
        <f t="shared" ref="BA2:BA46" si="23">LOG10(AZ2)</f>
        <v>0.77815125038364363</v>
      </c>
      <c r="BB2">
        <f>6/268.4</f>
        <v>2.2354694485842028E-2</v>
      </c>
      <c r="BC2">
        <f t="shared" ref="BC2:BC46" si="24">LOG10(BB2)</f>
        <v>-1.6506312611133107</v>
      </c>
      <c r="BE2">
        <f t="shared" ref="BE2:BE49" si="25">550+273</f>
        <v>823</v>
      </c>
      <c r="BF2">
        <f t="shared" ref="BF2:BF46" si="26">1/BE2</f>
        <v>1.215066828675577E-3</v>
      </c>
      <c r="BG2">
        <f t="shared" ref="BG2:BG49" si="27">2*7*24*60*60</f>
        <v>1209600</v>
      </c>
      <c r="BH2">
        <f t="shared" ref="BH2:BH46" si="28">LOG(BG2)</f>
        <v>6.0826417781571314</v>
      </c>
      <c r="BI2">
        <f>0.00169</f>
        <v>1.6900000000000001E-3</v>
      </c>
      <c r="BJ2">
        <f t="shared" ref="BJ2:BJ46" si="29">LOG10(BI2)</f>
        <v>-2.7721132953863266</v>
      </c>
      <c r="BK2">
        <v>10</v>
      </c>
      <c r="BL2">
        <f t="shared" ref="BL2:BL46" si="30">BK2*10^-3</f>
        <v>0.01</v>
      </c>
      <c r="BM2">
        <f t="shared" ref="BM2:BM46" si="31">LOG10(BL2)</f>
        <v>-2</v>
      </c>
      <c r="BN2">
        <v>1.51</v>
      </c>
      <c r="BO2">
        <f t="shared" ref="BO2:BO46" si="32">LOG10(BN2)</f>
        <v>0.17897694729316943</v>
      </c>
      <c r="BQ2">
        <v>81</v>
      </c>
      <c r="BR2">
        <f t="shared" ref="BR2:BR46" si="33">BQ2/100*BN2</f>
        <v>1.2231000000000001</v>
      </c>
      <c r="BS2">
        <f t="shared" ref="BS2:BS46" si="34">LOG10(BR2)</f>
        <v>8.7461966171819214E-2</v>
      </c>
      <c r="BV2">
        <f>EXP(-5.05)/1000</f>
        <v>6.4093334462563835E-6</v>
      </c>
      <c r="BW2" s="1">
        <f t="shared" ref="BW2:BW46" si="35">LOG10(BV2)</f>
        <v>-5.1931871336114215</v>
      </c>
      <c r="CB2" t="e">
        <f>#REF!+#REF!*AG2+#REF!*BC2+#REF!*AY2</f>
        <v>#REF!</v>
      </c>
      <c r="CD2" s="1" t="e">
        <f t="shared" ref="CD2:CD49" si="36">(CB2-BW2)^2</f>
        <v>#REF!</v>
      </c>
    </row>
    <row r="3" spans="1:84" ht="16.5" customHeight="1" x14ac:dyDescent="0.25">
      <c r="A3" s="3" t="s">
        <v>61</v>
      </c>
      <c r="B3" t="s">
        <v>26</v>
      </c>
      <c r="C3" t="s">
        <v>32</v>
      </c>
      <c r="E3">
        <v>0.62</v>
      </c>
      <c r="F3">
        <f t="shared" si="0"/>
        <v>-0.20760831050174613</v>
      </c>
      <c r="G3">
        <f t="shared" si="1"/>
        <v>1.631578947368421</v>
      </c>
      <c r="H3">
        <f t="shared" si="2"/>
        <v>0.21260809288144372</v>
      </c>
      <c r="I3">
        <f t="shared" si="3"/>
        <v>0.38</v>
      </c>
      <c r="J3">
        <f t="shared" si="4"/>
        <v>-0.42021640338318983</v>
      </c>
      <c r="K3">
        <f t="shared" si="5"/>
        <v>0.61290322580645162</v>
      </c>
      <c r="L3">
        <f t="shared" si="6"/>
        <v>-0.21260809288144372</v>
      </c>
      <c r="M3">
        <v>0.01</v>
      </c>
      <c r="N3">
        <f t="shared" si="7"/>
        <v>-2</v>
      </c>
      <c r="O3">
        <f t="shared" si="8"/>
        <v>1.0101010101010102E-2</v>
      </c>
      <c r="P3">
        <f t="shared" si="9"/>
        <v>-1.9956351945975499</v>
      </c>
      <c r="Q3">
        <f t="shared" si="10"/>
        <v>1.0186757215619693</v>
      </c>
      <c r="R3">
        <f t="shared" si="11"/>
        <v>8.0359555965419244E-3</v>
      </c>
      <c r="U3">
        <f t="shared" si="12"/>
        <v>0.21260809288144372</v>
      </c>
      <c r="Y3">
        <f t="shared" si="13"/>
        <v>-0.20760831050174613</v>
      </c>
      <c r="Z3">
        <f t="shared" si="14"/>
        <v>0.01</v>
      </c>
      <c r="AA3">
        <f t="shared" si="15"/>
        <v>-2</v>
      </c>
      <c r="AC3" t="s">
        <v>32</v>
      </c>
      <c r="AD3" t="s">
        <v>28</v>
      </c>
      <c r="AE3" t="s">
        <v>10</v>
      </c>
      <c r="AF3">
        <f>1000/4.12</f>
        <v>242.71844660194174</v>
      </c>
      <c r="AG3">
        <f t="shared" si="16"/>
        <v>4.1200000000000004E-3</v>
      </c>
      <c r="AH3">
        <v>0.62</v>
      </c>
      <c r="AI3">
        <f t="shared" si="17"/>
        <v>-0.20760831050174613</v>
      </c>
      <c r="AL3" t="s">
        <v>29</v>
      </c>
      <c r="AM3" t="s">
        <v>16</v>
      </c>
      <c r="AN3" t="s">
        <v>15</v>
      </c>
      <c r="AO3" s="1">
        <v>50000000</v>
      </c>
      <c r="AP3" s="1">
        <f t="shared" si="18"/>
        <v>7.6989700043360187</v>
      </c>
      <c r="AQ3">
        <v>380</v>
      </c>
      <c r="AR3">
        <f t="shared" si="19"/>
        <v>380000000</v>
      </c>
      <c r="AS3">
        <f t="shared" si="20"/>
        <v>8.5797835966168101</v>
      </c>
      <c r="AU3" s="1">
        <v>380000000</v>
      </c>
      <c r="AW3">
        <f t="shared" ref="AW3:AW13" si="37">9.86^3</f>
        <v>958.58525599999984</v>
      </c>
      <c r="AX3">
        <f t="shared" si="21"/>
        <v>9.5858525599999981E-28</v>
      </c>
      <c r="AY3">
        <f t="shared" si="22"/>
        <v>-27.018369255176367</v>
      </c>
      <c r="AZ3">
        <f t="shared" ref="AZ3:AZ13" si="38">6/1</f>
        <v>6</v>
      </c>
      <c r="BA3">
        <f t="shared" si="23"/>
        <v>0.77815125038364363</v>
      </c>
      <c r="BB3">
        <f t="shared" ref="BB3:BB13" si="39">6/268.4</f>
        <v>2.2354694485842028E-2</v>
      </c>
      <c r="BC3">
        <f t="shared" si="24"/>
        <v>-1.6506312611133107</v>
      </c>
      <c r="BE3">
        <f t="shared" si="25"/>
        <v>823</v>
      </c>
      <c r="BF3">
        <f t="shared" si="26"/>
        <v>1.215066828675577E-3</v>
      </c>
      <c r="BG3">
        <f t="shared" si="27"/>
        <v>1209600</v>
      </c>
      <c r="BH3">
        <f t="shared" si="28"/>
        <v>6.0826417781571314</v>
      </c>
      <c r="BI3">
        <f t="shared" ref="BI3:BI13" si="40">0.00169</f>
        <v>1.6900000000000001E-3</v>
      </c>
      <c r="BJ3">
        <f t="shared" si="29"/>
        <v>-2.7721132953863266</v>
      </c>
      <c r="BK3">
        <v>10</v>
      </c>
      <c r="BL3">
        <f t="shared" si="30"/>
        <v>0.01</v>
      </c>
      <c r="BM3">
        <f t="shared" si="31"/>
        <v>-2</v>
      </c>
      <c r="BN3">
        <v>1.51</v>
      </c>
      <c r="BO3">
        <f t="shared" si="32"/>
        <v>0.17897694729316943</v>
      </c>
      <c r="BQ3">
        <v>81</v>
      </c>
      <c r="BR3">
        <f t="shared" si="33"/>
        <v>1.2231000000000001</v>
      </c>
      <c r="BS3">
        <f t="shared" si="34"/>
        <v>8.7461966171819214E-2</v>
      </c>
      <c r="BV3">
        <f>EXP(-4.3)/1000</f>
        <v>1.3568559012200934E-5</v>
      </c>
      <c r="BW3" s="1">
        <f t="shared" si="35"/>
        <v>-4.8674662721839832</v>
      </c>
      <c r="CB3" t="e">
        <f>#REF!+#REF!*AG3+#REF!*BC3+#REF!*AY3</f>
        <v>#REF!</v>
      </c>
      <c r="CD3" s="1" t="e">
        <f t="shared" si="36"/>
        <v>#REF!</v>
      </c>
    </row>
    <row r="4" spans="1:84" ht="16.5" customHeight="1" x14ac:dyDescent="0.25">
      <c r="A4" s="3" t="s">
        <v>61</v>
      </c>
      <c r="B4" t="s">
        <v>26</v>
      </c>
      <c r="C4" t="s">
        <v>32</v>
      </c>
      <c r="E4">
        <v>0.62</v>
      </c>
      <c r="F4">
        <f t="shared" si="0"/>
        <v>-0.20760831050174613</v>
      </c>
      <c r="G4">
        <f t="shared" si="1"/>
        <v>1.631578947368421</v>
      </c>
      <c r="H4">
        <f t="shared" si="2"/>
        <v>0.21260809288144372</v>
      </c>
      <c r="I4">
        <f t="shared" si="3"/>
        <v>0.38</v>
      </c>
      <c r="J4">
        <f t="shared" si="4"/>
        <v>-0.42021640338318983</v>
      </c>
      <c r="K4">
        <f t="shared" si="5"/>
        <v>0.61290322580645162</v>
      </c>
      <c r="L4">
        <f t="shared" si="6"/>
        <v>-0.21260809288144372</v>
      </c>
      <c r="M4">
        <v>0.01</v>
      </c>
      <c r="N4">
        <f t="shared" si="7"/>
        <v>-2</v>
      </c>
      <c r="O4">
        <f t="shared" si="8"/>
        <v>1.0101010101010102E-2</v>
      </c>
      <c r="P4">
        <f t="shared" si="9"/>
        <v>-1.9956351945975499</v>
      </c>
      <c r="Q4">
        <f t="shared" si="10"/>
        <v>1.0186757215619693</v>
      </c>
      <c r="R4">
        <f t="shared" si="11"/>
        <v>8.0359555965419244E-3</v>
      </c>
      <c r="U4">
        <f t="shared" si="12"/>
        <v>0.21260809288144372</v>
      </c>
      <c r="Y4">
        <f t="shared" si="13"/>
        <v>-0.20760831050174613</v>
      </c>
      <c r="Z4">
        <f t="shared" si="14"/>
        <v>0.01</v>
      </c>
      <c r="AA4">
        <f t="shared" si="15"/>
        <v>-2</v>
      </c>
      <c r="AC4" t="s">
        <v>32</v>
      </c>
      <c r="AD4" t="s">
        <v>28</v>
      </c>
      <c r="AE4" t="s">
        <v>10</v>
      </c>
      <c r="AF4">
        <f>1000/3.96</f>
        <v>252.52525252525254</v>
      </c>
      <c r="AG4">
        <f t="shared" si="16"/>
        <v>3.96E-3</v>
      </c>
      <c r="AH4">
        <v>0.62</v>
      </c>
      <c r="AI4">
        <f t="shared" si="17"/>
        <v>-0.20760831050174613</v>
      </c>
      <c r="AL4" t="s">
        <v>29</v>
      </c>
      <c r="AM4" t="s">
        <v>16</v>
      </c>
      <c r="AN4" t="s">
        <v>15</v>
      </c>
      <c r="AO4" s="1">
        <v>50000000</v>
      </c>
      <c r="AP4" s="1">
        <f t="shared" si="18"/>
        <v>7.6989700043360187</v>
      </c>
      <c r="AQ4">
        <v>380</v>
      </c>
      <c r="AR4">
        <f t="shared" si="19"/>
        <v>380000000</v>
      </c>
      <c r="AS4">
        <f t="shared" si="20"/>
        <v>8.5797835966168101</v>
      </c>
      <c r="AU4" s="1">
        <v>380000000</v>
      </c>
      <c r="AW4">
        <f t="shared" si="37"/>
        <v>958.58525599999984</v>
      </c>
      <c r="AX4">
        <f t="shared" si="21"/>
        <v>9.5858525599999981E-28</v>
      </c>
      <c r="AY4">
        <f t="shared" si="22"/>
        <v>-27.018369255176367</v>
      </c>
      <c r="AZ4">
        <f t="shared" si="38"/>
        <v>6</v>
      </c>
      <c r="BA4">
        <f t="shared" si="23"/>
        <v>0.77815125038364363</v>
      </c>
      <c r="BB4">
        <f t="shared" si="39"/>
        <v>2.2354694485842028E-2</v>
      </c>
      <c r="BC4">
        <f t="shared" si="24"/>
        <v>-1.6506312611133107</v>
      </c>
      <c r="BE4">
        <f t="shared" si="25"/>
        <v>823</v>
      </c>
      <c r="BF4">
        <f t="shared" si="26"/>
        <v>1.215066828675577E-3</v>
      </c>
      <c r="BG4">
        <f t="shared" si="27"/>
        <v>1209600</v>
      </c>
      <c r="BH4">
        <f t="shared" si="28"/>
        <v>6.0826417781571314</v>
      </c>
      <c r="BI4">
        <f t="shared" si="40"/>
        <v>1.6900000000000001E-3</v>
      </c>
      <c r="BJ4">
        <f t="shared" si="29"/>
        <v>-2.7721132953863266</v>
      </c>
      <c r="BK4">
        <v>10</v>
      </c>
      <c r="BL4">
        <f t="shared" si="30"/>
        <v>0.01</v>
      </c>
      <c r="BM4">
        <f t="shared" si="31"/>
        <v>-2</v>
      </c>
      <c r="BN4">
        <v>1.51</v>
      </c>
      <c r="BO4">
        <f t="shared" si="32"/>
        <v>0.17897694729316943</v>
      </c>
      <c r="BQ4">
        <v>81</v>
      </c>
      <c r="BR4">
        <f t="shared" si="33"/>
        <v>1.2231000000000001</v>
      </c>
      <c r="BS4">
        <f t="shared" si="34"/>
        <v>8.7461966171819214E-2</v>
      </c>
      <c r="BV4">
        <f>EXP(-3.55)/1000</f>
        <v>2.8724639654239432E-5</v>
      </c>
      <c r="BW4" s="1">
        <f t="shared" si="35"/>
        <v>-4.541745410756544</v>
      </c>
      <c r="CB4" t="e">
        <f>#REF!+#REF!*AG4+#REF!*BC4+#REF!*AY4</f>
        <v>#REF!</v>
      </c>
      <c r="CD4" s="1" t="e">
        <f t="shared" si="36"/>
        <v>#REF!</v>
      </c>
    </row>
    <row r="5" spans="1:84" ht="16.5" customHeight="1" x14ac:dyDescent="0.25">
      <c r="A5" s="3" t="s">
        <v>61</v>
      </c>
      <c r="B5" t="s">
        <v>26</v>
      </c>
      <c r="C5" t="s">
        <v>32</v>
      </c>
      <c r="E5">
        <v>0.62</v>
      </c>
      <c r="F5">
        <f t="shared" si="0"/>
        <v>-0.20760831050174613</v>
      </c>
      <c r="G5">
        <f t="shared" si="1"/>
        <v>1.631578947368421</v>
      </c>
      <c r="H5">
        <f t="shared" si="2"/>
        <v>0.21260809288144372</v>
      </c>
      <c r="I5">
        <f t="shared" si="3"/>
        <v>0.38</v>
      </c>
      <c r="J5">
        <f t="shared" si="4"/>
        <v>-0.42021640338318983</v>
      </c>
      <c r="K5">
        <f t="shared" si="5"/>
        <v>0.61290322580645162</v>
      </c>
      <c r="L5">
        <f t="shared" si="6"/>
        <v>-0.21260809288144372</v>
      </c>
      <c r="M5">
        <v>0.01</v>
      </c>
      <c r="N5">
        <f t="shared" si="7"/>
        <v>-2</v>
      </c>
      <c r="O5">
        <f t="shared" si="8"/>
        <v>1.0101010101010102E-2</v>
      </c>
      <c r="P5">
        <f t="shared" si="9"/>
        <v>-1.9956351945975499</v>
      </c>
      <c r="Q5">
        <f t="shared" si="10"/>
        <v>1.0186757215619693</v>
      </c>
      <c r="R5">
        <f t="shared" si="11"/>
        <v>8.0359555965419244E-3</v>
      </c>
      <c r="U5">
        <f t="shared" si="12"/>
        <v>0.21260809288144372</v>
      </c>
      <c r="Y5">
        <f t="shared" si="13"/>
        <v>-0.20760831050174613</v>
      </c>
      <c r="Z5">
        <f t="shared" si="14"/>
        <v>0.01</v>
      </c>
      <c r="AA5">
        <f t="shared" si="15"/>
        <v>-2</v>
      </c>
      <c r="AC5" t="s">
        <v>32</v>
      </c>
      <c r="AD5" t="s">
        <v>28</v>
      </c>
      <c r="AE5" t="s">
        <v>10</v>
      </c>
      <c r="AF5">
        <f>1000/3.81</f>
        <v>262.46719160104988</v>
      </c>
      <c r="AG5">
        <f t="shared" si="16"/>
        <v>3.81E-3</v>
      </c>
      <c r="AH5">
        <v>0.62</v>
      </c>
      <c r="AI5">
        <f t="shared" si="17"/>
        <v>-0.20760831050174613</v>
      </c>
      <c r="AL5" t="s">
        <v>29</v>
      </c>
      <c r="AM5" t="s">
        <v>16</v>
      </c>
      <c r="AN5" t="s">
        <v>15</v>
      </c>
      <c r="AO5" s="1">
        <v>50000000</v>
      </c>
      <c r="AP5" s="1">
        <f t="shared" si="18"/>
        <v>7.6989700043360187</v>
      </c>
      <c r="AQ5">
        <v>380</v>
      </c>
      <c r="AR5">
        <f t="shared" si="19"/>
        <v>380000000</v>
      </c>
      <c r="AS5">
        <f t="shared" si="20"/>
        <v>8.5797835966168101</v>
      </c>
      <c r="AU5" s="1">
        <v>380000000</v>
      </c>
      <c r="AW5">
        <f t="shared" si="37"/>
        <v>958.58525599999984</v>
      </c>
      <c r="AX5">
        <f t="shared" si="21"/>
        <v>9.5858525599999981E-28</v>
      </c>
      <c r="AY5">
        <f t="shared" si="22"/>
        <v>-27.018369255176367</v>
      </c>
      <c r="AZ5">
        <f t="shared" si="38"/>
        <v>6</v>
      </c>
      <c r="BA5">
        <f t="shared" si="23"/>
        <v>0.77815125038364363</v>
      </c>
      <c r="BB5">
        <f t="shared" si="39"/>
        <v>2.2354694485842028E-2</v>
      </c>
      <c r="BC5">
        <f t="shared" si="24"/>
        <v>-1.6506312611133107</v>
      </c>
      <c r="BE5">
        <f t="shared" si="25"/>
        <v>823</v>
      </c>
      <c r="BF5">
        <f t="shared" si="26"/>
        <v>1.215066828675577E-3</v>
      </c>
      <c r="BG5">
        <f t="shared" si="27"/>
        <v>1209600</v>
      </c>
      <c r="BH5">
        <f t="shared" si="28"/>
        <v>6.0826417781571314</v>
      </c>
      <c r="BI5">
        <f t="shared" si="40"/>
        <v>1.6900000000000001E-3</v>
      </c>
      <c r="BJ5">
        <f t="shared" si="29"/>
        <v>-2.7721132953863266</v>
      </c>
      <c r="BK5">
        <v>10</v>
      </c>
      <c r="BL5">
        <f t="shared" si="30"/>
        <v>0.01</v>
      </c>
      <c r="BM5">
        <f t="shared" si="31"/>
        <v>-2</v>
      </c>
      <c r="BN5">
        <v>1.51</v>
      </c>
      <c r="BO5">
        <f t="shared" si="32"/>
        <v>0.17897694729316943</v>
      </c>
      <c r="BQ5">
        <v>81</v>
      </c>
      <c r="BR5">
        <f t="shared" si="33"/>
        <v>1.2231000000000001</v>
      </c>
      <c r="BS5">
        <f t="shared" si="34"/>
        <v>8.7461966171819214E-2</v>
      </c>
      <c r="BV5">
        <f>EXP(-2.8)/1000</f>
        <v>6.0810062625217975E-5</v>
      </c>
      <c r="BW5" s="1">
        <f t="shared" si="35"/>
        <v>-4.2160245493291049</v>
      </c>
      <c r="CB5" t="e">
        <f>#REF!+#REF!*AG5+#REF!*BC5+#REF!*AY5</f>
        <v>#REF!</v>
      </c>
      <c r="CD5" s="1" t="e">
        <f t="shared" si="36"/>
        <v>#REF!</v>
      </c>
    </row>
    <row r="6" spans="1:84" ht="16.5" customHeight="1" x14ac:dyDescent="0.25">
      <c r="A6" s="3" t="s">
        <v>61</v>
      </c>
      <c r="B6" t="s">
        <v>26</v>
      </c>
      <c r="C6" t="s">
        <v>32</v>
      </c>
      <c r="E6">
        <v>0.62</v>
      </c>
      <c r="F6">
        <f t="shared" si="0"/>
        <v>-0.20760831050174613</v>
      </c>
      <c r="G6">
        <f t="shared" si="1"/>
        <v>1.631578947368421</v>
      </c>
      <c r="H6">
        <f t="shared" si="2"/>
        <v>0.21260809288144372</v>
      </c>
      <c r="I6">
        <f t="shared" si="3"/>
        <v>0.38</v>
      </c>
      <c r="J6">
        <f t="shared" si="4"/>
        <v>-0.42021640338318983</v>
      </c>
      <c r="K6">
        <f t="shared" si="5"/>
        <v>0.61290322580645162</v>
      </c>
      <c r="L6">
        <f t="shared" si="6"/>
        <v>-0.21260809288144372</v>
      </c>
      <c r="M6">
        <v>0.01</v>
      </c>
      <c r="N6">
        <f t="shared" si="7"/>
        <v>-2</v>
      </c>
      <c r="O6">
        <f t="shared" si="8"/>
        <v>1.0101010101010102E-2</v>
      </c>
      <c r="P6">
        <f t="shared" si="9"/>
        <v>-1.9956351945975499</v>
      </c>
      <c r="Q6">
        <f t="shared" si="10"/>
        <v>1.0186757215619693</v>
      </c>
      <c r="R6">
        <f t="shared" si="11"/>
        <v>8.0359555965419244E-3</v>
      </c>
      <c r="U6">
        <f t="shared" si="12"/>
        <v>0.21260809288144372</v>
      </c>
      <c r="Y6">
        <f t="shared" si="13"/>
        <v>-0.20760831050174613</v>
      </c>
      <c r="Z6">
        <f t="shared" si="14"/>
        <v>0.01</v>
      </c>
      <c r="AA6">
        <f t="shared" si="15"/>
        <v>-2</v>
      </c>
      <c r="AC6" t="s">
        <v>32</v>
      </c>
      <c r="AD6" t="s">
        <v>28</v>
      </c>
      <c r="AE6" t="s">
        <v>10</v>
      </c>
      <c r="AF6">
        <f>1000/3.66</f>
        <v>273.22404371584696</v>
      </c>
      <c r="AG6">
        <f t="shared" si="16"/>
        <v>3.6600000000000005E-3</v>
      </c>
      <c r="AH6">
        <v>0.62</v>
      </c>
      <c r="AI6">
        <f t="shared" si="17"/>
        <v>-0.20760831050174613</v>
      </c>
      <c r="AL6" t="s">
        <v>29</v>
      </c>
      <c r="AM6" t="s">
        <v>16</v>
      </c>
      <c r="AN6" t="s">
        <v>15</v>
      </c>
      <c r="AO6" s="1">
        <v>50000000</v>
      </c>
      <c r="AP6" s="1">
        <f t="shared" si="18"/>
        <v>7.6989700043360187</v>
      </c>
      <c r="AQ6">
        <v>380</v>
      </c>
      <c r="AR6">
        <f t="shared" si="19"/>
        <v>380000000</v>
      </c>
      <c r="AS6">
        <f t="shared" si="20"/>
        <v>8.5797835966168101</v>
      </c>
      <c r="AU6" s="1">
        <v>380000000</v>
      </c>
      <c r="AW6">
        <f t="shared" si="37"/>
        <v>958.58525599999984</v>
      </c>
      <c r="AX6">
        <f t="shared" si="21"/>
        <v>9.5858525599999981E-28</v>
      </c>
      <c r="AY6">
        <f t="shared" si="22"/>
        <v>-27.018369255176367</v>
      </c>
      <c r="AZ6">
        <f t="shared" si="38"/>
        <v>6</v>
      </c>
      <c r="BA6">
        <f t="shared" si="23"/>
        <v>0.77815125038364363</v>
      </c>
      <c r="BB6">
        <f t="shared" si="39"/>
        <v>2.2354694485842028E-2</v>
      </c>
      <c r="BC6">
        <f t="shared" si="24"/>
        <v>-1.6506312611133107</v>
      </c>
      <c r="BE6">
        <f t="shared" si="25"/>
        <v>823</v>
      </c>
      <c r="BF6">
        <f t="shared" si="26"/>
        <v>1.215066828675577E-3</v>
      </c>
      <c r="BG6">
        <f t="shared" si="27"/>
        <v>1209600</v>
      </c>
      <c r="BH6">
        <f t="shared" si="28"/>
        <v>6.0826417781571314</v>
      </c>
      <c r="BI6">
        <f t="shared" si="40"/>
        <v>1.6900000000000001E-3</v>
      </c>
      <c r="BJ6">
        <f t="shared" si="29"/>
        <v>-2.7721132953863266</v>
      </c>
      <c r="BK6">
        <v>10</v>
      </c>
      <c r="BL6">
        <f t="shared" si="30"/>
        <v>0.01</v>
      </c>
      <c r="BM6">
        <f t="shared" si="31"/>
        <v>-2</v>
      </c>
      <c r="BN6">
        <v>1.51</v>
      </c>
      <c r="BO6">
        <f t="shared" si="32"/>
        <v>0.17897694729316943</v>
      </c>
      <c r="BQ6">
        <v>81</v>
      </c>
      <c r="BR6">
        <f t="shared" si="33"/>
        <v>1.2231000000000001</v>
      </c>
      <c r="BS6">
        <f t="shared" si="34"/>
        <v>8.7461966171819214E-2</v>
      </c>
      <c r="BV6">
        <f>EXP(-2.2)/1000</f>
        <v>1.1080315836233387E-4</v>
      </c>
      <c r="BW6" s="1">
        <f t="shared" si="35"/>
        <v>-3.9554478601871539</v>
      </c>
      <c r="CB6" t="e">
        <f>#REF!+#REF!*AG6+#REF!*BC6+#REF!*AY6</f>
        <v>#REF!</v>
      </c>
      <c r="CD6" s="1" t="e">
        <f t="shared" si="36"/>
        <v>#REF!</v>
      </c>
    </row>
    <row r="7" spans="1:84" ht="16.5" customHeight="1" x14ac:dyDescent="0.25">
      <c r="A7" s="3" t="s">
        <v>61</v>
      </c>
      <c r="B7" t="s">
        <v>26</v>
      </c>
      <c r="C7" t="s">
        <v>32</v>
      </c>
      <c r="E7">
        <v>0.62</v>
      </c>
      <c r="F7">
        <f t="shared" si="0"/>
        <v>-0.20760831050174613</v>
      </c>
      <c r="G7">
        <f t="shared" si="1"/>
        <v>1.631578947368421</v>
      </c>
      <c r="H7">
        <f t="shared" si="2"/>
        <v>0.21260809288144372</v>
      </c>
      <c r="I7">
        <f t="shared" si="3"/>
        <v>0.38</v>
      </c>
      <c r="J7">
        <f t="shared" si="4"/>
        <v>-0.42021640338318983</v>
      </c>
      <c r="K7">
        <f t="shared" si="5"/>
        <v>0.61290322580645162</v>
      </c>
      <c r="L7">
        <f t="shared" si="6"/>
        <v>-0.21260809288144372</v>
      </c>
      <c r="M7">
        <v>0.01</v>
      </c>
      <c r="N7">
        <f t="shared" si="7"/>
        <v>-2</v>
      </c>
      <c r="O7">
        <f t="shared" si="8"/>
        <v>1.0101010101010102E-2</v>
      </c>
      <c r="P7">
        <f t="shared" si="9"/>
        <v>-1.9956351945975499</v>
      </c>
      <c r="Q7">
        <f t="shared" si="10"/>
        <v>1.0186757215619693</v>
      </c>
      <c r="R7">
        <f t="shared" si="11"/>
        <v>8.0359555965419244E-3</v>
      </c>
      <c r="U7">
        <f t="shared" si="12"/>
        <v>0.21260809288144372</v>
      </c>
      <c r="Y7">
        <f t="shared" si="13"/>
        <v>-0.20760831050174613</v>
      </c>
      <c r="Z7">
        <f t="shared" si="14"/>
        <v>0.01</v>
      </c>
      <c r="AA7">
        <f t="shared" si="15"/>
        <v>-2</v>
      </c>
      <c r="AC7" t="s">
        <v>32</v>
      </c>
      <c r="AD7" t="s">
        <v>28</v>
      </c>
      <c r="AE7" t="s">
        <v>10</v>
      </c>
      <c r="AF7">
        <f>1000/3.53</f>
        <v>283.28611898016999</v>
      </c>
      <c r="AG7">
        <f t="shared" si="16"/>
        <v>3.5299999999999997E-3</v>
      </c>
      <c r="AH7">
        <v>0.62</v>
      </c>
      <c r="AI7">
        <f t="shared" si="17"/>
        <v>-0.20760831050174613</v>
      </c>
      <c r="AL7" t="s">
        <v>29</v>
      </c>
      <c r="AM7" t="s">
        <v>16</v>
      </c>
      <c r="AN7" t="s">
        <v>15</v>
      </c>
      <c r="AO7" s="1">
        <v>50000000</v>
      </c>
      <c r="AP7" s="1">
        <f t="shared" si="18"/>
        <v>7.6989700043360187</v>
      </c>
      <c r="AQ7">
        <v>380</v>
      </c>
      <c r="AR7">
        <f t="shared" si="19"/>
        <v>380000000</v>
      </c>
      <c r="AS7">
        <f t="shared" si="20"/>
        <v>8.5797835966168101</v>
      </c>
      <c r="AU7" s="1">
        <v>380000000</v>
      </c>
      <c r="AW7">
        <f t="shared" si="37"/>
        <v>958.58525599999984</v>
      </c>
      <c r="AX7">
        <f t="shared" si="21"/>
        <v>9.5858525599999981E-28</v>
      </c>
      <c r="AY7">
        <f t="shared" si="22"/>
        <v>-27.018369255176367</v>
      </c>
      <c r="AZ7">
        <f t="shared" si="38"/>
        <v>6</v>
      </c>
      <c r="BA7">
        <f t="shared" si="23"/>
        <v>0.77815125038364363</v>
      </c>
      <c r="BB7">
        <f t="shared" si="39"/>
        <v>2.2354694485842028E-2</v>
      </c>
      <c r="BC7">
        <f t="shared" si="24"/>
        <v>-1.6506312611133107</v>
      </c>
      <c r="BE7">
        <f t="shared" si="25"/>
        <v>823</v>
      </c>
      <c r="BF7">
        <f t="shared" si="26"/>
        <v>1.215066828675577E-3</v>
      </c>
      <c r="BG7">
        <f t="shared" si="27"/>
        <v>1209600</v>
      </c>
      <c r="BH7">
        <f t="shared" si="28"/>
        <v>6.0826417781571314</v>
      </c>
      <c r="BI7">
        <f t="shared" si="40"/>
        <v>1.6900000000000001E-3</v>
      </c>
      <c r="BJ7">
        <f t="shared" si="29"/>
        <v>-2.7721132953863266</v>
      </c>
      <c r="BK7">
        <v>10</v>
      </c>
      <c r="BL7">
        <f t="shared" si="30"/>
        <v>0.01</v>
      </c>
      <c r="BM7">
        <f t="shared" si="31"/>
        <v>-2</v>
      </c>
      <c r="BN7">
        <v>1.51</v>
      </c>
      <c r="BO7">
        <f t="shared" si="32"/>
        <v>0.17897694729316943</v>
      </c>
      <c r="BQ7">
        <v>81</v>
      </c>
      <c r="BR7">
        <f t="shared" si="33"/>
        <v>1.2231000000000001</v>
      </c>
      <c r="BS7">
        <f t="shared" si="34"/>
        <v>8.7461966171819214E-2</v>
      </c>
      <c r="BV7">
        <f>EXP(-1.45)/1000</f>
        <v>2.3457028809379765E-4</v>
      </c>
      <c r="BW7" s="1">
        <f t="shared" si="35"/>
        <v>-3.6297269987597152</v>
      </c>
      <c r="CB7" t="e">
        <f>#REF!+#REF!*AG7+#REF!*BC7+#REF!*AY7</f>
        <v>#REF!</v>
      </c>
      <c r="CD7" s="1" t="e">
        <f t="shared" si="36"/>
        <v>#REF!</v>
      </c>
    </row>
    <row r="8" spans="1:84" ht="16.5" customHeight="1" x14ac:dyDescent="0.25">
      <c r="A8" s="3" t="s">
        <v>61</v>
      </c>
      <c r="B8" t="s">
        <v>26</v>
      </c>
      <c r="C8" t="s">
        <v>32</v>
      </c>
      <c r="E8">
        <v>0.62</v>
      </c>
      <c r="F8">
        <f t="shared" si="0"/>
        <v>-0.20760831050174613</v>
      </c>
      <c r="G8">
        <f t="shared" si="1"/>
        <v>1.631578947368421</v>
      </c>
      <c r="H8">
        <f t="shared" si="2"/>
        <v>0.21260809288144372</v>
      </c>
      <c r="I8">
        <f t="shared" si="3"/>
        <v>0.38</v>
      </c>
      <c r="J8">
        <f t="shared" si="4"/>
        <v>-0.42021640338318983</v>
      </c>
      <c r="K8">
        <f t="shared" si="5"/>
        <v>0.61290322580645162</v>
      </c>
      <c r="L8">
        <f t="shared" si="6"/>
        <v>-0.21260809288144372</v>
      </c>
      <c r="M8">
        <v>0.01</v>
      </c>
      <c r="N8">
        <f t="shared" si="7"/>
        <v>-2</v>
      </c>
      <c r="O8">
        <f t="shared" si="8"/>
        <v>1.0101010101010102E-2</v>
      </c>
      <c r="P8">
        <f t="shared" si="9"/>
        <v>-1.9956351945975499</v>
      </c>
      <c r="Q8">
        <f t="shared" si="10"/>
        <v>1.0186757215619693</v>
      </c>
      <c r="R8">
        <f t="shared" si="11"/>
        <v>8.0359555965419244E-3</v>
      </c>
      <c r="U8">
        <f t="shared" si="12"/>
        <v>0.21260809288144372</v>
      </c>
      <c r="Y8">
        <f t="shared" si="13"/>
        <v>-0.20760831050174613</v>
      </c>
      <c r="Z8">
        <f t="shared" si="14"/>
        <v>0.01</v>
      </c>
      <c r="AA8">
        <f t="shared" si="15"/>
        <v>-2</v>
      </c>
      <c r="AC8" t="s">
        <v>32</v>
      </c>
      <c r="AD8" t="s">
        <v>28</v>
      </c>
      <c r="AE8" t="s">
        <v>10</v>
      </c>
      <c r="AF8">
        <f>1000/3.41</f>
        <v>293.25513196480938</v>
      </c>
      <c r="AG8">
        <f t="shared" si="16"/>
        <v>3.4100000000000003E-3</v>
      </c>
      <c r="AH8">
        <v>0.62</v>
      </c>
      <c r="AI8">
        <f t="shared" si="17"/>
        <v>-0.20760831050174613</v>
      </c>
      <c r="AL8" t="s">
        <v>29</v>
      </c>
      <c r="AM8" t="s">
        <v>16</v>
      </c>
      <c r="AN8" t="s">
        <v>15</v>
      </c>
      <c r="AO8" s="1">
        <v>50000000</v>
      </c>
      <c r="AP8" s="1">
        <f t="shared" si="18"/>
        <v>7.6989700043360187</v>
      </c>
      <c r="AQ8">
        <v>380</v>
      </c>
      <c r="AR8">
        <f t="shared" si="19"/>
        <v>380000000</v>
      </c>
      <c r="AS8">
        <f t="shared" si="20"/>
        <v>8.5797835966168101</v>
      </c>
      <c r="AU8" s="1">
        <v>380000000</v>
      </c>
      <c r="AW8">
        <f t="shared" si="37"/>
        <v>958.58525599999984</v>
      </c>
      <c r="AX8">
        <f t="shared" si="21"/>
        <v>9.5858525599999981E-28</v>
      </c>
      <c r="AY8">
        <f t="shared" si="22"/>
        <v>-27.018369255176367</v>
      </c>
      <c r="AZ8">
        <f t="shared" si="38"/>
        <v>6</v>
      </c>
      <c r="BA8">
        <f t="shared" si="23"/>
        <v>0.77815125038364363</v>
      </c>
      <c r="BB8">
        <f t="shared" si="39"/>
        <v>2.2354694485842028E-2</v>
      </c>
      <c r="BC8">
        <f t="shared" si="24"/>
        <v>-1.6506312611133107</v>
      </c>
      <c r="BE8">
        <f t="shared" si="25"/>
        <v>823</v>
      </c>
      <c r="BF8">
        <f t="shared" si="26"/>
        <v>1.215066828675577E-3</v>
      </c>
      <c r="BG8">
        <f t="shared" si="27"/>
        <v>1209600</v>
      </c>
      <c r="BH8">
        <f t="shared" si="28"/>
        <v>6.0826417781571314</v>
      </c>
      <c r="BI8">
        <f t="shared" si="40"/>
        <v>1.6900000000000001E-3</v>
      </c>
      <c r="BJ8">
        <f t="shared" si="29"/>
        <v>-2.7721132953863266</v>
      </c>
      <c r="BK8">
        <v>10</v>
      </c>
      <c r="BL8">
        <f t="shared" si="30"/>
        <v>0.01</v>
      </c>
      <c r="BM8">
        <f t="shared" si="31"/>
        <v>-2</v>
      </c>
      <c r="BN8">
        <v>1.51</v>
      </c>
      <c r="BO8">
        <f t="shared" si="32"/>
        <v>0.17897694729316943</v>
      </c>
      <c r="BQ8">
        <v>81</v>
      </c>
      <c r="BR8">
        <f t="shared" si="33"/>
        <v>1.2231000000000001</v>
      </c>
      <c r="BS8">
        <f t="shared" si="34"/>
        <v>8.7461966171819214E-2</v>
      </c>
      <c r="BV8">
        <f>EXP(-1)/1000</f>
        <v>3.6787944117144236E-4</v>
      </c>
      <c r="BW8" s="1">
        <f t="shared" si="35"/>
        <v>-3.4342944819032519</v>
      </c>
      <c r="CB8" t="e">
        <f>#REF!+#REF!*AG8+#REF!*BC8+#REF!*AY8</f>
        <v>#REF!</v>
      </c>
      <c r="CD8" s="1" t="e">
        <f t="shared" si="36"/>
        <v>#REF!</v>
      </c>
    </row>
    <row r="9" spans="1:84" ht="16.5" customHeight="1" x14ac:dyDescent="0.25">
      <c r="A9" s="3" t="s">
        <v>61</v>
      </c>
      <c r="B9" t="s">
        <v>26</v>
      </c>
      <c r="C9" t="s">
        <v>32</v>
      </c>
      <c r="E9">
        <v>0.62</v>
      </c>
      <c r="F9">
        <f t="shared" si="0"/>
        <v>-0.20760831050174613</v>
      </c>
      <c r="G9">
        <f t="shared" si="1"/>
        <v>1.631578947368421</v>
      </c>
      <c r="H9">
        <f t="shared" si="2"/>
        <v>0.21260809288144372</v>
      </c>
      <c r="I9">
        <f t="shared" si="3"/>
        <v>0.38</v>
      </c>
      <c r="J9">
        <f t="shared" si="4"/>
        <v>-0.42021640338318983</v>
      </c>
      <c r="K9">
        <f t="shared" si="5"/>
        <v>0.61290322580645162</v>
      </c>
      <c r="L9">
        <f t="shared" si="6"/>
        <v>-0.21260809288144372</v>
      </c>
      <c r="M9">
        <v>0.01</v>
      </c>
      <c r="N9">
        <f t="shared" si="7"/>
        <v>-2</v>
      </c>
      <c r="O9">
        <f t="shared" si="8"/>
        <v>1.0101010101010102E-2</v>
      </c>
      <c r="P9">
        <f t="shared" si="9"/>
        <v>-1.9956351945975499</v>
      </c>
      <c r="Q9">
        <f t="shared" si="10"/>
        <v>1.0186757215619693</v>
      </c>
      <c r="R9">
        <f t="shared" si="11"/>
        <v>8.0359555965419244E-3</v>
      </c>
      <c r="U9">
        <f t="shared" si="12"/>
        <v>0.21260809288144372</v>
      </c>
      <c r="Y9">
        <f t="shared" si="13"/>
        <v>-0.20760831050174613</v>
      </c>
      <c r="Z9">
        <f t="shared" si="14"/>
        <v>0.01</v>
      </c>
      <c r="AA9">
        <f t="shared" si="15"/>
        <v>-2</v>
      </c>
      <c r="AC9" t="s">
        <v>32</v>
      </c>
      <c r="AD9" t="s">
        <v>28</v>
      </c>
      <c r="AE9" t="s">
        <v>10</v>
      </c>
      <c r="AF9">
        <f>1000/3.36</f>
        <v>297.61904761904765</v>
      </c>
      <c r="AG9">
        <f t="shared" si="16"/>
        <v>3.3599999999999997E-3</v>
      </c>
      <c r="AH9">
        <v>0.62</v>
      </c>
      <c r="AI9">
        <f t="shared" si="17"/>
        <v>-0.20760831050174613</v>
      </c>
      <c r="AL9" t="s">
        <v>29</v>
      </c>
      <c r="AM9" t="s">
        <v>16</v>
      </c>
      <c r="AN9" t="s">
        <v>15</v>
      </c>
      <c r="AO9" s="1">
        <v>50000000</v>
      </c>
      <c r="AP9" s="1">
        <f t="shared" si="18"/>
        <v>7.6989700043360187</v>
      </c>
      <c r="AQ9">
        <v>380</v>
      </c>
      <c r="AR9">
        <f t="shared" si="19"/>
        <v>380000000</v>
      </c>
      <c r="AS9">
        <f t="shared" si="20"/>
        <v>8.5797835966168101</v>
      </c>
      <c r="AU9" s="1">
        <v>380000000</v>
      </c>
      <c r="AW9">
        <f t="shared" si="37"/>
        <v>958.58525599999984</v>
      </c>
      <c r="AX9">
        <f t="shared" si="21"/>
        <v>9.5858525599999981E-28</v>
      </c>
      <c r="AY9">
        <f t="shared" si="22"/>
        <v>-27.018369255176367</v>
      </c>
      <c r="AZ9">
        <f t="shared" si="38"/>
        <v>6</v>
      </c>
      <c r="BA9">
        <f t="shared" si="23"/>
        <v>0.77815125038364363</v>
      </c>
      <c r="BB9">
        <f t="shared" si="39"/>
        <v>2.2354694485842028E-2</v>
      </c>
      <c r="BC9">
        <f t="shared" si="24"/>
        <v>-1.6506312611133107</v>
      </c>
      <c r="BE9">
        <f t="shared" si="25"/>
        <v>823</v>
      </c>
      <c r="BF9">
        <f t="shared" si="26"/>
        <v>1.215066828675577E-3</v>
      </c>
      <c r="BG9">
        <f t="shared" si="27"/>
        <v>1209600</v>
      </c>
      <c r="BH9">
        <f t="shared" si="28"/>
        <v>6.0826417781571314</v>
      </c>
      <c r="BI9">
        <f t="shared" si="40"/>
        <v>1.6900000000000001E-3</v>
      </c>
      <c r="BJ9">
        <f t="shared" si="29"/>
        <v>-2.7721132953863266</v>
      </c>
      <c r="BK9">
        <v>10</v>
      </c>
      <c r="BL9">
        <f t="shared" si="30"/>
        <v>0.01</v>
      </c>
      <c r="BM9">
        <f t="shared" si="31"/>
        <v>-2</v>
      </c>
      <c r="BN9">
        <v>1.51</v>
      </c>
      <c r="BO9">
        <f t="shared" si="32"/>
        <v>0.17897694729316943</v>
      </c>
      <c r="BQ9">
        <v>81</v>
      </c>
      <c r="BR9">
        <f t="shared" si="33"/>
        <v>1.2231000000000001</v>
      </c>
      <c r="BS9">
        <f t="shared" si="34"/>
        <v>8.7461966171819214E-2</v>
      </c>
      <c r="BV9">
        <f>EXP(-0.65)/1000</f>
        <v>5.2204577676101603E-4</v>
      </c>
      <c r="BW9" s="1">
        <f t="shared" si="35"/>
        <v>-3.2822914132371137</v>
      </c>
      <c r="CB9" t="e">
        <f>#REF!+#REF!*AG9+#REF!*BC9+#REF!*AY9</f>
        <v>#REF!</v>
      </c>
      <c r="CD9" s="1" t="e">
        <f t="shared" si="36"/>
        <v>#REF!</v>
      </c>
    </row>
    <row r="10" spans="1:84" ht="16.5" customHeight="1" x14ac:dyDescent="0.25">
      <c r="A10" s="3" t="s">
        <v>61</v>
      </c>
      <c r="B10" t="s">
        <v>26</v>
      </c>
      <c r="C10" t="s">
        <v>32</v>
      </c>
      <c r="E10">
        <v>0.62</v>
      </c>
      <c r="F10">
        <f t="shared" si="0"/>
        <v>-0.20760831050174613</v>
      </c>
      <c r="G10">
        <f t="shared" si="1"/>
        <v>1.631578947368421</v>
      </c>
      <c r="H10">
        <f t="shared" si="2"/>
        <v>0.21260809288144372</v>
      </c>
      <c r="I10">
        <f t="shared" si="3"/>
        <v>0.38</v>
      </c>
      <c r="J10">
        <f t="shared" si="4"/>
        <v>-0.42021640338318983</v>
      </c>
      <c r="K10">
        <f t="shared" si="5"/>
        <v>0.61290322580645162</v>
      </c>
      <c r="L10">
        <f t="shared" si="6"/>
        <v>-0.21260809288144372</v>
      </c>
      <c r="M10">
        <v>0.01</v>
      </c>
      <c r="N10">
        <f t="shared" si="7"/>
        <v>-2</v>
      </c>
      <c r="O10">
        <f t="shared" si="8"/>
        <v>1.0101010101010102E-2</v>
      </c>
      <c r="P10">
        <f t="shared" si="9"/>
        <v>-1.9956351945975499</v>
      </c>
      <c r="Q10">
        <f t="shared" si="10"/>
        <v>1.0186757215619693</v>
      </c>
      <c r="R10">
        <f t="shared" si="11"/>
        <v>8.0359555965419244E-3</v>
      </c>
      <c r="U10">
        <f t="shared" si="12"/>
        <v>0.21260809288144372</v>
      </c>
      <c r="Y10">
        <f t="shared" si="13"/>
        <v>-0.20760831050174613</v>
      </c>
      <c r="Z10">
        <f t="shared" si="14"/>
        <v>0.01</v>
      </c>
      <c r="AA10">
        <f t="shared" si="15"/>
        <v>-2</v>
      </c>
      <c r="AC10" t="s">
        <v>32</v>
      </c>
      <c r="AD10" t="s">
        <v>28</v>
      </c>
      <c r="AE10" t="s">
        <v>10</v>
      </c>
      <c r="AF10">
        <f>1000/3.3</f>
        <v>303.03030303030306</v>
      </c>
      <c r="AG10">
        <f t="shared" si="16"/>
        <v>3.2999999999999995E-3</v>
      </c>
      <c r="AH10">
        <v>0.62</v>
      </c>
      <c r="AI10">
        <f t="shared" si="17"/>
        <v>-0.20760831050174613</v>
      </c>
      <c r="AL10" t="s">
        <v>29</v>
      </c>
      <c r="AM10" t="s">
        <v>16</v>
      </c>
      <c r="AN10" t="s">
        <v>15</v>
      </c>
      <c r="AO10" s="1">
        <v>50000000</v>
      </c>
      <c r="AP10" s="1">
        <f t="shared" si="18"/>
        <v>7.6989700043360187</v>
      </c>
      <c r="AQ10">
        <v>380</v>
      </c>
      <c r="AR10">
        <f t="shared" si="19"/>
        <v>380000000</v>
      </c>
      <c r="AS10">
        <f t="shared" si="20"/>
        <v>8.5797835966168101</v>
      </c>
      <c r="AU10" s="1">
        <v>380000000</v>
      </c>
      <c r="AW10">
        <f t="shared" si="37"/>
        <v>958.58525599999984</v>
      </c>
      <c r="AX10">
        <f t="shared" si="21"/>
        <v>9.5858525599999981E-28</v>
      </c>
      <c r="AY10">
        <f t="shared" si="22"/>
        <v>-27.018369255176367</v>
      </c>
      <c r="AZ10">
        <f t="shared" si="38"/>
        <v>6</v>
      </c>
      <c r="BA10">
        <f t="shared" si="23"/>
        <v>0.77815125038364363</v>
      </c>
      <c r="BB10">
        <f t="shared" si="39"/>
        <v>2.2354694485842028E-2</v>
      </c>
      <c r="BC10">
        <f t="shared" si="24"/>
        <v>-1.6506312611133107</v>
      </c>
      <c r="BE10">
        <f t="shared" si="25"/>
        <v>823</v>
      </c>
      <c r="BF10">
        <f t="shared" si="26"/>
        <v>1.215066828675577E-3</v>
      </c>
      <c r="BG10">
        <f t="shared" si="27"/>
        <v>1209600</v>
      </c>
      <c r="BH10">
        <f t="shared" si="28"/>
        <v>6.0826417781571314</v>
      </c>
      <c r="BI10">
        <f t="shared" si="40"/>
        <v>1.6900000000000001E-3</v>
      </c>
      <c r="BJ10">
        <f t="shared" si="29"/>
        <v>-2.7721132953863266</v>
      </c>
      <c r="BK10">
        <v>10</v>
      </c>
      <c r="BL10">
        <f t="shared" si="30"/>
        <v>0.01</v>
      </c>
      <c r="BM10">
        <f t="shared" si="31"/>
        <v>-2</v>
      </c>
      <c r="BN10">
        <v>1.51</v>
      </c>
      <c r="BO10">
        <f t="shared" si="32"/>
        <v>0.17897694729316943</v>
      </c>
      <c r="BQ10">
        <v>81</v>
      </c>
      <c r="BR10">
        <f t="shared" si="33"/>
        <v>1.2231000000000001</v>
      </c>
      <c r="BS10">
        <f t="shared" si="34"/>
        <v>8.7461966171819214E-2</v>
      </c>
      <c r="BV10">
        <f>EXP(-0.3)/1000</f>
        <v>7.4081822068171788E-4</v>
      </c>
      <c r="BW10" s="1">
        <f t="shared" si="35"/>
        <v>-3.1302883445709755</v>
      </c>
      <c r="CB10" t="e">
        <f>#REF!+#REF!*AG10+#REF!*BC10+#REF!*AY10</f>
        <v>#REF!</v>
      </c>
      <c r="CD10" s="1" t="e">
        <f t="shared" si="36"/>
        <v>#REF!</v>
      </c>
    </row>
    <row r="11" spans="1:84" ht="16.5" customHeight="1" x14ac:dyDescent="0.25">
      <c r="A11" s="3" t="s">
        <v>61</v>
      </c>
      <c r="B11" t="s">
        <v>26</v>
      </c>
      <c r="C11" t="s">
        <v>32</v>
      </c>
      <c r="E11">
        <v>0.62</v>
      </c>
      <c r="F11">
        <f t="shared" si="0"/>
        <v>-0.20760831050174613</v>
      </c>
      <c r="G11">
        <f t="shared" si="1"/>
        <v>1.631578947368421</v>
      </c>
      <c r="H11">
        <f t="shared" si="2"/>
        <v>0.21260809288144372</v>
      </c>
      <c r="I11">
        <f t="shared" si="3"/>
        <v>0.38</v>
      </c>
      <c r="J11">
        <f t="shared" si="4"/>
        <v>-0.42021640338318983</v>
      </c>
      <c r="K11">
        <f t="shared" si="5"/>
        <v>0.61290322580645162</v>
      </c>
      <c r="L11">
        <f t="shared" si="6"/>
        <v>-0.21260809288144372</v>
      </c>
      <c r="M11">
        <v>0.01</v>
      </c>
      <c r="N11">
        <f t="shared" si="7"/>
        <v>-2</v>
      </c>
      <c r="O11">
        <f t="shared" si="8"/>
        <v>1.0101010101010102E-2</v>
      </c>
      <c r="P11">
        <f t="shared" si="9"/>
        <v>-1.9956351945975499</v>
      </c>
      <c r="Q11">
        <f t="shared" si="10"/>
        <v>1.0186757215619693</v>
      </c>
      <c r="R11">
        <f t="shared" si="11"/>
        <v>8.0359555965419244E-3</v>
      </c>
      <c r="U11">
        <f t="shared" si="12"/>
        <v>0.21260809288144372</v>
      </c>
      <c r="Y11">
        <f t="shared" si="13"/>
        <v>-0.20760831050174613</v>
      </c>
      <c r="Z11">
        <f t="shared" si="14"/>
        <v>0.01</v>
      </c>
      <c r="AA11">
        <f t="shared" si="15"/>
        <v>-2</v>
      </c>
      <c r="AC11" t="s">
        <v>32</v>
      </c>
      <c r="AD11" t="s">
        <v>28</v>
      </c>
      <c r="AE11" t="s">
        <v>10</v>
      </c>
      <c r="AF11">
        <f>1000/3.2</f>
        <v>312.5</v>
      </c>
      <c r="AG11">
        <f t="shared" si="16"/>
        <v>3.2000000000000002E-3</v>
      </c>
      <c r="AH11">
        <v>0.62</v>
      </c>
      <c r="AI11">
        <f t="shared" si="17"/>
        <v>-0.20760831050174613</v>
      </c>
      <c r="AL11" t="s">
        <v>29</v>
      </c>
      <c r="AM11" t="s">
        <v>16</v>
      </c>
      <c r="AN11" t="s">
        <v>15</v>
      </c>
      <c r="AO11" s="1">
        <v>50000000</v>
      </c>
      <c r="AP11" s="1">
        <f t="shared" si="18"/>
        <v>7.6989700043360187</v>
      </c>
      <c r="AQ11">
        <v>380</v>
      </c>
      <c r="AR11">
        <f t="shared" si="19"/>
        <v>380000000</v>
      </c>
      <c r="AS11">
        <f t="shared" si="20"/>
        <v>8.5797835966168101</v>
      </c>
      <c r="AU11" s="1">
        <v>380000000</v>
      </c>
      <c r="AW11">
        <f t="shared" si="37"/>
        <v>958.58525599999984</v>
      </c>
      <c r="AX11">
        <f t="shared" si="21"/>
        <v>9.5858525599999981E-28</v>
      </c>
      <c r="AY11">
        <f t="shared" si="22"/>
        <v>-27.018369255176367</v>
      </c>
      <c r="AZ11">
        <f t="shared" si="38"/>
        <v>6</v>
      </c>
      <c r="BA11">
        <f t="shared" si="23"/>
        <v>0.77815125038364363</v>
      </c>
      <c r="BB11">
        <f t="shared" si="39"/>
        <v>2.2354694485842028E-2</v>
      </c>
      <c r="BC11">
        <f t="shared" si="24"/>
        <v>-1.6506312611133107</v>
      </c>
      <c r="BE11">
        <f t="shared" si="25"/>
        <v>823</v>
      </c>
      <c r="BF11">
        <f t="shared" si="26"/>
        <v>1.215066828675577E-3</v>
      </c>
      <c r="BG11">
        <f t="shared" si="27"/>
        <v>1209600</v>
      </c>
      <c r="BH11">
        <f t="shared" si="28"/>
        <v>6.0826417781571314</v>
      </c>
      <c r="BI11">
        <f t="shared" si="40"/>
        <v>1.6900000000000001E-3</v>
      </c>
      <c r="BJ11">
        <f t="shared" si="29"/>
        <v>-2.7721132953863266</v>
      </c>
      <c r="BK11">
        <v>10</v>
      </c>
      <c r="BL11">
        <f t="shared" si="30"/>
        <v>0.01</v>
      </c>
      <c r="BM11">
        <f t="shared" si="31"/>
        <v>-2</v>
      </c>
      <c r="BN11">
        <v>1.51</v>
      </c>
      <c r="BO11">
        <f t="shared" si="32"/>
        <v>0.17897694729316943</v>
      </c>
      <c r="BQ11">
        <v>81</v>
      </c>
      <c r="BR11">
        <f t="shared" si="33"/>
        <v>1.2231000000000001</v>
      </c>
      <c r="BS11">
        <f t="shared" si="34"/>
        <v>8.7461966171819214E-2</v>
      </c>
      <c r="BV11">
        <f>EXP(0.15)/1000</f>
        <v>1.161834242728283E-3</v>
      </c>
      <c r="BW11" s="1">
        <f t="shared" si="35"/>
        <v>-2.9348558277145123</v>
      </c>
      <c r="CB11" t="e">
        <f>#REF!+#REF!*AG11+#REF!*BC11+#REF!*AY11</f>
        <v>#REF!</v>
      </c>
      <c r="CD11" s="1" t="e">
        <f t="shared" si="36"/>
        <v>#REF!</v>
      </c>
    </row>
    <row r="12" spans="1:84" ht="16.5" customHeight="1" x14ac:dyDescent="0.25">
      <c r="A12" s="3" t="s">
        <v>61</v>
      </c>
      <c r="B12" t="s">
        <v>26</v>
      </c>
      <c r="C12" t="s">
        <v>32</v>
      </c>
      <c r="E12">
        <v>0.62</v>
      </c>
      <c r="F12">
        <f t="shared" si="0"/>
        <v>-0.20760831050174613</v>
      </c>
      <c r="G12">
        <f t="shared" si="1"/>
        <v>1.631578947368421</v>
      </c>
      <c r="H12">
        <f t="shared" si="2"/>
        <v>0.21260809288144372</v>
      </c>
      <c r="I12">
        <f t="shared" si="3"/>
        <v>0.38</v>
      </c>
      <c r="J12">
        <f t="shared" si="4"/>
        <v>-0.42021640338318983</v>
      </c>
      <c r="K12">
        <f t="shared" si="5"/>
        <v>0.61290322580645162</v>
      </c>
      <c r="L12">
        <f t="shared" si="6"/>
        <v>-0.21260809288144372</v>
      </c>
      <c r="M12">
        <v>0.01</v>
      </c>
      <c r="N12">
        <f t="shared" si="7"/>
        <v>-2</v>
      </c>
      <c r="O12">
        <f t="shared" si="8"/>
        <v>1.0101010101010102E-2</v>
      </c>
      <c r="P12">
        <f t="shared" si="9"/>
        <v>-1.9956351945975499</v>
      </c>
      <c r="Q12">
        <f t="shared" si="10"/>
        <v>1.0186757215619693</v>
      </c>
      <c r="R12">
        <f t="shared" si="11"/>
        <v>8.0359555965419244E-3</v>
      </c>
      <c r="U12">
        <f t="shared" si="12"/>
        <v>0.21260809288144372</v>
      </c>
      <c r="Y12">
        <f t="shared" si="13"/>
        <v>-0.20760831050174613</v>
      </c>
      <c r="Z12">
        <f t="shared" si="14"/>
        <v>0.01</v>
      </c>
      <c r="AA12">
        <f t="shared" si="15"/>
        <v>-2</v>
      </c>
      <c r="AC12" t="s">
        <v>32</v>
      </c>
      <c r="AD12" t="s">
        <v>28</v>
      </c>
      <c r="AE12" t="s">
        <v>10</v>
      </c>
      <c r="AF12">
        <f>1000/3.1</f>
        <v>322.58064516129031</v>
      </c>
      <c r="AG12">
        <f t="shared" si="16"/>
        <v>3.1000000000000003E-3</v>
      </c>
      <c r="AH12">
        <v>0.62</v>
      </c>
      <c r="AI12">
        <f t="shared" si="17"/>
        <v>-0.20760831050174613</v>
      </c>
      <c r="AL12" t="s">
        <v>29</v>
      </c>
      <c r="AM12" t="s">
        <v>16</v>
      </c>
      <c r="AN12" t="s">
        <v>15</v>
      </c>
      <c r="AO12" s="1">
        <v>50000000</v>
      </c>
      <c r="AP12" s="1">
        <f t="shared" si="18"/>
        <v>7.6989700043360187</v>
      </c>
      <c r="AQ12">
        <v>380</v>
      </c>
      <c r="AR12">
        <f t="shared" si="19"/>
        <v>380000000</v>
      </c>
      <c r="AS12">
        <f t="shared" si="20"/>
        <v>8.5797835966168101</v>
      </c>
      <c r="AU12" s="1">
        <v>380000000</v>
      </c>
      <c r="AW12">
        <f t="shared" si="37"/>
        <v>958.58525599999984</v>
      </c>
      <c r="AX12">
        <f t="shared" si="21"/>
        <v>9.5858525599999981E-28</v>
      </c>
      <c r="AY12">
        <f t="shared" si="22"/>
        <v>-27.018369255176367</v>
      </c>
      <c r="AZ12">
        <f t="shared" si="38"/>
        <v>6</v>
      </c>
      <c r="BA12">
        <f t="shared" si="23"/>
        <v>0.77815125038364363</v>
      </c>
      <c r="BB12">
        <f t="shared" si="39"/>
        <v>2.2354694485842028E-2</v>
      </c>
      <c r="BC12">
        <f t="shared" si="24"/>
        <v>-1.6506312611133107</v>
      </c>
      <c r="BE12">
        <f t="shared" si="25"/>
        <v>823</v>
      </c>
      <c r="BF12">
        <f t="shared" si="26"/>
        <v>1.215066828675577E-3</v>
      </c>
      <c r="BG12">
        <f t="shared" si="27"/>
        <v>1209600</v>
      </c>
      <c r="BH12">
        <f t="shared" si="28"/>
        <v>6.0826417781571314</v>
      </c>
      <c r="BI12">
        <f t="shared" si="40"/>
        <v>1.6900000000000001E-3</v>
      </c>
      <c r="BJ12">
        <f t="shared" si="29"/>
        <v>-2.7721132953863266</v>
      </c>
      <c r="BK12">
        <v>10</v>
      </c>
      <c r="BL12">
        <f t="shared" si="30"/>
        <v>0.01</v>
      </c>
      <c r="BM12">
        <f t="shared" si="31"/>
        <v>-2</v>
      </c>
      <c r="BN12">
        <v>1.51</v>
      </c>
      <c r="BO12">
        <f t="shared" si="32"/>
        <v>0.17897694729316943</v>
      </c>
      <c r="BQ12">
        <v>81</v>
      </c>
      <c r="BR12">
        <f t="shared" si="33"/>
        <v>1.2231000000000001</v>
      </c>
      <c r="BS12">
        <f t="shared" si="34"/>
        <v>8.7461966171819214E-2</v>
      </c>
      <c r="BV12">
        <f>EXP(0.6)/1000</f>
        <v>1.8221188003905088E-3</v>
      </c>
      <c r="BW12" s="1">
        <f t="shared" si="35"/>
        <v>-2.739423310858049</v>
      </c>
      <c r="CB12" t="e">
        <f>#REF!+#REF!*AG12+#REF!*BC12+#REF!*AY12</f>
        <v>#REF!</v>
      </c>
      <c r="CD12" s="1" t="e">
        <f t="shared" si="36"/>
        <v>#REF!</v>
      </c>
    </row>
    <row r="13" spans="1:84" ht="16.5" customHeight="1" x14ac:dyDescent="0.25">
      <c r="A13" s="3" t="s">
        <v>61</v>
      </c>
      <c r="B13" t="s">
        <v>26</v>
      </c>
      <c r="C13" t="s">
        <v>32</v>
      </c>
      <c r="E13">
        <v>0.62</v>
      </c>
      <c r="F13">
        <f t="shared" si="0"/>
        <v>-0.20760831050174613</v>
      </c>
      <c r="G13">
        <f t="shared" si="1"/>
        <v>1.631578947368421</v>
      </c>
      <c r="H13">
        <f t="shared" si="2"/>
        <v>0.21260809288144372</v>
      </c>
      <c r="I13">
        <f t="shared" si="3"/>
        <v>0.38</v>
      </c>
      <c r="J13">
        <f t="shared" si="4"/>
        <v>-0.42021640338318983</v>
      </c>
      <c r="K13">
        <f t="shared" si="5"/>
        <v>0.61290322580645162</v>
      </c>
      <c r="L13">
        <f t="shared" si="6"/>
        <v>-0.21260809288144372</v>
      </c>
      <c r="M13">
        <v>0.01</v>
      </c>
      <c r="N13">
        <f t="shared" si="7"/>
        <v>-2</v>
      </c>
      <c r="O13">
        <f t="shared" si="8"/>
        <v>1.0101010101010102E-2</v>
      </c>
      <c r="P13">
        <f t="shared" si="9"/>
        <v>-1.9956351945975499</v>
      </c>
      <c r="Q13">
        <f t="shared" si="10"/>
        <v>1.0186757215619693</v>
      </c>
      <c r="R13">
        <f t="shared" si="11"/>
        <v>8.0359555965419244E-3</v>
      </c>
      <c r="U13">
        <f t="shared" si="12"/>
        <v>0.21260809288144372</v>
      </c>
      <c r="Y13">
        <f t="shared" si="13"/>
        <v>-0.20760831050174613</v>
      </c>
      <c r="Z13">
        <f t="shared" si="14"/>
        <v>0.01</v>
      </c>
      <c r="AA13">
        <f t="shared" si="15"/>
        <v>-2</v>
      </c>
      <c r="AC13" t="s">
        <v>32</v>
      </c>
      <c r="AD13" t="s">
        <v>28</v>
      </c>
      <c r="AE13" t="s">
        <v>10</v>
      </c>
      <c r="AF13">
        <f>1000/3</f>
        <v>333.33333333333331</v>
      </c>
      <c r="AG13">
        <f t="shared" si="16"/>
        <v>3.0000000000000001E-3</v>
      </c>
      <c r="AH13">
        <v>0.62</v>
      </c>
      <c r="AI13">
        <f t="shared" si="17"/>
        <v>-0.20760831050174613</v>
      </c>
      <c r="AL13" t="s">
        <v>29</v>
      </c>
      <c r="AM13" t="s">
        <v>16</v>
      </c>
      <c r="AN13" t="s">
        <v>15</v>
      </c>
      <c r="AO13" s="1">
        <v>50000000</v>
      </c>
      <c r="AP13" s="1">
        <f t="shared" si="18"/>
        <v>7.6989700043360187</v>
      </c>
      <c r="AQ13">
        <v>380</v>
      </c>
      <c r="AR13">
        <f t="shared" si="19"/>
        <v>380000000</v>
      </c>
      <c r="AS13">
        <f t="shared" si="20"/>
        <v>8.5797835966168101</v>
      </c>
      <c r="AU13" s="1">
        <v>380000000</v>
      </c>
      <c r="AW13">
        <f t="shared" si="37"/>
        <v>958.58525599999984</v>
      </c>
      <c r="AX13">
        <f t="shared" si="21"/>
        <v>9.5858525599999981E-28</v>
      </c>
      <c r="AY13">
        <f t="shared" si="22"/>
        <v>-27.018369255176367</v>
      </c>
      <c r="AZ13">
        <f t="shared" si="38"/>
        <v>6</v>
      </c>
      <c r="BA13">
        <f t="shared" si="23"/>
        <v>0.77815125038364363</v>
      </c>
      <c r="BB13">
        <f t="shared" si="39"/>
        <v>2.2354694485842028E-2</v>
      </c>
      <c r="BC13">
        <f t="shared" si="24"/>
        <v>-1.6506312611133107</v>
      </c>
      <c r="BE13">
        <f t="shared" si="25"/>
        <v>823</v>
      </c>
      <c r="BF13">
        <f t="shared" si="26"/>
        <v>1.215066828675577E-3</v>
      </c>
      <c r="BG13">
        <f t="shared" si="27"/>
        <v>1209600</v>
      </c>
      <c r="BH13">
        <f t="shared" si="28"/>
        <v>6.0826417781571314</v>
      </c>
      <c r="BI13">
        <f t="shared" si="40"/>
        <v>1.6900000000000001E-3</v>
      </c>
      <c r="BJ13">
        <f t="shared" si="29"/>
        <v>-2.7721132953863266</v>
      </c>
      <c r="BK13">
        <v>10</v>
      </c>
      <c r="BL13">
        <f t="shared" si="30"/>
        <v>0.01</v>
      </c>
      <c r="BM13">
        <f t="shared" si="31"/>
        <v>-2</v>
      </c>
      <c r="BN13">
        <v>1.51</v>
      </c>
      <c r="BO13">
        <f t="shared" si="32"/>
        <v>0.17897694729316943</v>
      </c>
      <c r="BQ13">
        <v>81</v>
      </c>
      <c r="BR13">
        <f t="shared" si="33"/>
        <v>1.2231000000000001</v>
      </c>
      <c r="BS13">
        <f t="shared" si="34"/>
        <v>8.7461966171819214E-2</v>
      </c>
      <c r="BV13">
        <f>EXP(1.1)/1000</f>
        <v>3.0041660239464333E-3</v>
      </c>
      <c r="BW13" s="1">
        <f t="shared" si="35"/>
        <v>-2.5222760699064231</v>
      </c>
      <c r="CB13" t="e">
        <f>#REF!+#REF!*AG13+#REF!*BC13+#REF!*AY13</f>
        <v>#REF!</v>
      </c>
      <c r="CD13" s="1" t="e">
        <f t="shared" si="36"/>
        <v>#REF!</v>
      </c>
    </row>
    <row r="14" spans="1:84" ht="16.5" customHeight="1" x14ac:dyDescent="0.25">
      <c r="A14" s="3" t="s">
        <v>61</v>
      </c>
      <c r="B14" t="s">
        <v>26</v>
      </c>
      <c r="C14" t="s">
        <v>33</v>
      </c>
      <c r="E14">
        <v>0.16</v>
      </c>
      <c r="F14">
        <f t="shared" si="0"/>
        <v>-0.79588001734407521</v>
      </c>
      <c r="G14">
        <f t="shared" si="1"/>
        <v>0.19047619047619049</v>
      </c>
      <c r="H14">
        <f t="shared" si="2"/>
        <v>-0.7201593034059568</v>
      </c>
      <c r="I14">
        <f t="shared" si="3"/>
        <v>0.84</v>
      </c>
      <c r="J14">
        <f t="shared" si="4"/>
        <v>-7.5720713938118356E-2</v>
      </c>
      <c r="K14">
        <f t="shared" si="5"/>
        <v>5.2499999999999991</v>
      </c>
      <c r="L14">
        <f t="shared" si="6"/>
        <v>0.7201593034059568</v>
      </c>
      <c r="M14">
        <v>0.01</v>
      </c>
      <c r="N14">
        <f t="shared" si="7"/>
        <v>-2</v>
      </c>
      <c r="O14">
        <f t="shared" si="8"/>
        <v>1.0101010101010102E-2</v>
      </c>
      <c r="P14">
        <f t="shared" si="9"/>
        <v>-1.9956351945975499</v>
      </c>
      <c r="Q14">
        <f t="shared" si="10"/>
        <v>5.0595238095238084</v>
      </c>
      <c r="R14">
        <f t="shared" si="11"/>
        <v>0.70410964398842979</v>
      </c>
      <c r="U14">
        <f t="shared" si="12"/>
        <v>-0.7201593034059568</v>
      </c>
      <c r="Y14">
        <f t="shared" si="13"/>
        <v>-0.79588001734407521</v>
      </c>
      <c r="Z14">
        <f t="shared" si="14"/>
        <v>0.01</v>
      </c>
      <c r="AA14">
        <f t="shared" si="15"/>
        <v>-2</v>
      </c>
      <c r="AC14" t="s">
        <v>33</v>
      </c>
      <c r="AD14" t="s">
        <v>28</v>
      </c>
      <c r="AE14" t="s">
        <v>10</v>
      </c>
      <c r="AF14">
        <f>1000/4.29</f>
        <v>233.10023310023311</v>
      </c>
      <c r="AG14">
        <f t="shared" si="16"/>
        <v>4.2899999999999995E-3</v>
      </c>
      <c r="AH14">
        <v>0.16</v>
      </c>
      <c r="AI14">
        <f t="shared" si="17"/>
        <v>-0.79588001734407521</v>
      </c>
      <c r="AL14" t="s">
        <v>29</v>
      </c>
      <c r="AM14" t="s">
        <v>16</v>
      </c>
      <c r="AN14" t="s">
        <v>15</v>
      </c>
      <c r="AO14" s="1">
        <v>50000000</v>
      </c>
      <c r="AP14" s="1">
        <f t="shared" si="18"/>
        <v>7.6989700043360187</v>
      </c>
      <c r="AQ14">
        <v>380</v>
      </c>
      <c r="AR14">
        <f t="shared" si="19"/>
        <v>380000000</v>
      </c>
      <c r="AS14">
        <f t="shared" si="20"/>
        <v>8.5797835966168101</v>
      </c>
      <c r="AU14" s="1">
        <v>380000000</v>
      </c>
      <c r="AW14">
        <f>10.05^3</f>
        <v>1015.0751250000002</v>
      </c>
      <c r="AX14">
        <f t="shared" si="21"/>
        <v>1.0150751250000001E-27</v>
      </c>
      <c r="AY14">
        <f t="shared" si="22"/>
        <v>-26.993501814730475</v>
      </c>
      <c r="AZ14">
        <f>6/1</f>
        <v>6</v>
      </c>
      <c r="BA14">
        <f t="shared" si="23"/>
        <v>0.77815125038364363</v>
      </c>
      <c r="BB14">
        <f>6/324.55</f>
        <v>1.848713603450932E-2</v>
      </c>
      <c r="BC14">
        <f t="shared" si="24"/>
        <v>-1.7331303630834989</v>
      </c>
      <c r="BE14">
        <f t="shared" si="25"/>
        <v>823</v>
      </c>
      <c r="BF14">
        <f t="shared" si="26"/>
        <v>1.215066828675577E-3</v>
      </c>
      <c r="BG14">
        <f t="shared" si="27"/>
        <v>1209600</v>
      </c>
      <c r="BH14">
        <f t="shared" si="28"/>
        <v>6.0826417781571314</v>
      </c>
      <c r="BI14" s="1">
        <v>1.6999999999999999E-3</v>
      </c>
      <c r="BJ14">
        <f t="shared" si="29"/>
        <v>-2.7695510786217259</v>
      </c>
      <c r="BK14">
        <v>10</v>
      </c>
      <c r="BL14">
        <f t="shared" si="30"/>
        <v>0.01</v>
      </c>
      <c r="BM14">
        <f t="shared" si="31"/>
        <v>-2</v>
      </c>
      <c r="BN14">
        <v>1.87</v>
      </c>
      <c r="BO14">
        <f t="shared" si="32"/>
        <v>0.27184160653649897</v>
      </c>
      <c r="BQ14">
        <v>88</v>
      </c>
      <c r="BR14">
        <f t="shared" si="33"/>
        <v>1.6456000000000002</v>
      </c>
      <c r="BS14">
        <f t="shared" si="34"/>
        <v>0.21632427868666765</v>
      </c>
      <c r="BV14">
        <f>EXP(-6.1)/1000</f>
        <v>2.2428677194858035E-6</v>
      </c>
      <c r="BW14" s="1">
        <f t="shared" si="35"/>
        <v>-5.6491963396098361</v>
      </c>
      <c r="CB14" t="e">
        <f>#REF!+#REF!*AG14+#REF!*BC14+#REF!*AY14</f>
        <v>#REF!</v>
      </c>
      <c r="CD14" s="1" t="e">
        <f t="shared" si="36"/>
        <v>#REF!</v>
      </c>
    </row>
    <row r="15" spans="1:84" ht="16.5" customHeight="1" x14ac:dyDescent="0.25">
      <c r="A15" s="3" t="s">
        <v>61</v>
      </c>
      <c r="B15" t="s">
        <v>26</v>
      </c>
      <c r="C15" t="s">
        <v>33</v>
      </c>
      <c r="E15">
        <v>0.16</v>
      </c>
      <c r="F15">
        <f t="shared" si="0"/>
        <v>-0.79588001734407521</v>
      </c>
      <c r="G15">
        <f t="shared" si="1"/>
        <v>0.19047619047619049</v>
      </c>
      <c r="H15">
        <f t="shared" si="2"/>
        <v>-0.7201593034059568</v>
      </c>
      <c r="I15">
        <f t="shared" si="3"/>
        <v>0.84</v>
      </c>
      <c r="J15">
        <f t="shared" si="4"/>
        <v>-7.5720713938118356E-2</v>
      </c>
      <c r="K15">
        <f t="shared" si="5"/>
        <v>5.2499999999999991</v>
      </c>
      <c r="L15">
        <f t="shared" si="6"/>
        <v>0.7201593034059568</v>
      </c>
      <c r="M15">
        <v>0.01</v>
      </c>
      <c r="N15">
        <f t="shared" si="7"/>
        <v>-2</v>
      </c>
      <c r="O15">
        <f t="shared" si="8"/>
        <v>1.0101010101010102E-2</v>
      </c>
      <c r="P15">
        <f t="shared" si="9"/>
        <v>-1.9956351945975499</v>
      </c>
      <c r="Q15">
        <f t="shared" si="10"/>
        <v>5.0595238095238084</v>
      </c>
      <c r="R15">
        <f t="shared" si="11"/>
        <v>0.70410964398842979</v>
      </c>
      <c r="U15">
        <f t="shared" si="12"/>
        <v>-0.7201593034059568</v>
      </c>
      <c r="Y15">
        <f t="shared" si="13"/>
        <v>-0.79588001734407521</v>
      </c>
      <c r="Z15">
        <f t="shared" si="14"/>
        <v>0.01</v>
      </c>
      <c r="AA15">
        <f t="shared" si="15"/>
        <v>-2</v>
      </c>
      <c r="AC15" t="s">
        <v>33</v>
      </c>
      <c r="AD15" t="s">
        <v>28</v>
      </c>
      <c r="AE15" t="s">
        <v>10</v>
      </c>
      <c r="AF15">
        <f>1000/4.12</f>
        <v>242.71844660194174</v>
      </c>
      <c r="AG15">
        <f t="shared" si="16"/>
        <v>4.1200000000000004E-3</v>
      </c>
      <c r="AH15">
        <v>0.16</v>
      </c>
      <c r="AI15">
        <f t="shared" si="17"/>
        <v>-0.79588001734407521</v>
      </c>
      <c r="AL15" t="s">
        <v>29</v>
      </c>
      <c r="AM15" t="s">
        <v>16</v>
      </c>
      <c r="AN15" t="s">
        <v>15</v>
      </c>
      <c r="AO15" s="1">
        <v>50000000</v>
      </c>
      <c r="AP15" s="1">
        <f t="shared" si="18"/>
        <v>7.6989700043360187</v>
      </c>
      <c r="AQ15">
        <v>380</v>
      </c>
      <c r="AR15">
        <f t="shared" si="19"/>
        <v>380000000</v>
      </c>
      <c r="AS15">
        <f t="shared" si="20"/>
        <v>8.5797835966168101</v>
      </c>
      <c r="AU15" s="1">
        <v>380000000</v>
      </c>
      <c r="AW15">
        <f t="shared" ref="AW15:AW25" si="41">10.05^3</f>
        <v>1015.0751250000002</v>
      </c>
      <c r="AX15">
        <f t="shared" si="21"/>
        <v>1.0150751250000001E-27</v>
      </c>
      <c r="AY15">
        <f t="shared" si="22"/>
        <v>-26.993501814730475</v>
      </c>
      <c r="AZ15">
        <f t="shared" ref="AZ15:AZ25" si="42">6/1</f>
        <v>6</v>
      </c>
      <c r="BA15">
        <f t="shared" si="23"/>
        <v>0.77815125038364363</v>
      </c>
      <c r="BB15">
        <f t="shared" ref="BB15:BB25" si="43">6/324.55</f>
        <v>1.848713603450932E-2</v>
      </c>
      <c r="BC15">
        <f t="shared" si="24"/>
        <v>-1.7331303630834989</v>
      </c>
      <c r="BE15">
        <f t="shared" si="25"/>
        <v>823</v>
      </c>
      <c r="BF15">
        <f t="shared" si="26"/>
        <v>1.215066828675577E-3</v>
      </c>
      <c r="BG15">
        <f t="shared" si="27"/>
        <v>1209600</v>
      </c>
      <c r="BH15">
        <f t="shared" si="28"/>
        <v>6.0826417781571314</v>
      </c>
      <c r="BI15" s="1">
        <v>1.6999999999999999E-3</v>
      </c>
      <c r="BJ15">
        <f t="shared" si="29"/>
        <v>-2.7695510786217259</v>
      </c>
      <c r="BK15">
        <v>10</v>
      </c>
      <c r="BL15">
        <f t="shared" si="30"/>
        <v>0.01</v>
      </c>
      <c r="BM15">
        <f t="shared" si="31"/>
        <v>-2</v>
      </c>
      <c r="BN15">
        <v>1.87</v>
      </c>
      <c r="BO15">
        <f t="shared" si="32"/>
        <v>0.27184160653649897</v>
      </c>
      <c r="BQ15">
        <v>88</v>
      </c>
      <c r="BR15">
        <f t="shared" si="33"/>
        <v>1.6456000000000002</v>
      </c>
      <c r="BS15">
        <f t="shared" si="34"/>
        <v>0.21632427868666765</v>
      </c>
      <c r="BV15">
        <f>EXP(-5.4)/1000</f>
        <v>4.5165809426126663E-6</v>
      </c>
      <c r="BW15" s="1">
        <f t="shared" si="35"/>
        <v>-5.3451902022775597</v>
      </c>
      <c r="CB15" t="e">
        <f>#REF!+#REF!*AG15+#REF!*BC15+#REF!*AY15</f>
        <v>#REF!</v>
      </c>
      <c r="CD15" s="1" t="e">
        <f t="shared" si="36"/>
        <v>#REF!</v>
      </c>
    </row>
    <row r="16" spans="1:84" ht="16.5" customHeight="1" x14ac:dyDescent="0.25">
      <c r="A16" s="3" t="s">
        <v>61</v>
      </c>
      <c r="B16" t="s">
        <v>26</v>
      </c>
      <c r="C16" t="s">
        <v>33</v>
      </c>
      <c r="E16">
        <v>0.16</v>
      </c>
      <c r="F16">
        <f t="shared" si="0"/>
        <v>-0.79588001734407521</v>
      </c>
      <c r="G16">
        <f t="shared" si="1"/>
        <v>0.19047619047619049</v>
      </c>
      <c r="H16">
        <f t="shared" si="2"/>
        <v>-0.7201593034059568</v>
      </c>
      <c r="I16">
        <f t="shared" si="3"/>
        <v>0.84</v>
      </c>
      <c r="J16">
        <f t="shared" si="4"/>
        <v>-7.5720713938118356E-2</v>
      </c>
      <c r="K16">
        <f t="shared" si="5"/>
        <v>5.2499999999999991</v>
      </c>
      <c r="L16">
        <f t="shared" si="6"/>
        <v>0.7201593034059568</v>
      </c>
      <c r="M16">
        <v>0.01</v>
      </c>
      <c r="N16">
        <f t="shared" si="7"/>
        <v>-2</v>
      </c>
      <c r="O16">
        <f t="shared" si="8"/>
        <v>1.0101010101010102E-2</v>
      </c>
      <c r="P16">
        <f t="shared" si="9"/>
        <v>-1.9956351945975499</v>
      </c>
      <c r="Q16">
        <f t="shared" si="10"/>
        <v>5.0595238095238084</v>
      </c>
      <c r="R16">
        <f t="shared" si="11"/>
        <v>0.70410964398842979</v>
      </c>
      <c r="U16">
        <f t="shared" si="12"/>
        <v>-0.7201593034059568</v>
      </c>
      <c r="Y16">
        <f t="shared" si="13"/>
        <v>-0.79588001734407521</v>
      </c>
      <c r="Z16">
        <f t="shared" si="14"/>
        <v>0.01</v>
      </c>
      <c r="AA16">
        <f t="shared" si="15"/>
        <v>-2</v>
      </c>
      <c r="AC16" t="s">
        <v>33</v>
      </c>
      <c r="AD16" t="s">
        <v>28</v>
      </c>
      <c r="AE16" t="s">
        <v>10</v>
      </c>
      <c r="AF16">
        <f>1000/3.96</f>
        <v>252.52525252525254</v>
      </c>
      <c r="AG16">
        <f t="shared" si="16"/>
        <v>3.96E-3</v>
      </c>
      <c r="AH16">
        <v>0.16</v>
      </c>
      <c r="AI16">
        <f t="shared" si="17"/>
        <v>-0.79588001734407521</v>
      </c>
      <c r="AL16" t="s">
        <v>29</v>
      </c>
      <c r="AM16" t="s">
        <v>16</v>
      </c>
      <c r="AN16" t="s">
        <v>15</v>
      </c>
      <c r="AO16" s="1">
        <v>50000000</v>
      </c>
      <c r="AP16" s="1">
        <f t="shared" si="18"/>
        <v>7.6989700043360187</v>
      </c>
      <c r="AQ16">
        <v>380</v>
      </c>
      <c r="AR16">
        <f t="shared" si="19"/>
        <v>380000000</v>
      </c>
      <c r="AS16">
        <f t="shared" si="20"/>
        <v>8.5797835966168101</v>
      </c>
      <c r="AU16" s="1">
        <v>380000000</v>
      </c>
      <c r="AW16">
        <f t="shared" si="41"/>
        <v>1015.0751250000002</v>
      </c>
      <c r="AX16">
        <f t="shared" si="21"/>
        <v>1.0150751250000001E-27</v>
      </c>
      <c r="AY16">
        <f t="shared" si="22"/>
        <v>-26.993501814730475</v>
      </c>
      <c r="AZ16">
        <f t="shared" si="42"/>
        <v>6</v>
      </c>
      <c r="BA16">
        <f t="shared" si="23"/>
        <v>0.77815125038364363</v>
      </c>
      <c r="BB16">
        <f t="shared" si="43"/>
        <v>1.848713603450932E-2</v>
      </c>
      <c r="BC16">
        <f t="shared" si="24"/>
        <v>-1.7331303630834989</v>
      </c>
      <c r="BE16">
        <f t="shared" si="25"/>
        <v>823</v>
      </c>
      <c r="BF16">
        <f t="shared" si="26"/>
        <v>1.215066828675577E-3</v>
      </c>
      <c r="BG16">
        <f t="shared" si="27"/>
        <v>1209600</v>
      </c>
      <c r="BH16">
        <f t="shared" si="28"/>
        <v>6.0826417781571314</v>
      </c>
      <c r="BI16" s="1">
        <v>1.6999999999999999E-3</v>
      </c>
      <c r="BJ16">
        <f t="shared" si="29"/>
        <v>-2.7695510786217259</v>
      </c>
      <c r="BK16">
        <v>10</v>
      </c>
      <c r="BL16">
        <f t="shared" si="30"/>
        <v>0.01</v>
      </c>
      <c r="BM16">
        <f t="shared" si="31"/>
        <v>-2</v>
      </c>
      <c r="BN16">
        <v>1.87</v>
      </c>
      <c r="BO16">
        <f t="shared" si="32"/>
        <v>0.27184160653649897</v>
      </c>
      <c r="BQ16">
        <v>88</v>
      </c>
      <c r="BR16">
        <f t="shared" si="33"/>
        <v>1.6456000000000002</v>
      </c>
      <c r="BS16">
        <f t="shared" si="34"/>
        <v>0.21632427868666765</v>
      </c>
      <c r="BV16">
        <f>EXP(-4.75)/1000</f>
        <v>8.6516952031206338E-6</v>
      </c>
      <c r="BW16" s="1">
        <f t="shared" si="35"/>
        <v>-5.062898789040446</v>
      </c>
      <c r="CB16" t="e">
        <f>#REF!+#REF!*AG16+#REF!*BC16+#REF!*AY16</f>
        <v>#REF!</v>
      </c>
      <c r="CD16" s="1" t="e">
        <f t="shared" si="36"/>
        <v>#REF!</v>
      </c>
    </row>
    <row r="17" spans="1:82" ht="16.5" customHeight="1" x14ac:dyDescent="0.25">
      <c r="A17" s="3" t="s">
        <v>61</v>
      </c>
      <c r="B17" t="s">
        <v>26</v>
      </c>
      <c r="C17" t="s">
        <v>33</v>
      </c>
      <c r="E17">
        <v>0.16</v>
      </c>
      <c r="F17">
        <f t="shared" si="0"/>
        <v>-0.79588001734407521</v>
      </c>
      <c r="G17">
        <f t="shared" si="1"/>
        <v>0.19047619047619049</v>
      </c>
      <c r="H17">
        <f t="shared" si="2"/>
        <v>-0.7201593034059568</v>
      </c>
      <c r="I17">
        <f t="shared" si="3"/>
        <v>0.84</v>
      </c>
      <c r="J17">
        <f t="shared" si="4"/>
        <v>-7.5720713938118356E-2</v>
      </c>
      <c r="K17">
        <f t="shared" si="5"/>
        <v>5.2499999999999991</v>
      </c>
      <c r="L17">
        <f t="shared" si="6"/>
        <v>0.7201593034059568</v>
      </c>
      <c r="M17">
        <v>0.01</v>
      </c>
      <c r="N17">
        <f t="shared" si="7"/>
        <v>-2</v>
      </c>
      <c r="O17">
        <f t="shared" si="8"/>
        <v>1.0101010101010102E-2</v>
      </c>
      <c r="P17">
        <f t="shared" si="9"/>
        <v>-1.9956351945975499</v>
      </c>
      <c r="Q17">
        <f t="shared" si="10"/>
        <v>5.0595238095238084</v>
      </c>
      <c r="R17">
        <f t="shared" si="11"/>
        <v>0.70410964398842979</v>
      </c>
      <c r="U17">
        <f t="shared" si="12"/>
        <v>-0.7201593034059568</v>
      </c>
      <c r="Y17">
        <f t="shared" si="13"/>
        <v>-0.79588001734407521</v>
      </c>
      <c r="Z17">
        <f t="shared" si="14"/>
        <v>0.01</v>
      </c>
      <c r="AA17">
        <f t="shared" si="15"/>
        <v>-2</v>
      </c>
      <c r="AC17" t="s">
        <v>33</v>
      </c>
      <c r="AD17" t="s">
        <v>28</v>
      </c>
      <c r="AE17" t="s">
        <v>10</v>
      </c>
      <c r="AF17">
        <f>1000/3.81</f>
        <v>262.46719160104988</v>
      </c>
      <c r="AG17">
        <f t="shared" si="16"/>
        <v>3.81E-3</v>
      </c>
      <c r="AH17">
        <v>0.16</v>
      </c>
      <c r="AI17">
        <f t="shared" si="17"/>
        <v>-0.79588001734407521</v>
      </c>
      <c r="AL17" t="s">
        <v>29</v>
      </c>
      <c r="AM17" t="s">
        <v>16</v>
      </c>
      <c r="AN17" t="s">
        <v>15</v>
      </c>
      <c r="AO17" s="1">
        <v>50000000</v>
      </c>
      <c r="AP17" s="1">
        <f t="shared" si="18"/>
        <v>7.6989700043360187</v>
      </c>
      <c r="AQ17">
        <v>380</v>
      </c>
      <c r="AR17">
        <f t="shared" si="19"/>
        <v>380000000</v>
      </c>
      <c r="AS17">
        <f t="shared" si="20"/>
        <v>8.5797835966168101</v>
      </c>
      <c r="AU17" s="1">
        <v>380000000</v>
      </c>
      <c r="AW17">
        <f t="shared" si="41"/>
        <v>1015.0751250000002</v>
      </c>
      <c r="AX17">
        <f t="shared" si="21"/>
        <v>1.0150751250000001E-27</v>
      </c>
      <c r="AY17">
        <f t="shared" si="22"/>
        <v>-26.993501814730475</v>
      </c>
      <c r="AZ17">
        <f t="shared" si="42"/>
        <v>6</v>
      </c>
      <c r="BA17">
        <f t="shared" si="23"/>
        <v>0.77815125038364363</v>
      </c>
      <c r="BB17">
        <f t="shared" si="43"/>
        <v>1.848713603450932E-2</v>
      </c>
      <c r="BC17">
        <f t="shared" si="24"/>
        <v>-1.7331303630834989</v>
      </c>
      <c r="BE17">
        <f t="shared" si="25"/>
        <v>823</v>
      </c>
      <c r="BF17">
        <f t="shared" si="26"/>
        <v>1.215066828675577E-3</v>
      </c>
      <c r="BG17">
        <f t="shared" si="27"/>
        <v>1209600</v>
      </c>
      <c r="BH17">
        <f t="shared" si="28"/>
        <v>6.0826417781571314</v>
      </c>
      <c r="BI17" s="1">
        <v>1.6999999999999999E-3</v>
      </c>
      <c r="BJ17">
        <f t="shared" si="29"/>
        <v>-2.7695510786217259</v>
      </c>
      <c r="BK17">
        <v>10</v>
      </c>
      <c r="BL17">
        <f t="shared" si="30"/>
        <v>0.01</v>
      </c>
      <c r="BM17">
        <f t="shared" si="31"/>
        <v>-2</v>
      </c>
      <c r="BN17">
        <v>1.87</v>
      </c>
      <c r="BO17">
        <f t="shared" si="32"/>
        <v>0.27184160653649897</v>
      </c>
      <c r="BQ17">
        <v>88</v>
      </c>
      <c r="BR17">
        <f t="shared" si="33"/>
        <v>1.6456000000000002</v>
      </c>
      <c r="BS17">
        <f t="shared" si="34"/>
        <v>0.21632427868666765</v>
      </c>
      <c r="BV17">
        <f>EXP(-4)/1000</f>
        <v>1.831563888873418E-5</v>
      </c>
      <c r="BW17" s="1">
        <f t="shared" si="35"/>
        <v>-4.7371779276130077</v>
      </c>
      <c r="CB17" t="e">
        <f>#REF!+#REF!*AG17+#REF!*BC17+#REF!*AY17</f>
        <v>#REF!</v>
      </c>
      <c r="CD17" s="1" t="e">
        <f t="shared" si="36"/>
        <v>#REF!</v>
      </c>
    </row>
    <row r="18" spans="1:82" ht="16.5" customHeight="1" x14ac:dyDescent="0.25">
      <c r="A18" s="3" t="s">
        <v>61</v>
      </c>
      <c r="B18" t="s">
        <v>26</v>
      </c>
      <c r="C18" t="s">
        <v>33</v>
      </c>
      <c r="E18">
        <v>0.16</v>
      </c>
      <c r="F18">
        <f t="shared" si="0"/>
        <v>-0.79588001734407521</v>
      </c>
      <c r="G18">
        <f t="shared" si="1"/>
        <v>0.19047619047619049</v>
      </c>
      <c r="H18">
        <f t="shared" si="2"/>
        <v>-0.7201593034059568</v>
      </c>
      <c r="I18">
        <f t="shared" si="3"/>
        <v>0.84</v>
      </c>
      <c r="J18">
        <f t="shared" si="4"/>
        <v>-7.5720713938118356E-2</v>
      </c>
      <c r="K18">
        <f t="shared" si="5"/>
        <v>5.2499999999999991</v>
      </c>
      <c r="L18">
        <f t="shared" si="6"/>
        <v>0.7201593034059568</v>
      </c>
      <c r="M18">
        <v>0.01</v>
      </c>
      <c r="N18">
        <f t="shared" si="7"/>
        <v>-2</v>
      </c>
      <c r="O18">
        <f t="shared" si="8"/>
        <v>1.0101010101010102E-2</v>
      </c>
      <c r="P18">
        <f t="shared" si="9"/>
        <v>-1.9956351945975499</v>
      </c>
      <c r="Q18">
        <f t="shared" si="10"/>
        <v>5.0595238095238084</v>
      </c>
      <c r="R18">
        <f t="shared" si="11"/>
        <v>0.70410964398842979</v>
      </c>
      <c r="U18">
        <f t="shared" si="12"/>
        <v>-0.7201593034059568</v>
      </c>
      <c r="Y18">
        <f t="shared" si="13"/>
        <v>-0.79588001734407521</v>
      </c>
      <c r="Z18">
        <f t="shared" si="14"/>
        <v>0.01</v>
      </c>
      <c r="AA18">
        <f t="shared" si="15"/>
        <v>-2</v>
      </c>
      <c r="AC18" t="s">
        <v>33</v>
      </c>
      <c r="AD18" t="s">
        <v>28</v>
      </c>
      <c r="AE18" t="s">
        <v>10</v>
      </c>
      <c r="AF18">
        <f>1000/3.66</f>
        <v>273.22404371584696</v>
      </c>
      <c r="AG18">
        <f t="shared" si="16"/>
        <v>3.6600000000000005E-3</v>
      </c>
      <c r="AH18">
        <v>0.16</v>
      </c>
      <c r="AI18">
        <f t="shared" si="17"/>
        <v>-0.79588001734407521</v>
      </c>
      <c r="AL18" t="s">
        <v>29</v>
      </c>
      <c r="AM18" t="s">
        <v>16</v>
      </c>
      <c r="AN18" t="s">
        <v>15</v>
      </c>
      <c r="AO18" s="1">
        <v>50000000</v>
      </c>
      <c r="AP18" s="1">
        <f t="shared" si="18"/>
        <v>7.6989700043360187</v>
      </c>
      <c r="AQ18">
        <v>380</v>
      </c>
      <c r="AR18">
        <f t="shared" si="19"/>
        <v>380000000</v>
      </c>
      <c r="AS18">
        <f t="shared" si="20"/>
        <v>8.5797835966168101</v>
      </c>
      <c r="AU18" s="1">
        <v>380000000</v>
      </c>
      <c r="AW18">
        <f t="shared" si="41"/>
        <v>1015.0751250000002</v>
      </c>
      <c r="AX18">
        <f t="shared" si="21"/>
        <v>1.0150751250000001E-27</v>
      </c>
      <c r="AY18">
        <f t="shared" si="22"/>
        <v>-26.993501814730475</v>
      </c>
      <c r="AZ18">
        <f t="shared" si="42"/>
        <v>6</v>
      </c>
      <c r="BA18">
        <f t="shared" si="23"/>
        <v>0.77815125038364363</v>
      </c>
      <c r="BB18">
        <f t="shared" si="43"/>
        <v>1.848713603450932E-2</v>
      </c>
      <c r="BC18">
        <f t="shared" si="24"/>
        <v>-1.7331303630834989</v>
      </c>
      <c r="BE18">
        <f t="shared" si="25"/>
        <v>823</v>
      </c>
      <c r="BF18">
        <f t="shared" si="26"/>
        <v>1.215066828675577E-3</v>
      </c>
      <c r="BG18">
        <f t="shared" si="27"/>
        <v>1209600</v>
      </c>
      <c r="BH18">
        <f t="shared" si="28"/>
        <v>6.0826417781571314</v>
      </c>
      <c r="BI18" s="1">
        <v>1.6999999999999999E-3</v>
      </c>
      <c r="BJ18">
        <f t="shared" si="29"/>
        <v>-2.7695510786217259</v>
      </c>
      <c r="BK18">
        <v>10</v>
      </c>
      <c r="BL18">
        <f t="shared" si="30"/>
        <v>0.01</v>
      </c>
      <c r="BM18">
        <f t="shared" si="31"/>
        <v>-2</v>
      </c>
      <c r="BN18">
        <v>1.87</v>
      </c>
      <c r="BO18">
        <f t="shared" si="32"/>
        <v>0.27184160653649897</v>
      </c>
      <c r="BQ18">
        <v>88</v>
      </c>
      <c r="BR18">
        <f t="shared" si="33"/>
        <v>1.6456000000000002</v>
      </c>
      <c r="BS18">
        <f t="shared" si="34"/>
        <v>0.21632427868666765</v>
      </c>
      <c r="BV18">
        <f>EXP(-3.5)/1000</f>
        <v>3.0197383422318501E-5</v>
      </c>
      <c r="BW18" s="1">
        <f t="shared" si="35"/>
        <v>-4.5200306866613813</v>
      </c>
      <c r="CB18" t="e">
        <f>#REF!+#REF!*AG18+#REF!*BC18+#REF!*AY18</f>
        <v>#REF!</v>
      </c>
      <c r="CD18" s="1" t="e">
        <f t="shared" si="36"/>
        <v>#REF!</v>
      </c>
    </row>
    <row r="19" spans="1:82" ht="16.5" customHeight="1" x14ac:dyDescent="0.25">
      <c r="A19" s="3" t="s">
        <v>61</v>
      </c>
      <c r="B19" t="s">
        <v>26</v>
      </c>
      <c r="C19" t="s">
        <v>33</v>
      </c>
      <c r="E19">
        <v>0.16</v>
      </c>
      <c r="F19">
        <f t="shared" si="0"/>
        <v>-0.79588001734407521</v>
      </c>
      <c r="G19">
        <f t="shared" si="1"/>
        <v>0.19047619047619049</v>
      </c>
      <c r="H19">
        <f t="shared" si="2"/>
        <v>-0.7201593034059568</v>
      </c>
      <c r="I19">
        <f t="shared" si="3"/>
        <v>0.84</v>
      </c>
      <c r="J19">
        <f t="shared" si="4"/>
        <v>-7.5720713938118356E-2</v>
      </c>
      <c r="K19">
        <f t="shared" si="5"/>
        <v>5.2499999999999991</v>
      </c>
      <c r="L19">
        <f t="shared" si="6"/>
        <v>0.7201593034059568</v>
      </c>
      <c r="M19">
        <v>0.01</v>
      </c>
      <c r="N19">
        <f t="shared" si="7"/>
        <v>-2</v>
      </c>
      <c r="O19">
        <f t="shared" si="8"/>
        <v>1.0101010101010102E-2</v>
      </c>
      <c r="P19">
        <f t="shared" si="9"/>
        <v>-1.9956351945975499</v>
      </c>
      <c r="Q19">
        <f t="shared" si="10"/>
        <v>5.0595238095238084</v>
      </c>
      <c r="R19">
        <f t="shared" si="11"/>
        <v>0.70410964398842979</v>
      </c>
      <c r="U19">
        <f t="shared" si="12"/>
        <v>-0.7201593034059568</v>
      </c>
      <c r="Y19">
        <f t="shared" si="13"/>
        <v>-0.79588001734407521</v>
      </c>
      <c r="Z19">
        <f t="shared" si="14"/>
        <v>0.01</v>
      </c>
      <c r="AA19">
        <f t="shared" si="15"/>
        <v>-2</v>
      </c>
      <c r="AC19" t="s">
        <v>33</v>
      </c>
      <c r="AD19" t="s">
        <v>28</v>
      </c>
      <c r="AE19" t="s">
        <v>10</v>
      </c>
      <c r="AF19">
        <f>1000/3.53</f>
        <v>283.28611898016999</v>
      </c>
      <c r="AG19">
        <f t="shared" si="16"/>
        <v>3.5299999999999997E-3</v>
      </c>
      <c r="AH19">
        <v>0.16</v>
      </c>
      <c r="AI19">
        <f t="shared" si="17"/>
        <v>-0.79588001734407521</v>
      </c>
      <c r="AL19" t="s">
        <v>29</v>
      </c>
      <c r="AM19" t="s">
        <v>16</v>
      </c>
      <c r="AN19" t="s">
        <v>15</v>
      </c>
      <c r="AO19" s="1">
        <v>50000000</v>
      </c>
      <c r="AP19" s="1">
        <f t="shared" si="18"/>
        <v>7.6989700043360187</v>
      </c>
      <c r="AQ19">
        <v>380</v>
      </c>
      <c r="AR19">
        <f t="shared" si="19"/>
        <v>380000000</v>
      </c>
      <c r="AS19">
        <f t="shared" si="20"/>
        <v>8.5797835966168101</v>
      </c>
      <c r="AU19" s="1">
        <v>380000000</v>
      </c>
      <c r="AW19">
        <f t="shared" si="41"/>
        <v>1015.0751250000002</v>
      </c>
      <c r="AX19">
        <f t="shared" si="21"/>
        <v>1.0150751250000001E-27</v>
      </c>
      <c r="AY19">
        <f t="shared" si="22"/>
        <v>-26.993501814730475</v>
      </c>
      <c r="AZ19">
        <f t="shared" si="42"/>
        <v>6</v>
      </c>
      <c r="BA19">
        <f t="shared" si="23"/>
        <v>0.77815125038364363</v>
      </c>
      <c r="BB19">
        <f t="shared" si="43"/>
        <v>1.848713603450932E-2</v>
      </c>
      <c r="BC19">
        <f t="shared" si="24"/>
        <v>-1.7331303630834989</v>
      </c>
      <c r="BE19">
        <f t="shared" si="25"/>
        <v>823</v>
      </c>
      <c r="BF19">
        <f t="shared" si="26"/>
        <v>1.215066828675577E-3</v>
      </c>
      <c r="BG19">
        <f t="shared" si="27"/>
        <v>1209600</v>
      </c>
      <c r="BH19">
        <f t="shared" si="28"/>
        <v>6.0826417781571314</v>
      </c>
      <c r="BI19" s="1">
        <v>1.6999999999999999E-3</v>
      </c>
      <c r="BJ19">
        <f t="shared" si="29"/>
        <v>-2.7695510786217259</v>
      </c>
      <c r="BK19">
        <v>10</v>
      </c>
      <c r="BL19">
        <f t="shared" si="30"/>
        <v>0.01</v>
      </c>
      <c r="BM19">
        <f t="shared" si="31"/>
        <v>-2</v>
      </c>
      <c r="BN19">
        <v>1.87</v>
      </c>
      <c r="BO19">
        <f t="shared" si="32"/>
        <v>0.27184160653649897</v>
      </c>
      <c r="BQ19">
        <v>88</v>
      </c>
      <c r="BR19">
        <f t="shared" si="33"/>
        <v>1.6456000000000002</v>
      </c>
      <c r="BS19">
        <f t="shared" si="34"/>
        <v>0.21632427868666765</v>
      </c>
      <c r="BV19">
        <f>EXP(-3)/1000</f>
        <v>4.9787068367863945E-5</v>
      </c>
      <c r="BW19" s="1">
        <f t="shared" si="35"/>
        <v>-4.3028834457097558</v>
      </c>
      <c r="CB19" t="e">
        <f>#REF!+#REF!*AG19+#REF!*BC19+#REF!*AY19</f>
        <v>#REF!</v>
      </c>
      <c r="CD19" s="1" t="e">
        <f t="shared" si="36"/>
        <v>#REF!</v>
      </c>
    </row>
    <row r="20" spans="1:82" ht="16.5" customHeight="1" x14ac:dyDescent="0.25">
      <c r="A20" s="3" t="s">
        <v>61</v>
      </c>
      <c r="B20" t="s">
        <v>26</v>
      </c>
      <c r="C20" t="s">
        <v>33</v>
      </c>
      <c r="E20">
        <v>0.16</v>
      </c>
      <c r="F20">
        <f t="shared" si="0"/>
        <v>-0.79588001734407521</v>
      </c>
      <c r="G20">
        <f t="shared" si="1"/>
        <v>0.19047619047619049</v>
      </c>
      <c r="H20">
        <f t="shared" si="2"/>
        <v>-0.7201593034059568</v>
      </c>
      <c r="I20">
        <f t="shared" si="3"/>
        <v>0.84</v>
      </c>
      <c r="J20">
        <f t="shared" si="4"/>
        <v>-7.5720713938118356E-2</v>
      </c>
      <c r="K20">
        <f t="shared" si="5"/>
        <v>5.2499999999999991</v>
      </c>
      <c r="L20">
        <f t="shared" si="6"/>
        <v>0.7201593034059568</v>
      </c>
      <c r="M20">
        <v>0.01</v>
      </c>
      <c r="N20">
        <f t="shared" si="7"/>
        <v>-2</v>
      </c>
      <c r="O20">
        <f t="shared" si="8"/>
        <v>1.0101010101010102E-2</v>
      </c>
      <c r="P20">
        <f t="shared" si="9"/>
        <v>-1.9956351945975499</v>
      </c>
      <c r="Q20">
        <f t="shared" si="10"/>
        <v>5.0595238095238084</v>
      </c>
      <c r="R20">
        <f t="shared" si="11"/>
        <v>0.70410964398842979</v>
      </c>
      <c r="U20">
        <f t="shared" si="12"/>
        <v>-0.7201593034059568</v>
      </c>
      <c r="Y20">
        <f t="shared" si="13"/>
        <v>-0.79588001734407521</v>
      </c>
      <c r="Z20">
        <f t="shared" si="14"/>
        <v>0.01</v>
      </c>
      <c r="AA20">
        <f t="shared" si="15"/>
        <v>-2</v>
      </c>
      <c r="AC20" t="s">
        <v>33</v>
      </c>
      <c r="AD20" t="s">
        <v>28</v>
      </c>
      <c r="AE20" t="s">
        <v>10</v>
      </c>
      <c r="AF20">
        <f>1000/3.41</f>
        <v>293.25513196480938</v>
      </c>
      <c r="AG20">
        <f t="shared" si="16"/>
        <v>3.4100000000000003E-3</v>
      </c>
      <c r="AH20">
        <v>0.16</v>
      </c>
      <c r="AI20">
        <f t="shared" si="17"/>
        <v>-0.79588001734407521</v>
      </c>
      <c r="AL20" t="s">
        <v>29</v>
      </c>
      <c r="AM20" t="s">
        <v>16</v>
      </c>
      <c r="AN20" t="s">
        <v>15</v>
      </c>
      <c r="AO20" s="1">
        <v>50000000</v>
      </c>
      <c r="AP20" s="1">
        <f t="shared" si="18"/>
        <v>7.6989700043360187</v>
      </c>
      <c r="AQ20">
        <v>380</v>
      </c>
      <c r="AR20">
        <f t="shared" si="19"/>
        <v>380000000</v>
      </c>
      <c r="AS20">
        <f t="shared" si="20"/>
        <v>8.5797835966168101</v>
      </c>
      <c r="AU20" s="1">
        <v>380000000</v>
      </c>
      <c r="AW20">
        <f t="shared" si="41"/>
        <v>1015.0751250000002</v>
      </c>
      <c r="AX20">
        <f t="shared" si="21"/>
        <v>1.0150751250000001E-27</v>
      </c>
      <c r="AY20">
        <f t="shared" si="22"/>
        <v>-26.993501814730475</v>
      </c>
      <c r="AZ20">
        <f t="shared" si="42"/>
        <v>6</v>
      </c>
      <c r="BA20">
        <f t="shared" si="23"/>
        <v>0.77815125038364363</v>
      </c>
      <c r="BB20">
        <f t="shared" si="43"/>
        <v>1.848713603450932E-2</v>
      </c>
      <c r="BC20">
        <f t="shared" si="24"/>
        <v>-1.7331303630834989</v>
      </c>
      <c r="BE20">
        <f t="shared" si="25"/>
        <v>823</v>
      </c>
      <c r="BF20">
        <f t="shared" si="26"/>
        <v>1.215066828675577E-3</v>
      </c>
      <c r="BG20">
        <f t="shared" si="27"/>
        <v>1209600</v>
      </c>
      <c r="BH20">
        <f t="shared" si="28"/>
        <v>6.0826417781571314</v>
      </c>
      <c r="BI20" s="1">
        <v>1.6999999999999999E-3</v>
      </c>
      <c r="BJ20">
        <f t="shared" si="29"/>
        <v>-2.7695510786217259</v>
      </c>
      <c r="BK20">
        <v>10</v>
      </c>
      <c r="BL20">
        <f t="shared" si="30"/>
        <v>0.01</v>
      </c>
      <c r="BM20">
        <f t="shared" si="31"/>
        <v>-2</v>
      </c>
      <c r="BN20">
        <v>1.87</v>
      </c>
      <c r="BO20">
        <f t="shared" si="32"/>
        <v>0.27184160653649897</v>
      </c>
      <c r="BQ20">
        <v>88</v>
      </c>
      <c r="BR20">
        <f t="shared" si="33"/>
        <v>1.6456000000000002</v>
      </c>
      <c r="BS20">
        <f t="shared" si="34"/>
        <v>0.21632427868666765</v>
      </c>
      <c r="BV20">
        <f>EXP(-2.4)/1000</f>
        <v>9.0717953289412516E-5</v>
      </c>
      <c r="BW20" s="1">
        <f t="shared" si="35"/>
        <v>-4.0423067565678039</v>
      </c>
      <c r="CB20" t="e">
        <f>#REF!+#REF!*AG20+#REF!*BC20+#REF!*AY20</f>
        <v>#REF!</v>
      </c>
      <c r="CD20" s="1" t="e">
        <f t="shared" si="36"/>
        <v>#REF!</v>
      </c>
    </row>
    <row r="21" spans="1:82" ht="16.5" customHeight="1" x14ac:dyDescent="0.25">
      <c r="A21" s="3" t="s">
        <v>61</v>
      </c>
      <c r="B21" t="s">
        <v>26</v>
      </c>
      <c r="C21" t="s">
        <v>33</v>
      </c>
      <c r="E21">
        <v>0.16</v>
      </c>
      <c r="F21">
        <f t="shared" si="0"/>
        <v>-0.79588001734407521</v>
      </c>
      <c r="G21">
        <f t="shared" si="1"/>
        <v>0.19047619047619049</v>
      </c>
      <c r="H21">
        <f t="shared" si="2"/>
        <v>-0.7201593034059568</v>
      </c>
      <c r="I21">
        <f t="shared" si="3"/>
        <v>0.84</v>
      </c>
      <c r="J21">
        <f t="shared" si="4"/>
        <v>-7.5720713938118356E-2</v>
      </c>
      <c r="K21">
        <f t="shared" si="5"/>
        <v>5.2499999999999991</v>
      </c>
      <c r="L21">
        <f t="shared" si="6"/>
        <v>0.7201593034059568</v>
      </c>
      <c r="M21">
        <v>0.01</v>
      </c>
      <c r="N21">
        <f t="shared" si="7"/>
        <v>-2</v>
      </c>
      <c r="O21">
        <f t="shared" si="8"/>
        <v>1.0101010101010102E-2</v>
      </c>
      <c r="P21">
        <f t="shared" si="9"/>
        <v>-1.9956351945975499</v>
      </c>
      <c r="Q21">
        <f t="shared" si="10"/>
        <v>5.0595238095238084</v>
      </c>
      <c r="R21">
        <f t="shared" si="11"/>
        <v>0.70410964398842979</v>
      </c>
      <c r="U21">
        <f t="shared" si="12"/>
        <v>-0.7201593034059568</v>
      </c>
      <c r="Y21">
        <f t="shared" si="13"/>
        <v>-0.79588001734407521</v>
      </c>
      <c r="Z21">
        <f t="shared" si="14"/>
        <v>0.01</v>
      </c>
      <c r="AA21">
        <f t="shared" si="15"/>
        <v>-2</v>
      </c>
      <c r="AC21" t="s">
        <v>33</v>
      </c>
      <c r="AD21" t="s">
        <v>28</v>
      </c>
      <c r="AE21" t="s">
        <v>10</v>
      </c>
      <c r="AF21">
        <f>1000/3.36</f>
        <v>297.61904761904765</v>
      </c>
      <c r="AG21">
        <f t="shared" si="16"/>
        <v>3.3599999999999997E-3</v>
      </c>
      <c r="AH21">
        <v>0.16</v>
      </c>
      <c r="AI21">
        <f t="shared" si="17"/>
        <v>-0.79588001734407521</v>
      </c>
      <c r="AL21" t="s">
        <v>29</v>
      </c>
      <c r="AM21" t="s">
        <v>16</v>
      </c>
      <c r="AN21" t="s">
        <v>15</v>
      </c>
      <c r="AO21" s="1">
        <v>50000000</v>
      </c>
      <c r="AP21" s="1">
        <f t="shared" si="18"/>
        <v>7.6989700043360187</v>
      </c>
      <c r="AQ21">
        <v>380</v>
      </c>
      <c r="AR21">
        <f t="shared" si="19"/>
        <v>380000000</v>
      </c>
      <c r="AS21">
        <f t="shared" si="20"/>
        <v>8.5797835966168101</v>
      </c>
      <c r="AU21" s="1">
        <v>380000000</v>
      </c>
      <c r="AW21">
        <f t="shared" si="41"/>
        <v>1015.0751250000002</v>
      </c>
      <c r="AX21">
        <f t="shared" si="21"/>
        <v>1.0150751250000001E-27</v>
      </c>
      <c r="AY21">
        <f t="shared" si="22"/>
        <v>-26.993501814730475</v>
      </c>
      <c r="AZ21">
        <f t="shared" si="42"/>
        <v>6</v>
      </c>
      <c r="BA21">
        <f t="shared" si="23"/>
        <v>0.77815125038364363</v>
      </c>
      <c r="BB21">
        <f t="shared" si="43"/>
        <v>1.848713603450932E-2</v>
      </c>
      <c r="BC21">
        <f t="shared" si="24"/>
        <v>-1.7331303630834989</v>
      </c>
      <c r="BE21">
        <f t="shared" si="25"/>
        <v>823</v>
      </c>
      <c r="BF21">
        <f t="shared" si="26"/>
        <v>1.215066828675577E-3</v>
      </c>
      <c r="BG21">
        <f t="shared" si="27"/>
        <v>1209600</v>
      </c>
      <c r="BH21">
        <f t="shared" si="28"/>
        <v>6.0826417781571314</v>
      </c>
      <c r="BI21" s="1">
        <v>1.6999999999999999E-3</v>
      </c>
      <c r="BJ21">
        <f t="shared" si="29"/>
        <v>-2.7695510786217259</v>
      </c>
      <c r="BK21">
        <v>10</v>
      </c>
      <c r="BL21">
        <f t="shared" si="30"/>
        <v>0.01</v>
      </c>
      <c r="BM21">
        <f t="shared" si="31"/>
        <v>-2</v>
      </c>
      <c r="BN21">
        <v>1.87</v>
      </c>
      <c r="BO21">
        <f t="shared" si="32"/>
        <v>0.27184160653649897</v>
      </c>
      <c r="BQ21">
        <v>88</v>
      </c>
      <c r="BR21">
        <f t="shared" si="33"/>
        <v>1.6456000000000002</v>
      </c>
      <c r="BS21">
        <f t="shared" si="34"/>
        <v>0.21632427868666765</v>
      </c>
      <c r="BV21">
        <f>EXP(-2.2)/1000</f>
        <v>1.1080315836233387E-4</v>
      </c>
      <c r="BW21" s="1">
        <f t="shared" si="35"/>
        <v>-3.9554478601871539</v>
      </c>
      <c r="CB21" t="e">
        <f>#REF!+#REF!*AG21+#REF!*BC21+#REF!*AY21</f>
        <v>#REF!</v>
      </c>
      <c r="CD21" s="1" t="e">
        <f t="shared" si="36"/>
        <v>#REF!</v>
      </c>
    </row>
    <row r="22" spans="1:82" ht="16.5" customHeight="1" x14ac:dyDescent="0.25">
      <c r="A22" s="3" t="s">
        <v>61</v>
      </c>
      <c r="B22" t="s">
        <v>26</v>
      </c>
      <c r="C22" t="s">
        <v>33</v>
      </c>
      <c r="E22">
        <v>0.16</v>
      </c>
      <c r="F22">
        <f t="shared" si="0"/>
        <v>-0.79588001734407521</v>
      </c>
      <c r="G22">
        <f t="shared" si="1"/>
        <v>0.19047619047619049</v>
      </c>
      <c r="H22">
        <f t="shared" si="2"/>
        <v>-0.7201593034059568</v>
      </c>
      <c r="I22">
        <f t="shared" si="3"/>
        <v>0.84</v>
      </c>
      <c r="J22">
        <f t="shared" si="4"/>
        <v>-7.5720713938118356E-2</v>
      </c>
      <c r="K22">
        <f t="shared" si="5"/>
        <v>5.2499999999999991</v>
      </c>
      <c r="L22">
        <f t="shared" si="6"/>
        <v>0.7201593034059568</v>
      </c>
      <c r="M22">
        <v>0.01</v>
      </c>
      <c r="N22">
        <f t="shared" si="7"/>
        <v>-2</v>
      </c>
      <c r="O22">
        <f t="shared" si="8"/>
        <v>1.0101010101010102E-2</v>
      </c>
      <c r="P22">
        <f t="shared" si="9"/>
        <v>-1.9956351945975499</v>
      </c>
      <c r="Q22">
        <f t="shared" si="10"/>
        <v>5.0595238095238084</v>
      </c>
      <c r="R22">
        <f t="shared" si="11"/>
        <v>0.70410964398842979</v>
      </c>
      <c r="U22">
        <f t="shared" si="12"/>
        <v>-0.7201593034059568</v>
      </c>
      <c r="Y22">
        <f t="shared" si="13"/>
        <v>-0.79588001734407521</v>
      </c>
      <c r="Z22">
        <f t="shared" si="14"/>
        <v>0.01</v>
      </c>
      <c r="AA22">
        <f t="shared" si="15"/>
        <v>-2</v>
      </c>
      <c r="AC22" t="s">
        <v>33</v>
      </c>
      <c r="AD22" t="s">
        <v>28</v>
      </c>
      <c r="AE22" t="s">
        <v>10</v>
      </c>
      <c r="AF22">
        <f>1000/3.3</f>
        <v>303.03030303030306</v>
      </c>
      <c r="AG22">
        <f t="shared" si="16"/>
        <v>3.2999999999999995E-3</v>
      </c>
      <c r="AH22">
        <v>0.16</v>
      </c>
      <c r="AI22">
        <f t="shared" si="17"/>
        <v>-0.79588001734407521</v>
      </c>
      <c r="AL22" t="s">
        <v>29</v>
      </c>
      <c r="AM22" t="s">
        <v>16</v>
      </c>
      <c r="AN22" t="s">
        <v>15</v>
      </c>
      <c r="AO22" s="1">
        <v>50000000</v>
      </c>
      <c r="AP22" s="1">
        <f t="shared" si="18"/>
        <v>7.6989700043360187</v>
      </c>
      <c r="AQ22">
        <v>380</v>
      </c>
      <c r="AR22">
        <f t="shared" si="19"/>
        <v>380000000</v>
      </c>
      <c r="AS22">
        <f t="shared" si="20"/>
        <v>8.5797835966168101</v>
      </c>
      <c r="AU22" s="1">
        <v>380000000</v>
      </c>
      <c r="AW22">
        <f t="shared" si="41"/>
        <v>1015.0751250000002</v>
      </c>
      <c r="AX22">
        <f t="shared" si="21"/>
        <v>1.0150751250000001E-27</v>
      </c>
      <c r="AY22">
        <f t="shared" si="22"/>
        <v>-26.993501814730475</v>
      </c>
      <c r="AZ22">
        <f t="shared" si="42"/>
        <v>6</v>
      </c>
      <c r="BA22">
        <f t="shared" si="23"/>
        <v>0.77815125038364363</v>
      </c>
      <c r="BB22">
        <f t="shared" si="43"/>
        <v>1.848713603450932E-2</v>
      </c>
      <c r="BC22">
        <f t="shared" si="24"/>
        <v>-1.7331303630834989</v>
      </c>
      <c r="BE22">
        <f t="shared" si="25"/>
        <v>823</v>
      </c>
      <c r="BF22">
        <f t="shared" si="26"/>
        <v>1.215066828675577E-3</v>
      </c>
      <c r="BG22">
        <f t="shared" si="27"/>
        <v>1209600</v>
      </c>
      <c r="BH22">
        <f t="shared" si="28"/>
        <v>6.0826417781571314</v>
      </c>
      <c r="BI22" s="1">
        <v>1.6999999999999999E-3</v>
      </c>
      <c r="BJ22">
        <f t="shared" si="29"/>
        <v>-2.7695510786217259</v>
      </c>
      <c r="BK22">
        <v>10</v>
      </c>
      <c r="BL22">
        <f t="shared" si="30"/>
        <v>0.01</v>
      </c>
      <c r="BM22">
        <f t="shared" si="31"/>
        <v>-2</v>
      </c>
      <c r="BN22">
        <v>1.87</v>
      </c>
      <c r="BO22">
        <f t="shared" si="32"/>
        <v>0.27184160653649897</v>
      </c>
      <c r="BQ22">
        <v>88</v>
      </c>
      <c r="BR22">
        <f t="shared" si="33"/>
        <v>1.6456000000000002</v>
      </c>
      <c r="BS22">
        <f t="shared" si="34"/>
        <v>0.21632427868666765</v>
      </c>
      <c r="BV22">
        <f>EXP(-1.95)/1000</f>
        <v>1.4227407158651359E-4</v>
      </c>
      <c r="BW22" s="1">
        <f t="shared" si="35"/>
        <v>-3.8468742397113411</v>
      </c>
      <c r="CB22" t="e">
        <f>#REF!+#REF!*AG22+#REF!*BC22+#REF!*AY22</f>
        <v>#REF!</v>
      </c>
      <c r="CD22" s="1" t="e">
        <f t="shared" si="36"/>
        <v>#REF!</v>
      </c>
    </row>
    <row r="23" spans="1:82" ht="16.5" customHeight="1" x14ac:dyDescent="0.25">
      <c r="A23" s="3" t="s">
        <v>61</v>
      </c>
      <c r="B23" t="s">
        <v>26</v>
      </c>
      <c r="C23" t="s">
        <v>33</v>
      </c>
      <c r="E23">
        <v>0.16</v>
      </c>
      <c r="F23">
        <f t="shared" si="0"/>
        <v>-0.79588001734407521</v>
      </c>
      <c r="G23">
        <f t="shared" si="1"/>
        <v>0.19047619047619049</v>
      </c>
      <c r="H23">
        <f t="shared" si="2"/>
        <v>-0.7201593034059568</v>
      </c>
      <c r="I23">
        <f t="shared" si="3"/>
        <v>0.84</v>
      </c>
      <c r="J23">
        <f t="shared" si="4"/>
        <v>-7.5720713938118356E-2</v>
      </c>
      <c r="K23">
        <f t="shared" si="5"/>
        <v>5.2499999999999991</v>
      </c>
      <c r="L23">
        <f t="shared" si="6"/>
        <v>0.7201593034059568</v>
      </c>
      <c r="M23">
        <v>0.01</v>
      </c>
      <c r="N23">
        <f t="shared" si="7"/>
        <v>-2</v>
      </c>
      <c r="O23">
        <f t="shared" si="8"/>
        <v>1.0101010101010102E-2</v>
      </c>
      <c r="P23">
        <f t="shared" si="9"/>
        <v>-1.9956351945975499</v>
      </c>
      <c r="Q23">
        <f t="shared" si="10"/>
        <v>5.0595238095238084</v>
      </c>
      <c r="R23">
        <f t="shared" si="11"/>
        <v>0.70410964398842979</v>
      </c>
      <c r="U23">
        <f t="shared" si="12"/>
        <v>-0.7201593034059568</v>
      </c>
      <c r="Y23">
        <f t="shared" si="13"/>
        <v>-0.79588001734407521</v>
      </c>
      <c r="Z23">
        <f t="shared" si="14"/>
        <v>0.01</v>
      </c>
      <c r="AA23">
        <f t="shared" si="15"/>
        <v>-2</v>
      </c>
      <c r="AC23" t="s">
        <v>33</v>
      </c>
      <c r="AD23" t="s">
        <v>28</v>
      </c>
      <c r="AE23" t="s">
        <v>10</v>
      </c>
      <c r="AF23">
        <f>1000/3.2</f>
        <v>312.5</v>
      </c>
      <c r="AG23">
        <f t="shared" si="16"/>
        <v>3.2000000000000002E-3</v>
      </c>
      <c r="AH23">
        <v>0.16</v>
      </c>
      <c r="AI23">
        <f t="shared" si="17"/>
        <v>-0.79588001734407521</v>
      </c>
      <c r="AL23" t="s">
        <v>29</v>
      </c>
      <c r="AM23" t="s">
        <v>16</v>
      </c>
      <c r="AN23" t="s">
        <v>15</v>
      </c>
      <c r="AO23" s="1">
        <v>50000000</v>
      </c>
      <c r="AP23" s="1">
        <f t="shared" si="18"/>
        <v>7.6989700043360187</v>
      </c>
      <c r="AQ23">
        <v>380</v>
      </c>
      <c r="AR23">
        <f t="shared" si="19"/>
        <v>380000000</v>
      </c>
      <c r="AS23">
        <f t="shared" si="20"/>
        <v>8.5797835966168101</v>
      </c>
      <c r="AU23" s="1">
        <v>380000000</v>
      </c>
      <c r="AW23">
        <f t="shared" si="41"/>
        <v>1015.0751250000002</v>
      </c>
      <c r="AX23">
        <f t="shared" si="21"/>
        <v>1.0150751250000001E-27</v>
      </c>
      <c r="AY23">
        <f t="shared" si="22"/>
        <v>-26.993501814730475</v>
      </c>
      <c r="AZ23">
        <f t="shared" si="42"/>
        <v>6</v>
      </c>
      <c r="BA23">
        <f t="shared" si="23"/>
        <v>0.77815125038364363</v>
      </c>
      <c r="BB23">
        <f t="shared" si="43"/>
        <v>1.848713603450932E-2</v>
      </c>
      <c r="BC23">
        <f t="shared" si="24"/>
        <v>-1.7331303630834989</v>
      </c>
      <c r="BE23">
        <f t="shared" si="25"/>
        <v>823</v>
      </c>
      <c r="BF23">
        <f t="shared" si="26"/>
        <v>1.215066828675577E-3</v>
      </c>
      <c r="BG23">
        <f t="shared" si="27"/>
        <v>1209600</v>
      </c>
      <c r="BH23">
        <f t="shared" si="28"/>
        <v>6.0826417781571314</v>
      </c>
      <c r="BI23" s="1">
        <v>1.6999999999999999E-3</v>
      </c>
      <c r="BJ23">
        <f t="shared" si="29"/>
        <v>-2.7695510786217259</v>
      </c>
      <c r="BK23">
        <v>10</v>
      </c>
      <c r="BL23">
        <f t="shared" si="30"/>
        <v>0.01</v>
      </c>
      <c r="BM23">
        <f t="shared" si="31"/>
        <v>-2</v>
      </c>
      <c r="BN23">
        <v>1.87</v>
      </c>
      <c r="BO23">
        <f t="shared" si="32"/>
        <v>0.27184160653649897</v>
      </c>
      <c r="BQ23">
        <v>88</v>
      </c>
      <c r="BR23">
        <f t="shared" si="33"/>
        <v>1.6456000000000002</v>
      </c>
      <c r="BS23">
        <f t="shared" si="34"/>
        <v>0.21632427868666765</v>
      </c>
      <c r="BV23">
        <f>EXP(-1.55)/1000</f>
        <v>2.1224797382674303E-4</v>
      </c>
      <c r="BW23" s="1">
        <f t="shared" si="35"/>
        <v>-3.6731564469500402</v>
      </c>
      <c r="CB23" t="e">
        <f>#REF!+#REF!*AG23+#REF!*BC23+#REF!*AY23</f>
        <v>#REF!</v>
      </c>
      <c r="CD23" s="1" t="e">
        <f t="shared" si="36"/>
        <v>#REF!</v>
      </c>
    </row>
    <row r="24" spans="1:82" ht="16.5" customHeight="1" x14ac:dyDescent="0.25">
      <c r="A24" s="3" t="s">
        <v>61</v>
      </c>
      <c r="B24" t="s">
        <v>26</v>
      </c>
      <c r="C24" t="s">
        <v>33</v>
      </c>
      <c r="E24">
        <v>0.16</v>
      </c>
      <c r="F24">
        <f t="shared" si="0"/>
        <v>-0.79588001734407521</v>
      </c>
      <c r="G24">
        <f t="shared" si="1"/>
        <v>0.19047619047619049</v>
      </c>
      <c r="H24">
        <f t="shared" si="2"/>
        <v>-0.7201593034059568</v>
      </c>
      <c r="I24">
        <f t="shared" si="3"/>
        <v>0.84</v>
      </c>
      <c r="J24">
        <f t="shared" si="4"/>
        <v>-7.5720713938118356E-2</v>
      </c>
      <c r="K24">
        <f t="shared" si="5"/>
        <v>5.2499999999999991</v>
      </c>
      <c r="L24">
        <f t="shared" si="6"/>
        <v>0.7201593034059568</v>
      </c>
      <c r="M24">
        <v>0.01</v>
      </c>
      <c r="N24">
        <f t="shared" si="7"/>
        <v>-2</v>
      </c>
      <c r="O24">
        <f t="shared" si="8"/>
        <v>1.0101010101010102E-2</v>
      </c>
      <c r="P24">
        <f t="shared" si="9"/>
        <v>-1.9956351945975499</v>
      </c>
      <c r="Q24">
        <f t="shared" si="10"/>
        <v>5.0595238095238084</v>
      </c>
      <c r="R24">
        <f t="shared" si="11"/>
        <v>0.70410964398842979</v>
      </c>
      <c r="U24">
        <f t="shared" si="12"/>
        <v>-0.7201593034059568</v>
      </c>
      <c r="Y24">
        <f t="shared" si="13"/>
        <v>-0.79588001734407521</v>
      </c>
      <c r="Z24">
        <f t="shared" si="14"/>
        <v>0.01</v>
      </c>
      <c r="AA24">
        <f t="shared" si="15"/>
        <v>-2</v>
      </c>
      <c r="AC24" t="s">
        <v>33</v>
      </c>
      <c r="AD24" t="s">
        <v>28</v>
      </c>
      <c r="AE24" t="s">
        <v>10</v>
      </c>
      <c r="AF24">
        <f>1000/3.1</f>
        <v>322.58064516129031</v>
      </c>
      <c r="AG24">
        <f t="shared" si="16"/>
        <v>3.1000000000000003E-3</v>
      </c>
      <c r="AH24">
        <v>0.16</v>
      </c>
      <c r="AI24">
        <f t="shared" si="17"/>
        <v>-0.79588001734407521</v>
      </c>
      <c r="AL24" t="s">
        <v>29</v>
      </c>
      <c r="AM24" t="s">
        <v>16</v>
      </c>
      <c r="AN24" t="s">
        <v>15</v>
      </c>
      <c r="AO24" s="1">
        <v>50000000</v>
      </c>
      <c r="AP24" s="1">
        <f t="shared" si="18"/>
        <v>7.6989700043360187</v>
      </c>
      <c r="AQ24">
        <v>380</v>
      </c>
      <c r="AR24">
        <f t="shared" si="19"/>
        <v>380000000</v>
      </c>
      <c r="AS24">
        <f t="shared" si="20"/>
        <v>8.5797835966168101</v>
      </c>
      <c r="AU24" s="1">
        <v>380000000</v>
      </c>
      <c r="AW24">
        <f t="shared" si="41"/>
        <v>1015.0751250000002</v>
      </c>
      <c r="AX24">
        <f t="shared" si="21"/>
        <v>1.0150751250000001E-27</v>
      </c>
      <c r="AY24">
        <f t="shared" si="22"/>
        <v>-26.993501814730475</v>
      </c>
      <c r="AZ24">
        <f t="shared" si="42"/>
        <v>6</v>
      </c>
      <c r="BA24">
        <f t="shared" si="23"/>
        <v>0.77815125038364363</v>
      </c>
      <c r="BB24">
        <f t="shared" si="43"/>
        <v>1.848713603450932E-2</v>
      </c>
      <c r="BC24">
        <f t="shared" si="24"/>
        <v>-1.7331303630834989</v>
      </c>
      <c r="BE24">
        <f t="shared" si="25"/>
        <v>823</v>
      </c>
      <c r="BF24">
        <f t="shared" si="26"/>
        <v>1.215066828675577E-3</v>
      </c>
      <c r="BG24">
        <f t="shared" si="27"/>
        <v>1209600</v>
      </c>
      <c r="BH24">
        <f t="shared" si="28"/>
        <v>6.0826417781571314</v>
      </c>
      <c r="BI24" s="1">
        <v>1.6999999999999999E-3</v>
      </c>
      <c r="BJ24">
        <f t="shared" si="29"/>
        <v>-2.7695510786217259</v>
      </c>
      <c r="BK24">
        <v>10</v>
      </c>
      <c r="BL24">
        <f t="shared" si="30"/>
        <v>0.01</v>
      </c>
      <c r="BM24">
        <f t="shared" si="31"/>
        <v>-2</v>
      </c>
      <c r="BN24">
        <v>1.87</v>
      </c>
      <c r="BO24">
        <f t="shared" si="32"/>
        <v>0.27184160653649897</v>
      </c>
      <c r="BQ24">
        <v>88</v>
      </c>
      <c r="BR24">
        <f t="shared" si="33"/>
        <v>1.6456000000000002</v>
      </c>
      <c r="BS24">
        <f t="shared" si="34"/>
        <v>0.21632427868666765</v>
      </c>
      <c r="BV24">
        <f>EXP(-1.05)/1000</f>
        <v>3.499377491111553E-4</v>
      </c>
      <c r="BW24" s="1">
        <f t="shared" si="35"/>
        <v>-3.4560092059984147</v>
      </c>
      <c r="CB24" t="e">
        <f>#REF!+#REF!*AG24+#REF!*BC24+#REF!*AY24</f>
        <v>#REF!</v>
      </c>
      <c r="CD24" s="1" t="e">
        <f t="shared" si="36"/>
        <v>#REF!</v>
      </c>
    </row>
    <row r="25" spans="1:82" ht="16.5" customHeight="1" x14ac:dyDescent="0.25">
      <c r="A25" s="3" t="s">
        <v>61</v>
      </c>
      <c r="B25" t="s">
        <v>26</v>
      </c>
      <c r="C25" t="s">
        <v>33</v>
      </c>
      <c r="E25">
        <v>0.16</v>
      </c>
      <c r="F25">
        <f t="shared" si="0"/>
        <v>-0.79588001734407521</v>
      </c>
      <c r="G25">
        <f t="shared" si="1"/>
        <v>0.19047619047619049</v>
      </c>
      <c r="H25">
        <f t="shared" si="2"/>
        <v>-0.7201593034059568</v>
      </c>
      <c r="I25">
        <f t="shared" si="3"/>
        <v>0.84</v>
      </c>
      <c r="J25">
        <f t="shared" si="4"/>
        <v>-7.5720713938118356E-2</v>
      </c>
      <c r="K25">
        <f t="shared" si="5"/>
        <v>5.2499999999999991</v>
      </c>
      <c r="L25">
        <f t="shared" si="6"/>
        <v>0.7201593034059568</v>
      </c>
      <c r="M25">
        <v>0.01</v>
      </c>
      <c r="N25">
        <f t="shared" si="7"/>
        <v>-2</v>
      </c>
      <c r="O25">
        <f t="shared" si="8"/>
        <v>1.0101010101010102E-2</v>
      </c>
      <c r="P25">
        <f t="shared" si="9"/>
        <v>-1.9956351945975499</v>
      </c>
      <c r="Q25">
        <f t="shared" si="10"/>
        <v>5.0595238095238084</v>
      </c>
      <c r="R25">
        <f t="shared" si="11"/>
        <v>0.70410964398842979</v>
      </c>
      <c r="U25">
        <f t="shared" si="12"/>
        <v>-0.7201593034059568</v>
      </c>
      <c r="Y25">
        <f t="shared" si="13"/>
        <v>-0.79588001734407521</v>
      </c>
      <c r="Z25">
        <f t="shared" si="14"/>
        <v>0.01</v>
      </c>
      <c r="AA25">
        <f t="shared" si="15"/>
        <v>-2</v>
      </c>
      <c r="AC25" t="s">
        <v>33</v>
      </c>
      <c r="AD25" t="s">
        <v>28</v>
      </c>
      <c r="AE25" t="s">
        <v>10</v>
      </c>
      <c r="AF25">
        <f>1000/3</f>
        <v>333.33333333333331</v>
      </c>
      <c r="AG25">
        <f t="shared" si="16"/>
        <v>3.0000000000000001E-3</v>
      </c>
      <c r="AH25">
        <v>0.16</v>
      </c>
      <c r="AI25">
        <f t="shared" si="17"/>
        <v>-0.79588001734407521</v>
      </c>
      <c r="AL25" t="s">
        <v>29</v>
      </c>
      <c r="AM25" t="s">
        <v>16</v>
      </c>
      <c r="AN25" t="s">
        <v>15</v>
      </c>
      <c r="AO25" s="1">
        <v>50000000</v>
      </c>
      <c r="AP25" s="1">
        <f t="shared" si="18"/>
        <v>7.6989700043360187</v>
      </c>
      <c r="AQ25">
        <v>380</v>
      </c>
      <c r="AR25">
        <f t="shared" si="19"/>
        <v>380000000</v>
      </c>
      <c r="AS25">
        <f t="shared" si="20"/>
        <v>8.5797835966168101</v>
      </c>
      <c r="AU25" s="1">
        <v>380000000</v>
      </c>
      <c r="AW25">
        <f t="shared" si="41"/>
        <v>1015.0751250000002</v>
      </c>
      <c r="AX25">
        <f t="shared" si="21"/>
        <v>1.0150751250000001E-27</v>
      </c>
      <c r="AY25">
        <f t="shared" si="22"/>
        <v>-26.993501814730475</v>
      </c>
      <c r="AZ25">
        <f t="shared" si="42"/>
        <v>6</v>
      </c>
      <c r="BA25">
        <f t="shared" si="23"/>
        <v>0.77815125038364363</v>
      </c>
      <c r="BB25">
        <f t="shared" si="43"/>
        <v>1.848713603450932E-2</v>
      </c>
      <c r="BC25">
        <f t="shared" si="24"/>
        <v>-1.7331303630834989</v>
      </c>
      <c r="BE25">
        <f t="shared" si="25"/>
        <v>823</v>
      </c>
      <c r="BF25">
        <f t="shared" si="26"/>
        <v>1.215066828675577E-3</v>
      </c>
      <c r="BG25">
        <f t="shared" si="27"/>
        <v>1209600</v>
      </c>
      <c r="BH25">
        <f t="shared" si="28"/>
        <v>6.0826417781571314</v>
      </c>
      <c r="BI25" s="1">
        <v>1.6999999999999999E-3</v>
      </c>
      <c r="BJ25">
        <f t="shared" si="29"/>
        <v>-2.7695510786217259</v>
      </c>
      <c r="BK25">
        <v>10</v>
      </c>
      <c r="BL25">
        <f t="shared" si="30"/>
        <v>0.01</v>
      </c>
      <c r="BM25">
        <f t="shared" si="31"/>
        <v>-2</v>
      </c>
      <c r="BN25">
        <v>1.87</v>
      </c>
      <c r="BO25">
        <f t="shared" si="32"/>
        <v>0.27184160653649897</v>
      </c>
      <c r="BQ25">
        <v>88</v>
      </c>
      <c r="BR25">
        <f t="shared" si="33"/>
        <v>1.6456000000000002</v>
      </c>
      <c r="BS25">
        <f t="shared" si="34"/>
        <v>0.21632427868666765</v>
      </c>
      <c r="BV25">
        <f>EXP(-0.7)/1000</f>
        <v>4.9658530379140958E-4</v>
      </c>
      <c r="BW25" s="1">
        <f t="shared" si="35"/>
        <v>-3.3040061373322764</v>
      </c>
      <c r="CB25" t="e">
        <f>#REF!+#REF!*AG25+#REF!*BC25+#REF!*AY25</f>
        <v>#REF!</v>
      </c>
      <c r="CD25" s="1" t="e">
        <f t="shared" si="36"/>
        <v>#REF!</v>
      </c>
    </row>
    <row r="26" spans="1:82" ht="16.5" customHeight="1" x14ac:dyDescent="0.25">
      <c r="A26" s="3" t="s">
        <v>61</v>
      </c>
      <c r="B26" t="s">
        <v>26</v>
      </c>
      <c r="C26" t="s">
        <v>34</v>
      </c>
      <c r="E26">
        <v>0.02</v>
      </c>
      <c r="F26">
        <f t="shared" si="0"/>
        <v>-1.6989700043360187</v>
      </c>
      <c r="G26">
        <f t="shared" si="1"/>
        <v>2.0408163265306124E-2</v>
      </c>
      <c r="H26">
        <f t="shared" si="2"/>
        <v>-1.6901960800285136</v>
      </c>
      <c r="I26">
        <f t="shared" si="3"/>
        <v>0.98</v>
      </c>
      <c r="J26">
        <f t="shared" si="4"/>
        <v>-8.7739243075051505E-3</v>
      </c>
      <c r="K26">
        <f t="shared" si="5"/>
        <v>48.999999999999957</v>
      </c>
      <c r="L26">
        <f t="shared" si="6"/>
        <v>1.6901960800285132</v>
      </c>
      <c r="M26">
        <v>0.01</v>
      </c>
      <c r="N26">
        <f t="shared" si="7"/>
        <v>-2</v>
      </c>
      <c r="O26">
        <f t="shared" si="8"/>
        <v>1.0101010101010102E-2</v>
      </c>
      <c r="P26">
        <f t="shared" si="9"/>
        <v>-1.9956351945975499</v>
      </c>
      <c r="Q26">
        <f t="shared" si="10"/>
        <v>48.979591836734649</v>
      </c>
      <c r="R26">
        <f t="shared" si="11"/>
        <v>1.6900151616830921</v>
      </c>
      <c r="U26">
        <f t="shared" si="12"/>
        <v>-1.6901960800285136</v>
      </c>
      <c r="Y26">
        <f t="shared" si="13"/>
        <v>-1.6989700043360187</v>
      </c>
      <c r="Z26">
        <f t="shared" si="14"/>
        <v>1.9999999999999997E-2</v>
      </c>
      <c r="AA26">
        <f t="shared" si="15"/>
        <v>-1.698970004336019</v>
      </c>
      <c r="AC26" t="s">
        <v>34</v>
      </c>
      <c r="AD26" t="s">
        <v>28</v>
      </c>
      <c r="AE26" t="s">
        <v>10</v>
      </c>
      <c r="AF26">
        <f>1000/4.29</f>
        <v>233.10023310023311</v>
      </c>
      <c r="AG26">
        <f t="shared" si="16"/>
        <v>4.2899999999999995E-3</v>
      </c>
      <c r="AH26">
        <v>0.03</v>
      </c>
      <c r="AI26">
        <f t="shared" si="17"/>
        <v>-1.5228787452803376</v>
      </c>
      <c r="AL26" t="s">
        <v>29</v>
      </c>
      <c r="AM26" t="s">
        <v>16</v>
      </c>
      <c r="AN26" t="s">
        <v>15</v>
      </c>
      <c r="AO26" s="1">
        <v>50000000</v>
      </c>
      <c r="AP26" s="1">
        <f t="shared" si="18"/>
        <v>7.6989700043360187</v>
      </c>
      <c r="AQ26">
        <v>380</v>
      </c>
      <c r="AR26">
        <f t="shared" si="19"/>
        <v>380000000</v>
      </c>
      <c r="AS26">
        <f t="shared" si="20"/>
        <v>8.5797835966168101</v>
      </c>
      <c r="AU26" s="1">
        <v>380000000</v>
      </c>
      <c r="AW26">
        <f>10.12^3</f>
        <v>1036.4337279999997</v>
      </c>
      <c r="AX26">
        <f t="shared" si="21"/>
        <v>1.0364337279999997E-27</v>
      </c>
      <c r="AY26">
        <f t="shared" si="22"/>
        <v>-26.984458462488661</v>
      </c>
      <c r="AZ26">
        <f>6/1</f>
        <v>6</v>
      </c>
      <c r="BA26">
        <f t="shared" si="23"/>
        <v>0.77815125038364363</v>
      </c>
      <c r="BB26">
        <f>AZ26/348.05</f>
        <v>1.7238902456543598E-2</v>
      </c>
      <c r="BC26">
        <f t="shared" si="24"/>
        <v>-1.7634903877131636</v>
      </c>
      <c r="BE26">
        <f t="shared" si="25"/>
        <v>823</v>
      </c>
      <c r="BF26">
        <f t="shared" si="26"/>
        <v>1.215066828675577E-3</v>
      </c>
      <c r="BG26">
        <f t="shared" si="27"/>
        <v>1209600</v>
      </c>
      <c r="BH26">
        <f t="shared" si="28"/>
        <v>6.0826417781571314</v>
      </c>
      <c r="BI26">
        <f>0.00132</f>
        <v>1.32E-3</v>
      </c>
      <c r="BJ26">
        <f t="shared" si="29"/>
        <v>-2.87942606879415</v>
      </c>
      <c r="BK26">
        <v>10</v>
      </c>
      <c r="BL26">
        <f t="shared" si="30"/>
        <v>0.01</v>
      </c>
      <c r="BM26">
        <f t="shared" si="31"/>
        <v>-2</v>
      </c>
      <c r="BN26">
        <v>1.93</v>
      </c>
      <c r="BO26">
        <f t="shared" si="32"/>
        <v>0.28555730900777376</v>
      </c>
      <c r="BQ26">
        <v>86</v>
      </c>
      <c r="BR26">
        <f t="shared" si="33"/>
        <v>1.6597999999999999</v>
      </c>
      <c r="BS26">
        <f t="shared" si="34"/>
        <v>0.22005576025134146</v>
      </c>
      <c r="BV26">
        <f>EXP(-9.8)/1000</f>
        <v>5.5451599432176943E-8</v>
      </c>
      <c r="BW26" s="1">
        <f t="shared" si="35"/>
        <v>-7.2560859226518684</v>
      </c>
      <c r="CB26" t="e">
        <f>#REF!+#REF!*AG26+#REF!*BC26+#REF!*AY26</f>
        <v>#REF!</v>
      </c>
      <c r="CD26" s="1" t="e">
        <f t="shared" si="36"/>
        <v>#REF!</v>
      </c>
    </row>
    <row r="27" spans="1:82" ht="16.5" customHeight="1" x14ac:dyDescent="0.25">
      <c r="A27" s="3" t="s">
        <v>61</v>
      </c>
      <c r="B27" t="s">
        <v>26</v>
      </c>
      <c r="C27" t="s">
        <v>34</v>
      </c>
      <c r="E27">
        <v>0.02</v>
      </c>
      <c r="F27">
        <f t="shared" si="0"/>
        <v>-1.6989700043360187</v>
      </c>
      <c r="G27">
        <f t="shared" si="1"/>
        <v>2.0408163265306124E-2</v>
      </c>
      <c r="H27">
        <f t="shared" si="2"/>
        <v>-1.6901960800285136</v>
      </c>
      <c r="I27">
        <f t="shared" si="3"/>
        <v>0.98</v>
      </c>
      <c r="J27">
        <f t="shared" si="4"/>
        <v>-8.7739243075051505E-3</v>
      </c>
      <c r="K27">
        <f t="shared" si="5"/>
        <v>48.999999999999957</v>
      </c>
      <c r="L27">
        <f t="shared" si="6"/>
        <v>1.6901960800285132</v>
      </c>
      <c r="M27">
        <v>0.01</v>
      </c>
      <c r="N27">
        <f t="shared" si="7"/>
        <v>-2</v>
      </c>
      <c r="O27">
        <f t="shared" si="8"/>
        <v>1.0101010101010102E-2</v>
      </c>
      <c r="P27">
        <f t="shared" si="9"/>
        <v>-1.9956351945975499</v>
      </c>
      <c r="Q27">
        <f t="shared" si="10"/>
        <v>48.979591836734649</v>
      </c>
      <c r="R27">
        <f t="shared" si="11"/>
        <v>1.6900151616830921</v>
      </c>
      <c r="U27">
        <f t="shared" si="12"/>
        <v>-1.6901960800285136</v>
      </c>
      <c r="Y27">
        <f t="shared" si="13"/>
        <v>-1.6989700043360187</v>
      </c>
      <c r="Z27">
        <f t="shared" si="14"/>
        <v>1.9999999999999997E-2</v>
      </c>
      <c r="AA27">
        <f t="shared" si="15"/>
        <v>-1.698970004336019</v>
      </c>
      <c r="AC27" t="s">
        <v>34</v>
      </c>
      <c r="AD27" t="s">
        <v>28</v>
      </c>
      <c r="AE27" t="s">
        <v>10</v>
      </c>
      <c r="AF27">
        <f>1000/4.12</f>
        <v>242.71844660194174</v>
      </c>
      <c r="AG27">
        <f t="shared" si="16"/>
        <v>4.1200000000000004E-3</v>
      </c>
      <c r="AH27">
        <v>0.03</v>
      </c>
      <c r="AI27">
        <f t="shared" si="17"/>
        <v>-1.5228787452803376</v>
      </c>
      <c r="AL27" t="s">
        <v>29</v>
      </c>
      <c r="AM27" t="s">
        <v>16</v>
      </c>
      <c r="AN27" t="s">
        <v>15</v>
      </c>
      <c r="AO27" s="1">
        <v>50000000</v>
      </c>
      <c r="AP27" s="1">
        <f t="shared" si="18"/>
        <v>7.6989700043360187</v>
      </c>
      <c r="AQ27">
        <v>380</v>
      </c>
      <c r="AR27">
        <f t="shared" si="19"/>
        <v>380000000</v>
      </c>
      <c r="AS27">
        <f t="shared" si="20"/>
        <v>8.5797835966168101</v>
      </c>
      <c r="AU27" s="1">
        <v>380000000</v>
      </c>
      <c r="AW27">
        <f t="shared" ref="AW27:AW37" si="44">10.12^3</f>
        <v>1036.4337279999997</v>
      </c>
      <c r="AX27">
        <f t="shared" si="21"/>
        <v>1.0364337279999997E-27</v>
      </c>
      <c r="AY27">
        <f t="shared" si="22"/>
        <v>-26.984458462488661</v>
      </c>
      <c r="AZ27">
        <f t="shared" ref="AZ27:AZ37" si="45">6/1</f>
        <v>6</v>
      </c>
      <c r="BA27">
        <f t="shared" si="23"/>
        <v>0.77815125038364363</v>
      </c>
      <c r="BB27">
        <f t="shared" ref="BB27:BB37" si="46">AZ27/348.05</f>
        <v>1.7238902456543598E-2</v>
      </c>
      <c r="BC27">
        <f t="shared" si="24"/>
        <v>-1.7634903877131636</v>
      </c>
      <c r="BE27">
        <f t="shared" si="25"/>
        <v>823</v>
      </c>
      <c r="BF27">
        <f t="shared" si="26"/>
        <v>1.215066828675577E-3</v>
      </c>
      <c r="BG27">
        <f t="shared" si="27"/>
        <v>1209600</v>
      </c>
      <c r="BH27">
        <f t="shared" si="28"/>
        <v>6.0826417781571314</v>
      </c>
      <c r="BI27">
        <f t="shared" ref="BI27:BI37" si="47">0.00132</f>
        <v>1.32E-3</v>
      </c>
      <c r="BJ27">
        <f t="shared" si="29"/>
        <v>-2.87942606879415</v>
      </c>
      <c r="BK27">
        <v>10</v>
      </c>
      <c r="BL27">
        <f t="shared" si="30"/>
        <v>0.01</v>
      </c>
      <c r="BM27">
        <f t="shared" si="31"/>
        <v>-2</v>
      </c>
      <c r="BN27">
        <v>1.93</v>
      </c>
      <c r="BO27">
        <f t="shared" si="32"/>
        <v>0.28555730900777376</v>
      </c>
      <c r="BQ27">
        <v>86</v>
      </c>
      <c r="BR27">
        <f t="shared" si="33"/>
        <v>1.6597999999999999</v>
      </c>
      <c r="BS27">
        <f t="shared" si="34"/>
        <v>0.22005576025134146</v>
      </c>
      <c r="BV27">
        <f>EXP(-9.2)/1000</f>
        <v>1.0103940183709342E-7</v>
      </c>
      <c r="BW27" s="1">
        <f t="shared" si="35"/>
        <v>-6.9955092335099165</v>
      </c>
      <c r="CB27" t="e">
        <f>#REF!+#REF!*AG27+#REF!*BC27+#REF!*AY27</f>
        <v>#REF!</v>
      </c>
      <c r="CD27" s="1" t="e">
        <f t="shared" si="36"/>
        <v>#REF!</v>
      </c>
    </row>
    <row r="28" spans="1:82" ht="16.5" customHeight="1" x14ac:dyDescent="0.25">
      <c r="A28" s="3" t="s">
        <v>61</v>
      </c>
      <c r="B28" t="s">
        <v>26</v>
      </c>
      <c r="C28" t="s">
        <v>34</v>
      </c>
      <c r="E28">
        <v>0.02</v>
      </c>
      <c r="F28">
        <f t="shared" si="0"/>
        <v>-1.6989700043360187</v>
      </c>
      <c r="G28">
        <f t="shared" si="1"/>
        <v>2.0408163265306124E-2</v>
      </c>
      <c r="H28">
        <f t="shared" si="2"/>
        <v>-1.6901960800285136</v>
      </c>
      <c r="I28">
        <f t="shared" si="3"/>
        <v>0.98</v>
      </c>
      <c r="J28">
        <f t="shared" si="4"/>
        <v>-8.7739243075051505E-3</v>
      </c>
      <c r="K28">
        <f t="shared" si="5"/>
        <v>48.999999999999957</v>
      </c>
      <c r="L28">
        <f t="shared" si="6"/>
        <v>1.6901960800285132</v>
      </c>
      <c r="M28">
        <v>0.01</v>
      </c>
      <c r="N28">
        <f t="shared" si="7"/>
        <v>-2</v>
      </c>
      <c r="O28">
        <f t="shared" si="8"/>
        <v>1.0101010101010102E-2</v>
      </c>
      <c r="P28">
        <f t="shared" si="9"/>
        <v>-1.9956351945975499</v>
      </c>
      <c r="Q28">
        <f t="shared" si="10"/>
        <v>48.979591836734649</v>
      </c>
      <c r="R28">
        <f t="shared" si="11"/>
        <v>1.6900151616830921</v>
      </c>
      <c r="U28">
        <f t="shared" si="12"/>
        <v>-1.6901960800285136</v>
      </c>
      <c r="Y28">
        <f t="shared" si="13"/>
        <v>-1.6989700043360187</v>
      </c>
      <c r="Z28">
        <f t="shared" si="14"/>
        <v>1.9999999999999997E-2</v>
      </c>
      <c r="AA28">
        <f t="shared" si="15"/>
        <v>-1.698970004336019</v>
      </c>
      <c r="AC28" t="s">
        <v>34</v>
      </c>
      <c r="AD28" t="s">
        <v>28</v>
      </c>
      <c r="AE28" t="s">
        <v>10</v>
      </c>
      <c r="AF28">
        <f>1000/3.96</f>
        <v>252.52525252525254</v>
      </c>
      <c r="AG28">
        <f t="shared" si="16"/>
        <v>3.96E-3</v>
      </c>
      <c r="AH28">
        <v>0.03</v>
      </c>
      <c r="AI28">
        <f t="shared" si="17"/>
        <v>-1.5228787452803376</v>
      </c>
      <c r="AL28" t="s">
        <v>29</v>
      </c>
      <c r="AM28" t="s">
        <v>16</v>
      </c>
      <c r="AN28" t="s">
        <v>15</v>
      </c>
      <c r="AO28" s="1">
        <v>50000000</v>
      </c>
      <c r="AP28" s="1">
        <f t="shared" si="18"/>
        <v>7.6989700043360187</v>
      </c>
      <c r="AQ28">
        <v>380</v>
      </c>
      <c r="AR28">
        <f t="shared" si="19"/>
        <v>380000000</v>
      </c>
      <c r="AS28">
        <f t="shared" si="20"/>
        <v>8.5797835966168101</v>
      </c>
      <c r="AU28" s="1">
        <v>380000000</v>
      </c>
      <c r="AW28">
        <f t="shared" si="44"/>
        <v>1036.4337279999997</v>
      </c>
      <c r="AX28">
        <f t="shared" si="21"/>
        <v>1.0364337279999997E-27</v>
      </c>
      <c r="AY28">
        <f t="shared" si="22"/>
        <v>-26.984458462488661</v>
      </c>
      <c r="AZ28">
        <f t="shared" si="45"/>
        <v>6</v>
      </c>
      <c r="BA28">
        <f t="shared" si="23"/>
        <v>0.77815125038364363</v>
      </c>
      <c r="BB28">
        <f t="shared" si="46"/>
        <v>1.7238902456543598E-2</v>
      </c>
      <c r="BC28">
        <f t="shared" si="24"/>
        <v>-1.7634903877131636</v>
      </c>
      <c r="BE28">
        <f t="shared" si="25"/>
        <v>823</v>
      </c>
      <c r="BF28">
        <f t="shared" si="26"/>
        <v>1.215066828675577E-3</v>
      </c>
      <c r="BG28">
        <f t="shared" si="27"/>
        <v>1209600</v>
      </c>
      <c r="BH28">
        <f t="shared" si="28"/>
        <v>6.0826417781571314</v>
      </c>
      <c r="BI28">
        <f t="shared" si="47"/>
        <v>1.32E-3</v>
      </c>
      <c r="BJ28">
        <f t="shared" si="29"/>
        <v>-2.87942606879415</v>
      </c>
      <c r="BK28">
        <v>10</v>
      </c>
      <c r="BL28">
        <f t="shared" si="30"/>
        <v>0.01</v>
      </c>
      <c r="BM28">
        <f t="shared" si="31"/>
        <v>-2</v>
      </c>
      <c r="BN28">
        <v>1.93</v>
      </c>
      <c r="BO28">
        <f t="shared" si="32"/>
        <v>0.28555730900777376</v>
      </c>
      <c r="BQ28">
        <v>86</v>
      </c>
      <c r="BR28">
        <f t="shared" si="33"/>
        <v>1.6597999999999999</v>
      </c>
      <c r="BS28">
        <f t="shared" si="34"/>
        <v>0.22005576025134146</v>
      </c>
      <c r="BV28">
        <f>EXP(-8.5)/1000</f>
        <v>2.0346836901064418E-7</v>
      </c>
      <c r="BW28" s="1">
        <f t="shared" si="35"/>
        <v>-6.6915030961776409</v>
      </c>
      <c r="CB28" t="e">
        <f>#REF!+#REF!*AG28+#REF!*BC28+#REF!*AY28</f>
        <v>#REF!</v>
      </c>
      <c r="CD28" s="1" t="e">
        <f t="shared" si="36"/>
        <v>#REF!</v>
      </c>
    </row>
    <row r="29" spans="1:82" ht="16.5" customHeight="1" x14ac:dyDescent="0.25">
      <c r="A29" s="3" t="s">
        <v>61</v>
      </c>
      <c r="B29" t="s">
        <v>26</v>
      </c>
      <c r="C29" t="s">
        <v>34</v>
      </c>
      <c r="E29">
        <v>0.02</v>
      </c>
      <c r="F29">
        <f t="shared" si="0"/>
        <v>-1.6989700043360187</v>
      </c>
      <c r="G29">
        <f t="shared" si="1"/>
        <v>2.0408163265306124E-2</v>
      </c>
      <c r="H29">
        <f t="shared" si="2"/>
        <v>-1.6901960800285136</v>
      </c>
      <c r="I29">
        <f t="shared" si="3"/>
        <v>0.98</v>
      </c>
      <c r="J29">
        <f t="shared" si="4"/>
        <v>-8.7739243075051505E-3</v>
      </c>
      <c r="K29">
        <f t="shared" si="5"/>
        <v>48.999999999999957</v>
      </c>
      <c r="L29">
        <f t="shared" si="6"/>
        <v>1.6901960800285132</v>
      </c>
      <c r="M29">
        <v>0.01</v>
      </c>
      <c r="N29">
        <f t="shared" si="7"/>
        <v>-2</v>
      </c>
      <c r="O29">
        <f t="shared" si="8"/>
        <v>1.0101010101010102E-2</v>
      </c>
      <c r="P29">
        <f t="shared" si="9"/>
        <v>-1.9956351945975499</v>
      </c>
      <c r="Q29">
        <f t="shared" si="10"/>
        <v>48.979591836734649</v>
      </c>
      <c r="R29">
        <f t="shared" si="11"/>
        <v>1.6900151616830921</v>
      </c>
      <c r="U29">
        <f t="shared" si="12"/>
        <v>-1.6901960800285136</v>
      </c>
      <c r="Y29">
        <f t="shared" si="13"/>
        <v>-1.6989700043360187</v>
      </c>
      <c r="Z29">
        <f t="shared" si="14"/>
        <v>1.9999999999999997E-2</v>
      </c>
      <c r="AA29">
        <f t="shared" si="15"/>
        <v>-1.698970004336019</v>
      </c>
      <c r="AC29" t="s">
        <v>34</v>
      </c>
      <c r="AD29" t="s">
        <v>28</v>
      </c>
      <c r="AE29" t="s">
        <v>10</v>
      </c>
      <c r="AF29">
        <f>1000/3.81</f>
        <v>262.46719160104988</v>
      </c>
      <c r="AG29">
        <f t="shared" si="16"/>
        <v>3.81E-3</v>
      </c>
      <c r="AH29">
        <v>0.03</v>
      </c>
      <c r="AI29">
        <f t="shared" si="17"/>
        <v>-1.5228787452803376</v>
      </c>
      <c r="AL29" t="s">
        <v>29</v>
      </c>
      <c r="AM29" t="s">
        <v>16</v>
      </c>
      <c r="AN29" t="s">
        <v>15</v>
      </c>
      <c r="AO29" s="1">
        <v>50000000</v>
      </c>
      <c r="AP29" s="1">
        <f t="shared" si="18"/>
        <v>7.6989700043360187</v>
      </c>
      <c r="AQ29">
        <v>380</v>
      </c>
      <c r="AR29">
        <f t="shared" si="19"/>
        <v>380000000</v>
      </c>
      <c r="AS29">
        <f t="shared" si="20"/>
        <v>8.5797835966168101</v>
      </c>
      <c r="AU29" s="1">
        <v>380000000</v>
      </c>
      <c r="AW29">
        <f t="shared" si="44"/>
        <v>1036.4337279999997</v>
      </c>
      <c r="AX29">
        <f t="shared" si="21"/>
        <v>1.0364337279999997E-27</v>
      </c>
      <c r="AY29">
        <f t="shared" si="22"/>
        <v>-26.984458462488661</v>
      </c>
      <c r="AZ29">
        <f t="shared" si="45"/>
        <v>6</v>
      </c>
      <c r="BA29">
        <f t="shared" si="23"/>
        <v>0.77815125038364363</v>
      </c>
      <c r="BB29">
        <f t="shared" si="46"/>
        <v>1.7238902456543598E-2</v>
      </c>
      <c r="BC29">
        <f t="shared" si="24"/>
        <v>-1.7634903877131636</v>
      </c>
      <c r="BE29">
        <f t="shared" si="25"/>
        <v>823</v>
      </c>
      <c r="BF29">
        <f t="shared" si="26"/>
        <v>1.215066828675577E-3</v>
      </c>
      <c r="BG29">
        <f t="shared" si="27"/>
        <v>1209600</v>
      </c>
      <c r="BH29">
        <f t="shared" si="28"/>
        <v>6.0826417781571314</v>
      </c>
      <c r="BI29">
        <f t="shared" si="47"/>
        <v>1.32E-3</v>
      </c>
      <c r="BJ29">
        <f t="shared" si="29"/>
        <v>-2.87942606879415</v>
      </c>
      <c r="BK29">
        <v>10</v>
      </c>
      <c r="BL29">
        <f t="shared" si="30"/>
        <v>0.01</v>
      </c>
      <c r="BM29">
        <f t="shared" si="31"/>
        <v>-2</v>
      </c>
      <c r="BN29">
        <v>1.93</v>
      </c>
      <c r="BO29">
        <f t="shared" si="32"/>
        <v>0.28555730900777376</v>
      </c>
      <c r="BQ29">
        <v>86</v>
      </c>
      <c r="BR29">
        <f t="shared" si="33"/>
        <v>1.6597999999999999</v>
      </c>
      <c r="BS29">
        <f t="shared" si="34"/>
        <v>0.22005576025134146</v>
      </c>
      <c r="BV29">
        <f>EXP(-7.8)/1000</f>
        <v>4.0973497897978679E-7</v>
      </c>
      <c r="BW29" s="1">
        <f t="shared" si="35"/>
        <v>-6.3874969588453645</v>
      </c>
      <c r="CB29" t="e">
        <f>#REF!+#REF!*AG29+#REF!*BC29+#REF!*AY29</f>
        <v>#REF!</v>
      </c>
      <c r="CD29" s="1" t="e">
        <f t="shared" si="36"/>
        <v>#REF!</v>
      </c>
    </row>
    <row r="30" spans="1:82" ht="16.5" customHeight="1" x14ac:dyDescent="0.25">
      <c r="A30" s="3" t="s">
        <v>61</v>
      </c>
      <c r="B30" t="s">
        <v>26</v>
      </c>
      <c r="C30" t="s">
        <v>34</v>
      </c>
      <c r="E30">
        <v>0.02</v>
      </c>
      <c r="F30">
        <f t="shared" si="0"/>
        <v>-1.6989700043360187</v>
      </c>
      <c r="G30">
        <f t="shared" si="1"/>
        <v>2.0408163265306124E-2</v>
      </c>
      <c r="H30">
        <f t="shared" si="2"/>
        <v>-1.6901960800285136</v>
      </c>
      <c r="I30">
        <f t="shared" si="3"/>
        <v>0.98</v>
      </c>
      <c r="J30">
        <f t="shared" si="4"/>
        <v>-8.7739243075051505E-3</v>
      </c>
      <c r="K30">
        <f t="shared" si="5"/>
        <v>48.999999999999957</v>
      </c>
      <c r="L30">
        <f t="shared" si="6"/>
        <v>1.6901960800285132</v>
      </c>
      <c r="M30">
        <v>0.01</v>
      </c>
      <c r="N30">
        <f t="shared" si="7"/>
        <v>-2</v>
      </c>
      <c r="O30">
        <f t="shared" si="8"/>
        <v>1.0101010101010102E-2</v>
      </c>
      <c r="P30">
        <f t="shared" si="9"/>
        <v>-1.9956351945975499</v>
      </c>
      <c r="Q30">
        <f t="shared" si="10"/>
        <v>48.979591836734649</v>
      </c>
      <c r="R30">
        <f t="shared" si="11"/>
        <v>1.6900151616830921</v>
      </c>
      <c r="U30">
        <f t="shared" si="12"/>
        <v>-1.6901960800285136</v>
      </c>
      <c r="Y30">
        <f t="shared" si="13"/>
        <v>-1.6989700043360187</v>
      </c>
      <c r="Z30">
        <f t="shared" si="14"/>
        <v>1.9999999999999997E-2</v>
      </c>
      <c r="AA30">
        <f t="shared" si="15"/>
        <v>-1.698970004336019</v>
      </c>
      <c r="AC30" t="s">
        <v>34</v>
      </c>
      <c r="AD30" t="s">
        <v>28</v>
      </c>
      <c r="AE30" t="s">
        <v>10</v>
      </c>
      <c r="AF30">
        <f>1000/3.66</f>
        <v>273.22404371584696</v>
      </c>
      <c r="AG30">
        <f t="shared" si="16"/>
        <v>3.6600000000000005E-3</v>
      </c>
      <c r="AH30">
        <v>0.03</v>
      </c>
      <c r="AI30">
        <f t="shared" si="17"/>
        <v>-1.5228787452803376</v>
      </c>
      <c r="AL30" t="s">
        <v>29</v>
      </c>
      <c r="AM30" t="s">
        <v>16</v>
      </c>
      <c r="AN30" t="s">
        <v>15</v>
      </c>
      <c r="AO30" s="1">
        <v>50000000</v>
      </c>
      <c r="AP30" s="1">
        <f t="shared" si="18"/>
        <v>7.6989700043360187</v>
      </c>
      <c r="AQ30">
        <v>380</v>
      </c>
      <c r="AR30">
        <f t="shared" si="19"/>
        <v>380000000</v>
      </c>
      <c r="AS30">
        <f t="shared" si="20"/>
        <v>8.5797835966168101</v>
      </c>
      <c r="AU30" s="1">
        <v>380000000</v>
      </c>
      <c r="AW30">
        <f t="shared" si="44"/>
        <v>1036.4337279999997</v>
      </c>
      <c r="AX30">
        <f t="shared" si="21"/>
        <v>1.0364337279999997E-27</v>
      </c>
      <c r="AY30">
        <f t="shared" si="22"/>
        <v>-26.984458462488661</v>
      </c>
      <c r="AZ30">
        <f t="shared" si="45"/>
        <v>6</v>
      </c>
      <c r="BA30">
        <f t="shared" si="23"/>
        <v>0.77815125038364363</v>
      </c>
      <c r="BB30">
        <f t="shared" si="46"/>
        <v>1.7238902456543598E-2</v>
      </c>
      <c r="BC30">
        <f t="shared" si="24"/>
        <v>-1.7634903877131636</v>
      </c>
      <c r="BE30">
        <f t="shared" si="25"/>
        <v>823</v>
      </c>
      <c r="BF30">
        <f t="shared" si="26"/>
        <v>1.215066828675577E-3</v>
      </c>
      <c r="BG30">
        <f t="shared" si="27"/>
        <v>1209600</v>
      </c>
      <c r="BH30">
        <f t="shared" si="28"/>
        <v>6.0826417781571314</v>
      </c>
      <c r="BI30">
        <f t="shared" si="47"/>
        <v>1.32E-3</v>
      </c>
      <c r="BJ30">
        <f t="shared" si="29"/>
        <v>-2.87942606879415</v>
      </c>
      <c r="BK30">
        <v>10</v>
      </c>
      <c r="BL30">
        <f t="shared" si="30"/>
        <v>0.01</v>
      </c>
      <c r="BM30">
        <f t="shared" si="31"/>
        <v>-2</v>
      </c>
      <c r="BN30">
        <v>1.93</v>
      </c>
      <c r="BO30">
        <f t="shared" si="32"/>
        <v>0.28555730900777376</v>
      </c>
      <c r="BQ30">
        <v>86</v>
      </c>
      <c r="BR30">
        <f t="shared" si="33"/>
        <v>1.6597999999999999</v>
      </c>
      <c r="BS30">
        <f t="shared" si="34"/>
        <v>0.22005576025134146</v>
      </c>
      <c r="BV30">
        <f>EXP(-7.2)/1000</f>
        <v>7.4658580837667921E-7</v>
      </c>
      <c r="BW30" s="1">
        <f t="shared" si="35"/>
        <v>-6.1269202697034135</v>
      </c>
      <c r="CB30" t="e">
        <f>#REF!+#REF!*AG30+#REF!*BC30+#REF!*AY30</f>
        <v>#REF!</v>
      </c>
      <c r="CD30" s="1" t="e">
        <f t="shared" si="36"/>
        <v>#REF!</v>
      </c>
    </row>
    <row r="31" spans="1:82" ht="16.5" customHeight="1" x14ac:dyDescent="0.25">
      <c r="A31" s="3" t="s">
        <v>61</v>
      </c>
      <c r="B31" t="s">
        <v>26</v>
      </c>
      <c r="C31" t="s">
        <v>34</v>
      </c>
      <c r="E31">
        <v>0.02</v>
      </c>
      <c r="F31">
        <f t="shared" si="0"/>
        <v>-1.6989700043360187</v>
      </c>
      <c r="G31">
        <f t="shared" si="1"/>
        <v>2.0408163265306124E-2</v>
      </c>
      <c r="H31">
        <f t="shared" si="2"/>
        <v>-1.6901960800285136</v>
      </c>
      <c r="I31">
        <f t="shared" si="3"/>
        <v>0.98</v>
      </c>
      <c r="J31">
        <f t="shared" si="4"/>
        <v>-8.7739243075051505E-3</v>
      </c>
      <c r="K31">
        <f t="shared" si="5"/>
        <v>48.999999999999957</v>
      </c>
      <c r="L31">
        <f t="shared" si="6"/>
        <v>1.6901960800285132</v>
      </c>
      <c r="M31">
        <v>0.01</v>
      </c>
      <c r="N31">
        <f t="shared" si="7"/>
        <v>-2</v>
      </c>
      <c r="O31">
        <f t="shared" si="8"/>
        <v>1.0101010101010102E-2</v>
      </c>
      <c r="P31">
        <f t="shared" si="9"/>
        <v>-1.9956351945975499</v>
      </c>
      <c r="Q31">
        <f t="shared" si="10"/>
        <v>48.979591836734649</v>
      </c>
      <c r="R31">
        <f t="shared" si="11"/>
        <v>1.6900151616830921</v>
      </c>
      <c r="U31">
        <f t="shared" si="12"/>
        <v>-1.6901960800285136</v>
      </c>
      <c r="Y31">
        <f t="shared" si="13"/>
        <v>-1.6989700043360187</v>
      </c>
      <c r="Z31">
        <f t="shared" si="14"/>
        <v>1.9999999999999997E-2</v>
      </c>
      <c r="AA31">
        <f t="shared" si="15"/>
        <v>-1.698970004336019</v>
      </c>
      <c r="AC31" t="s">
        <v>34</v>
      </c>
      <c r="AD31" t="s">
        <v>28</v>
      </c>
      <c r="AE31" t="s">
        <v>10</v>
      </c>
      <c r="AF31">
        <f>1000/3.53</f>
        <v>283.28611898016999</v>
      </c>
      <c r="AG31">
        <f t="shared" si="16"/>
        <v>3.5299999999999997E-3</v>
      </c>
      <c r="AH31">
        <v>0.03</v>
      </c>
      <c r="AI31">
        <f t="shared" si="17"/>
        <v>-1.5228787452803376</v>
      </c>
      <c r="AL31" t="s">
        <v>29</v>
      </c>
      <c r="AM31" t="s">
        <v>16</v>
      </c>
      <c r="AN31" t="s">
        <v>15</v>
      </c>
      <c r="AO31" s="1">
        <v>50000000</v>
      </c>
      <c r="AP31" s="1">
        <f t="shared" si="18"/>
        <v>7.6989700043360187</v>
      </c>
      <c r="AQ31">
        <v>380</v>
      </c>
      <c r="AR31">
        <f t="shared" si="19"/>
        <v>380000000</v>
      </c>
      <c r="AS31">
        <f t="shared" si="20"/>
        <v>8.5797835966168101</v>
      </c>
      <c r="AU31" s="1">
        <v>380000000</v>
      </c>
      <c r="AW31">
        <f t="shared" si="44"/>
        <v>1036.4337279999997</v>
      </c>
      <c r="AX31">
        <f t="shared" si="21"/>
        <v>1.0364337279999997E-27</v>
      </c>
      <c r="AY31">
        <f t="shared" si="22"/>
        <v>-26.984458462488661</v>
      </c>
      <c r="AZ31">
        <f t="shared" si="45"/>
        <v>6</v>
      </c>
      <c r="BA31">
        <f t="shared" si="23"/>
        <v>0.77815125038364363</v>
      </c>
      <c r="BB31">
        <f t="shared" si="46"/>
        <v>1.7238902456543598E-2</v>
      </c>
      <c r="BC31">
        <f t="shared" si="24"/>
        <v>-1.7634903877131636</v>
      </c>
      <c r="BE31">
        <f t="shared" si="25"/>
        <v>823</v>
      </c>
      <c r="BF31">
        <f t="shared" si="26"/>
        <v>1.215066828675577E-3</v>
      </c>
      <c r="BG31">
        <f t="shared" si="27"/>
        <v>1209600</v>
      </c>
      <c r="BH31">
        <f t="shared" si="28"/>
        <v>6.0826417781571314</v>
      </c>
      <c r="BI31">
        <f t="shared" si="47"/>
        <v>1.32E-3</v>
      </c>
      <c r="BJ31">
        <f t="shared" si="29"/>
        <v>-2.87942606879415</v>
      </c>
      <c r="BK31">
        <v>10</v>
      </c>
      <c r="BL31">
        <f t="shared" si="30"/>
        <v>0.01</v>
      </c>
      <c r="BM31">
        <f t="shared" si="31"/>
        <v>-2</v>
      </c>
      <c r="BN31">
        <v>1.93</v>
      </c>
      <c r="BO31">
        <f t="shared" si="32"/>
        <v>0.28555730900777376</v>
      </c>
      <c r="BQ31">
        <v>86</v>
      </c>
      <c r="BR31">
        <f t="shared" si="33"/>
        <v>1.6597999999999999</v>
      </c>
      <c r="BS31">
        <f t="shared" si="34"/>
        <v>0.22005576025134146</v>
      </c>
      <c r="BV31">
        <f>EXP(-6.6)/1000</f>
        <v>1.3603680375478939E-6</v>
      </c>
      <c r="BW31" s="1">
        <f t="shared" si="35"/>
        <v>-5.8663435805614617</v>
      </c>
      <c r="CB31" t="e">
        <f>#REF!+#REF!*AG31+#REF!*BC31+#REF!*AY31</f>
        <v>#REF!</v>
      </c>
      <c r="CD31" s="1" t="e">
        <f t="shared" si="36"/>
        <v>#REF!</v>
      </c>
    </row>
    <row r="32" spans="1:82" ht="16.5" customHeight="1" x14ac:dyDescent="0.25">
      <c r="A32" s="3" t="s">
        <v>61</v>
      </c>
      <c r="B32" t="s">
        <v>26</v>
      </c>
      <c r="C32" t="s">
        <v>34</v>
      </c>
      <c r="E32">
        <v>0.02</v>
      </c>
      <c r="F32">
        <f t="shared" si="0"/>
        <v>-1.6989700043360187</v>
      </c>
      <c r="G32">
        <f t="shared" si="1"/>
        <v>2.0408163265306124E-2</v>
      </c>
      <c r="H32">
        <f t="shared" si="2"/>
        <v>-1.6901960800285136</v>
      </c>
      <c r="I32">
        <f t="shared" si="3"/>
        <v>0.98</v>
      </c>
      <c r="J32">
        <f t="shared" si="4"/>
        <v>-8.7739243075051505E-3</v>
      </c>
      <c r="K32">
        <f t="shared" si="5"/>
        <v>48.999999999999957</v>
      </c>
      <c r="L32">
        <f t="shared" si="6"/>
        <v>1.6901960800285132</v>
      </c>
      <c r="M32">
        <v>0.01</v>
      </c>
      <c r="N32">
        <f t="shared" si="7"/>
        <v>-2</v>
      </c>
      <c r="O32">
        <f t="shared" si="8"/>
        <v>1.0101010101010102E-2</v>
      </c>
      <c r="P32">
        <f t="shared" si="9"/>
        <v>-1.9956351945975499</v>
      </c>
      <c r="Q32">
        <f t="shared" si="10"/>
        <v>48.979591836734649</v>
      </c>
      <c r="R32">
        <f t="shared" si="11"/>
        <v>1.6900151616830921</v>
      </c>
      <c r="U32">
        <f t="shared" si="12"/>
        <v>-1.6901960800285136</v>
      </c>
      <c r="Y32">
        <f t="shared" si="13"/>
        <v>-1.6989700043360187</v>
      </c>
      <c r="Z32">
        <f t="shared" si="14"/>
        <v>1.9999999999999997E-2</v>
      </c>
      <c r="AA32">
        <f t="shared" si="15"/>
        <v>-1.698970004336019</v>
      </c>
      <c r="AC32" t="s">
        <v>34</v>
      </c>
      <c r="AD32" t="s">
        <v>28</v>
      </c>
      <c r="AE32" t="s">
        <v>10</v>
      </c>
      <c r="AF32">
        <f>1000/3.41</f>
        <v>293.25513196480938</v>
      </c>
      <c r="AG32">
        <f t="shared" si="16"/>
        <v>3.4100000000000003E-3</v>
      </c>
      <c r="AH32">
        <v>0.03</v>
      </c>
      <c r="AI32">
        <f t="shared" si="17"/>
        <v>-1.5228787452803376</v>
      </c>
      <c r="AL32" t="s">
        <v>29</v>
      </c>
      <c r="AM32" t="s">
        <v>16</v>
      </c>
      <c r="AN32" t="s">
        <v>15</v>
      </c>
      <c r="AO32" s="1">
        <v>50000000</v>
      </c>
      <c r="AP32" s="1">
        <f t="shared" si="18"/>
        <v>7.6989700043360187</v>
      </c>
      <c r="AQ32">
        <v>380</v>
      </c>
      <c r="AR32">
        <f t="shared" si="19"/>
        <v>380000000</v>
      </c>
      <c r="AS32">
        <f t="shared" si="20"/>
        <v>8.5797835966168101</v>
      </c>
      <c r="AU32" s="1">
        <v>380000000</v>
      </c>
      <c r="AW32">
        <f t="shared" si="44"/>
        <v>1036.4337279999997</v>
      </c>
      <c r="AX32">
        <f t="shared" si="21"/>
        <v>1.0364337279999997E-27</v>
      </c>
      <c r="AY32">
        <f t="shared" si="22"/>
        <v>-26.984458462488661</v>
      </c>
      <c r="AZ32">
        <f t="shared" si="45"/>
        <v>6</v>
      </c>
      <c r="BA32">
        <f t="shared" si="23"/>
        <v>0.77815125038364363</v>
      </c>
      <c r="BB32">
        <f t="shared" si="46"/>
        <v>1.7238902456543598E-2</v>
      </c>
      <c r="BC32">
        <f t="shared" si="24"/>
        <v>-1.7634903877131636</v>
      </c>
      <c r="BE32">
        <f t="shared" si="25"/>
        <v>823</v>
      </c>
      <c r="BF32">
        <f t="shared" si="26"/>
        <v>1.215066828675577E-3</v>
      </c>
      <c r="BG32">
        <f t="shared" si="27"/>
        <v>1209600</v>
      </c>
      <c r="BH32">
        <f t="shared" si="28"/>
        <v>6.0826417781571314</v>
      </c>
      <c r="BI32">
        <f t="shared" si="47"/>
        <v>1.32E-3</v>
      </c>
      <c r="BJ32">
        <f t="shared" si="29"/>
        <v>-2.87942606879415</v>
      </c>
      <c r="BK32">
        <v>10</v>
      </c>
      <c r="BL32">
        <f t="shared" si="30"/>
        <v>0.01</v>
      </c>
      <c r="BM32">
        <f t="shared" si="31"/>
        <v>-2</v>
      </c>
      <c r="BN32">
        <v>1.93</v>
      </c>
      <c r="BO32">
        <f t="shared" si="32"/>
        <v>0.28555730900777376</v>
      </c>
      <c r="BQ32">
        <v>86</v>
      </c>
      <c r="BR32">
        <f t="shared" si="33"/>
        <v>1.6597999999999999</v>
      </c>
      <c r="BS32">
        <f t="shared" si="34"/>
        <v>0.22005576025134146</v>
      </c>
      <c r="BV32">
        <f>EXP(-6.05)/1000</f>
        <v>2.357862006490233E-6</v>
      </c>
      <c r="BW32" s="1">
        <f t="shared" si="35"/>
        <v>-5.6274816155146734</v>
      </c>
      <c r="CB32" t="e">
        <f>#REF!+#REF!*AG32+#REF!*BC32+#REF!*AY32</f>
        <v>#REF!</v>
      </c>
      <c r="CD32" s="1" t="e">
        <f t="shared" si="36"/>
        <v>#REF!</v>
      </c>
    </row>
    <row r="33" spans="1:82" ht="16.5" customHeight="1" x14ac:dyDescent="0.25">
      <c r="A33" s="3" t="s">
        <v>61</v>
      </c>
      <c r="B33" t="s">
        <v>26</v>
      </c>
      <c r="C33" t="s">
        <v>34</v>
      </c>
      <c r="E33">
        <v>0.02</v>
      </c>
      <c r="F33">
        <f t="shared" si="0"/>
        <v>-1.6989700043360187</v>
      </c>
      <c r="G33">
        <f t="shared" si="1"/>
        <v>2.0408163265306124E-2</v>
      </c>
      <c r="H33">
        <f t="shared" si="2"/>
        <v>-1.6901960800285136</v>
      </c>
      <c r="I33">
        <f t="shared" si="3"/>
        <v>0.98</v>
      </c>
      <c r="J33">
        <f t="shared" si="4"/>
        <v>-8.7739243075051505E-3</v>
      </c>
      <c r="K33">
        <f t="shared" si="5"/>
        <v>48.999999999999957</v>
      </c>
      <c r="L33">
        <f t="shared" si="6"/>
        <v>1.6901960800285132</v>
      </c>
      <c r="M33">
        <v>0.01</v>
      </c>
      <c r="N33">
        <f t="shared" si="7"/>
        <v>-2</v>
      </c>
      <c r="O33">
        <f t="shared" si="8"/>
        <v>1.0101010101010102E-2</v>
      </c>
      <c r="P33">
        <f t="shared" si="9"/>
        <v>-1.9956351945975499</v>
      </c>
      <c r="Q33">
        <f t="shared" si="10"/>
        <v>48.979591836734649</v>
      </c>
      <c r="R33">
        <f t="shared" si="11"/>
        <v>1.6900151616830921</v>
      </c>
      <c r="U33">
        <f t="shared" si="12"/>
        <v>-1.6901960800285136</v>
      </c>
      <c r="Y33">
        <f t="shared" si="13"/>
        <v>-1.6989700043360187</v>
      </c>
      <c r="Z33">
        <f t="shared" si="14"/>
        <v>1.9999999999999997E-2</v>
      </c>
      <c r="AA33">
        <f t="shared" si="15"/>
        <v>-1.698970004336019</v>
      </c>
      <c r="AC33" t="s">
        <v>34</v>
      </c>
      <c r="AD33" t="s">
        <v>28</v>
      </c>
      <c r="AE33" t="s">
        <v>10</v>
      </c>
      <c r="AF33">
        <f>1000/3.36</f>
        <v>297.61904761904765</v>
      </c>
      <c r="AG33">
        <f t="shared" si="16"/>
        <v>3.3599999999999997E-3</v>
      </c>
      <c r="AH33">
        <v>0.03</v>
      </c>
      <c r="AI33">
        <f t="shared" si="17"/>
        <v>-1.5228787452803376</v>
      </c>
      <c r="AL33" t="s">
        <v>29</v>
      </c>
      <c r="AM33" t="s">
        <v>16</v>
      </c>
      <c r="AN33" t="s">
        <v>15</v>
      </c>
      <c r="AO33" s="1">
        <v>50000000</v>
      </c>
      <c r="AP33" s="1">
        <f t="shared" si="18"/>
        <v>7.6989700043360187</v>
      </c>
      <c r="AQ33">
        <v>380</v>
      </c>
      <c r="AR33">
        <f t="shared" si="19"/>
        <v>380000000</v>
      </c>
      <c r="AS33">
        <f t="shared" si="20"/>
        <v>8.5797835966168101</v>
      </c>
      <c r="AU33" s="1">
        <v>380000000</v>
      </c>
      <c r="AW33">
        <f t="shared" si="44"/>
        <v>1036.4337279999997</v>
      </c>
      <c r="AX33">
        <f t="shared" si="21"/>
        <v>1.0364337279999997E-27</v>
      </c>
      <c r="AY33">
        <f t="shared" si="22"/>
        <v>-26.984458462488661</v>
      </c>
      <c r="AZ33">
        <f t="shared" si="45"/>
        <v>6</v>
      </c>
      <c r="BA33">
        <f t="shared" si="23"/>
        <v>0.77815125038364363</v>
      </c>
      <c r="BB33">
        <f t="shared" si="46"/>
        <v>1.7238902456543598E-2</v>
      </c>
      <c r="BC33">
        <f t="shared" si="24"/>
        <v>-1.7634903877131636</v>
      </c>
      <c r="BE33">
        <f t="shared" si="25"/>
        <v>823</v>
      </c>
      <c r="BF33">
        <f t="shared" si="26"/>
        <v>1.215066828675577E-3</v>
      </c>
      <c r="BG33">
        <f t="shared" si="27"/>
        <v>1209600</v>
      </c>
      <c r="BH33">
        <f t="shared" si="28"/>
        <v>6.0826417781571314</v>
      </c>
      <c r="BI33">
        <f t="shared" si="47"/>
        <v>1.32E-3</v>
      </c>
      <c r="BJ33">
        <f t="shared" si="29"/>
        <v>-2.87942606879415</v>
      </c>
      <c r="BK33">
        <v>10</v>
      </c>
      <c r="BL33">
        <f t="shared" si="30"/>
        <v>0.01</v>
      </c>
      <c r="BM33">
        <f t="shared" si="31"/>
        <v>-2</v>
      </c>
      <c r="BN33">
        <v>1.93</v>
      </c>
      <c r="BO33">
        <f t="shared" si="32"/>
        <v>0.28555730900777376</v>
      </c>
      <c r="BQ33">
        <v>86</v>
      </c>
      <c r="BR33">
        <f t="shared" si="33"/>
        <v>1.6597999999999999</v>
      </c>
      <c r="BS33">
        <f t="shared" si="34"/>
        <v>0.22005576025134146</v>
      </c>
      <c r="BV33">
        <f>EXP(-5.9)/1000</f>
        <v>2.7394448187683683E-6</v>
      </c>
      <c r="BW33" s="1">
        <f t="shared" si="35"/>
        <v>-5.5623374432291861</v>
      </c>
      <c r="CB33" t="e">
        <f>#REF!+#REF!*AG33+#REF!*BC33+#REF!*AY33</f>
        <v>#REF!</v>
      </c>
      <c r="CD33" s="1" t="e">
        <f t="shared" si="36"/>
        <v>#REF!</v>
      </c>
    </row>
    <row r="34" spans="1:82" ht="16.5" customHeight="1" x14ac:dyDescent="0.25">
      <c r="A34" s="3" t="s">
        <v>61</v>
      </c>
      <c r="B34" t="s">
        <v>26</v>
      </c>
      <c r="C34" t="s">
        <v>34</v>
      </c>
      <c r="E34">
        <v>0.02</v>
      </c>
      <c r="F34">
        <f t="shared" si="0"/>
        <v>-1.6989700043360187</v>
      </c>
      <c r="G34">
        <f t="shared" si="1"/>
        <v>2.0408163265306124E-2</v>
      </c>
      <c r="H34">
        <f t="shared" si="2"/>
        <v>-1.6901960800285136</v>
      </c>
      <c r="I34">
        <f t="shared" si="3"/>
        <v>0.98</v>
      </c>
      <c r="J34">
        <f t="shared" si="4"/>
        <v>-8.7739243075051505E-3</v>
      </c>
      <c r="K34">
        <f t="shared" si="5"/>
        <v>48.999999999999957</v>
      </c>
      <c r="L34">
        <f t="shared" si="6"/>
        <v>1.6901960800285132</v>
      </c>
      <c r="M34">
        <v>0.01</v>
      </c>
      <c r="N34">
        <f t="shared" si="7"/>
        <v>-2</v>
      </c>
      <c r="O34">
        <f t="shared" si="8"/>
        <v>1.0101010101010102E-2</v>
      </c>
      <c r="P34">
        <f t="shared" si="9"/>
        <v>-1.9956351945975499</v>
      </c>
      <c r="Q34">
        <f t="shared" si="10"/>
        <v>48.979591836734649</v>
      </c>
      <c r="R34">
        <f t="shared" si="11"/>
        <v>1.6900151616830921</v>
      </c>
      <c r="U34">
        <f t="shared" si="12"/>
        <v>-1.6901960800285136</v>
      </c>
      <c r="Y34">
        <f t="shared" si="13"/>
        <v>-1.6989700043360187</v>
      </c>
      <c r="Z34">
        <f t="shared" si="14"/>
        <v>1.9999999999999997E-2</v>
      </c>
      <c r="AA34">
        <f t="shared" si="15"/>
        <v>-1.698970004336019</v>
      </c>
      <c r="AC34" t="s">
        <v>34</v>
      </c>
      <c r="AD34" t="s">
        <v>28</v>
      </c>
      <c r="AE34" t="s">
        <v>10</v>
      </c>
      <c r="AF34">
        <f>1000/3.3</f>
        <v>303.03030303030306</v>
      </c>
      <c r="AG34">
        <f t="shared" si="16"/>
        <v>3.2999999999999995E-3</v>
      </c>
      <c r="AH34">
        <v>0.03</v>
      </c>
      <c r="AI34">
        <f t="shared" si="17"/>
        <v>-1.5228787452803376</v>
      </c>
      <c r="AL34" t="s">
        <v>29</v>
      </c>
      <c r="AM34" t="s">
        <v>16</v>
      </c>
      <c r="AN34" t="s">
        <v>15</v>
      </c>
      <c r="AO34" s="1">
        <v>50000000</v>
      </c>
      <c r="AP34" s="1">
        <f t="shared" si="18"/>
        <v>7.6989700043360187</v>
      </c>
      <c r="AQ34">
        <v>380</v>
      </c>
      <c r="AR34">
        <f t="shared" si="19"/>
        <v>380000000</v>
      </c>
      <c r="AS34">
        <f t="shared" si="20"/>
        <v>8.5797835966168101</v>
      </c>
      <c r="AU34" s="1">
        <v>380000000</v>
      </c>
      <c r="AW34">
        <f t="shared" si="44"/>
        <v>1036.4337279999997</v>
      </c>
      <c r="AX34">
        <f t="shared" si="21"/>
        <v>1.0364337279999997E-27</v>
      </c>
      <c r="AY34">
        <f t="shared" si="22"/>
        <v>-26.984458462488661</v>
      </c>
      <c r="AZ34">
        <f t="shared" si="45"/>
        <v>6</v>
      </c>
      <c r="BA34">
        <f t="shared" si="23"/>
        <v>0.77815125038364363</v>
      </c>
      <c r="BB34">
        <f t="shared" si="46"/>
        <v>1.7238902456543598E-2</v>
      </c>
      <c r="BC34">
        <f t="shared" si="24"/>
        <v>-1.7634903877131636</v>
      </c>
      <c r="BE34">
        <f t="shared" si="25"/>
        <v>823</v>
      </c>
      <c r="BF34">
        <f t="shared" si="26"/>
        <v>1.215066828675577E-3</v>
      </c>
      <c r="BG34">
        <f t="shared" si="27"/>
        <v>1209600</v>
      </c>
      <c r="BH34">
        <f t="shared" si="28"/>
        <v>6.0826417781571314</v>
      </c>
      <c r="BI34">
        <f t="shared" si="47"/>
        <v>1.32E-3</v>
      </c>
      <c r="BJ34">
        <f t="shared" si="29"/>
        <v>-2.87942606879415</v>
      </c>
      <c r="BK34">
        <v>10</v>
      </c>
      <c r="BL34">
        <f t="shared" si="30"/>
        <v>0.01</v>
      </c>
      <c r="BM34">
        <f t="shared" si="31"/>
        <v>-2</v>
      </c>
      <c r="BN34">
        <v>1.93</v>
      </c>
      <c r="BO34">
        <f t="shared" si="32"/>
        <v>0.28555730900777376</v>
      </c>
      <c r="BQ34">
        <v>86</v>
      </c>
      <c r="BR34">
        <f t="shared" si="33"/>
        <v>1.6597999999999999</v>
      </c>
      <c r="BS34">
        <f t="shared" si="34"/>
        <v>0.22005576025134146</v>
      </c>
      <c r="BV34">
        <f>EXP(-5.6)/1000</f>
        <v>3.6978637164829319E-6</v>
      </c>
      <c r="BW34" s="1">
        <f t="shared" si="35"/>
        <v>-5.4320490986582097</v>
      </c>
      <c r="CB34" t="e">
        <f>#REF!+#REF!*AG34+#REF!*BC34+#REF!*AY34</f>
        <v>#REF!</v>
      </c>
      <c r="CD34" s="1" t="e">
        <f t="shared" si="36"/>
        <v>#REF!</v>
      </c>
    </row>
    <row r="35" spans="1:82" ht="16.5" customHeight="1" x14ac:dyDescent="0.25">
      <c r="A35" s="3" t="s">
        <v>61</v>
      </c>
      <c r="B35" t="s">
        <v>26</v>
      </c>
      <c r="C35" t="s">
        <v>34</v>
      </c>
      <c r="E35">
        <v>0.02</v>
      </c>
      <c r="F35">
        <f t="shared" si="0"/>
        <v>-1.6989700043360187</v>
      </c>
      <c r="G35">
        <f t="shared" si="1"/>
        <v>2.0408163265306124E-2</v>
      </c>
      <c r="H35">
        <f t="shared" si="2"/>
        <v>-1.6901960800285136</v>
      </c>
      <c r="I35">
        <f t="shared" si="3"/>
        <v>0.98</v>
      </c>
      <c r="J35">
        <f t="shared" si="4"/>
        <v>-8.7739243075051505E-3</v>
      </c>
      <c r="K35">
        <f t="shared" si="5"/>
        <v>48.999999999999957</v>
      </c>
      <c r="L35">
        <f t="shared" si="6"/>
        <v>1.6901960800285132</v>
      </c>
      <c r="M35">
        <v>0.01</v>
      </c>
      <c r="N35">
        <f t="shared" si="7"/>
        <v>-2</v>
      </c>
      <c r="O35">
        <f t="shared" si="8"/>
        <v>1.0101010101010102E-2</v>
      </c>
      <c r="P35">
        <f t="shared" si="9"/>
        <v>-1.9956351945975499</v>
      </c>
      <c r="Q35">
        <f t="shared" si="10"/>
        <v>48.979591836734649</v>
      </c>
      <c r="R35">
        <f t="shared" si="11"/>
        <v>1.6900151616830921</v>
      </c>
      <c r="U35">
        <f t="shared" si="12"/>
        <v>-1.6901960800285136</v>
      </c>
      <c r="Y35">
        <f t="shared" si="13"/>
        <v>-1.6989700043360187</v>
      </c>
      <c r="Z35">
        <f t="shared" si="14"/>
        <v>1.9999999999999997E-2</v>
      </c>
      <c r="AA35">
        <f t="shared" si="15"/>
        <v>-1.698970004336019</v>
      </c>
      <c r="AC35" t="s">
        <v>34</v>
      </c>
      <c r="AD35" t="s">
        <v>28</v>
      </c>
      <c r="AE35" t="s">
        <v>10</v>
      </c>
      <c r="AF35">
        <f>1000/3.2</f>
        <v>312.5</v>
      </c>
      <c r="AG35">
        <f t="shared" si="16"/>
        <v>3.2000000000000002E-3</v>
      </c>
      <c r="AH35">
        <v>0.03</v>
      </c>
      <c r="AI35">
        <f t="shared" si="17"/>
        <v>-1.5228787452803376</v>
      </c>
      <c r="AL35" t="s">
        <v>29</v>
      </c>
      <c r="AM35" t="s">
        <v>16</v>
      </c>
      <c r="AN35" t="s">
        <v>15</v>
      </c>
      <c r="AO35" s="1">
        <v>50000000</v>
      </c>
      <c r="AP35" s="1">
        <f t="shared" si="18"/>
        <v>7.6989700043360187</v>
      </c>
      <c r="AQ35">
        <v>380</v>
      </c>
      <c r="AR35">
        <f t="shared" si="19"/>
        <v>380000000</v>
      </c>
      <c r="AS35">
        <f t="shared" si="20"/>
        <v>8.5797835966168101</v>
      </c>
      <c r="AU35" s="1">
        <v>380000000</v>
      </c>
      <c r="AW35">
        <f t="shared" si="44"/>
        <v>1036.4337279999997</v>
      </c>
      <c r="AX35">
        <f t="shared" si="21"/>
        <v>1.0364337279999997E-27</v>
      </c>
      <c r="AY35">
        <f t="shared" si="22"/>
        <v>-26.984458462488661</v>
      </c>
      <c r="AZ35">
        <f t="shared" si="45"/>
        <v>6</v>
      </c>
      <c r="BA35">
        <f t="shared" si="23"/>
        <v>0.77815125038364363</v>
      </c>
      <c r="BB35">
        <f t="shared" si="46"/>
        <v>1.7238902456543598E-2</v>
      </c>
      <c r="BC35">
        <f t="shared" si="24"/>
        <v>-1.7634903877131636</v>
      </c>
      <c r="BE35">
        <f t="shared" si="25"/>
        <v>823</v>
      </c>
      <c r="BF35">
        <f t="shared" si="26"/>
        <v>1.215066828675577E-3</v>
      </c>
      <c r="BG35">
        <f t="shared" si="27"/>
        <v>1209600</v>
      </c>
      <c r="BH35">
        <f t="shared" si="28"/>
        <v>6.0826417781571314</v>
      </c>
      <c r="BI35">
        <f t="shared" si="47"/>
        <v>1.32E-3</v>
      </c>
      <c r="BJ35">
        <f t="shared" si="29"/>
        <v>-2.87942606879415</v>
      </c>
      <c r="BK35">
        <v>10</v>
      </c>
      <c r="BL35">
        <f t="shared" si="30"/>
        <v>0.01</v>
      </c>
      <c r="BM35">
        <f t="shared" si="31"/>
        <v>-2</v>
      </c>
      <c r="BN35">
        <v>1.93</v>
      </c>
      <c r="BO35">
        <f t="shared" si="32"/>
        <v>0.28555730900777376</v>
      </c>
      <c r="BQ35">
        <v>86</v>
      </c>
      <c r="BR35">
        <f t="shared" si="33"/>
        <v>1.6597999999999999</v>
      </c>
      <c r="BS35">
        <f t="shared" si="34"/>
        <v>0.22005576025134146</v>
      </c>
      <c r="BV35">
        <f>EXP(-5.1)/1000</f>
        <v>6.0967465655156379E-6</v>
      </c>
      <c r="BW35" s="1">
        <f t="shared" si="35"/>
        <v>-5.2149018577065842</v>
      </c>
      <c r="CB35" t="e">
        <f>#REF!+#REF!*AG35+#REF!*BC35+#REF!*AY35</f>
        <v>#REF!</v>
      </c>
      <c r="CD35" s="1" t="e">
        <f t="shared" si="36"/>
        <v>#REF!</v>
      </c>
    </row>
    <row r="36" spans="1:82" ht="16.5" customHeight="1" x14ac:dyDescent="0.25">
      <c r="A36" s="3" t="s">
        <v>61</v>
      </c>
      <c r="B36" t="s">
        <v>26</v>
      </c>
      <c r="C36" t="s">
        <v>34</v>
      </c>
      <c r="E36">
        <v>0.02</v>
      </c>
      <c r="F36">
        <f t="shared" si="0"/>
        <v>-1.6989700043360187</v>
      </c>
      <c r="G36">
        <f t="shared" si="1"/>
        <v>2.0408163265306124E-2</v>
      </c>
      <c r="H36">
        <f t="shared" si="2"/>
        <v>-1.6901960800285136</v>
      </c>
      <c r="I36">
        <f t="shared" si="3"/>
        <v>0.98</v>
      </c>
      <c r="J36">
        <f t="shared" si="4"/>
        <v>-8.7739243075051505E-3</v>
      </c>
      <c r="K36">
        <f t="shared" si="5"/>
        <v>48.999999999999957</v>
      </c>
      <c r="L36">
        <f t="shared" si="6"/>
        <v>1.6901960800285132</v>
      </c>
      <c r="M36">
        <v>0.01</v>
      </c>
      <c r="N36">
        <f t="shared" si="7"/>
        <v>-2</v>
      </c>
      <c r="O36">
        <f t="shared" si="8"/>
        <v>1.0101010101010102E-2</v>
      </c>
      <c r="P36">
        <f t="shared" si="9"/>
        <v>-1.9956351945975499</v>
      </c>
      <c r="Q36">
        <f t="shared" si="10"/>
        <v>48.979591836734649</v>
      </c>
      <c r="R36">
        <f t="shared" si="11"/>
        <v>1.6900151616830921</v>
      </c>
      <c r="U36">
        <f t="shared" si="12"/>
        <v>-1.6901960800285136</v>
      </c>
      <c r="Y36">
        <f t="shared" si="13"/>
        <v>-1.6989700043360187</v>
      </c>
      <c r="Z36">
        <f t="shared" si="14"/>
        <v>1.9999999999999997E-2</v>
      </c>
      <c r="AA36">
        <f t="shared" si="15"/>
        <v>-1.698970004336019</v>
      </c>
      <c r="AC36" t="s">
        <v>34</v>
      </c>
      <c r="AD36" t="s">
        <v>28</v>
      </c>
      <c r="AE36" t="s">
        <v>10</v>
      </c>
      <c r="AF36">
        <f>1000/3.1</f>
        <v>322.58064516129031</v>
      </c>
      <c r="AG36">
        <f t="shared" si="16"/>
        <v>3.1000000000000003E-3</v>
      </c>
      <c r="AH36">
        <v>0.03</v>
      </c>
      <c r="AI36">
        <f t="shared" si="17"/>
        <v>-1.5228787452803376</v>
      </c>
      <c r="AL36" t="s">
        <v>29</v>
      </c>
      <c r="AM36" t="s">
        <v>16</v>
      </c>
      <c r="AN36" t="s">
        <v>15</v>
      </c>
      <c r="AO36" s="1">
        <v>50000000</v>
      </c>
      <c r="AP36" s="1">
        <f t="shared" si="18"/>
        <v>7.6989700043360187</v>
      </c>
      <c r="AQ36">
        <v>380</v>
      </c>
      <c r="AR36">
        <f t="shared" si="19"/>
        <v>380000000</v>
      </c>
      <c r="AS36">
        <f t="shared" si="20"/>
        <v>8.5797835966168101</v>
      </c>
      <c r="AU36" s="1">
        <v>380000000</v>
      </c>
      <c r="AW36">
        <f t="shared" si="44"/>
        <v>1036.4337279999997</v>
      </c>
      <c r="AX36">
        <f t="shared" si="21"/>
        <v>1.0364337279999997E-27</v>
      </c>
      <c r="AY36">
        <f t="shared" si="22"/>
        <v>-26.984458462488661</v>
      </c>
      <c r="AZ36">
        <f t="shared" si="45"/>
        <v>6</v>
      </c>
      <c r="BA36">
        <f t="shared" si="23"/>
        <v>0.77815125038364363</v>
      </c>
      <c r="BB36">
        <f t="shared" si="46"/>
        <v>1.7238902456543598E-2</v>
      </c>
      <c r="BC36">
        <f t="shared" si="24"/>
        <v>-1.7634903877131636</v>
      </c>
      <c r="BE36">
        <f t="shared" si="25"/>
        <v>823</v>
      </c>
      <c r="BF36">
        <f t="shared" si="26"/>
        <v>1.215066828675577E-3</v>
      </c>
      <c r="BG36">
        <f t="shared" si="27"/>
        <v>1209600</v>
      </c>
      <c r="BH36">
        <f t="shared" si="28"/>
        <v>6.0826417781571314</v>
      </c>
      <c r="BI36">
        <f t="shared" si="47"/>
        <v>1.32E-3</v>
      </c>
      <c r="BJ36">
        <f t="shared" si="29"/>
        <v>-2.87942606879415</v>
      </c>
      <c r="BK36">
        <v>10</v>
      </c>
      <c r="BL36">
        <f t="shared" si="30"/>
        <v>0.01</v>
      </c>
      <c r="BM36">
        <f t="shared" si="31"/>
        <v>-2</v>
      </c>
      <c r="BN36">
        <v>1.93</v>
      </c>
      <c r="BO36">
        <f t="shared" si="32"/>
        <v>0.28555730900777376</v>
      </c>
      <c r="BQ36">
        <v>86</v>
      </c>
      <c r="BR36">
        <f t="shared" si="33"/>
        <v>1.6597999999999999</v>
      </c>
      <c r="BS36">
        <f t="shared" si="34"/>
        <v>0.22005576025134146</v>
      </c>
      <c r="BV36">
        <f>EXP(-4.7)/1000</f>
        <v>9.0952771016958154E-6</v>
      </c>
      <c r="BW36" s="1">
        <f t="shared" si="35"/>
        <v>-5.0411840649452833</v>
      </c>
      <c r="CB36" t="e">
        <f>#REF!+#REF!*AG36+#REF!*BC36+#REF!*AY36</f>
        <v>#REF!</v>
      </c>
      <c r="CD36" s="1" t="e">
        <f t="shared" si="36"/>
        <v>#REF!</v>
      </c>
    </row>
    <row r="37" spans="1:82" ht="16.5" customHeight="1" x14ac:dyDescent="0.25">
      <c r="A37" s="3" t="s">
        <v>61</v>
      </c>
      <c r="B37" t="s">
        <v>26</v>
      </c>
      <c r="C37" t="s">
        <v>34</v>
      </c>
      <c r="E37">
        <v>0.02</v>
      </c>
      <c r="F37">
        <f t="shared" si="0"/>
        <v>-1.6989700043360187</v>
      </c>
      <c r="G37">
        <f t="shared" si="1"/>
        <v>2.0408163265306124E-2</v>
      </c>
      <c r="H37">
        <f t="shared" si="2"/>
        <v>-1.6901960800285136</v>
      </c>
      <c r="I37">
        <f t="shared" si="3"/>
        <v>0.98</v>
      </c>
      <c r="J37">
        <f t="shared" si="4"/>
        <v>-8.7739243075051505E-3</v>
      </c>
      <c r="K37">
        <f t="shared" si="5"/>
        <v>48.999999999999957</v>
      </c>
      <c r="L37">
        <f t="shared" si="6"/>
        <v>1.6901960800285132</v>
      </c>
      <c r="M37">
        <v>0.01</v>
      </c>
      <c r="N37">
        <f t="shared" si="7"/>
        <v>-2</v>
      </c>
      <c r="O37">
        <f t="shared" si="8"/>
        <v>1.0101010101010102E-2</v>
      </c>
      <c r="P37">
        <f t="shared" si="9"/>
        <v>-1.9956351945975499</v>
      </c>
      <c r="Q37">
        <f t="shared" si="10"/>
        <v>48.979591836734649</v>
      </c>
      <c r="R37">
        <f t="shared" si="11"/>
        <v>1.6900151616830921</v>
      </c>
      <c r="U37">
        <f t="shared" si="12"/>
        <v>-1.6901960800285136</v>
      </c>
      <c r="Y37">
        <f t="shared" si="13"/>
        <v>-1.6989700043360187</v>
      </c>
      <c r="Z37">
        <f t="shared" si="14"/>
        <v>1.9999999999999997E-2</v>
      </c>
      <c r="AA37">
        <f t="shared" si="15"/>
        <v>-1.698970004336019</v>
      </c>
      <c r="AC37" t="s">
        <v>34</v>
      </c>
      <c r="AD37" t="s">
        <v>28</v>
      </c>
      <c r="AE37" t="s">
        <v>10</v>
      </c>
      <c r="AF37">
        <f>1000/3</f>
        <v>333.33333333333331</v>
      </c>
      <c r="AG37">
        <f t="shared" si="16"/>
        <v>3.0000000000000001E-3</v>
      </c>
      <c r="AH37">
        <v>0.03</v>
      </c>
      <c r="AI37">
        <f t="shared" si="17"/>
        <v>-1.5228787452803376</v>
      </c>
      <c r="AL37" t="s">
        <v>29</v>
      </c>
      <c r="AM37" t="s">
        <v>16</v>
      </c>
      <c r="AN37" t="s">
        <v>15</v>
      </c>
      <c r="AO37" s="1">
        <v>50000000</v>
      </c>
      <c r="AP37" s="1">
        <f t="shared" si="18"/>
        <v>7.6989700043360187</v>
      </c>
      <c r="AQ37">
        <v>380</v>
      </c>
      <c r="AR37">
        <f t="shared" si="19"/>
        <v>380000000</v>
      </c>
      <c r="AS37">
        <f t="shared" si="20"/>
        <v>8.5797835966168101</v>
      </c>
      <c r="AU37" s="1">
        <v>380000000</v>
      </c>
      <c r="AW37">
        <f t="shared" si="44"/>
        <v>1036.4337279999997</v>
      </c>
      <c r="AX37">
        <f t="shared" si="21"/>
        <v>1.0364337279999997E-27</v>
      </c>
      <c r="AY37">
        <f t="shared" si="22"/>
        <v>-26.984458462488661</v>
      </c>
      <c r="AZ37">
        <f t="shared" si="45"/>
        <v>6</v>
      </c>
      <c r="BA37">
        <f t="shared" si="23"/>
        <v>0.77815125038364363</v>
      </c>
      <c r="BB37">
        <f t="shared" si="46"/>
        <v>1.7238902456543598E-2</v>
      </c>
      <c r="BC37">
        <f t="shared" si="24"/>
        <v>-1.7634903877131636</v>
      </c>
      <c r="BE37">
        <f t="shared" si="25"/>
        <v>823</v>
      </c>
      <c r="BF37">
        <f t="shared" si="26"/>
        <v>1.215066828675577E-3</v>
      </c>
      <c r="BG37">
        <f t="shared" si="27"/>
        <v>1209600</v>
      </c>
      <c r="BH37">
        <f t="shared" si="28"/>
        <v>6.0826417781571314</v>
      </c>
      <c r="BI37">
        <f t="shared" si="47"/>
        <v>1.32E-3</v>
      </c>
      <c r="BJ37">
        <f t="shared" si="29"/>
        <v>-2.87942606879415</v>
      </c>
      <c r="BK37">
        <v>10</v>
      </c>
      <c r="BL37">
        <f t="shared" si="30"/>
        <v>0.01</v>
      </c>
      <c r="BM37">
        <f t="shared" si="31"/>
        <v>-2</v>
      </c>
      <c r="BN37">
        <v>1.93</v>
      </c>
      <c r="BO37">
        <f t="shared" si="32"/>
        <v>0.28555730900777376</v>
      </c>
      <c r="BQ37">
        <v>86</v>
      </c>
      <c r="BR37">
        <f t="shared" si="33"/>
        <v>1.6597999999999999</v>
      </c>
      <c r="BS37">
        <f t="shared" si="34"/>
        <v>0.22005576025134146</v>
      </c>
      <c r="BV37">
        <f>EXP(-4.1)/1000</f>
        <v>1.6572675401761255E-5</v>
      </c>
      <c r="BW37" s="1">
        <f t="shared" si="35"/>
        <v>-4.7806073758033323</v>
      </c>
      <c r="CB37" t="e">
        <f>#REF!+#REF!*AG37+#REF!*BC37+#REF!*AY37</f>
        <v>#REF!</v>
      </c>
      <c r="CD37" s="1" t="e">
        <f t="shared" si="36"/>
        <v>#REF!</v>
      </c>
    </row>
    <row r="38" spans="1:82" ht="16.5" customHeight="1" x14ac:dyDescent="0.25">
      <c r="A38" s="3" t="s">
        <v>61</v>
      </c>
      <c r="B38" t="s">
        <v>26</v>
      </c>
      <c r="C38" t="s">
        <v>36</v>
      </c>
      <c r="E38">
        <v>0.01</v>
      </c>
      <c r="F38">
        <f t="shared" si="0"/>
        <v>-2</v>
      </c>
      <c r="G38">
        <f t="shared" si="1"/>
        <v>1.0101010101010102E-2</v>
      </c>
      <c r="H38">
        <f t="shared" si="2"/>
        <v>-1.9956351945975499</v>
      </c>
      <c r="I38">
        <f t="shared" si="3"/>
        <v>0.99</v>
      </c>
      <c r="J38">
        <f t="shared" si="4"/>
        <v>-4.3648054024500883E-3</v>
      </c>
      <c r="K38">
        <f t="shared" si="5"/>
        <v>98.999999999999915</v>
      </c>
      <c r="L38">
        <f t="shared" si="6"/>
        <v>1.9956351945975495</v>
      </c>
      <c r="M38">
        <v>0.01</v>
      </c>
      <c r="N38">
        <f t="shared" si="7"/>
        <v>-2</v>
      </c>
      <c r="O38">
        <f t="shared" si="8"/>
        <v>1.0101010101010102E-2</v>
      </c>
      <c r="P38">
        <f t="shared" si="9"/>
        <v>-1.9956351945975499</v>
      </c>
      <c r="Q38">
        <f t="shared" si="10"/>
        <v>98.989898989898904</v>
      </c>
      <c r="R38">
        <f t="shared" si="11"/>
        <v>1.9955908810949445</v>
      </c>
      <c r="U38">
        <f t="shared" si="12"/>
        <v>-1.9956351945975499</v>
      </c>
      <c r="Y38">
        <f t="shared" si="13"/>
        <v>-2</v>
      </c>
      <c r="Z38">
        <f t="shared" si="14"/>
        <v>0.02</v>
      </c>
      <c r="AA38">
        <f t="shared" si="15"/>
        <v>-1.6989700043360187</v>
      </c>
      <c r="AC38" t="s">
        <v>36</v>
      </c>
      <c r="AD38" t="s">
        <v>28</v>
      </c>
      <c r="AE38" t="s">
        <v>10</v>
      </c>
      <c r="AF38">
        <f>1000/4.29</f>
        <v>233.10023310023311</v>
      </c>
      <c r="AG38">
        <f t="shared" si="16"/>
        <v>4.2899999999999995E-3</v>
      </c>
      <c r="AH38">
        <v>0.02</v>
      </c>
      <c r="AI38">
        <f t="shared" si="17"/>
        <v>-1.6989700043360187</v>
      </c>
      <c r="AL38" t="s">
        <v>29</v>
      </c>
      <c r="AM38" t="s">
        <v>16</v>
      </c>
      <c r="AN38" t="s">
        <v>15</v>
      </c>
      <c r="AO38" s="1">
        <v>50000000</v>
      </c>
      <c r="AP38" s="1">
        <f t="shared" si="18"/>
        <v>7.6989700043360187</v>
      </c>
      <c r="AQ38">
        <v>380</v>
      </c>
      <c r="AR38">
        <f t="shared" si="19"/>
        <v>380000000</v>
      </c>
      <c r="AS38">
        <f t="shared" si="20"/>
        <v>8.5797835966168101</v>
      </c>
      <c r="AU38" s="1">
        <v>380000000</v>
      </c>
      <c r="AW38">
        <f>10.14^3</f>
        <v>1042.5907440000001</v>
      </c>
      <c r="AX38">
        <f t="shared" si="21"/>
        <v>1.0425907439999999E-27</v>
      </c>
      <c r="AY38">
        <f t="shared" si="22"/>
        <v>-26.981886135008047</v>
      </c>
      <c r="AZ38">
        <f>6/1</f>
        <v>6</v>
      </c>
      <c r="BA38">
        <f t="shared" si="23"/>
        <v>0.77815125038364363</v>
      </c>
      <c r="BB38">
        <f>AZ38/359.8</f>
        <v>1.6675931072818232E-2</v>
      </c>
      <c r="BC38">
        <f t="shared" si="24"/>
        <v>-1.7779099086258889</v>
      </c>
      <c r="BE38">
        <f t="shared" si="25"/>
        <v>823</v>
      </c>
      <c r="BF38">
        <f t="shared" si="26"/>
        <v>1.215066828675577E-3</v>
      </c>
      <c r="BG38">
        <f t="shared" si="27"/>
        <v>1209600</v>
      </c>
      <c r="BH38">
        <f t="shared" si="28"/>
        <v>6.0826417781571314</v>
      </c>
      <c r="BI38" s="1">
        <v>1.15E-3</v>
      </c>
      <c r="BJ38">
        <f t="shared" si="29"/>
        <v>-2.9393021596463882</v>
      </c>
      <c r="BK38">
        <v>10</v>
      </c>
      <c r="BL38">
        <f t="shared" si="30"/>
        <v>0.01</v>
      </c>
      <c r="BM38">
        <f t="shared" si="31"/>
        <v>-2</v>
      </c>
      <c r="BN38">
        <v>1.83</v>
      </c>
      <c r="BO38">
        <f t="shared" si="32"/>
        <v>0.26245108973042947</v>
      </c>
      <c r="BQ38">
        <v>80</v>
      </c>
      <c r="BR38">
        <f t="shared" si="33"/>
        <v>1.4640000000000002</v>
      </c>
      <c r="BS38">
        <f t="shared" si="34"/>
        <v>0.16554107672237311</v>
      </c>
      <c r="BV38">
        <f>EXP(-12)/1000</f>
        <v>6.1442123533282102E-9</v>
      </c>
      <c r="BW38" s="1">
        <f t="shared" si="35"/>
        <v>-8.2115337828390214</v>
      </c>
      <c r="CB38" t="e">
        <f>#REF!+#REF!*AG38+#REF!*BC38+#REF!*AY38</f>
        <v>#REF!</v>
      </c>
      <c r="CD38" s="1" t="e">
        <f t="shared" si="36"/>
        <v>#REF!</v>
      </c>
    </row>
    <row r="39" spans="1:82" ht="16.5" customHeight="1" x14ac:dyDescent="0.25">
      <c r="A39" s="3" t="s">
        <v>61</v>
      </c>
      <c r="B39" t="s">
        <v>26</v>
      </c>
      <c r="C39" t="s">
        <v>36</v>
      </c>
      <c r="E39">
        <v>0.01</v>
      </c>
      <c r="F39">
        <f t="shared" si="0"/>
        <v>-2</v>
      </c>
      <c r="G39">
        <f t="shared" si="1"/>
        <v>1.0101010101010102E-2</v>
      </c>
      <c r="H39">
        <f t="shared" si="2"/>
        <v>-1.9956351945975499</v>
      </c>
      <c r="I39">
        <f t="shared" si="3"/>
        <v>0.99</v>
      </c>
      <c r="J39">
        <f t="shared" si="4"/>
        <v>-4.3648054024500883E-3</v>
      </c>
      <c r="K39">
        <f t="shared" si="5"/>
        <v>98.999999999999915</v>
      </c>
      <c r="L39">
        <f t="shared" si="6"/>
        <v>1.9956351945975495</v>
      </c>
      <c r="M39">
        <v>0.01</v>
      </c>
      <c r="N39">
        <f t="shared" si="7"/>
        <v>-2</v>
      </c>
      <c r="O39">
        <f t="shared" si="8"/>
        <v>1.0101010101010102E-2</v>
      </c>
      <c r="P39">
        <f t="shared" si="9"/>
        <v>-1.9956351945975499</v>
      </c>
      <c r="Q39">
        <f t="shared" si="10"/>
        <v>98.989898989898904</v>
      </c>
      <c r="R39">
        <f t="shared" si="11"/>
        <v>1.9955908810949445</v>
      </c>
      <c r="U39">
        <f t="shared" si="12"/>
        <v>-1.9956351945975499</v>
      </c>
      <c r="Y39">
        <f t="shared" si="13"/>
        <v>-2</v>
      </c>
      <c r="Z39">
        <f t="shared" si="14"/>
        <v>0.02</v>
      </c>
      <c r="AA39">
        <f t="shared" si="15"/>
        <v>-1.6989700043360187</v>
      </c>
      <c r="AC39" t="s">
        <v>36</v>
      </c>
      <c r="AD39" t="s">
        <v>28</v>
      </c>
      <c r="AE39" t="s">
        <v>10</v>
      </c>
      <c r="AF39">
        <f>1000/4.12</f>
        <v>242.71844660194174</v>
      </c>
      <c r="AG39">
        <f t="shared" si="16"/>
        <v>4.1200000000000004E-3</v>
      </c>
      <c r="AH39">
        <v>0.02</v>
      </c>
      <c r="AI39">
        <f t="shared" si="17"/>
        <v>-1.6989700043360187</v>
      </c>
      <c r="AL39" t="s">
        <v>29</v>
      </c>
      <c r="AM39" t="s">
        <v>16</v>
      </c>
      <c r="AN39" t="s">
        <v>15</v>
      </c>
      <c r="AO39" s="1">
        <v>50000000</v>
      </c>
      <c r="AP39" s="1">
        <f t="shared" si="18"/>
        <v>7.6989700043360187</v>
      </c>
      <c r="AQ39">
        <v>380</v>
      </c>
      <c r="AR39">
        <f t="shared" si="19"/>
        <v>380000000</v>
      </c>
      <c r="AS39">
        <f t="shared" si="20"/>
        <v>8.5797835966168101</v>
      </c>
      <c r="AU39" s="1">
        <v>380000000</v>
      </c>
      <c r="AW39">
        <f t="shared" ref="AW39:AW49" si="48">10.14^3</f>
        <v>1042.5907440000001</v>
      </c>
      <c r="AX39">
        <f t="shared" si="21"/>
        <v>1.0425907439999999E-27</v>
      </c>
      <c r="AY39">
        <f t="shared" si="22"/>
        <v>-26.981886135008047</v>
      </c>
      <c r="AZ39">
        <f t="shared" ref="AZ39:AZ49" si="49">6/1</f>
        <v>6</v>
      </c>
      <c r="BA39">
        <f t="shared" si="23"/>
        <v>0.77815125038364363</v>
      </c>
      <c r="BB39">
        <f>AZ39/359.8</f>
        <v>1.6675931072818232E-2</v>
      </c>
      <c r="BC39">
        <f t="shared" si="24"/>
        <v>-1.7779099086258889</v>
      </c>
      <c r="BE39">
        <f t="shared" si="25"/>
        <v>823</v>
      </c>
      <c r="BF39">
        <f t="shared" si="26"/>
        <v>1.215066828675577E-3</v>
      </c>
      <c r="BG39">
        <f t="shared" si="27"/>
        <v>1209600</v>
      </c>
      <c r="BH39">
        <f t="shared" si="28"/>
        <v>6.0826417781571314</v>
      </c>
      <c r="BI39" s="1">
        <v>1.15E-3</v>
      </c>
      <c r="BJ39">
        <f t="shared" si="29"/>
        <v>-2.9393021596463882</v>
      </c>
      <c r="BK39">
        <v>10</v>
      </c>
      <c r="BL39">
        <f t="shared" si="30"/>
        <v>0.01</v>
      </c>
      <c r="BM39">
        <f t="shared" si="31"/>
        <v>-2</v>
      </c>
      <c r="BN39">
        <v>1.83</v>
      </c>
      <c r="BO39">
        <f t="shared" si="32"/>
        <v>0.26245108973042947</v>
      </c>
      <c r="BQ39">
        <v>80</v>
      </c>
      <c r="BR39">
        <f t="shared" si="33"/>
        <v>1.4640000000000002</v>
      </c>
      <c r="BS39">
        <f t="shared" si="34"/>
        <v>0.16554107672237311</v>
      </c>
      <c r="BV39">
        <f>EXP(-11.3)/1000</f>
        <v>1.2372924261788221E-8</v>
      </c>
      <c r="BW39" s="1">
        <f t="shared" si="35"/>
        <v>-7.9075276455067458</v>
      </c>
      <c r="CB39" t="e">
        <f>#REF!+#REF!*AG39+#REF!*BC39+#REF!*AY39</f>
        <v>#REF!</v>
      </c>
      <c r="CD39" s="1" t="e">
        <f t="shared" si="36"/>
        <v>#REF!</v>
      </c>
    </row>
    <row r="40" spans="1:82" ht="16.5" customHeight="1" x14ac:dyDescent="0.25">
      <c r="A40" s="3" t="s">
        <v>61</v>
      </c>
      <c r="B40" t="s">
        <v>26</v>
      </c>
      <c r="C40" t="s">
        <v>36</v>
      </c>
      <c r="E40">
        <v>0.01</v>
      </c>
      <c r="F40">
        <f t="shared" si="0"/>
        <v>-2</v>
      </c>
      <c r="G40">
        <f t="shared" si="1"/>
        <v>1.0101010101010102E-2</v>
      </c>
      <c r="H40">
        <f t="shared" si="2"/>
        <v>-1.9956351945975499</v>
      </c>
      <c r="I40">
        <f t="shared" si="3"/>
        <v>0.99</v>
      </c>
      <c r="J40">
        <f t="shared" si="4"/>
        <v>-4.3648054024500883E-3</v>
      </c>
      <c r="K40">
        <f t="shared" si="5"/>
        <v>98.999999999999915</v>
      </c>
      <c r="L40">
        <f t="shared" si="6"/>
        <v>1.9956351945975495</v>
      </c>
      <c r="M40">
        <v>0.01</v>
      </c>
      <c r="N40">
        <f t="shared" si="7"/>
        <v>-2</v>
      </c>
      <c r="O40">
        <f t="shared" si="8"/>
        <v>1.0101010101010102E-2</v>
      </c>
      <c r="P40">
        <f t="shared" si="9"/>
        <v>-1.9956351945975499</v>
      </c>
      <c r="Q40">
        <f t="shared" si="10"/>
        <v>98.989898989898904</v>
      </c>
      <c r="R40">
        <f t="shared" si="11"/>
        <v>1.9955908810949445</v>
      </c>
      <c r="U40">
        <f t="shared" si="12"/>
        <v>-1.9956351945975499</v>
      </c>
      <c r="Y40">
        <f t="shared" si="13"/>
        <v>-2</v>
      </c>
      <c r="Z40">
        <f t="shared" si="14"/>
        <v>0.02</v>
      </c>
      <c r="AA40">
        <f t="shared" si="15"/>
        <v>-1.6989700043360187</v>
      </c>
      <c r="AC40" t="s">
        <v>36</v>
      </c>
      <c r="AD40" t="s">
        <v>28</v>
      </c>
      <c r="AE40" t="s">
        <v>10</v>
      </c>
      <c r="AF40">
        <f>1000/3.96</f>
        <v>252.52525252525254</v>
      </c>
      <c r="AG40">
        <f t="shared" si="16"/>
        <v>3.96E-3</v>
      </c>
      <c r="AH40">
        <v>0.02</v>
      </c>
      <c r="AI40">
        <f t="shared" si="17"/>
        <v>-1.6989700043360187</v>
      </c>
      <c r="AL40" t="s">
        <v>29</v>
      </c>
      <c r="AM40" t="s">
        <v>16</v>
      </c>
      <c r="AN40" t="s">
        <v>15</v>
      </c>
      <c r="AO40" s="1">
        <v>50000000</v>
      </c>
      <c r="AP40" s="1">
        <f t="shared" si="18"/>
        <v>7.6989700043360187</v>
      </c>
      <c r="AQ40">
        <v>380</v>
      </c>
      <c r="AR40">
        <f t="shared" si="19"/>
        <v>380000000</v>
      </c>
      <c r="AS40">
        <f t="shared" si="20"/>
        <v>8.5797835966168101</v>
      </c>
      <c r="AU40" s="1">
        <v>380000000</v>
      </c>
      <c r="AW40">
        <f t="shared" si="48"/>
        <v>1042.5907440000001</v>
      </c>
      <c r="AX40">
        <f t="shared" si="21"/>
        <v>1.0425907439999999E-27</v>
      </c>
      <c r="AY40">
        <f t="shared" si="22"/>
        <v>-26.981886135008047</v>
      </c>
      <c r="AZ40">
        <f t="shared" si="49"/>
        <v>6</v>
      </c>
      <c r="BA40">
        <f t="shared" si="23"/>
        <v>0.77815125038364363</v>
      </c>
      <c r="BB40">
        <f t="shared" ref="BB40:BB49" si="50">AZ40/359.8</f>
        <v>1.6675931072818232E-2</v>
      </c>
      <c r="BC40">
        <f t="shared" si="24"/>
        <v>-1.7779099086258889</v>
      </c>
      <c r="BE40">
        <f t="shared" si="25"/>
        <v>823</v>
      </c>
      <c r="BF40">
        <f t="shared" si="26"/>
        <v>1.215066828675577E-3</v>
      </c>
      <c r="BG40">
        <f t="shared" si="27"/>
        <v>1209600</v>
      </c>
      <c r="BH40">
        <f t="shared" si="28"/>
        <v>6.0826417781571314</v>
      </c>
      <c r="BI40" s="1">
        <v>1.15E-3</v>
      </c>
      <c r="BJ40">
        <f t="shared" si="29"/>
        <v>-2.9393021596463882</v>
      </c>
      <c r="BK40">
        <v>10</v>
      </c>
      <c r="BL40">
        <f t="shared" si="30"/>
        <v>0.01</v>
      </c>
      <c r="BM40">
        <f t="shared" si="31"/>
        <v>-2</v>
      </c>
      <c r="BN40">
        <v>1.83</v>
      </c>
      <c r="BO40">
        <f t="shared" si="32"/>
        <v>0.26245108973042947</v>
      </c>
      <c r="BQ40">
        <v>80</v>
      </c>
      <c r="BR40">
        <f t="shared" si="33"/>
        <v>1.4640000000000002</v>
      </c>
      <c r="BS40">
        <f t="shared" si="34"/>
        <v>0.16554107672237311</v>
      </c>
      <c r="BV40">
        <f>EXP(-10.6)/1000</f>
        <v>2.4916009731503204E-8</v>
      </c>
      <c r="BW40" s="1">
        <f t="shared" si="35"/>
        <v>-7.6035215081744694</v>
      </c>
      <c r="CB40" t="e">
        <f>#REF!+#REF!*AG40+#REF!*BC40+#REF!*AY40</f>
        <v>#REF!</v>
      </c>
      <c r="CD40" s="1" t="e">
        <f t="shared" si="36"/>
        <v>#REF!</v>
      </c>
    </row>
    <row r="41" spans="1:82" ht="16.5" customHeight="1" x14ac:dyDescent="0.25">
      <c r="A41" s="3" t="s">
        <v>61</v>
      </c>
      <c r="B41" t="s">
        <v>26</v>
      </c>
      <c r="C41" t="s">
        <v>36</v>
      </c>
      <c r="E41">
        <v>0.01</v>
      </c>
      <c r="F41">
        <f t="shared" si="0"/>
        <v>-2</v>
      </c>
      <c r="G41">
        <f t="shared" si="1"/>
        <v>1.0101010101010102E-2</v>
      </c>
      <c r="H41">
        <f t="shared" si="2"/>
        <v>-1.9956351945975499</v>
      </c>
      <c r="I41">
        <f t="shared" si="3"/>
        <v>0.99</v>
      </c>
      <c r="J41">
        <f t="shared" si="4"/>
        <v>-4.3648054024500883E-3</v>
      </c>
      <c r="K41">
        <f t="shared" si="5"/>
        <v>98.999999999999915</v>
      </c>
      <c r="L41">
        <f t="shared" si="6"/>
        <v>1.9956351945975495</v>
      </c>
      <c r="M41">
        <v>0.01</v>
      </c>
      <c r="N41">
        <f t="shared" si="7"/>
        <v>-2</v>
      </c>
      <c r="O41">
        <f t="shared" si="8"/>
        <v>1.0101010101010102E-2</v>
      </c>
      <c r="P41">
        <f t="shared" si="9"/>
        <v>-1.9956351945975499</v>
      </c>
      <c r="Q41">
        <f t="shared" si="10"/>
        <v>98.989898989898904</v>
      </c>
      <c r="R41">
        <f t="shared" si="11"/>
        <v>1.9955908810949445</v>
      </c>
      <c r="U41">
        <f t="shared" si="12"/>
        <v>-1.9956351945975499</v>
      </c>
      <c r="Y41">
        <f t="shared" si="13"/>
        <v>-2</v>
      </c>
      <c r="Z41">
        <f t="shared" si="14"/>
        <v>0.02</v>
      </c>
      <c r="AA41">
        <f t="shared" si="15"/>
        <v>-1.6989700043360187</v>
      </c>
      <c r="AC41" t="s">
        <v>36</v>
      </c>
      <c r="AD41" t="s">
        <v>28</v>
      </c>
      <c r="AE41" t="s">
        <v>10</v>
      </c>
      <c r="AF41">
        <f>1000/3.81</f>
        <v>262.46719160104988</v>
      </c>
      <c r="AG41">
        <f t="shared" si="16"/>
        <v>3.81E-3</v>
      </c>
      <c r="AH41">
        <v>0.02</v>
      </c>
      <c r="AI41">
        <f t="shared" si="17"/>
        <v>-1.6989700043360187</v>
      </c>
      <c r="AL41" t="s">
        <v>29</v>
      </c>
      <c r="AM41" t="s">
        <v>16</v>
      </c>
      <c r="AN41" t="s">
        <v>15</v>
      </c>
      <c r="AO41" s="1">
        <v>50000000</v>
      </c>
      <c r="AP41" s="1">
        <f t="shared" si="18"/>
        <v>7.6989700043360187</v>
      </c>
      <c r="AQ41">
        <v>380</v>
      </c>
      <c r="AR41">
        <f t="shared" si="19"/>
        <v>380000000</v>
      </c>
      <c r="AS41">
        <f t="shared" si="20"/>
        <v>8.5797835966168101</v>
      </c>
      <c r="AU41" s="1">
        <v>380000000</v>
      </c>
      <c r="AW41">
        <f t="shared" si="48"/>
        <v>1042.5907440000001</v>
      </c>
      <c r="AX41">
        <f t="shared" si="21"/>
        <v>1.0425907439999999E-27</v>
      </c>
      <c r="AY41">
        <f t="shared" si="22"/>
        <v>-26.981886135008047</v>
      </c>
      <c r="AZ41">
        <f t="shared" si="49"/>
        <v>6</v>
      </c>
      <c r="BA41">
        <f t="shared" si="23"/>
        <v>0.77815125038364363</v>
      </c>
      <c r="BB41">
        <f t="shared" si="50"/>
        <v>1.6675931072818232E-2</v>
      </c>
      <c r="BC41">
        <f t="shared" si="24"/>
        <v>-1.7779099086258889</v>
      </c>
      <c r="BE41">
        <f t="shared" si="25"/>
        <v>823</v>
      </c>
      <c r="BF41">
        <f t="shared" si="26"/>
        <v>1.215066828675577E-3</v>
      </c>
      <c r="BG41">
        <f t="shared" si="27"/>
        <v>1209600</v>
      </c>
      <c r="BH41">
        <f t="shared" si="28"/>
        <v>6.0826417781571314</v>
      </c>
      <c r="BI41" s="1">
        <v>1.15E-3</v>
      </c>
      <c r="BJ41">
        <f t="shared" si="29"/>
        <v>-2.9393021596463882</v>
      </c>
      <c r="BK41">
        <v>10</v>
      </c>
      <c r="BL41">
        <f t="shared" si="30"/>
        <v>0.01</v>
      </c>
      <c r="BM41">
        <f t="shared" si="31"/>
        <v>-2</v>
      </c>
      <c r="BN41">
        <v>1.83</v>
      </c>
      <c r="BO41">
        <f t="shared" si="32"/>
        <v>0.26245108973042947</v>
      </c>
      <c r="BQ41">
        <v>80</v>
      </c>
      <c r="BR41">
        <f t="shared" si="33"/>
        <v>1.4640000000000002</v>
      </c>
      <c r="BS41">
        <f t="shared" si="34"/>
        <v>0.16554107672237311</v>
      </c>
      <c r="BV41">
        <f>EXP(-9.9)/1000</f>
        <v>5.017468205617528E-8</v>
      </c>
      <c r="BW41" s="1">
        <f t="shared" si="35"/>
        <v>-7.2995153708421929</v>
      </c>
      <c r="CB41" t="e">
        <f>#REF!+#REF!*AG41+#REF!*BC41+#REF!*AY41</f>
        <v>#REF!</v>
      </c>
      <c r="CD41" s="1" t="e">
        <f t="shared" si="36"/>
        <v>#REF!</v>
      </c>
    </row>
    <row r="42" spans="1:82" ht="16.5" customHeight="1" x14ac:dyDescent="0.25">
      <c r="A42" s="3" t="s">
        <v>61</v>
      </c>
      <c r="B42" t="s">
        <v>26</v>
      </c>
      <c r="C42" t="s">
        <v>36</v>
      </c>
      <c r="E42">
        <v>0.01</v>
      </c>
      <c r="F42">
        <f t="shared" si="0"/>
        <v>-2</v>
      </c>
      <c r="G42">
        <f t="shared" si="1"/>
        <v>1.0101010101010102E-2</v>
      </c>
      <c r="H42">
        <f t="shared" si="2"/>
        <v>-1.9956351945975499</v>
      </c>
      <c r="I42">
        <f t="shared" si="3"/>
        <v>0.99</v>
      </c>
      <c r="J42">
        <f t="shared" si="4"/>
        <v>-4.3648054024500883E-3</v>
      </c>
      <c r="K42">
        <f t="shared" si="5"/>
        <v>98.999999999999915</v>
      </c>
      <c r="L42">
        <f t="shared" si="6"/>
        <v>1.9956351945975495</v>
      </c>
      <c r="M42">
        <v>0.01</v>
      </c>
      <c r="N42">
        <f t="shared" si="7"/>
        <v>-2</v>
      </c>
      <c r="O42">
        <f t="shared" si="8"/>
        <v>1.0101010101010102E-2</v>
      </c>
      <c r="P42">
        <f t="shared" si="9"/>
        <v>-1.9956351945975499</v>
      </c>
      <c r="Q42">
        <f t="shared" si="10"/>
        <v>98.989898989898904</v>
      </c>
      <c r="R42">
        <f t="shared" si="11"/>
        <v>1.9955908810949445</v>
      </c>
      <c r="U42">
        <f t="shared" si="12"/>
        <v>-1.9956351945975499</v>
      </c>
      <c r="Y42">
        <f t="shared" si="13"/>
        <v>-2</v>
      </c>
      <c r="Z42">
        <f t="shared" si="14"/>
        <v>0.02</v>
      </c>
      <c r="AA42">
        <f t="shared" si="15"/>
        <v>-1.6989700043360187</v>
      </c>
      <c r="AC42" t="s">
        <v>36</v>
      </c>
      <c r="AD42" t="s">
        <v>28</v>
      </c>
      <c r="AE42" t="s">
        <v>10</v>
      </c>
      <c r="AF42">
        <f>1000/3.66</f>
        <v>273.22404371584696</v>
      </c>
      <c r="AG42">
        <f t="shared" si="16"/>
        <v>3.6600000000000005E-3</v>
      </c>
      <c r="AH42">
        <v>0.02</v>
      </c>
      <c r="AI42">
        <f t="shared" si="17"/>
        <v>-1.6989700043360187</v>
      </c>
      <c r="AL42" t="s">
        <v>29</v>
      </c>
      <c r="AM42" t="s">
        <v>16</v>
      </c>
      <c r="AN42" t="s">
        <v>15</v>
      </c>
      <c r="AO42" s="1">
        <v>50000000</v>
      </c>
      <c r="AP42" s="1">
        <f t="shared" si="18"/>
        <v>7.6989700043360187</v>
      </c>
      <c r="AQ42">
        <v>380</v>
      </c>
      <c r="AR42">
        <f t="shared" si="19"/>
        <v>380000000</v>
      </c>
      <c r="AS42">
        <f t="shared" si="20"/>
        <v>8.5797835966168101</v>
      </c>
      <c r="AU42" s="1">
        <v>380000000</v>
      </c>
      <c r="AW42">
        <f t="shared" si="48"/>
        <v>1042.5907440000001</v>
      </c>
      <c r="AX42">
        <f t="shared" si="21"/>
        <v>1.0425907439999999E-27</v>
      </c>
      <c r="AY42">
        <f t="shared" si="22"/>
        <v>-26.981886135008047</v>
      </c>
      <c r="AZ42">
        <f t="shared" si="49"/>
        <v>6</v>
      </c>
      <c r="BA42">
        <f t="shared" si="23"/>
        <v>0.77815125038364363</v>
      </c>
      <c r="BB42">
        <f t="shared" si="50"/>
        <v>1.6675931072818232E-2</v>
      </c>
      <c r="BC42">
        <f t="shared" si="24"/>
        <v>-1.7779099086258889</v>
      </c>
      <c r="BE42">
        <f t="shared" si="25"/>
        <v>823</v>
      </c>
      <c r="BF42">
        <f t="shared" si="26"/>
        <v>1.215066828675577E-3</v>
      </c>
      <c r="BG42">
        <f t="shared" si="27"/>
        <v>1209600</v>
      </c>
      <c r="BH42">
        <f t="shared" si="28"/>
        <v>6.0826417781571314</v>
      </c>
      <c r="BI42" s="1">
        <v>1.15E-3</v>
      </c>
      <c r="BJ42">
        <f t="shared" si="29"/>
        <v>-2.9393021596463882</v>
      </c>
      <c r="BK42">
        <v>10</v>
      </c>
      <c r="BL42">
        <f t="shared" si="30"/>
        <v>0.01</v>
      </c>
      <c r="BM42">
        <f t="shared" si="31"/>
        <v>-2</v>
      </c>
      <c r="BN42">
        <v>1.83</v>
      </c>
      <c r="BO42">
        <f t="shared" si="32"/>
        <v>0.26245108973042947</v>
      </c>
      <c r="BQ42">
        <v>80</v>
      </c>
      <c r="BR42">
        <f t="shared" si="33"/>
        <v>1.4640000000000002</v>
      </c>
      <c r="BS42">
        <f t="shared" si="34"/>
        <v>0.16554107672237311</v>
      </c>
      <c r="BV42">
        <f>EXP(-9.3)/1000</f>
        <v>9.1424231478173276E-8</v>
      </c>
      <c r="BW42" s="1">
        <f t="shared" si="35"/>
        <v>-7.038938681700242</v>
      </c>
      <c r="CB42" t="e">
        <f>#REF!+#REF!*AG42+#REF!*BC42+#REF!*AY42</f>
        <v>#REF!</v>
      </c>
      <c r="CD42" s="1" t="e">
        <f t="shared" si="36"/>
        <v>#REF!</v>
      </c>
    </row>
    <row r="43" spans="1:82" ht="16.5" customHeight="1" x14ac:dyDescent="0.25">
      <c r="A43" s="3" t="s">
        <v>61</v>
      </c>
      <c r="B43" t="s">
        <v>26</v>
      </c>
      <c r="C43" t="s">
        <v>36</v>
      </c>
      <c r="E43">
        <v>0.01</v>
      </c>
      <c r="F43">
        <f t="shared" si="0"/>
        <v>-2</v>
      </c>
      <c r="G43">
        <f t="shared" si="1"/>
        <v>1.0101010101010102E-2</v>
      </c>
      <c r="H43">
        <f t="shared" si="2"/>
        <v>-1.9956351945975499</v>
      </c>
      <c r="I43">
        <f t="shared" si="3"/>
        <v>0.99</v>
      </c>
      <c r="J43">
        <f t="shared" si="4"/>
        <v>-4.3648054024500883E-3</v>
      </c>
      <c r="K43">
        <f t="shared" si="5"/>
        <v>98.999999999999915</v>
      </c>
      <c r="L43">
        <f t="shared" si="6"/>
        <v>1.9956351945975495</v>
      </c>
      <c r="M43">
        <v>0.01</v>
      </c>
      <c r="N43">
        <f t="shared" si="7"/>
        <v>-2</v>
      </c>
      <c r="O43">
        <f t="shared" si="8"/>
        <v>1.0101010101010102E-2</v>
      </c>
      <c r="P43">
        <f t="shared" si="9"/>
        <v>-1.9956351945975499</v>
      </c>
      <c r="Q43">
        <f t="shared" si="10"/>
        <v>98.989898989898904</v>
      </c>
      <c r="R43">
        <f t="shared" si="11"/>
        <v>1.9955908810949445</v>
      </c>
      <c r="U43">
        <f t="shared" si="12"/>
        <v>-1.9956351945975499</v>
      </c>
      <c r="Y43">
        <f t="shared" si="13"/>
        <v>-2</v>
      </c>
      <c r="Z43">
        <f t="shared" si="14"/>
        <v>0.02</v>
      </c>
      <c r="AA43">
        <f t="shared" si="15"/>
        <v>-1.6989700043360187</v>
      </c>
      <c r="AC43" t="s">
        <v>36</v>
      </c>
      <c r="AD43" t="s">
        <v>28</v>
      </c>
      <c r="AE43" t="s">
        <v>10</v>
      </c>
      <c r="AF43">
        <f>1000/3.53</f>
        <v>283.28611898016999</v>
      </c>
      <c r="AG43">
        <f t="shared" si="16"/>
        <v>3.5299999999999997E-3</v>
      </c>
      <c r="AH43">
        <v>0.02</v>
      </c>
      <c r="AI43">
        <f t="shared" si="17"/>
        <v>-1.6989700043360187</v>
      </c>
      <c r="AL43" t="s">
        <v>29</v>
      </c>
      <c r="AM43" t="s">
        <v>16</v>
      </c>
      <c r="AN43" t="s">
        <v>15</v>
      </c>
      <c r="AO43" s="1">
        <v>50000000</v>
      </c>
      <c r="AP43" s="1">
        <f t="shared" si="18"/>
        <v>7.6989700043360187</v>
      </c>
      <c r="AQ43">
        <v>380</v>
      </c>
      <c r="AR43">
        <f t="shared" si="19"/>
        <v>380000000</v>
      </c>
      <c r="AS43">
        <f t="shared" si="20"/>
        <v>8.5797835966168101</v>
      </c>
      <c r="AU43" s="1">
        <v>380000000</v>
      </c>
      <c r="AW43">
        <f t="shared" si="48"/>
        <v>1042.5907440000001</v>
      </c>
      <c r="AX43">
        <f t="shared" si="21"/>
        <v>1.0425907439999999E-27</v>
      </c>
      <c r="AY43">
        <f t="shared" si="22"/>
        <v>-26.981886135008047</v>
      </c>
      <c r="AZ43">
        <f t="shared" si="49"/>
        <v>6</v>
      </c>
      <c r="BA43">
        <f t="shared" si="23"/>
        <v>0.77815125038364363</v>
      </c>
      <c r="BB43">
        <f t="shared" si="50"/>
        <v>1.6675931072818232E-2</v>
      </c>
      <c r="BC43">
        <f t="shared" si="24"/>
        <v>-1.7779099086258889</v>
      </c>
      <c r="BE43">
        <f t="shared" si="25"/>
        <v>823</v>
      </c>
      <c r="BF43">
        <f t="shared" si="26"/>
        <v>1.215066828675577E-3</v>
      </c>
      <c r="BG43">
        <f t="shared" si="27"/>
        <v>1209600</v>
      </c>
      <c r="BH43">
        <f t="shared" si="28"/>
        <v>6.0826417781571314</v>
      </c>
      <c r="BI43" s="1">
        <v>1.15E-3</v>
      </c>
      <c r="BJ43">
        <f t="shared" si="29"/>
        <v>-2.9393021596463882</v>
      </c>
      <c r="BK43">
        <v>10</v>
      </c>
      <c r="BL43">
        <f t="shared" si="30"/>
        <v>0.01</v>
      </c>
      <c r="BM43">
        <f t="shared" si="31"/>
        <v>-2</v>
      </c>
      <c r="BN43">
        <v>1.83</v>
      </c>
      <c r="BO43">
        <f t="shared" si="32"/>
        <v>0.26245108973042947</v>
      </c>
      <c r="BQ43">
        <v>80</v>
      </c>
      <c r="BR43">
        <f t="shared" si="33"/>
        <v>1.4640000000000002</v>
      </c>
      <c r="BS43">
        <f t="shared" si="34"/>
        <v>0.16554107672237311</v>
      </c>
      <c r="BV43">
        <f>EXP(-8.7)/1000</f>
        <v>1.6658581098763354E-7</v>
      </c>
      <c r="BW43" s="1">
        <f t="shared" si="35"/>
        <v>-6.778361992558291</v>
      </c>
      <c r="CB43" t="e">
        <f>#REF!+#REF!*AG43+#REF!*BC43+#REF!*AY43</f>
        <v>#REF!</v>
      </c>
      <c r="CD43" s="1" t="e">
        <f t="shared" si="36"/>
        <v>#REF!</v>
      </c>
    </row>
    <row r="44" spans="1:82" ht="16.5" customHeight="1" x14ac:dyDescent="0.25">
      <c r="A44" s="3" t="s">
        <v>61</v>
      </c>
      <c r="B44" t="s">
        <v>26</v>
      </c>
      <c r="C44" t="s">
        <v>36</v>
      </c>
      <c r="E44">
        <v>0.01</v>
      </c>
      <c r="F44">
        <f t="shared" si="0"/>
        <v>-2</v>
      </c>
      <c r="G44">
        <f t="shared" si="1"/>
        <v>1.0101010101010102E-2</v>
      </c>
      <c r="H44">
        <f t="shared" si="2"/>
        <v>-1.9956351945975499</v>
      </c>
      <c r="I44">
        <f t="shared" si="3"/>
        <v>0.99</v>
      </c>
      <c r="J44">
        <f t="shared" si="4"/>
        <v>-4.3648054024500883E-3</v>
      </c>
      <c r="K44">
        <f t="shared" si="5"/>
        <v>98.999999999999915</v>
      </c>
      <c r="L44">
        <f t="shared" si="6"/>
        <v>1.9956351945975495</v>
      </c>
      <c r="M44">
        <v>0.01</v>
      </c>
      <c r="N44">
        <f t="shared" si="7"/>
        <v>-2</v>
      </c>
      <c r="O44">
        <f t="shared" si="8"/>
        <v>1.0101010101010102E-2</v>
      </c>
      <c r="P44">
        <f t="shared" si="9"/>
        <v>-1.9956351945975499</v>
      </c>
      <c r="Q44">
        <f t="shared" si="10"/>
        <v>98.989898989898904</v>
      </c>
      <c r="R44">
        <f t="shared" si="11"/>
        <v>1.9955908810949445</v>
      </c>
      <c r="U44">
        <f t="shared" si="12"/>
        <v>-1.9956351945975499</v>
      </c>
      <c r="Y44">
        <f t="shared" si="13"/>
        <v>-2</v>
      </c>
      <c r="Z44">
        <f t="shared" si="14"/>
        <v>0.02</v>
      </c>
      <c r="AA44">
        <f t="shared" si="15"/>
        <v>-1.6989700043360187</v>
      </c>
      <c r="AC44" t="s">
        <v>36</v>
      </c>
      <c r="AD44" t="s">
        <v>28</v>
      </c>
      <c r="AE44" t="s">
        <v>10</v>
      </c>
      <c r="AF44">
        <f>1000/3.41</f>
        <v>293.25513196480938</v>
      </c>
      <c r="AG44">
        <f t="shared" si="16"/>
        <v>3.4100000000000003E-3</v>
      </c>
      <c r="AH44">
        <v>0.02</v>
      </c>
      <c r="AI44">
        <f t="shared" si="17"/>
        <v>-1.6989700043360187</v>
      </c>
      <c r="AL44" t="s">
        <v>29</v>
      </c>
      <c r="AM44" t="s">
        <v>16</v>
      </c>
      <c r="AN44" t="s">
        <v>15</v>
      </c>
      <c r="AO44" s="1">
        <v>50000000</v>
      </c>
      <c r="AP44" s="1">
        <f t="shared" si="18"/>
        <v>7.6989700043360187</v>
      </c>
      <c r="AQ44">
        <v>380</v>
      </c>
      <c r="AR44">
        <f t="shared" si="19"/>
        <v>380000000</v>
      </c>
      <c r="AS44">
        <f t="shared" si="20"/>
        <v>8.5797835966168101</v>
      </c>
      <c r="AU44" s="1">
        <v>380000000</v>
      </c>
      <c r="AW44">
        <f t="shared" si="48"/>
        <v>1042.5907440000001</v>
      </c>
      <c r="AX44">
        <f t="shared" si="21"/>
        <v>1.0425907439999999E-27</v>
      </c>
      <c r="AY44">
        <f t="shared" si="22"/>
        <v>-26.981886135008047</v>
      </c>
      <c r="AZ44">
        <f t="shared" si="49"/>
        <v>6</v>
      </c>
      <c r="BA44">
        <f t="shared" si="23"/>
        <v>0.77815125038364363</v>
      </c>
      <c r="BB44">
        <f t="shared" si="50"/>
        <v>1.6675931072818232E-2</v>
      </c>
      <c r="BC44">
        <f t="shared" si="24"/>
        <v>-1.7779099086258889</v>
      </c>
      <c r="BE44">
        <f t="shared" si="25"/>
        <v>823</v>
      </c>
      <c r="BF44">
        <f t="shared" si="26"/>
        <v>1.215066828675577E-3</v>
      </c>
      <c r="BG44">
        <f t="shared" si="27"/>
        <v>1209600</v>
      </c>
      <c r="BH44">
        <f t="shared" si="28"/>
        <v>6.0826417781571314</v>
      </c>
      <c r="BI44" s="1">
        <v>1.15E-3</v>
      </c>
      <c r="BJ44">
        <f t="shared" si="29"/>
        <v>-2.9393021596463882</v>
      </c>
      <c r="BK44">
        <v>10</v>
      </c>
      <c r="BL44">
        <f t="shared" si="30"/>
        <v>0.01</v>
      </c>
      <c r="BM44">
        <f t="shared" si="31"/>
        <v>-2</v>
      </c>
      <c r="BN44">
        <v>1.83</v>
      </c>
      <c r="BO44">
        <f t="shared" si="32"/>
        <v>0.26245108973042947</v>
      </c>
      <c r="BQ44">
        <v>80</v>
      </c>
      <c r="BR44">
        <f t="shared" si="33"/>
        <v>1.4640000000000002</v>
      </c>
      <c r="BS44">
        <f t="shared" si="34"/>
        <v>0.16554107672237311</v>
      </c>
      <c r="BV44">
        <f>EXP(-8.2)/1000</f>
        <v>2.7465356997214254E-7</v>
      </c>
      <c r="BW44" s="1">
        <f t="shared" si="35"/>
        <v>-6.5612147516066646</v>
      </c>
      <c r="CB44" t="e">
        <f>#REF!+#REF!*AG44+#REF!*BC44+#REF!*AY44</f>
        <v>#REF!</v>
      </c>
      <c r="CD44" s="1" t="e">
        <f t="shared" si="36"/>
        <v>#REF!</v>
      </c>
    </row>
    <row r="45" spans="1:82" ht="16.5" customHeight="1" x14ac:dyDescent="0.25">
      <c r="A45" s="3" t="s">
        <v>61</v>
      </c>
      <c r="B45" t="s">
        <v>26</v>
      </c>
      <c r="C45" t="s">
        <v>36</v>
      </c>
      <c r="E45">
        <v>0.01</v>
      </c>
      <c r="F45">
        <f t="shared" si="0"/>
        <v>-2</v>
      </c>
      <c r="G45">
        <f t="shared" si="1"/>
        <v>1.0101010101010102E-2</v>
      </c>
      <c r="H45">
        <f t="shared" si="2"/>
        <v>-1.9956351945975499</v>
      </c>
      <c r="I45">
        <f t="shared" si="3"/>
        <v>0.99</v>
      </c>
      <c r="J45">
        <f t="shared" si="4"/>
        <v>-4.3648054024500883E-3</v>
      </c>
      <c r="K45">
        <f t="shared" si="5"/>
        <v>98.999999999999915</v>
      </c>
      <c r="L45">
        <f t="shared" si="6"/>
        <v>1.9956351945975495</v>
      </c>
      <c r="M45">
        <v>0.01</v>
      </c>
      <c r="N45">
        <f t="shared" si="7"/>
        <v>-2</v>
      </c>
      <c r="O45">
        <f t="shared" si="8"/>
        <v>1.0101010101010102E-2</v>
      </c>
      <c r="P45">
        <f t="shared" si="9"/>
        <v>-1.9956351945975499</v>
      </c>
      <c r="Q45">
        <f t="shared" si="10"/>
        <v>98.989898989898904</v>
      </c>
      <c r="R45">
        <f t="shared" si="11"/>
        <v>1.9955908810949445</v>
      </c>
      <c r="U45">
        <f t="shared" si="12"/>
        <v>-1.9956351945975499</v>
      </c>
      <c r="Y45">
        <f t="shared" si="13"/>
        <v>-2</v>
      </c>
      <c r="Z45">
        <f t="shared" si="14"/>
        <v>0.02</v>
      </c>
      <c r="AA45">
        <f t="shared" si="15"/>
        <v>-1.6989700043360187</v>
      </c>
      <c r="AC45" t="s">
        <v>36</v>
      </c>
      <c r="AD45" t="s">
        <v>28</v>
      </c>
      <c r="AE45" t="s">
        <v>10</v>
      </c>
      <c r="AF45">
        <f>1000/3.36</f>
        <v>297.61904761904765</v>
      </c>
      <c r="AG45">
        <f t="shared" si="16"/>
        <v>3.3599999999999997E-3</v>
      </c>
      <c r="AH45">
        <v>0.02</v>
      </c>
      <c r="AI45">
        <f t="shared" si="17"/>
        <v>-1.6989700043360187</v>
      </c>
      <c r="AL45" t="s">
        <v>29</v>
      </c>
      <c r="AM45" t="s">
        <v>16</v>
      </c>
      <c r="AN45" t="s">
        <v>15</v>
      </c>
      <c r="AO45" s="1">
        <v>50000000</v>
      </c>
      <c r="AP45" s="1">
        <f t="shared" si="18"/>
        <v>7.6989700043360187</v>
      </c>
      <c r="AQ45">
        <v>380</v>
      </c>
      <c r="AR45">
        <f t="shared" si="19"/>
        <v>380000000</v>
      </c>
      <c r="AS45">
        <f t="shared" si="20"/>
        <v>8.5797835966168101</v>
      </c>
      <c r="AU45" s="1">
        <v>380000000</v>
      </c>
      <c r="AW45">
        <f t="shared" si="48"/>
        <v>1042.5907440000001</v>
      </c>
      <c r="AX45">
        <f t="shared" si="21"/>
        <v>1.0425907439999999E-27</v>
      </c>
      <c r="AY45">
        <f t="shared" si="22"/>
        <v>-26.981886135008047</v>
      </c>
      <c r="AZ45">
        <f t="shared" si="49"/>
        <v>6</v>
      </c>
      <c r="BA45">
        <f t="shared" si="23"/>
        <v>0.77815125038364363</v>
      </c>
      <c r="BB45">
        <f t="shared" si="50"/>
        <v>1.6675931072818232E-2</v>
      </c>
      <c r="BC45">
        <f t="shared" si="24"/>
        <v>-1.7779099086258889</v>
      </c>
      <c r="BE45">
        <f t="shared" si="25"/>
        <v>823</v>
      </c>
      <c r="BF45">
        <f t="shared" si="26"/>
        <v>1.215066828675577E-3</v>
      </c>
      <c r="BG45">
        <f t="shared" si="27"/>
        <v>1209600</v>
      </c>
      <c r="BH45">
        <f t="shared" si="28"/>
        <v>6.0826417781571314</v>
      </c>
      <c r="BI45" s="1">
        <v>1.15E-3</v>
      </c>
      <c r="BJ45">
        <f t="shared" si="29"/>
        <v>-2.9393021596463882</v>
      </c>
      <c r="BK45">
        <v>10</v>
      </c>
      <c r="BL45">
        <f t="shared" si="30"/>
        <v>0.01</v>
      </c>
      <c r="BM45">
        <f t="shared" si="31"/>
        <v>-2</v>
      </c>
      <c r="BN45">
        <v>1.83</v>
      </c>
      <c r="BO45">
        <f t="shared" si="32"/>
        <v>0.26245108973042947</v>
      </c>
      <c r="BQ45">
        <v>80</v>
      </c>
      <c r="BR45">
        <f t="shared" si="33"/>
        <v>1.4640000000000002</v>
      </c>
      <c r="BS45">
        <f t="shared" si="34"/>
        <v>0.16554107672237311</v>
      </c>
      <c r="BV45">
        <f>EXP(-7.8)/1000</f>
        <v>4.0973497897978679E-7</v>
      </c>
      <c r="BW45" s="1">
        <f t="shared" si="35"/>
        <v>-6.3874969588453645</v>
      </c>
      <c r="CB45" t="e">
        <f>#REF!+#REF!*AG45+#REF!*BC45+#REF!*AY45</f>
        <v>#REF!</v>
      </c>
      <c r="CD45" s="1" t="e">
        <f t="shared" si="36"/>
        <v>#REF!</v>
      </c>
    </row>
    <row r="46" spans="1:82" ht="16.5" customHeight="1" x14ac:dyDescent="0.25">
      <c r="A46" s="3" t="s">
        <v>61</v>
      </c>
      <c r="B46" t="s">
        <v>26</v>
      </c>
      <c r="C46" t="s">
        <v>36</v>
      </c>
      <c r="E46">
        <v>0.01</v>
      </c>
      <c r="F46">
        <f t="shared" si="0"/>
        <v>-2</v>
      </c>
      <c r="G46">
        <f t="shared" si="1"/>
        <v>1.0101010101010102E-2</v>
      </c>
      <c r="H46">
        <f t="shared" si="2"/>
        <v>-1.9956351945975499</v>
      </c>
      <c r="I46">
        <f t="shared" si="3"/>
        <v>0.99</v>
      </c>
      <c r="J46">
        <f t="shared" si="4"/>
        <v>-4.3648054024500883E-3</v>
      </c>
      <c r="K46">
        <f t="shared" si="5"/>
        <v>98.999999999999915</v>
      </c>
      <c r="L46">
        <f t="shared" si="6"/>
        <v>1.9956351945975495</v>
      </c>
      <c r="M46">
        <v>0.01</v>
      </c>
      <c r="N46">
        <f t="shared" si="7"/>
        <v>-2</v>
      </c>
      <c r="O46">
        <f t="shared" si="8"/>
        <v>1.0101010101010102E-2</v>
      </c>
      <c r="P46">
        <f t="shared" si="9"/>
        <v>-1.9956351945975499</v>
      </c>
      <c r="Q46">
        <f t="shared" si="10"/>
        <v>98.989898989898904</v>
      </c>
      <c r="R46">
        <f t="shared" si="11"/>
        <v>1.9955908810949445</v>
      </c>
      <c r="U46">
        <f t="shared" si="12"/>
        <v>-1.9956351945975499</v>
      </c>
      <c r="Y46">
        <f t="shared" si="13"/>
        <v>-2</v>
      </c>
      <c r="Z46">
        <f t="shared" si="14"/>
        <v>0.02</v>
      </c>
      <c r="AA46">
        <f t="shared" si="15"/>
        <v>-1.6989700043360187</v>
      </c>
      <c r="AC46" t="s">
        <v>36</v>
      </c>
      <c r="AD46" t="s">
        <v>28</v>
      </c>
      <c r="AE46" t="s">
        <v>10</v>
      </c>
      <c r="AF46">
        <f>1000/3.3</f>
        <v>303.03030303030306</v>
      </c>
      <c r="AG46">
        <f t="shared" si="16"/>
        <v>3.2999999999999995E-3</v>
      </c>
      <c r="AH46">
        <v>0.02</v>
      </c>
      <c r="AI46">
        <f t="shared" si="17"/>
        <v>-1.6989700043360187</v>
      </c>
      <c r="AL46" t="s">
        <v>29</v>
      </c>
      <c r="AM46" t="s">
        <v>16</v>
      </c>
      <c r="AN46" t="s">
        <v>15</v>
      </c>
      <c r="AO46" s="1">
        <v>50000000</v>
      </c>
      <c r="AP46" s="1">
        <f t="shared" si="18"/>
        <v>7.6989700043360187</v>
      </c>
      <c r="AQ46">
        <v>380</v>
      </c>
      <c r="AR46">
        <f t="shared" si="19"/>
        <v>380000000</v>
      </c>
      <c r="AS46">
        <f t="shared" si="20"/>
        <v>8.5797835966168101</v>
      </c>
      <c r="AU46" s="1">
        <v>380000000</v>
      </c>
      <c r="AW46">
        <f t="shared" si="48"/>
        <v>1042.5907440000001</v>
      </c>
      <c r="AX46">
        <f t="shared" si="21"/>
        <v>1.0425907439999999E-27</v>
      </c>
      <c r="AY46">
        <f t="shared" si="22"/>
        <v>-26.981886135008047</v>
      </c>
      <c r="AZ46">
        <f t="shared" si="49"/>
        <v>6</v>
      </c>
      <c r="BA46">
        <f t="shared" si="23"/>
        <v>0.77815125038364363</v>
      </c>
      <c r="BB46">
        <f t="shared" si="50"/>
        <v>1.6675931072818232E-2</v>
      </c>
      <c r="BC46">
        <f t="shared" si="24"/>
        <v>-1.7779099086258889</v>
      </c>
      <c r="BE46">
        <f t="shared" si="25"/>
        <v>823</v>
      </c>
      <c r="BF46">
        <f t="shared" si="26"/>
        <v>1.215066828675577E-3</v>
      </c>
      <c r="BG46">
        <f t="shared" si="27"/>
        <v>1209600</v>
      </c>
      <c r="BH46">
        <f t="shared" si="28"/>
        <v>6.0826417781571314</v>
      </c>
      <c r="BI46" s="1">
        <v>1.15E-3</v>
      </c>
      <c r="BJ46">
        <f t="shared" si="29"/>
        <v>-2.9393021596463882</v>
      </c>
      <c r="BK46">
        <v>10</v>
      </c>
      <c r="BL46">
        <f t="shared" si="30"/>
        <v>0.01</v>
      </c>
      <c r="BM46">
        <f t="shared" si="31"/>
        <v>-2</v>
      </c>
      <c r="BN46">
        <v>1.83</v>
      </c>
      <c r="BO46">
        <f t="shared" si="32"/>
        <v>0.26245108973042947</v>
      </c>
      <c r="BQ46">
        <v>80</v>
      </c>
      <c r="BR46">
        <f t="shared" si="33"/>
        <v>1.4640000000000002</v>
      </c>
      <c r="BS46">
        <f t="shared" si="34"/>
        <v>0.16554107672237311</v>
      </c>
      <c r="BV46">
        <f>EXP(-7.7)/1000</f>
        <v>4.5282718288679697E-7</v>
      </c>
      <c r="BW46" s="1">
        <f t="shared" si="35"/>
        <v>-6.344067510655039</v>
      </c>
      <c r="CB46" t="e">
        <f>#REF!+#REF!*AG46+#REF!*BC46+#REF!*AY46</f>
        <v>#REF!</v>
      </c>
      <c r="CD46" s="1" t="e">
        <f t="shared" si="36"/>
        <v>#REF!</v>
      </c>
    </row>
    <row r="47" spans="1:82" ht="16.5" customHeight="1" x14ac:dyDescent="0.25">
      <c r="A47" s="3" t="s">
        <v>61</v>
      </c>
      <c r="B47" t="s">
        <v>26</v>
      </c>
      <c r="C47" t="s">
        <v>36</v>
      </c>
      <c r="E47">
        <v>0.01</v>
      </c>
      <c r="F47">
        <f t="shared" si="0"/>
        <v>-2</v>
      </c>
      <c r="G47">
        <f t="shared" si="1"/>
        <v>1.0101010101010102E-2</v>
      </c>
      <c r="H47">
        <f t="shared" si="2"/>
        <v>-1.9956351945975499</v>
      </c>
      <c r="I47">
        <f t="shared" si="3"/>
        <v>0.99</v>
      </c>
      <c r="J47">
        <f t="shared" si="4"/>
        <v>-4.3648054024500883E-3</v>
      </c>
      <c r="K47">
        <f t="shared" si="5"/>
        <v>98.999999999999915</v>
      </c>
      <c r="L47">
        <f t="shared" si="6"/>
        <v>1.9956351945975495</v>
      </c>
      <c r="M47">
        <v>0.01</v>
      </c>
      <c r="N47">
        <f t="shared" si="7"/>
        <v>-2</v>
      </c>
      <c r="O47">
        <f t="shared" si="8"/>
        <v>1.0101010101010102E-2</v>
      </c>
      <c r="P47">
        <f t="shared" si="9"/>
        <v>-1.9956351945975499</v>
      </c>
      <c r="Q47">
        <f t="shared" si="10"/>
        <v>98.989898989898904</v>
      </c>
      <c r="R47">
        <f t="shared" si="11"/>
        <v>1.9955908810949445</v>
      </c>
      <c r="U47">
        <f t="shared" si="12"/>
        <v>-1.9956351945975499</v>
      </c>
      <c r="Y47">
        <f t="shared" si="13"/>
        <v>-2</v>
      </c>
      <c r="Z47">
        <f t="shared" si="14"/>
        <v>0.02</v>
      </c>
      <c r="AA47">
        <f t="shared" si="15"/>
        <v>-1.6989700043360187</v>
      </c>
      <c r="AC47" t="s">
        <v>36</v>
      </c>
      <c r="AD47" t="s">
        <v>28</v>
      </c>
      <c r="AE47" t="s">
        <v>10</v>
      </c>
      <c r="AF47">
        <f>1000/3.2</f>
        <v>312.5</v>
      </c>
      <c r="AG47">
        <f t="shared" ref="AG47:AG87" si="51">1/AF47</f>
        <v>3.2000000000000002E-3</v>
      </c>
      <c r="AH47">
        <v>0.02</v>
      </c>
      <c r="AI47">
        <f t="shared" ref="AI47:AI87" si="52">LOG10(AH47)</f>
        <v>-1.6989700043360187</v>
      </c>
      <c r="AL47" t="s">
        <v>29</v>
      </c>
      <c r="AM47" t="s">
        <v>16</v>
      </c>
      <c r="AN47" t="s">
        <v>15</v>
      </c>
      <c r="AO47" s="1">
        <v>50000000</v>
      </c>
      <c r="AP47" s="1">
        <f>LOG10(AO47)</f>
        <v>7.6989700043360187</v>
      </c>
      <c r="AQ47">
        <v>380</v>
      </c>
      <c r="AR47">
        <f t="shared" ref="AR47:AR87" si="53">AQ47*10^6</f>
        <v>380000000</v>
      </c>
      <c r="AS47">
        <f t="shared" ref="AS47:AS87" si="54">LOG10(AR47)</f>
        <v>8.5797835966168101</v>
      </c>
      <c r="AU47" s="1">
        <v>380000000</v>
      </c>
      <c r="AW47">
        <f t="shared" si="48"/>
        <v>1042.5907440000001</v>
      </c>
      <c r="AX47">
        <f t="shared" ref="AX47:AX87" si="55">AW47*10^-30</f>
        <v>1.0425907439999999E-27</v>
      </c>
      <c r="AY47">
        <f t="shared" ref="AY47:AY87" si="56">LOG10(AX47)</f>
        <v>-26.981886135008047</v>
      </c>
      <c r="AZ47">
        <f t="shared" si="49"/>
        <v>6</v>
      </c>
      <c r="BA47">
        <f t="shared" ref="BA47:BA87" si="57">LOG10(AZ47)</f>
        <v>0.77815125038364363</v>
      </c>
      <c r="BB47">
        <f t="shared" si="50"/>
        <v>1.6675931072818232E-2</v>
      </c>
      <c r="BC47">
        <f t="shared" ref="BC47:BC87" si="58">LOG10(BB47)</f>
        <v>-1.7779099086258889</v>
      </c>
      <c r="BE47">
        <f t="shared" si="25"/>
        <v>823</v>
      </c>
      <c r="BF47">
        <f t="shared" ref="BF47:BF87" si="59">1/BE47</f>
        <v>1.215066828675577E-3</v>
      </c>
      <c r="BG47">
        <f t="shared" si="27"/>
        <v>1209600</v>
      </c>
      <c r="BH47">
        <f t="shared" ref="BH47:BH87" si="60">LOG(BG47)</f>
        <v>6.0826417781571314</v>
      </c>
      <c r="BI47" s="1">
        <v>1.15E-3</v>
      </c>
      <c r="BJ47">
        <f t="shared" ref="BJ47:BJ87" si="61">LOG10(BI47)</f>
        <v>-2.9393021596463882</v>
      </c>
      <c r="BK47">
        <v>10</v>
      </c>
      <c r="BL47">
        <f t="shared" ref="BL47:BL87" si="62">BK47*10^-3</f>
        <v>0.01</v>
      </c>
      <c r="BM47">
        <f t="shared" ref="BM47:BM87" si="63">LOG10(BL47)</f>
        <v>-2</v>
      </c>
      <c r="BN47">
        <v>1.83</v>
      </c>
      <c r="BO47">
        <f t="shared" ref="BO47:BO87" si="64">LOG10(BN47)</f>
        <v>0.26245108973042947</v>
      </c>
      <c r="BQ47">
        <v>80</v>
      </c>
      <c r="BR47">
        <f t="shared" ref="BR47:BR87" si="65">BQ47/100*BN47</f>
        <v>1.4640000000000002</v>
      </c>
      <c r="BS47">
        <f t="shared" ref="BS47:BS87" si="66">LOG10(BR47)</f>
        <v>0.16554107672237311</v>
      </c>
      <c r="BV47">
        <f>EXP(-7.1)/1000</f>
        <v>8.2510492326590462E-7</v>
      </c>
      <c r="BW47" s="1">
        <f t="shared" ref="BW47:BW87" si="67">LOG10(BV47)</f>
        <v>-6.0834908215130881</v>
      </c>
      <c r="CB47" t="e">
        <f>#REF!+#REF!*AG47+#REF!*BC47+#REF!*AY47</f>
        <v>#REF!</v>
      </c>
      <c r="CD47" s="1" t="e">
        <f t="shared" si="36"/>
        <v>#REF!</v>
      </c>
    </row>
    <row r="48" spans="1:82" ht="16.5" customHeight="1" x14ac:dyDescent="0.25">
      <c r="A48" s="3" t="s">
        <v>61</v>
      </c>
      <c r="B48" t="s">
        <v>26</v>
      </c>
      <c r="C48" t="s">
        <v>36</v>
      </c>
      <c r="E48">
        <v>0.01</v>
      </c>
      <c r="F48">
        <f t="shared" si="0"/>
        <v>-2</v>
      </c>
      <c r="G48">
        <f t="shared" si="1"/>
        <v>1.0101010101010102E-2</v>
      </c>
      <c r="H48">
        <f t="shared" si="2"/>
        <v>-1.9956351945975499</v>
      </c>
      <c r="I48">
        <f t="shared" si="3"/>
        <v>0.99</v>
      </c>
      <c r="J48">
        <f t="shared" si="4"/>
        <v>-4.3648054024500883E-3</v>
      </c>
      <c r="K48">
        <f t="shared" si="5"/>
        <v>98.999999999999915</v>
      </c>
      <c r="L48">
        <f t="shared" si="6"/>
        <v>1.9956351945975495</v>
      </c>
      <c r="M48">
        <v>0.01</v>
      </c>
      <c r="N48">
        <f t="shared" si="7"/>
        <v>-2</v>
      </c>
      <c r="O48">
        <f t="shared" si="8"/>
        <v>1.0101010101010102E-2</v>
      </c>
      <c r="P48">
        <f t="shared" si="9"/>
        <v>-1.9956351945975499</v>
      </c>
      <c r="Q48">
        <f t="shared" si="10"/>
        <v>98.989898989898904</v>
      </c>
      <c r="R48">
        <f t="shared" si="11"/>
        <v>1.9955908810949445</v>
      </c>
      <c r="U48">
        <f t="shared" si="12"/>
        <v>-1.9956351945975499</v>
      </c>
      <c r="Y48">
        <f t="shared" si="13"/>
        <v>-2</v>
      </c>
      <c r="Z48">
        <f t="shared" si="14"/>
        <v>0.02</v>
      </c>
      <c r="AA48">
        <f t="shared" si="15"/>
        <v>-1.6989700043360187</v>
      </c>
      <c r="AC48" t="s">
        <v>36</v>
      </c>
      <c r="AD48" t="s">
        <v>28</v>
      </c>
      <c r="AE48" t="s">
        <v>10</v>
      </c>
      <c r="AF48">
        <f>1000/3.1</f>
        <v>322.58064516129031</v>
      </c>
      <c r="AG48">
        <f t="shared" si="51"/>
        <v>3.1000000000000003E-3</v>
      </c>
      <c r="AH48">
        <v>0.02</v>
      </c>
      <c r="AI48">
        <f t="shared" si="52"/>
        <v>-1.6989700043360187</v>
      </c>
      <c r="AL48" t="s">
        <v>29</v>
      </c>
      <c r="AM48" t="s">
        <v>16</v>
      </c>
      <c r="AN48" t="s">
        <v>15</v>
      </c>
      <c r="AO48" s="1">
        <v>50000000</v>
      </c>
      <c r="AP48" s="1">
        <f>LOG10(AO48)</f>
        <v>7.6989700043360187</v>
      </c>
      <c r="AQ48">
        <v>380</v>
      </c>
      <c r="AR48">
        <f t="shared" si="53"/>
        <v>380000000</v>
      </c>
      <c r="AS48">
        <f t="shared" si="54"/>
        <v>8.5797835966168101</v>
      </c>
      <c r="AU48" s="1">
        <v>380000000</v>
      </c>
      <c r="AW48">
        <f t="shared" si="48"/>
        <v>1042.5907440000001</v>
      </c>
      <c r="AX48">
        <f t="shared" si="55"/>
        <v>1.0425907439999999E-27</v>
      </c>
      <c r="AY48">
        <f t="shared" si="56"/>
        <v>-26.981886135008047</v>
      </c>
      <c r="AZ48">
        <f t="shared" si="49"/>
        <v>6</v>
      </c>
      <c r="BA48">
        <f t="shared" si="57"/>
        <v>0.77815125038364363</v>
      </c>
      <c r="BB48">
        <f t="shared" si="50"/>
        <v>1.6675931072818232E-2</v>
      </c>
      <c r="BC48">
        <f t="shared" si="58"/>
        <v>-1.7779099086258889</v>
      </c>
      <c r="BE48">
        <f t="shared" si="25"/>
        <v>823</v>
      </c>
      <c r="BF48">
        <f t="shared" si="59"/>
        <v>1.215066828675577E-3</v>
      </c>
      <c r="BG48">
        <f t="shared" si="27"/>
        <v>1209600</v>
      </c>
      <c r="BH48">
        <f t="shared" si="60"/>
        <v>6.0826417781571314</v>
      </c>
      <c r="BI48" s="1">
        <v>1.15E-3</v>
      </c>
      <c r="BJ48">
        <f t="shared" si="61"/>
        <v>-2.9393021596463882</v>
      </c>
      <c r="BK48">
        <v>10</v>
      </c>
      <c r="BL48">
        <f t="shared" si="62"/>
        <v>0.01</v>
      </c>
      <c r="BM48">
        <f t="shared" si="63"/>
        <v>-2</v>
      </c>
      <c r="BN48">
        <v>1.83</v>
      </c>
      <c r="BO48">
        <f t="shared" si="64"/>
        <v>0.26245108973042947</v>
      </c>
      <c r="BQ48">
        <v>80</v>
      </c>
      <c r="BR48">
        <f t="shared" si="65"/>
        <v>1.4640000000000002</v>
      </c>
      <c r="BS48">
        <f t="shared" si="66"/>
        <v>0.16554107672237311</v>
      </c>
      <c r="BV48">
        <f>EXP(-6.7)/1000</f>
        <v>1.2309119026734811E-6</v>
      </c>
      <c r="BW48" s="1">
        <f t="shared" si="67"/>
        <v>-5.9097730287517871</v>
      </c>
      <c r="CB48" t="e">
        <f>#REF!+#REF!*AG48+#REF!*BC48+#REF!*AY48</f>
        <v>#REF!</v>
      </c>
      <c r="CD48" s="1" t="e">
        <f t="shared" si="36"/>
        <v>#REF!</v>
      </c>
    </row>
    <row r="49" spans="1:82" ht="16.5" customHeight="1" x14ac:dyDescent="0.25">
      <c r="A49" s="3" t="s">
        <v>61</v>
      </c>
      <c r="B49" t="s">
        <v>26</v>
      </c>
      <c r="C49" t="s">
        <v>36</v>
      </c>
      <c r="E49">
        <v>0.01</v>
      </c>
      <c r="F49">
        <f t="shared" si="0"/>
        <v>-2</v>
      </c>
      <c r="G49">
        <f t="shared" si="1"/>
        <v>1.0101010101010102E-2</v>
      </c>
      <c r="H49">
        <f t="shared" si="2"/>
        <v>-1.9956351945975499</v>
      </c>
      <c r="I49">
        <f t="shared" si="3"/>
        <v>0.99</v>
      </c>
      <c r="J49">
        <f t="shared" si="4"/>
        <v>-4.3648054024500883E-3</v>
      </c>
      <c r="K49">
        <f t="shared" si="5"/>
        <v>98.999999999999915</v>
      </c>
      <c r="L49">
        <f t="shared" si="6"/>
        <v>1.9956351945975495</v>
      </c>
      <c r="M49">
        <v>0.01</v>
      </c>
      <c r="N49">
        <f t="shared" si="7"/>
        <v>-2</v>
      </c>
      <c r="O49">
        <f t="shared" si="8"/>
        <v>1.0101010101010102E-2</v>
      </c>
      <c r="P49">
        <f t="shared" si="9"/>
        <v>-1.9956351945975499</v>
      </c>
      <c r="Q49">
        <f t="shared" si="10"/>
        <v>98.989898989898904</v>
      </c>
      <c r="R49">
        <f t="shared" si="11"/>
        <v>1.9955908810949445</v>
      </c>
      <c r="U49">
        <f t="shared" si="12"/>
        <v>-1.9956351945975499</v>
      </c>
      <c r="Y49">
        <f t="shared" si="13"/>
        <v>-2</v>
      </c>
      <c r="Z49">
        <f t="shared" si="14"/>
        <v>0.02</v>
      </c>
      <c r="AA49">
        <f t="shared" si="15"/>
        <v>-1.6989700043360187</v>
      </c>
      <c r="AC49" t="s">
        <v>36</v>
      </c>
      <c r="AD49" t="s">
        <v>28</v>
      </c>
      <c r="AE49" t="s">
        <v>10</v>
      </c>
      <c r="AF49">
        <f>1000/3</f>
        <v>333.33333333333331</v>
      </c>
      <c r="AG49">
        <f t="shared" si="51"/>
        <v>3.0000000000000001E-3</v>
      </c>
      <c r="AH49">
        <v>0.02</v>
      </c>
      <c r="AI49">
        <f t="shared" si="52"/>
        <v>-1.6989700043360187</v>
      </c>
      <c r="AL49" t="s">
        <v>29</v>
      </c>
      <c r="AM49" t="s">
        <v>16</v>
      </c>
      <c r="AN49" t="s">
        <v>15</v>
      </c>
      <c r="AO49" s="1">
        <v>50000000</v>
      </c>
      <c r="AP49" s="1">
        <f>LOG10(AO49)</f>
        <v>7.6989700043360187</v>
      </c>
      <c r="AQ49">
        <v>380</v>
      </c>
      <c r="AR49">
        <f t="shared" si="53"/>
        <v>380000000</v>
      </c>
      <c r="AS49">
        <f t="shared" si="54"/>
        <v>8.5797835966168101</v>
      </c>
      <c r="AU49" s="1">
        <v>380000000</v>
      </c>
      <c r="AW49">
        <f t="shared" si="48"/>
        <v>1042.5907440000001</v>
      </c>
      <c r="AX49">
        <f t="shared" si="55"/>
        <v>1.0425907439999999E-27</v>
      </c>
      <c r="AY49">
        <f t="shared" si="56"/>
        <v>-26.981886135008047</v>
      </c>
      <c r="AZ49">
        <f t="shared" si="49"/>
        <v>6</v>
      </c>
      <c r="BA49">
        <f t="shared" si="57"/>
        <v>0.77815125038364363</v>
      </c>
      <c r="BB49">
        <f t="shared" si="50"/>
        <v>1.6675931072818232E-2</v>
      </c>
      <c r="BC49">
        <f t="shared" si="58"/>
        <v>-1.7779099086258889</v>
      </c>
      <c r="BE49">
        <f t="shared" si="25"/>
        <v>823</v>
      </c>
      <c r="BF49">
        <f t="shared" si="59"/>
        <v>1.215066828675577E-3</v>
      </c>
      <c r="BG49">
        <f t="shared" si="27"/>
        <v>1209600</v>
      </c>
      <c r="BH49">
        <f t="shared" si="60"/>
        <v>6.0826417781571314</v>
      </c>
      <c r="BI49" s="1">
        <v>1.15E-3</v>
      </c>
      <c r="BJ49">
        <f t="shared" si="61"/>
        <v>-2.9393021596463882</v>
      </c>
      <c r="BK49">
        <v>10</v>
      </c>
      <c r="BL49">
        <f t="shared" si="62"/>
        <v>0.01</v>
      </c>
      <c r="BM49">
        <f t="shared" si="63"/>
        <v>-2</v>
      </c>
      <c r="BN49">
        <v>1.83</v>
      </c>
      <c r="BO49">
        <f t="shared" si="64"/>
        <v>0.26245108973042947</v>
      </c>
      <c r="BQ49">
        <v>80</v>
      </c>
      <c r="BR49">
        <f t="shared" si="65"/>
        <v>1.4640000000000002</v>
      </c>
      <c r="BS49">
        <f t="shared" si="66"/>
        <v>0.16554107672237311</v>
      </c>
      <c r="BV49">
        <f>EXP(-6.1)/1000</f>
        <v>2.2428677194858035E-6</v>
      </c>
      <c r="BW49" s="1">
        <f t="shared" si="67"/>
        <v>-5.6491963396098361</v>
      </c>
      <c r="CB49" t="e">
        <f>#REF!+#REF!*AG49+#REF!*BC49+#REF!*AY49</f>
        <v>#REF!</v>
      </c>
      <c r="CD49" s="1" t="e">
        <f t="shared" si="36"/>
        <v>#REF!</v>
      </c>
    </row>
    <row r="50" spans="1:82" ht="16.5" customHeight="1" x14ac:dyDescent="0.25">
      <c r="A50" s="3" t="s">
        <v>61</v>
      </c>
      <c r="B50" t="s">
        <v>30</v>
      </c>
      <c r="C50" t="s">
        <v>32</v>
      </c>
      <c r="E50">
        <v>0.62</v>
      </c>
      <c r="F50">
        <f t="shared" ref="F50:F95" si="68">LOG10(E50)</f>
        <v>-0.20760831050174613</v>
      </c>
      <c r="G50">
        <f t="shared" ref="G50:G94" si="69">E50/(1-E50)</f>
        <v>1.631578947368421</v>
      </c>
      <c r="H50">
        <f t="shared" ref="H50:H95" si="70">LOG10(G50)</f>
        <v>0.21260809288144372</v>
      </c>
      <c r="I50">
        <f t="shared" ref="I50:I94" si="71">1-E50</f>
        <v>0.38</v>
      </c>
      <c r="J50">
        <f t="shared" ref="J50:J95" si="72">LOG10(I50)</f>
        <v>-0.42021640338318983</v>
      </c>
      <c r="K50">
        <f t="shared" ref="K50:K94" si="73">I50/(1-I50)</f>
        <v>0.61290322580645162</v>
      </c>
      <c r="L50">
        <f t="shared" ref="L50:L95" si="74">LOG10(K50)</f>
        <v>-0.21260809288144372</v>
      </c>
      <c r="M50">
        <v>0.01</v>
      </c>
      <c r="N50">
        <f t="shared" ref="N50:N95" si="75">LOG10(M50)</f>
        <v>-2</v>
      </c>
      <c r="O50">
        <f t="shared" ref="O50:O94" si="76">M50/(1-M50)</f>
        <v>1.0101010101010102E-2</v>
      </c>
      <c r="P50">
        <f t="shared" ref="P50:P95" si="77">LOG10(O50)</f>
        <v>-1.9956351945975499</v>
      </c>
      <c r="Q50">
        <f t="shared" ref="Q50:Q95" si="78">ABS(G50-K50)</f>
        <v>1.0186757215619693</v>
      </c>
      <c r="R50">
        <f t="shared" ref="R50:R95" si="79">LOG10(Q50)</f>
        <v>8.0359555965419244E-3</v>
      </c>
      <c r="U50">
        <f t="shared" ref="U50:U94" si="80">LOG10(G50)</f>
        <v>0.21260809288144372</v>
      </c>
      <c r="Y50">
        <f t="shared" ref="Y50:Y94" si="81">LOG10(E50)</f>
        <v>-0.20760831050174613</v>
      </c>
      <c r="Z50">
        <f t="shared" ref="Z50:Z94" si="82">AH50-E50+0.01</f>
        <v>0.01</v>
      </c>
      <c r="AA50">
        <f t="shared" ref="AA50:AA95" si="83">LOG10(Z50)</f>
        <v>-2</v>
      </c>
      <c r="AC50" t="s">
        <v>32</v>
      </c>
      <c r="AD50" t="s">
        <v>28</v>
      </c>
      <c r="AE50" t="s">
        <v>10</v>
      </c>
      <c r="AF50">
        <v>253.1645569620253</v>
      </c>
      <c r="AG50">
        <f t="shared" si="51"/>
        <v>3.9500000000000004E-3</v>
      </c>
      <c r="AH50">
        <v>0.62</v>
      </c>
      <c r="AI50">
        <f t="shared" si="52"/>
        <v>-0.20760831050174613</v>
      </c>
      <c r="AL50" t="s">
        <v>29</v>
      </c>
      <c r="AM50" t="s">
        <v>16</v>
      </c>
      <c r="AN50" t="s">
        <v>15</v>
      </c>
      <c r="AP50" s="1"/>
      <c r="AQ50">
        <v>375</v>
      </c>
      <c r="AR50">
        <f t="shared" si="53"/>
        <v>375000000</v>
      </c>
      <c r="AS50">
        <f t="shared" si="54"/>
        <v>8.5740312677277188</v>
      </c>
      <c r="AU50" s="1">
        <v>375000000</v>
      </c>
      <c r="AW50">
        <f>9.86^3</f>
        <v>958.58525599999984</v>
      </c>
      <c r="AX50">
        <f t="shared" si="55"/>
        <v>9.5858525599999981E-28</v>
      </c>
      <c r="AY50">
        <f t="shared" si="56"/>
        <v>-27.018369255176367</v>
      </c>
      <c r="AZ50">
        <f>6/1</f>
        <v>6</v>
      </c>
      <c r="BA50">
        <f t="shared" si="57"/>
        <v>0.77815125038364363</v>
      </c>
      <c r="BB50">
        <f>6/268.4</f>
        <v>2.2354694485842028E-2</v>
      </c>
      <c r="BC50">
        <f t="shared" si="58"/>
        <v>-1.6506312611133107</v>
      </c>
      <c r="BE50">
        <f t="shared" ref="BE50:BE95" si="84">550+273</f>
        <v>823</v>
      </c>
      <c r="BF50">
        <f t="shared" si="59"/>
        <v>1.215066828675577E-3</v>
      </c>
      <c r="BG50">
        <f t="shared" ref="BG50:BG95" si="85">2*7*24*60*60</f>
        <v>1209600</v>
      </c>
      <c r="BH50">
        <f t="shared" si="60"/>
        <v>6.0826417781571314</v>
      </c>
      <c r="BI50" s="1">
        <v>7.9500000000000003E-4</v>
      </c>
      <c r="BJ50">
        <f t="shared" si="61"/>
        <v>-3.0996328713435295</v>
      </c>
      <c r="BK50">
        <v>10</v>
      </c>
      <c r="BL50">
        <f t="shared" si="62"/>
        <v>0.01</v>
      </c>
      <c r="BM50">
        <f t="shared" si="63"/>
        <v>-2</v>
      </c>
      <c r="BN50">
        <v>1.6</v>
      </c>
      <c r="BO50">
        <f t="shared" si="64"/>
        <v>0.20411998265592479</v>
      </c>
      <c r="BQ50">
        <v>86</v>
      </c>
      <c r="BR50">
        <f t="shared" si="65"/>
        <v>1.3760000000000001</v>
      </c>
      <c r="BS50">
        <f t="shared" si="66"/>
        <v>0.13861843389949255</v>
      </c>
      <c r="BV50">
        <f>EXP(-3.95)/1000</f>
        <v>1.9254701775386919E-5</v>
      </c>
      <c r="BW50" s="1">
        <f t="shared" si="67"/>
        <v>-4.715463203517845</v>
      </c>
      <c r="CB50" t="e">
        <f>#REF!+#REF!*AG50+#REF!*BC50+#REF!*AY50</f>
        <v>#REF!</v>
      </c>
      <c r="CD50" s="1" t="e">
        <f t="shared" ref="CD50:CD94" si="86">(CB50-BW50)^2</f>
        <v>#REF!</v>
      </c>
    </row>
    <row r="51" spans="1:82" ht="16.5" customHeight="1" x14ac:dyDescent="0.25">
      <c r="A51" s="3" t="s">
        <v>61</v>
      </c>
      <c r="B51" t="s">
        <v>30</v>
      </c>
      <c r="C51" t="s">
        <v>32</v>
      </c>
      <c r="E51">
        <v>0.62</v>
      </c>
      <c r="F51">
        <f t="shared" si="68"/>
        <v>-0.20760831050174613</v>
      </c>
      <c r="G51">
        <f t="shared" si="69"/>
        <v>1.631578947368421</v>
      </c>
      <c r="H51">
        <f t="shared" si="70"/>
        <v>0.21260809288144372</v>
      </c>
      <c r="I51">
        <f t="shared" si="71"/>
        <v>0.38</v>
      </c>
      <c r="J51">
        <f t="shared" si="72"/>
        <v>-0.42021640338318983</v>
      </c>
      <c r="K51">
        <f t="shared" si="73"/>
        <v>0.61290322580645162</v>
      </c>
      <c r="L51">
        <f t="shared" si="74"/>
        <v>-0.21260809288144372</v>
      </c>
      <c r="M51">
        <v>0.01</v>
      </c>
      <c r="N51">
        <f t="shared" si="75"/>
        <v>-2</v>
      </c>
      <c r="O51">
        <f t="shared" si="76"/>
        <v>1.0101010101010102E-2</v>
      </c>
      <c r="P51">
        <f t="shared" si="77"/>
        <v>-1.9956351945975499</v>
      </c>
      <c r="Q51">
        <f t="shared" si="78"/>
        <v>1.0186757215619693</v>
      </c>
      <c r="R51">
        <f t="shared" si="79"/>
        <v>8.0359555965419244E-3</v>
      </c>
      <c r="U51">
        <f t="shared" si="80"/>
        <v>0.21260809288144372</v>
      </c>
      <c r="Y51">
        <f t="shared" si="81"/>
        <v>-0.20760831050174613</v>
      </c>
      <c r="Z51">
        <f t="shared" si="82"/>
        <v>0.01</v>
      </c>
      <c r="AA51">
        <f t="shared" si="83"/>
        <v>-2</v>
      </c>
      <c r="AC51" t="s">
        <v>32</v>
      </c>
      <c r="AD51" t="s">
        <v>28</v>
      </c>
      <c r="AE51" t="s">
        <v>10</v>
      </c>
      <c r="AF51">
        <v>263.15789473684214</v>
      </c>
      <c r="AG51">
        <f t="shared" si="51"/>
        <v>3.7999999999999996E-3</v>
      </c>
      <c r="AH51">
        <v>0.62</v>
      </c>
      <c r="AI51">
        <f t="shared" si="52"/>
        <v>-0.20760831050174613</v>
      </c>
      <c r="AL51" t="s">
        <v>29</v>
      </c>
      <c r="AM51" t="s">
        <v>16</v>
      </c>
      <c r="AN51" t="s">
        <v>15</v>
      </c>
      <c r="AP51" s="1"/>
      <c r="AQ51">
        <v>375</v>
      </c>
      <c r="AR51">
        <f t="shared" si="53"/>
        <v>375000000</v>
      </c>
      <c r="AS51">
        <f t="shared" si="54"/>
        <v>8.5740312677277188</v>
      </c>
      <c r="AU51" s="1">
        <v>375000000</v>
      </c>
      <c r="AW51">
        <f t="shared" ref="AW51:AW61" si="87">9.86^3</f>
        <v>958.58525599999984</v>
      </c>
      <c r="AX51">
        <f t="shared" si="55"/>
        <v>9.5858525599999981E-28</v>
      </c>
      <c r="AY51">
        <f t="shared" si="56"/>
        <v>-27.018369255176367</v>
      </c>
      <c r="AZ51">
        <f t="shared" ref="AZ51:AZ61" si="88">6/1</f>
        <v>6</v>
      </c>
      <c r="BA51">
        <f t="shared" si="57"/>
        <v>0.77815125038364363</v>
      </c>
      <c r="BB51">
        <f t="shared" ref="BB51:BB61" si="89">6/268.4</f>
        <v>2.2354694485842028E-2</v>
      </c>
      <c r="BC51">
        <f t="shared" si="58"/>
        <v>-1.6506312611133107</v>
      </c>
      <c r="BE51">
        <f t="shared" si="84"/>
        <v>823</v>
      </c>
      <c r="BF51">
        <f t="shared" si="59"/>
        <v>1.215066828675577E-3</v>
      </c>
      <c r="BG51">
        <f t="shared" si="85"/>
        <v>1209600</v>
      </c>
      <c r="BH51">
        <f t="shared" si="60"/>
        <v>6.0826417781571314</v>
      </c>
      <c r="BI51" s="1">
        <v>7.9500000000000003E-4</v>
      </c>
      <c r="BJ51">
        <f t="shared" si="61"/>
        <v>-3.0996328713435295</v>
      </c>
      <c r="BK51">
        <v>10</v>
      </c>
      <c r="BL51">
        <f t="shared" si="62"/>
        <v>0.01</v>
      </c>
      <c r="BM51">
        <f t="shared" si="63"/>
        <v>-2</v>
      </c>
      <c r="BN51">
        <v>1.6</v>
      </c>
      <c r="BO51">
        <f t="shared" si="64"/>
        <v>0.20411998265592479</v>
      </c>
      <c r="BQ51">
        <v>86</v>
      </c>
      <c r="BR51">
        <f t="shared" si="65"/>
        <v>1.3760000000000001</v>
      </c>
      <c r="BS51">
        <f t="shared" si="66"/>
        <v>0.13861843389949255</v>
      </c>
      <c r="BV51">
        <f>EXP(-3.1)/1000</f>
        <v>4.50492023935578E-5</v>
      </c>
      <c r="BW51" s="1">
        <f t="shared" si="67"/>
        <v>-4.3463128939000804</v>
      </c>
      <c r="CB51" t="e">
        <f>#REF!+#REF!*AG51+#REF!*BC51+#REF!*AY51</f>
        <v>#REF!</v>
      </c>
      <c r="CD51" s="1" t="e">
        <f t="shared" si="86"/>
        <v>#REF!</v>
      </c>
    </row>
    <row r="52" spans="1:82" ht="16.5" customHeight="1" x14ac:dyDescent="0.25">
      <c r="A52" s="3" t="s">
        <v>61</v>
      </c>
      <c r="B52" t="s">
        <v>30</v>
      </c>
      <c r="C52" t="s">
        <v>32</v>
      </c>
      <c r="E52">
        <v>0.62</v>
      </c>
      <c r="F52">
        <f t="shared" si="68"/>
        <v>-0.20760831050174613</v>
      </c>
      <c r="G52">
        <f t="shared" si="69"/>
        <v>1.631578947368421</v>
      </c>
      <c r="H52">
        <f t="shared" si="70"/>
        <v>0.21260809288144372</v>
      </c>
      <c r="I52">
        <f t="shared" si="71"/>
        <v>0.38</v>
      </c>
      <c r="J52">
        <f t="shared" si="72"/>
        <v>-0.42021640338318983</v>
      </c>
      <c r="K52">
        <f t="shared" si="73"/>
        <v>0.61290322580645162</v>
      </c>
      <c r="L52">
        <f t="shared" si="74"/>
        <v>-0.21260809288144372</v>
      </c>
      <c r="M52">
        <v>0.01</v>
      </c>
      <c r="N52">
        <f t="shared" si="75"/>
        <v>-2</v>
      </c>
      <c r="O52">
        <f t="shared" si="76"/>
        <v>1.0101010101010102E-2</v>
      </c>
      <c r="P52">
        <f t="shared" si="77"/>
        <v>-1.9956351945975499</v>
      </c>
      <c r="Q52">
        <f t="shared" si="78"/>
        <v>1.0186757215619693</v>
      </c>
      <c r="R52">
        <f t="shared" si="79"/>
        <v>8.0359555965419244E-3</v>
      </c>
      <c r="U52">
        <f t="shared" si="80"/>
        <v>0.21260809288144372</v>
      </c>
      <c r="Y52">
        <f t="shared" si="81"/>
        <v>-0.20760831050174613</v>
      </c>
      <c r="Z52">
        <f t="shared" si="82"/>
        <v>0.01</v>
      </c>
      <c r="AA52">
        <f t="shared" si="83"/>
        <v>-2</v>
      </c>
      <c r="AC52" t="s">
        <v>32</v>
      </c>
      <c r="AD52" t="s">
        <v>28</v>
      </c>
      <c r="AE52" t="s">
        <v>10</v>
      </c>
      <c r="AF52">
        <v>273.22404371584696</v>
      </c>
      <c r="AG52">
        <f t="shared" si="51"/>
        <v>3.6600000000000005E-3</v>
      </c>
      <c r="AH52">
        <v>0.62</v>
      </c>
      <c r="AI52">
        <f t="shared" si="52"/>
        <v>-0.20760831050174613</v>
      </c>
      <c r="AL52" t="s">
        <v>29</v>
      </c>
      <c r="AM52" t="s">
        <v>16</v>
      </c>
      <c r="AN52" t="s">
        <v>15</v>
      </c>
      <c r="AP52" s="1"/>
      <c r="AQ52">
        <v>375</v>
      </c>
      <c r="AR52">
        <f t="shared" si="53"/>
        <v>375000000</v>
      </c>
      <c r="AS52">
        <f t="shared" si="54"/>
        <v>8.5740312677277188</v>
      </c>
      <c r="AU52" s="1">
        <v>375000000</v>
      </c>
      <c r="AW52">
        <f t="shared" si="87"/>
        <v>958.58525599999984</v>
      </c>
      <c r="AX52">
        <f t="shared" si="55"/>
        <v>9.5858525599999981E-28</v>
      </c>
      <c r="AY52">
        <f t="shared" si="56"/>
        <v>-27.018369255176367</v>
      </c>
      <c r="AZ52">
        <f t="shared" si="88"/>
        <v>6</v>
      </c>
      <c r="BA52">
        <f t="shared" si="57"/>
        <v>0.77815125038364363</v>
      </c>
      <c r="BB52">
        <f t="shared" si="89"/>
        <v>2.2354694485842028E-2</v>
      </c>
      <c r="BC52">
        <f t="shared" si="58"/>
        <v>-1.6506312611133107</v>
      </c>
      <c r="BE52">
        <f t="shared" si="84"/>
        <v>823</v>
      </c>
      <c r="BF52">
        <f t="shared" si="59"/>
        <v>1.215066828675577E-3</v>
      </c>
      <c r="BG52">
        <f t="shared" si="85"/>
        <v>1209600</v>
      </c>
      <c r="BH52">
        <f t="shared" si="60"/>
        <v>6.0826417781571314</v>
      </c>
      <c r="BI52" s="1">
        <v>7.9500000000000003E-4</v>
      </c>
      <c r="BJ52">
        <f t="shared" si="61"/>
        <v>-3.0996328713435295</v>
      </c>
      <c r="BK52">
        <v>10</v>
      </c>
      <c r="BL52">
        <f t="shared" si="62"/>
        <v>0.01</v>
      </c>
      <c r="BM52">
        <f t="shared" si="63"/>
        <v>-2</v>
      </c>
      <c r="BN52">
        <v>1.6</v>
      </c>
      <c r="BO52">
        <f t="shared" si="64"/>
        <v>0.20411998265592479</v>
      </c>
      <c r="BQ52">
        <v>86</v>
      </c>
      <c r="BR52">
        <f t="shared" si="65"/>
        <v>1.3760000000000001</v>
      </c>
      <c r="BS52">
        <f t="shared" si="66"/>
        <v>0.13861843389949255</v>
      </c>
      <c r="BV52">
        <f>EXP(-2.4)/1000</f>
        <v>9.0717953289412516E-5</v>
      </c>
      <c r="BW52" s="1">
        <f t="shared" si="67"/>
        <v>-4.0423067565678039</v>
      </c>
      <c r="CB52" t="e">
        <f>#REF!+#REF!*AG52+#REF!*BC52+#REF!*AY52</f>
        <v>#REF!</v>
      </c>
      <c r="CD52" s="1" t="e">
        <f t="shared" si="86"/>
        <v>#REF!</v>
      </c>
    </row>
    <row r="53" spans="1:82" ht="16.5" customHeight="1" x14ac:dyDescent="0.25">
      <c r="A53" s="3" t="s">
        <v>61</v>
      </c>
      <c r="B53" t="s">
        <v>30</v>
      </c>
      <c r="C53" t="s">
        <v>32</v>
      </c>
      <c r="E53">
        <v>0.62</v>
      </c>
      <c r="F53">
        <f t="shared" si="68"/>
        <v>-0.20760831050174613</v>
      </c>
      <c r="G53">
        <f t="shared" si="69"/>
        <v>1.631578947368421</v>
      </c>
      <c r="H53">
        <f t="shared" si="70"/>
        <v>0.21260809288144372</v>
      </c>
      <c r="I53">
        <f t="shared" si="71"/>
        <v>0.38</v>
      </c>
      <c r="J53">
        <f t="shared" si="72"/>
        <v>-0.42021640338318983</v>
      </c>
      <c r="K53">
        <f t="shared" si="73"/>
        <v>0.61290322580645162</v>
      </c>
      <c r="L53">
        <f t="shared" si="74"/>
        <v>-0.21260809288144372</v>
      </c>
      <c r="M53">
        <v>0.01</v>
      </c>
      <c r="N53">
        <f t="shared" si="75"/>
        <v>-2</v>
      </c>
      <c r="O53">
        <f t="shared" si="76"/>
        <v>1.0101010101010102E-2</v>
      </c>
      <c r="P53">
        <f t="shared" si="77"/>
        <v>-1.9956351945975499</v>
      </c>
      <c r="Q53">
        <f t="shared" si="78"/>
        <v>1.0186757215619693</v>
      </c>
      <c r="R53">
        <f t="shared" si="79"/>
        <v>8.0359555965419244E-3</v>
      </c>
      <c r="U53">
        <f t="shared" si="80"/>
        <v>0.21260809288144372</v>
      </c>
      <c r="Y53">
        <f t="shared" si="81"/>
        <v>-0.20760831050174613</v>
      </c>
      <c r="Z53">
        <f t="shared" si="82"/>
        <v>0.01</v>
      </c>
      <c r="AA53">
        <f t="shared" si="83"/>
        <v>-2</v>
      </c>
      <c r="AC53" t="s">
        <v>32</v>
      </c>
      <c r="AD53" t="s">
        <v>28</v>
      </c>
      <c r="AE53" t="s">
        <v>10</v>
      </c>
      <c r="AF53">
        <v>283.28611898016999</v>
      </c>
      <c r="AG53">
        <f t="shared" si="51"/>
        <v>3.5299999999999997E-3</v>
      </c>
      <c r="AH53">
        <v>0.62</v>
      </c>
      <c r="AI53">
        <f t="shared" si="52"/>
        <v>-0.20760831050174613</v>
      </c>
      <c r="AL53" t="s">
        <v>29</v>
      </c>
      <c r="AM53" t="s">
        <v>16</v>
      </c>
      <c r="AN53" t="s">
        <v>15</v>
      </c>
      <c r="AP53" s="1"/>
      <c r="AQ53">
        <v>375</v>
      </c>
      <c r="AR53">
        <f t="shared" si="53"/>
        <v>375000000</v>
      </c>
      <c r="AS53">
        <f t="shared" si="54"/>
        <v>8.5740312677277188</v>
      </c>
      <c r="AU53" s="1">
        <v>375000000</v>
      </c>
      <c r="AW53">
        <f t="shared" si="87"/>
        <v>958.58525599999984</v>
      </c>
      <c r="AX53">
        <f t="shared" si="55"/>
        <v>9.5858525599999981E-28</v>
      </c>
      <c r="AY53">
        <f t="shared" si="56"/>
        <v>-27.018369255176367</v>
      </c>
      <c r="AZ53">
        <f t="shared" si="88"/>
        <v>6</v>
      </c>
      <c r="BA53">
        <f t="shared" si="57"/>
        <v>0.77815125038364363</v>
      </c>
      <c r="BB53">
        <f t="shared" si="89"/>
        <v>2.2354694485842028E-2</v>
      </c>
      <c r="BC53">
        <f t="shared" si="58"/>
        <v>-1.6506312611133107</v>
      </c>
      <c r="BE53">
        <f t="shared" si="84"/>
        <v>823</v>
      </c>
      <c r="BF53">
        <f t="shared" si="59"/>
        <v>1.215066828675577E-3</v>
      </c>
      <c r="BG53">
        <f t="shared" si="85"/>
        <v>1209600</v>
      </c>
      <c r="BH53">
        <f t="shared" si="60"/>
        <v>6.0826417781571314</v>
      </c>
      <c r="BI53" s="1">
        <v>7.9500000000000003E-4</v>
      </c>
      <c r="BJ53">
        <f t="shared" si="61"/>
        <v>-3.0996328713435295</v>
      </c>
      <c r="BK53">
        <v>10</v>
      </c>
      <c r="BL53">
        <f t="shared" si="62"/>
        <v>0.01</v>
      </c>
      <c r="BM53">
        <f t="shared" si="63"/>
        <v>-2</v>
      </c>
      <c r="BN53">
        <v>1.6</v>
      </c>
      <c r="BO53">
        <f t="shared" si="64"/>
        <v>0.20411998265592479</v>
      </c>
      <c r="BQ53">
        <v>86</v>
      </c>
      <c r="BR53">
        <f t="shared" si="65"/>
        <v>1.3760000000000001</v>
      </c>
      <c r="BS53">
        <f t="shared" si="66"/>
        <v>0.13861843389949255</v>
      </c>
      <c r="BV53">
        <f>EXP(-1.7)/1000</f>
        <v>1.8268352405273466E-4</v>
      </c>
      <c r="BW53" s="1">
        <f t="shared" si="67"/>
        <v>-3.7383006192355279</v>
      </c>
      <c r="CB53" t="e">
        <f>#REF!+#REF!*AG53+#REF!*BC53+#REF!*AY53</f>
        <v>#REF!</v>
      </c>
      <c r="CD53" s="1" t="e">
        <f t="shared" si="86"/>
        <v>#REF!</v>
      </c>
    </row>
    <row r="54" spans="1:82" ht="16.5" customHeight="1" x14ac:dyDescent="0.25">
      <c r="A54" s="3" t="s">
        <v>61</v>
      </c>
      <c r="B54" t="s">
        <v>30</v>
      </c>
      <c r="C54" t="s">
        <v>32</v>
      </c>
      <c r="E54">
        <v>0.62</v>
      </c>
      <c r="F54">
        <f t="shared" si="68"/>
        <v>-0.20760831050174613</v>
      </c>
      <c r="G54">
        <f t="shared" si="69"/>
        <v>1.631578947368421</v>
      </c>
      <c r="H54">
        <f t="shared" si="70"/>
        <v>0.21260809288144372</v>
      </c>
      <c r="I54">
        <f t="shared" si="71"/>
        <v>0.38</v>
      </c>
      <c r="J54">
        <f t="shared" si="72"/>
        <v>-0.42021640338318983</v>
      </c>
      <c r="K54">
        <f t="shared" si="73"/>
        <v>0.61290322580645162</v>
      </c>
      <c r="L54">
        <f t="shared" si="74"/>
        <v>-0.21260809288144372</v>
      </c>
      <c r="M54">
        <v>0.01</v>
      </c>
      <c r="N54">
        <f t="shared" si="75"/>
        <v>-2</v>
      </c>
      <c r="O54">
        <f t="shared" si="76"/>
        <v>1.0101010101010102E-2</v>
      </c>
      <c r="P54">
        <f t="shared" si="77"/>
        <v>-1.9956351945975499</v>
      </c>
      <c r="Q54">
        <f t="shared" si="78"/>
        <v>1.0186757215619693</v>
      </c>
      <c r="R54">
        <f t="shared" si="79"/>
        <v>8.0359555965419244E-3</v>
      </c>
      <c r="U54">
        <f t="shared" si="80"/>
        <v>0.21260809288144372</v>
      </c>
      <c r="Y54">
        <f t="shared" si="81"/>
        <v>-0.20760831050174613</v>
      </c>
      <c r="Z54">
        <f t="shared" si="82"/>
        <v>0.01</v>
      </c>
      <c r="AA54">
        <f t="shared" si="83"/>
        <v>-2</v>
      </c>
      <c r="AC54" t="s">
        <v>32</v>
      </c>
      <c r="AD54" t="s">
        <v>28</v>
      </c>
      <c r="AE54" t="s">
        <v>10</v>
      </c>
      <c r="AF54">
        <v>293.25513196480938</v>
      </c>
      <c r="AG54">
        <f t="shared" si="51"/>
        <v>3.4100000000000003E-3</v>
      </c>
      <c r="AH54">
        <v>0.62</v>
      </c>
      <c r="AI54">
        <f t="shared" si="52"/>
        <v>-0.20760831050174613</v>
      </c>
      <c r="AL54" t="s">
        <v>29</v>
      </c>
      <c r="AM54" t="s">
        <v>16</v>
      </c>
      <c r="AN54" t="s">
        <v>15</v>
      </c>
      <c r="AP54" s="1"/>
      <c r="AQ54">
        <v>375</v>
      </c>
      <c r="AR54">
        <f t="shared" si="53"/>
        <v>375000000</v>
      </c>
      <c r="AS54">
        <f t="shared" si="54"/>
        <v>8.5740312677277188</v>
      </c>
      <c r="AU54" s="1">
        <v>375000000</v>
      </c>
      <c r="AW54">
        <f t="shared" si="87"/>
        <v>958.58525599999984</v>
      </c>
      <c r="AX54">
        <f t="shared" si="55"/>
        <v>9.5858525599999981E-28</v>
      </c>
      <c r="AY54">
        <f t="shared" si="56"/>
        <v>-27.018369255176367</v>
      </c>
      <c r="AZ54">
        <f t="shared" si="88"/>
        <v>6</v>
      </c>
      <c r="BA54">
        <f t="shared" si="57"/>
        <v>0.77815125038364363</v>
      </c>
      <c r="BB54">
        <f t="shared" si="89"/>
        <v>2.2354694485842028E-2</v>
      </c>
      <c r="BC54">
        <f t="shared" si="58"/>
        <v>-1.6506312611133107</v>
      </c>
      <c r="BE54">
        <f t="shared" si="84"/>
        <v>823</v>
      </c>
      <c r="BF54">
        <f t="shared" si="59"/>
        <v>1.215066828675577E-3</v>
      </c>
      <c r="BG54">
        <f t="shared" si="85"/>
        <v>1209600</v>
      </c>
      <c r="BH54">
        <f t="shared" si="60"/>
        <v>6.0826417781571314</v>
      </c>
      <c r="BI54" s="1">
        <v>7.9500000000000003E-4</v>
      </c>
      <c r="BJ54">
        <f t="shared" si="61"/>
        <v>-3.0996328713435295</v>
      </c>
      <c r="BK54">
        <v>10</v>
      </c>
      <c r="BL54">
        <f t="shared" si="62"/>
        <v>0.01</v>
      </c>
      <c r="BM54">
        <f t="shared" si="63"/>
        <v>-2</v>
      </c>
      <c r="BN54">
        <v>1.6</v>
      </c>
      <c r="BO54">
        <f t="shared" si="64"/>
        <v>0.20411998265592479</v>
      </c>
      <c r="BQ54">
        <v>86</v>
      </c>
      <c r="BR54">
        <f t="shared" si="65"/>
        <v>1.3760000000000001</v>
      </c>
      <c r="BS54">
        <f t="shared" si="66"/>
        <v>0.13861843389949255</v>
      </c>
      <c r="BV54">
        <f>EXP(-1)/1000</f>
        <v>3.6787944117144236E-4</v>
      </c>
      <c r="BW54" s="1">
        <f t="shared" si="67"/>
        <v>-3.4342944819032519</v>
      </c>
      <c r="CB54" t="e">
        <f>#REF!+#REF!*AG54+#REF!*BC54+#REF!*AY54</f>
        <v>#REF!</v>
      </c>
      <c r="CD54" s="1" t="e">
        <f t="shared" si="86"/>
        <v>#REF!</v>
      </c>
    </row>
    <row r="55" spans="1:82" ht="16.5" customHeight="1" x14ac:dyDescent="0.25">
      <c r="A55" s="3" t="s">
        <v>61</v>
      </c>
      <c r="B55" t="s">
        <v>30</v>
      </c>
      <c r="C55" t="s">
        <v>32</v>
      </c>
      <c r="E55">
        <v>0.62</v>
      </c>
      <c r="F55">
        <f t="shared" si="68"/>
        <v>-0.20760831050174613</v>
      </c>
      <c r="G55">
        <f t="shared" si="69"/>
        <v>1.631578947368421</v>
      </c>
      <c r="H55">
        <f t="shared" si="70"/>
        <v>0.21260809288144372</v>
      </c>
      <c r="I55">
        <f t="shared" si="71"/>
        <v>0.38</v>
      </c>
      <c r="J55">
        <f t="shared" si="72"/>
        <v>-0.42021640338318983</v>
      </c>
      <c r="K55">
        <f t="shared" si="73"/>
        <v>0.61290322580645162</v>
      </c>
      <c r="L55">
        <f t="shared" si="74"/>
        <v>-0.21260809288144372</v>
      </c>
      <c r="M55">
        <v>0.01</v>
      </c>
      <c r="N55">
        <f t="shared" si="75"/>
        <v>-2</v>
      </c>
      <c r="O55">
        <f t="shared" si="76"/>
        <v>1.0101010101010102E-2</v>
      </c>
      <c r="P55">
        <f t="shared" si="77"/>
        <v>-1.9956351945975499</v>
      </c>
      <c r="Q55">
        <f t="shared" si="78"/>
        <v>1.0186757215619693</v>
      </c>
      <c r="R55">
        <f t="shared" si="79"/>
        <v>8.0359555965419244E-3</v>
      </c>
      <c r="U55">
        <f t="shared" si="80"/>
        <v>0.21260809288144372</v>
      </c>
      <c r="Y55">
        <f t="shared" si="81"/>
        <v>-0.20760831050174613</v>
      </c>
      <c r="Z55">
        <f t="shared" si="82"/>
        <v>0.01</v>
      </c>
      <c r="AA55">
        <f t="shared" si="83"/>
        <v>-2</v>
      </c>
      <c r="AC55" t="s">
        <v>32</v>
      </c>
      <c r="AD55" t="s">
        <v>28</v>
      </c>
      <c r="AE55" t="s">
        <v>10</v>
      </c>
      <c r="AF55">
        <v>303.03030303030306</v>
      </c>
      <c r="AG55">
        <f t="shared" si="51"/>
        <v>3.2999999999999995E-3</v>
      </c>
      <c r="AH55">
        <v>0.62</v>
      </c>
      <c r="AI55">
        <f t="shared" si="52"/>
        <v>-0.20760831050174613</v>
      </c>
      <c r="AL55" t="s">
        <v>29</v>
      </c>
      <c r="AM55" t="s">
        <v>16</v>
      </c>
      <c r="AN55" t="s">
        <v>15</v>
      </c>
      <c r="AP55" s="1"/>
      <c r="AQ55">
        <v>375</v>
      </c>
      <c r="AR55">
        <f t="shared" si="53"/>
        <v>375000000</v>
      </c>
      <c r="AS55">
        <f t="shared" si="54"/>
        <v>8.5740312677277188</v>
      </c>
      <c r="AU55" s="1">
        <v>375000000</v>
      </c>
      <c r="AW55">
        <f t="shared" si="87"/>
        <v>958.58525599999984</v>
      </c>
      <c r="AX55">
        <f t="shared" si="55"/>
        <v>9.5858525599999981E-28</v>
      </c>
      <c r="AY55">
        <f t="shared" si="56"/>
        <v>-27.018369255176367</v>
      </c>
      <c r="AZ55">
        <f t="shared" si="88"/>
        <v>6</v>
      </c>
      <c r="BA55">
        <f t="shared" si="57"/>
        <v>0.77815125038364363</v>
      </c>
      <c r="BB55">
        <f t="shared" si="89"/>
        <v>2.2354694485842028E-2</v>
      </c>
      <c r="BC55">
        <f t="shared" si="58"/>
        <v>-1.6506312611133107</v>
      </c>
      <c r="BE55">
        <f t="shared" si="84"/>
        <v>823</v>
      </c>
      <c r="BF55">
        <f t="shared" si="59"/>
        <v>1.215066828675577E-3</v>
      </c>
      <c r="BG55">
        <f t="shared" si="85"/>
        <v>1209600</v>
      </c>
      <c r="BH55">
        <f t="shared" si="60"/>
        <v>6.0826417781571314</v>
      </c>
      <c r="BI55" s="1">
        <v>7.9500000000000003E-4</v>
      </c>
      <c r="BJ55">
        <f t="shared" si="61"/>
        <v>-3.0996328713435295</v>
      </c>
      <c r="BK55">
        <v>10</v>
      </c>
      <c r="BL55">
        <f t="shared" si="62"/>
        <v>0.01</v>
      </c>
      <c r="BM55">
        <f t="shared" si="63"/>
        <v>-2</v>
      </c>
      <c r="BN55">
        <v>1.6</v>
      </c>
      <c r="BO55">
        <f t="shared" si="64"/>
        <v>0.20411998265592479</v>
      </c>
      <c r="BQ55">
        <v>86</v>
      </c>
      <c r="BR55">
        <f t="shared" si="65"/>
        <v>1.3760000000000001</v>
      </c>
      <c r="BS55">
        <f t="shared" si="66"/>
        <v>0.13861843389949255</v>
      </c>
      <c r="BV55">
        <f>EXP(-0.55)/1000</f>
        <v>5.7694981038048667E-4</v>
      </c>
      <c r="BW55" s="1">
        <f t="shared" si="67"/>
        <v>-3.2388619650467887</v>
      </c>
      <c r="CB55" t="e">
        <f>#REF!+#REF!*AG55+#REF!*BC55+#REF!*AY55</f>
        <v>#REF!</v>
      </c>
      <c r="CD55" s="1" t="e">
        <f t="shared" si="86"/>
        <v>#REF!</v>
      </c>
    </row>
    <row r="56" spans="1:82" ht="16.5" customHeight="1" x14ac:dyDescent="0.25">
      <c r="A56" s="3" t="s">
        <v>61</v>
      </c>
      <c r="B56" t="s">
        <v>30</v>
      </c>
      <c r="C56" t="s">
        <v>32</v>
      </c>
      <c r="E56">
        <v>0.62</v>
      </c>
      <c r="F56">
        <f t="shared" si="68"/>
        <v>-0.20760831050174613</v>
      </c>
      <c r="G56">
        <f t="shared" si="69"/>
        <v>1.631578947368421</v>
      </c>
      <c r="H56">
        <f t="shared" si="70"/>
        <v>0.21260809288144372</v>
      </c>
      <c r="I56">
        <f t="shared" si="71"/>
        <v>0.38</v>
      </c>
      <c r="J56">
        <f t="shared" si="72"/>
        <v>-0.42021640338318983</v>
      </c>
      <c r="K56">
        <f t="shared" si="73"/>
        <v>0.61290322580645162</v>
      </c>
      <c r="L56">
        <f t="shared" si="74"/>
        <v>-0.21260809288144372</v>
      </c>
      <c r="M56">
        <v>0.01</v>
      </c>
      <c r="N56">
        <f t="shared" si="75"/>
        <v>-2</v>
      </c>
      <c r="O56">
        <f t="shared" si="76"/>
        <v>1.0101010101010102E-2</v>
      </c>
      <c r="P56">
        <f t="shared" si="77"/>
        <v>-1.9956351945975499</v>
      </c>
      <c r="Q56">
        <f t="shared" si="78"/>
        <v>1.0186757215619693</v>
      </c>
      <c r="R56">
        <f t="shared" si="79"/>
        <v>8.0359555965419244E-3</v>
      </c>
      <c r="U56">
        <f t="shared" si="80"/>
        <v>0.21260809288144372</v>
      </c>
      <c r="Y56">
        <f t="shared" si="81"/>
        <v>-0.20760831050174613</v>
      </c>
      <c r="Z56">
        <f t="shared" si="82"/>
        <v>0.01</v>
      </c>
      <c r="AA56">
        <f t="shared" si="83"/>
        <v>-2</v>
      </c>
      <c r="AC56" t="s">
        <v>32</v>
      </c>
      <c r="AD56" t="s">
        <v>28</v>
      </c>
      <c r="AE56" t="s">
        <v>10</v>
      </c>
      <c r="AF56">
        <v>312.5</v>
      </c>
      <c r="AG56">
        <f t="shared" si="51"/>
        <v>3.2000000000000002E-3</v>
      </c>
      <c r="AH56">
        <v>0.62</v>
      </c>
      <c r="AI56">
        <f t="shared" si="52"/>
        <v>-0.20760831050174613</v>
      </c>
      <c r="AL56" t="s">
        <v>29</v>
      </c>
      <c r="AM56" t="s">
        <v>16</v>
      </c>
      <c r="AN56" t="s">
        <v>15</v>
      </c>
      <c r="AP56" s="1"/>
      <c r="AQ56">
        <v>375</v>
      </c>
      <c r="AR56">
        <f t="shared" si="53"/>
        <v>375000000</v>
      </c>
      <c r="AS56">
        <f t="shared" si="54"/>
        <v>8.5740312677277188</v>
      </c>
      <c r="AU56" s="1">
        <v>375000000</v>
      </c>
      <c r="AW56">
        <f t="shared" si="87"/>
        <v>958.58525599999984</v>
      </c>
      <c r="AX56">
        <f t="shared" si="55"/>
        <v>9.5858525599999981E-28</v>
      </c>
      <c r="AY56">
        <f t="shared" si="56"/>
        <v>-27.018369255176367</v>
      </c>
      <c r="AZ56">
        <f t="shared" si="88"/>
        <v>6</v>
      </c>
      <c r="BA56">
        <f t="shared" si="57"/>
        <v>0.77815125038364363</v>
      </c>
      <c r="BB56">
        <f t="shared" si="89"/>
        <v>2.2354694485842028E-2</v>
      </c>
      <c r="BC56">
        <f t="shared" si="58"/>
        <v>-1.6506312611133107</v>
      </c>
      <c r="BE56">
        <f t="shared" si="84"/>
        <v>823</v>
      </c>
      <c r="BF56">
        <f t="shared" si="59"/>
        <v>1.215066828675577E-3</v>
      </c>
      <c r="BG56">
        <f t="shared" si="85"/>
        <v>1209600</v>
      </c>
      <c r="BH56">
        <f t="shared" si="60"/>
        <v>6.0826417781571314</v>
      </c>
      <c r="BI56" s="1">
        <v>7.9500000000000003E-4</v>
      </c>
      <c r="BJ56">
        <f t="shared" si="61"/>
        <v>-3.0996328713435295</v>
      </c>
      <c r="BK56">
        <v>10</v>
      </c>
      <c r="BL56">
        <f t="shared" si="62"/>
        <v>0.01</v>
      </c>
      <c r="BM56">
        <f t="shared" si="63"/>
        <v>-2</v>
      </c>
      <c r="BN56">
        <v>1.6</v>
      </c>
      <c r="BO56">
        <f t="shared" si="64"/>
        <v>0.20411998265592479</v>
      </c>
      <c r="BQ56">
        <v>86</v>
      </c>
      <c r="BR56">
        <f t="shared" si="65"/>
        <v>1.3760000000000001</v>
      </c>
      <c r="BS56">
        <f t="shared" si="66"/>
        <v>0.13861843389949255</v>
      </c>
      <c r="BV56">
        <f>EXP(0)/1000</f>
        <v>1E-3</v>
      </c>
      <c r="BW56" s="1">
        <f t="shared" si="67"/>
        <v>-3</v>
      </c>
      <c r="CB56" t="e">
        <f>#REF!+#REF!*AG56+#REF!*BC56+#REF!*AY56</f>
        <v>#REF!</v>
      </c>
      <c r="CD56" s="1" t="e">
        <f t="shared" si="86"/>
        <v>#REF!</v>
      </c>
    </row>
    <row r="57" spans="1:82" ht="16.5" customHeight="1" x14ac:dyDescent="0.25">
      <c r="A57" s="3" t="s">
        <v>61</v>
      </c>
      <c r="B57" t="s">
        <v>30</v>
      </c>
      <c r="C57" t="s">
        <v>32</v>
      </c>
      <c r="E57">
        <v>0.62</v>
      </c>
      <c r="F57">
        <f t="shared" si="68"/>
        <v>-0.20760831050174613</v>
      </c>
      <c r="G57">
        <f t="shared" si="69"/>
        <v>1.631578947368421</v>
      </c>
      <c r="H57">
        <f t="shared" si="70"/>
        <v>0.21260809288144372</v>
      </c>
      <c r="I57">
        <f t="shared" si="71"/>
        <v>0.38</v>
      </c>
      <c r="J57">
        <f t="shared" si="72"/>
        <v>-0.42021640338318983</v>
      </c>
      <c r="K57">
        <f t="shared" si="73"/>
        <v>0.61290322580645162</v>
      </c>
      <c r="L57">
        <f t="shared" si="74"/>
        <v>-0.21260809288144372</v>
      </c>
      <c r="M57">
        <v>0.01</v>
      </c>
      <c r="N57">
        <f t="shared" si="75"/>
        <v>-2</v>
      </c>
      <c r="O57">
        <f t="shared" si="76"/>
        <v>1.0101010101010102E-2</v>
      </c>
      <c r="P57">
        <f t="shared" si="77"/>
        <v>-1.9956351945975499</v>
      </c>
      <c r="Q57">
        <f t="shared" si="78"/>
        <v>1.0186757215619693</v>
      </c>
      <c r="R57">
        <f t="shared" si="79"/>
        <v>8.0359555965419244E-3</v>
      </c>
      <c r="U57">
        <f t="shared" si="80"/>
        <v>0.21260809288144372</v>
      </c>
      <c r="Y57">
        <f t="shared" si="81"/>
        <v>-0.20760831050174613</v>
      </c>
      <c r="Z57">
        <f t="shared" si="82"/>
        <v>0.01</v>
      </c>
      <c r="AA57">
        <f t="shared" si="83"/>
        <v>-2</v>
      </c>
      <c r="AC57" t="s">
        <v>32</v>
      </c>
      <c r="AD57" t="s">
        <v>28</v>
      </c>
      <c r="AE57" t="s">
        <v>10</v>
      </c>
      <c r="AF57">
        <v>322.58064516129031</v>
      </c>
      <c r="AG57">
        <f t="shared" si="51"/>
        <v>3.1000000000000003E-3</v>
      </c>
      <c r="AH57">
        <v>0.62</v>
      </c>
      <c r="AI57">
        <f t="shared" si="52"/>
        <v>-0.20760831050174613</v>
      </c>
      <c r="AL57" t="s">
        <v>29</v>
      </c>
      <c r="AM57" t="s">
        <v>16</v>
      </c>
      <c r="AN57" t="s">
        <v>15</v>
      </c>
      <c r="AP57" s="1"/>
      <c r="AQ57">
        <v>375</v>
      </c>
      <c r="AR57">
        <f t="shared" si="53"/>
        <v>375000000</v>
      </c>
      <c r="AS57">
        <f t="shared" si="54"/>
        <v>8.5740312677277188</v>
      </c>
      <c r="AU57" s="1">
        <v>375000000</v>
      </c>
      <c r="AW57">
        <f t="shared" si="87"/>
        <v>958.58525599999984</v>
      </c>
      <c r="AX57">
        <f t="shared" si="55"/>
        <v>9.5858525599999981E-28</v>
      </c>
      <c r="AY57">
        <f t="shared" si="56"/>
        <v>-27.018369255176367</v>
      </c>
      <c r="AZ57">
        <f t="shared" si="88"/>
        <v>6</v>
      </c>
      <c r="BA57">
        <f t="shared" si="57"/>
        <v>0.77815125038364363</v>
      </c>
      <c r="BB57">
        <f t="shared" si="89"/>
        <v>2.2354694485842028E-2</v>
      </c>
      <c r="BC57">
        <f t="shared" si="58"/>
        <v>-1.6506312611133107</v>
      </c>
      <c r="BE57">
        <f t="shared" si="84"/>
        <v>823</v>
      </c>
      <c r="BF57">
        <f t="shared" si="59"/>
        <v>1.215066828675577E-3</v>
      </c>
      <c r="BG57">
        <f t="shared" si="85"/>
        <v>1209600</v>
      </c>
      <c r="BH57">
        <f t="shared" si="60"/>
        <v>6.0826417781571314</v>
      </c>
      <c r="BI57" s="1">
        <v>7.9500000000000003E-4</v>
      </c>
      <c r="BJ57">
        <f t="shared" si="61"/>
        <v>-3.0996328713435295</v>
      </c>
      <c r="BK57">
        <v>10</v>
      </c>
      <c r="BL57">
        <f t="shared" si="62"/>
        <v>0.01</v>
      </c>
      <c r="BM57">
        <f t="shared" si="63"/>
        <v>-2</v>
      </c>
      <c r="BN57">
        <v>1.6</v>
      </c>
      <c r="BO57">
        <f t="shared" si="64"/>
        <v>0.20411998265592479</v>
      </c>
      <c r="BQ57">
        <v>86</v>
      </c>
      <c r="BR57">
        <f t="shared" si="65"/>
        <v>1.3760000000000001</v>
      </c>
      <c r="BS57">
        <f t="shared" si="66"/>
        <v>0.13861843389949255</v>
      </c>
      <c r="BV57">
        <f>EXP(0.4)/1000</f>
        <v>1.4918246976412704E-3</v>
      </c>
      <c r="BW57" s="1">
        <f t="shared" si="67"/>
        <v>-2.8262822072386991</v>
      </c>
      <c r="CB57" t="e">
        <f>#REF!+#REF!*AG57+#REF!*BC57+#REF!*AY57</f>
        <v>#REF!</v>
      </c>
      <c r="CD57" s="1" t="e">
        <f t="shared" si="86"/>
        <v>#REF!</v>
      </c>
    </row>
    <row r="58" spans="1:82" ht="16.5" customHeight="1" x14ac:dyDescent="0.25">
      <c r="A58" s="3" t="s">
        <v>61</v>
      </c>
      <c r="B58" t="s">
        <v>30</v>
      </c>
      <c r="C58" t="s">
        <v>32</v>
      </c>
      <c r="E58">
        <v>0.62</v>
      </c>
      <c r="F58">
        <f t="shared" si="68"/>
        <v>-0.20760831050174613</v>
      </c>
      <c r="G58">
        <f t="shared" si="69"/>
        <v>1.631578947368421</v>
      </c>
      <c r="H58">
        <f t="shared" si="70"/>
        <v>0.21260809288144372</v>
      </c>
      <c r="I58">
        <f t="shared" si="71"/>
        <v>0.38</v>
      </c>
      <c r="J58">
        <f t="shared" si="72"/>
        <v>-0.42021640338318983</v>
      </c>
      <c r="K58">
        <f t="shared" si="73"/>
        <v>0.61290322580645162</v>
      </c>
      <c r="L58">
        <f t="shared" si="74"/>
        <v>-0.21260809288144372</v>
      </c>
      <c r="M58">
        <v>0.01</v>
      </c>
      <c r="N58">
        <f t="shared" si="75"/>
        <v>-2</v>
      </c>
      <c r="O58">
        <f t="shared" si="76"/>
        <v>1.0101010101010102E-2</v>
      </c>
      <c r="P58">
        <f t="shared" si="77"/>
        <v>-1.9956351945975499</v>
      </c>
      <c r="Q58">
        <f t="shared" si="78"/>
        <v>1.0186757215619693</v>
      </c>
      <c r="R58">
        <f t="shared" si="79"/>
        <v>8.0359555965419244E-3</v>
      </c>
      <c r="U58">
        <f t="shared" si="80"/>
        <v>0.21260809288144372</v>
      </c>
      <c r="Y58">
        <f t="shared" si="81"/>
        <v>-0.20760831050174613</v>
      </c>
      <c r="Z58">
        <f t="shared" si="82"/>
        <v>0.01</v>
      </c>
      <c r="AA58">
        <f t="shared" si="83"/>
        <v>-2</v>
      </c>
      <c r="AC58" t="s">
        <v>32</v>
      </c>
      <c r="AD58" t="s">
        <v>28</v>
      </c>
      <c r="AE58" t="s">
        <v>10</v>
      </c>
      <c r="AF58">
        <v>333.33333333333331</v>
      </c>
      <c r="AG58">
        <f t="shared" si="51"/>
        <v>3.0000000000000001E-3</v>
      </c>
      <c r="AH58">
        <v>0.62</v>
      </c>
      <c r="AI58">
        <f t="shared" si="52"/>
        <v>-0.20760831050174613</v>
      </c>
      <c r="AL58" t="s">
        <v>29</v>
      </c>
      <c r="AM58" t="s">
        <v>16</v>
      </c>
      <c r="AN58" t="s">
        <v>15</v>
      </c>
      <c r="AP58" s="1"/>
      <c r="AQ58">
        <v>375</v>
      </c>
      <c r="AR58">
        <f t="shared" si="53"/>
        <v>375000000</v>
      </c>
      <c r="AS58">
        <f t="shared" si="54"/>
        <v>8.5740312677277188</v>
      </c>
      <c r="AU58" s="1">
        <v>375000000</v>
      </c>
      <c r="AW58">
        <f t="shared" si="87"/>
        <v>958.58525599999984</v>
      </c>
      <c r="AX58">
        <f t="shared" si="55"/>
        <v>9.5858525599999981E-28</v>
      </c>
      <c r="AY58">
        <f t="shared" si="56"/>
        <v>-27.018369255176367</v>
      </c>
      <c r="AZ58">
        <f t="shared" si="88"/>
        <v>6</v>
      </c>
      <c r="BA58">
        <f t="shared" si="57"/>
        <v>0.77815125038364363</v>
      </c>
      <c r="BB58">
        <f t="shared" si="89"/>
        <v>2.2354694485842028E-2</v>
      </c>
      <c r="BC58">
        <f t="shared" si="58"/>
        <v>-1.6506312611133107</v>
      </c>
      <c r="BE58">
        <f t="shared" si="84"/>
        <v>823</v>
      </c>
      <c r="BF58">
        <f t="shared" si="59"/>
        <v>1.215066828675577E-3</v>
      </c>
      <c r="BG58">
        <f t="shared" si="85"/>
        <v>1209600</v>
      </c>
      <c r="BH58">
        <f t="shared" si="60"/>
        <v>6.0826417781571314</v>
      </c>
      <c r="BI58" s="1">
        <v>7.9500000000000003E-4</v>
      </c>
      <c r="BJ58">
        <f t="shared" si="61"/>
        <v>-3.0996328713435295</v>
      </c>
      <c r="BK58">
        <v>10</v>
      </c>
      <c r="BL58">
        <f t="shared" si="62"/>
        <v>0.01</v>
      </c>
      <c r="BM58">
        <f t="shared" si="63"/>
        <v>-2</v>
      </c>
      <c r="BN58">
        <v>1.6</v>
      </c>
      <c r="BO58">
        <f t="shared" si="64"/>
        <v>0.20411998265592479</v>
      </c>
      <c r="BQ58">
        <v>86</v>
      </c>
      <c r="BR58">
        <f t="shared" si="65"/>
        <v>1.3760000000000001</v>
      </c>
      <c r="BS58">
        <f t="shared" si="66"/>
        <v>0.13861843389949255</v>
      </c>
      <c r="BV58">
        <f>EXP(0.9)/1000</f>
        <v>2.4596031111569498E-3</v>
      </c>
      <c r="BW58" s="1">
        <f t="shared" si="67"/>
        <v>-2.6091349662870735</v>
      </c>
      <c r="CB58" t="e">
        <f>#REF!+#REF!*AG58+#REF!*BC58+#REF!*AY58</f>
        <v>#REF!</v>
      </c>
      <c r="CD58" s="1" t="e">
        <f t="shared" si="86"/>
        <v>#REF!</v>
      </c>
    </row>
    <row r="59" spans="1:82" ht="16.5" customHeight="1" x14ac:dyDescent="0.25">
      <c r="A59" s="3" t="s">
        <v>61</v>
      </c>
      <c r="B59" t="s">
        <v>30</v>
      </c>
      <c r="C59" t="s">
        <v>32</v>
      </c>
      <c r="E59">
        <v>0.62</v>
      </c>
      <c r="F59">
        <f t="shared" si="68"/>
        <v>-0.20760831050174613</v>
      </c>
      <c r="G59">
        <f t="shared" si="69"/>
        <v>1.631578947368421</v>
      </c>
      <c r="H59">
        <f t="shared" si="70"/>
        <v>0.21260809288144372</v>
      </c>
      <c r="I59">
        <f t="shared" si="71"/>
        <v>0.38</v>
      </c>
      <c r="J59">
        <f t="shared" si="72"/>
        <v>-0.42021640338318983</v>
      </c>
      <c r="K59">
        <f t="shared" si="73"/>
        <v>0.61290322580645162</v>
      </c>
      <c r="L59">
        <f t="shared" si="74"/>
        <v>-0.21260809288144372</v>
      </c>
      <c r="M59">
        <v>0.01</v>
      </c>
      <c r="N59">
        <f t="shared" si="75"/>
        <v>-2</v>
      </c>
      <c r="O59">
        <f t="shared" si="76"/>
        <v>1.0101010101010102E-2</v>
      </c>
      <c r="P59">
        <f t="shared" si="77"/>
        <v>-1.9956351945975499</v>
      </c>
      <c r="Q59">
        <f t="shared" si="78"/>
        <v>1.0186757215619693</v>
      </c>
      <c r="R59">
        <f t="shared" si="79"/>
        <v>8.0359555965419244E-3</v>
      </c>
      <c r="U59">
        <f t="shared" si="80"/>
        <v>0.21260809288144372</v>
      </c>
      <c r="Y59">
        <f t="shared" si="81"/>
        <v>-0.20760831050174613</v>
      </c>
      <c r="Z59">
        <f t="shared" si="82"/>
        <v>0.01</v>
      </c>
      <c r="AA59">
        <f t="shared" si="83"/>
        <v>-2</v>
      </c>
      <c r="AC59" t="s">
        <v>32</v>
      </c>
      <c r="AD59" t="s">
        <v>28</v>
      </c>
      <c r="AE59" t="s">
        <v>10</v>
      </c>
      <c r="AF59">
        <v>343.64261168384877</v>
      </c>
      <c r="AG59">
        <f t="shared" si="51"/>
        <v>2.9100000000000003E-3</v>
      </c>
      <c r="AH59">
        <v>0.62</v>
      </c>
      <c r="AI59">
        <f t="shared" si="52"/>
        <v>-0.20760831050174613</v>
      </c>
      <c r="AL59" t="s">
        <v>29</v>
      </c>
      <c r="AM59" t="s">
        <v>16</v>
      </c>
      <c r="AN59" t="s">
        <v>15</v>
      </c>
      <c r="AP59" s="1"/>
      <c r="AQ59">
        <v>375</v>
      </c>
      <c r="AR59">
        <f t="shared" si="53"/>
        <v>375000000</v>
      </c>
      <c r="AS59">
        <f t="shared" si="54"/>
        <v>8.5740312677277188</v>
      </c>
      <c r="AU59" s="1">
        <v>375000000</v>
      </c>
      <c r="AW59">
        <f t="shared" si="87"/>
        <v>958.58525599999984</v>
      </c>
      <c r="AX59">
        <f t="shared" si="55"/>
        <v>9.5858525599999981E-28</v>
      </c>
      <c r="AY59">
        <f t="shared" si="56"/>
        <v>-27.018369255176367</v>
      </c>
      <c r="AZ59">
        <f t="shared" si="88"/>
        <v>6</v>
      </c>
      <c r="BA59">
        <f t="shared" si="57"/>
        <v>0.77815125038364363</v>
      </c>
      <c r="BB59">
        <f t="shared" si="89"/>
        <v>2.2354694485842028E-2</v>
      </c>
      <c r="BC59">
        <f t="shared" si="58"/>
        <v>-1.6506312611133107</v>
      </c>
      <c r="BE59">
        <f t="shared" si="84"/>
        <v>823</v>
      </c>
      <c r="BF59">
        <f t="shared" si="59"/>
        <v>1.215066828675577E-3</v>
      </c>
      <c r="BG59">
        <f t="shared" si="85"/>
        <v>1209600</v>
      </c>
      <c r="BH59">
        <f t="shared" si="60"/>
        <v>6.0826417781571314</v>
      </c>
      <c r="BI59" s="1">
        <v>7.9500000000000003E-4</v>
      </c>
      <c r="BJ59">
        <f t="shared" si="61"/>
        <v>-3.0996328713435295</v>
      </c>
      <c r="BK59">
        <v>10</v>
      </c>
      <c r="BL59">
        <f t="shared" si="62"/>
        <v>0.01</v>
      </c>
      <c r="BM59">
        <f t="shared" si="63"/>
        <v>-2</v>
      </c>
      <c r="BN59">
        <v>1.6</v>
      </c>
      <c r="BO59">
        <f t="shared" si="64"/>
        <v>0.20411998265592479</v>
      </c>
      <c r="BQ59">
        <v>86</v>
      </c>
      <c r="BR59">
        <f t="shared" si="65"/>
        <v>1.3760000000000001</v>
      </c>
      <c r="BS59">
        <f t="shared" si="66"/>
        <v>0.13861843389949255</v>
      </c>
      <c r="BV59">
        <f>EXP(1.4)/1000</f>
        <v>4.0551999668446744E-3</v>
      </c>
      <c r="BW59" s="1">
        <f t="shared" si="67"/>
        <v>-2.3919877253354476</v>
      </c>
      <c r="CB59" t="e">
        <f>#REF!+#REF!*AG59+#REF!*BC59+#REF!*AY59</f>
        <v>#REF!</v>
      </c>
      <c r="CD59" s="1" t="e">
        <f t="shared" si="86"/>
        <v>#REF!</v>
      </c>
    </row>
    <row r="60" spans="1:82" ht="16.5" customHeight="1" x14ac:dyDescent="0.25">
      <c r="A60" s="3" t="s">
        <v>61</v>
      </c>
      <c r="B60" t="s">
        <v>30</v>
      </c>
      <c r="C60" t="s">
        <v>32</v>
      </c>
      <c r="E60">
        <v>0.62</v>
      </c>
      <c r="F60">
        <f t="shared" si="68"/>
        <v>-0.20760831050174613</v>
      </c>
      <c r="G60">
        <f t="shared" si="69"/>
        <v>1.631578947368421</v>
      </c>
      <c r="H60">
        <f t="shared" si="70"/>
        <v>0.21260809288144372</v>
      </c>
      <c r="I60">
        <f t="shared" si="71"/>
        <v>0.38</v>
      </c>
      <c r="J60">
        <f t="shared" si="72"/>
        <v>-0.42021640338318983</v>
      </c>
      <c r="K60">
        <f t="shared" si="73"/>
        <v>0.61290322580645162</v>
      </c>
      <c r="L60">
        <f t="shared" si="74"/>
        <v>-0.21260809288144372</v>
      </c>
      <c r="M60">
        <v>0.01</v>
      </c>
      <c r="N60">
        <f t="shared" si="75"/>
        <v>-2</v>
      </c>
      <c r="O60">
        <f t="shared" si="76"/>
        <v>1.0101010101010102E-2</v>
      </c>
      <c r="P60">
        <f t="shared" si="77"/>
        <v>-1.9956351945975499</v>
      </c>
      <c r="Q60">
        <f t="shared" si="78"/>
        <v>1.0186757215619693</v>
      </c>
      <c r="R60">
        <f t="shared" si="79"/>
        <v>8.0359555965419244E-3</v>
      </c>
      <c r="U60">
        <f t="shared" si="80"/>
        <v>0.21260809288144372</v>
      </c>
      <c r="Y60">
        <f t="shared" si="81"/>
        <v>-0.20760831050174613</v>
      </c>
      <c r="Z60">
        <f t="shared" si="82"/>
        <v>0.01</v>
      </c>
      <c r="AA60">
        <f t="shared" si="83"/>
        <v>-2</v>
      </c>
      <c r="AC60" t="s">
        <v>32</v>
      </c>
      <c r="AD60" t="s">
        <v>28</v>
      </c>
      <c r="AE60" t="s">
        <v>10</v>
      </c>
      <c r="AF60">
        <v>353.35689045936397</v>
      </c>
      <c r="AG60">
        <f t="shared" si="51"/>
        <v>2.8300000000000001E-3</v>
      </c>
      <c r="AH60">
        <v>0.62</v>
      </c>
      <c r="AI60">
        <f t="shared" si="52"/>
        <v>-0.20760831050174613</v>
      </c>
      <c r="AL60" t="s">
        <v>29</v>
      </c>
      <c r="AM60" t="s">
        <v>16</v>
      </c>
      <c r="AN60" t="s">
        <v>15</v>
      </c>
      <c r="AP60" s="1"/>
      <c r="AQ60">
        <v>375</v>
      </c>
      <c r="AR60">
        <f t="shared" si="53"/>
        <v>375000000</v>
      </c>
      <c r="AS60">
        <f t="shared" si="54"/>
        <v>8.5740312677277188</v>
      </c>
      <c r="AU60" s="1">
        <v>375000000</v>
      </c>
      <c r="AW60">
        <f t="shared" si="87"/>
        <v>958.58525599999984</v>
      </c>
      <c r="AX60">
        <f t="shared" si="55"/>
        <v>9.5858525599999981E-28</v>
      </c>
      <c r="AY60">
        <f t="shared" si="56"/>
        <v>-27.018369255176367</v>
      </c>
      <c r="AZ60">
        <f t="shared" si="88"/>
        <v>6</v>
      </c>
      <c r="BA60">
        <f t="shared" si="57"/>
        <v>0.77815125038364363</v>
      </c>
      <c r="BB60">
        <f t="shared" si="89"/>
        <v>2.2354694485842028E-2</v>
      </c>
      <c r="BC60">
        <f t="shared" si="58"/>
        <v>-1.6506312611133107</v>
      </c>
      <c r="BE60">
        <f t="shared" si="84"/>
        <v>823</v>
      </c>
      <c r="BF60">
        <f t="shared" si="59"/>
        <v>1.215066828675577E-3</v>
      </c>
      <c r="BG60">
        <f t="shared" si="85"/>
        <v>1209600</v>
      </c>
      <c r="BH60">
        <f t="shared" si="60"/>
        <v>6.0826417781571314</v>
      </c>
      <c r="BI60" s="1">
        <v>7.9500000000000003E-4</v>
      </c>
      <c r="BJ60">
        <f t="shared" si="61"/>
        <v>-3.0996328713435295</v>
      </c>
      <c r="BK60">
        <v>10</v>
      </c>
      <c r="BL60">
        <f t="shared" si="62"/>
        <v>0.01</v>
      </c>
      <c r="BM60">
        <f t="shared" si="63"/>
        <v>-2</v>
      </c>
      <c r="BN60">
        <v>1.6</v>
      </c>
      <c r="BO60">
        <f t="shared" si="64"/>
        <v>0.20411998265592479</v>
      </c>
      <c r="BQ60">
        <v>86</v>
      </c>
      <c r="BR60">
        <f t="shared" si="65"/>
        <v>1.3760000000000001</v>
      </c>
      <c r="BS60">
        <f t="shared" si="66"/>
        <v>0.13861843389949255</v>
      </c>
      <c r="BV60">
        <f>EXP(1.6)/1000</f>
        <v>4.953032424395115E-3</v>
      </c>
      <c r="BW60" s="1">
        <f t="shared" si="67"/>
        <v>-2.3051288289547971</v>
      </c>
      <c r="CB60" t="e">
        <f>#REF!+#REF!*AG60+#REF!*BC60+#REF!*AY60</f>
        <v>#REF!</v>
      </c>
      <c r="CD60" s="1" t="e">
        <f t="shared" si="86"/>
        <v>#REF!</v>
      </c>
    </row>
    <row r="61" spans="1:82" ht="16.5" customHeight="1" x14ac:dyDescent="0.25">
      <c r="A61" s="3" t="s">
        <v>61</v>
      </c>
      <c r="B61" t="s">
        <v>30</v>
      </c>
      <c r="C61" t="s">
        <v>32</v>
      </c>
      <c r="E61">
        <v>0.62</v>
      </c>
      <c r="F61">
        <f t="shared" si="68"/>
        <v>-0.20760831050174613</v>
      </c>
      <c r="G61">
        <f t="shared" si="69"/>
        <v>1.631578947368421</v>
      </c>
      <c r="H61">
        <f t="shared" si="70"/>
        <v>0.21260809288144372</v>
      </c>
      <c r="I61">
        <f t="shared" si="71"/>
        <v>0.38</v>
      </c>
      <c r="J61">
        <f t="shared" si="72"/>
        <v>-0.42021640338318983</v>
      </c>
      <c r="K61">
        <f t="shared" si="73"/>
        <v>0.61290322580645162</v>
      </c>
      <c r="L61">
        <f t="shared" si="74"/>
        <v>-0.21260809288144372</v>
      </c>
      <c r="M61">
        <v>0.01</v>
      </c>
      <c r="N61">
        <f t="shared" si="75"/>
        <v>-2</v>
      </c>
      <c r="O61">
        <f t="shared" si="76"/>
        <v>1.0101010101010102E-2</v>
      </c>
      <c r="P61">
        <f t="shared" si="77"/>
        <v>-1.9956351945975499</v>
      </c>
      <c r="Q61">
        <f t="shared" si="78"/>
        <v>1.0186757215619693</v>
      </c>
      <c r="R61">
        <f t="shared" si="79"/>
        <v>8.0359555965419244E-3</v>
      </c>
      <c r="U61">
        <f t="shared" si="80"/>
        <v>0.21260809288144372</v>
      </c>
      <c r="Y61">
        <f t="shared" si="81"/>
        <v>-0.20760831050174613</v>
      </c>
      <c r="Z61">
        <f t="shared" si="82"/>
        <v>0.01</v>
      </c>
      <c r="AA61">
        <f t="shared" si="83"/>
        <v>-2</v>
      </c>
      <c r="AC61" t="s">
        <v>32</v>
      </c>
      <c r="AD61" t="s">
        <v>28</v>
      </c>
      <c r="AE61" t="s">
        <v>10</v>
      </c>
      <c r="AF61">
        <v>363.63636363636363</v>
      </c>
      <c r="AG61">
        <f t="shared" si="51"/>
        <v>2.7500000000000003E-3</v>
      </c>
      <c r="AH61">
        <v>0.62</v>
      </c>
      <c r="AI61">
        <f t="shared" si="52"/>
        <v>-0.20760831050174613</v>
      </c>
      <c r="AL61" t="s">
        <v>29</v>
      </c>
      <c r="AM61" t="s">
        <v>16</v>
      </c>
      <c r="AN61" t="s">
        <v>15</v>
      </c>
      <c r="AP61" s="1"/>
      <c r="AQ61">
        <v>375</v>
      </c>
      <c r="AR61">
        <f t="shared" si="53"/>
        <v>375000000</v>
      </c>
      <c r="AS61">
        <f t="shared" si="54"/>
        <v>8.5740312677277188</v>
      </c>
      <c r="AU61" s="1">
        <v>375000000</v>
      </c>
      <c r="AW61">
        <f t="shared" si="87"/>
        <v>958.58525599999984</v>
      </c>
      <c r="AX61">
        <f t="shared" si="55"/>
        <v>9.5858525599999981E-28</v>
      </c>
      <c r="AY61">
        <f t="shared" si="56"/>
        <v>-27.018369255176367</v>
      </c>
      <c r="AZ61">
        <f t="shared" si="88"/>
        <v>6</v>
      </c>
      <c r="BA61">
        <f t="shared" si="57"/>
        <v>0.77815125038364363</v>
      </c>
      <c r="BB61">
        <f t="shared" si="89"/>
        <v>2.2354694485842028E-2</v>
      </c>
      <c r="BC61">
        <f t="shared" si="58"/>
        <v>-1.6506312611133107</v>
      </c>
      <c r="BE61">
        <f t="shared" si="84"/>
        <v>823</v>
      </c>
      <c r="BF61">
        <f t="shared" si="59"/>
        <v>1.215066828675577E-3</v>
      </c>
      <c r="BG61">
        <f t="shared" si="85"/>
        <v>1209600</v>
      </c>
      <c r="BH61">
        <f t="shared" si="60"/>
        <v>6.0826417781571314</v>
      </c>
      <c r="BI61" s="1">
        <v>7.9500000000000003E-4</v>
      </c>
      <c r="BJ61">
        <f t="shared" si="61"/>
        <v>-3.0996328713435295</v>
      </c>
      <c r="BK61">
        <v>10</v>
      </c>
      <c r="BL61">
        <f t="shared" si="62"/>
        <v>0.01</v>
      </c>
      <c r="BM61">
        <f t="shared" si="63"/>
        <v>-2</v>
      </c>
      <c r="BN61">
        <v>1.6</v>
      </c>
      <c r="BO61">
        <f t="shared" si="64"/>
        <v>0.20411998265592479</v>
      </c>
      <c r="BQ61">
        <v>86</v>
      </c>
      <c r="BR61">
        <f t="shared" si="65"/>
        <v>1.3760000000000001</v>
      </c>
      <c r="BS61">
        <f t="shared" si="66"/>
        <v>0.13861843389949255</v>
      </c>
      <c r="BV61">
        <f>EXP(1.95)/1000</f>
        <v>7.0286875805892924E-3</v>
      </c>
      <c r="BW61" s="1">
        <f t="shared" si="67"/>
        <v>-2.1531257602886589</v>
      </c>
      <c r="CB61" t="e">
        <f>#REF!+#REF!*AG61+#REF!*BC61+#REF!*AY61</f>
        <v>#REF!</v>
      </c>
      <c r="CD61" s="1" t="e">
        <f t="shared" si="86"/>
        <v>#REF!</v>
      </c>
    </row>
    <row r="62" spans="1:82" ht="16.5" customHeight="1" x14ac:dyDescent="0.25">
      <c r="A62" s="3" t="s">
        <v>61</v>
      </c>
      <c r="B62" t="s">
        <v>30</v>
      </c>
      <c r="C62" t="s">
        <v>33</v>
      </c>
      <c r="E62">
        <v>0.16</v>
      </c>
      <c r="F62">
        <f t="shared" si="68"/>
        <v>-0.79588001734407521</v>
      </c>
      <c r="G62">
        <f t="shared" si="69"/>
        <v>0.19047619047619049</v>
      </c>
      <c r="H62">
        <f t="shared" si="70"/>
        <v>-0.7201593034059568</v>
      </c>
      <c r="I62">
        <f t="shared" si="71"/>
        <v>0.84</v>
      </c>
      <c r="J62">
        <f t="shared" si="72"/>
        <v>-7.5720713938118356E-2</v>
      </c>
      <c r="K62">
        <f t="shared" si="73"/>
        <v>5.2499999999999991</v>
      </c>
      <c r="L62">
        <f t="shared" si="74"/>
        <v>0.7201593034059568</v>
      </c>
      <c r="M62">
        <v>0.01</v>
      </c>
      <c r="N62">
        <f t="shared" si="75"/>
        <v>-2</v>
      </c>
      <c r="O62">
        <f t="shared" si="76"/>
        <v>1.0101010101010102E-2</v>
      </c>
      <c r="P62">
        <f t="shared" si="77"/>
        <v>-1.9956351945975499</v>
      </c>
      <c r="Q62">
        <f t="shared" si="78"/>
        <v>5.0595238095238084</v>
      </c>
      <c r="R62">
        <f t="shared" si="79"/>
        <v>0.70410964398842979</v>
      </c>
      <c r="U62">
        <f t="shared" si="80"/>
        <v>-0.7201593034059568</v>
      </c>
      <c r="Y62">
        <f t="shared" si="81"/>
        <v>-0.79588001734407521</v>
      </c>
      <c r="Z62">
        <f t="shared" si="82"/>
        <v>0.01</v>
      </c>
      <c r="AA62">
        <f t="shared" si="83"/>
        <v>-2</v>
      </c>
      <c r="AC62" t="s">
        <v>33</v>
      </c>
      <c r="AD62" t="s">
        <v>28</v>
      </c>
      <c r="AE62" t="s">
        <v>10</v>
      </c>
      <c r="AF62">
        <v>253.1645569620253</v>
      </c>
      <c r="AG62">
        <f t="shared" si="51"/>
        <v>3.9500000000000004E-3</v>
      </c>
      <c r="AH62">
        <v>0.16</v>
      </c>
      <c r="AI62">
        <f t="shared" si="52"/>
        <v>-0.79588001734407521</v>
      </c>
      <c r="AL62" t="s">
        <v>29</v>
      </c>
      <c r="AM62" t="s">
        <v>16</v>
      </c>
      <c r="AN62" t="s">
        <v>15</v>
      </c>
      <c r="AP62" s="1"/>
      <c r="AQ62">
        <v>375</v>
      </c>
      <c r="AR62">
        <f t="shared" si="53"/>
        <v>375000000</v>
      </c>
      <c r="AS62">
        <f t="shared" si="54"/>
        <v>8.5740312677277188</v>
      </c>
      <c r="AU62" s="1">
        <v>375000000</v>
      </c>
      <c r="AW62">
        <f>10.05^3</f>
        <v>1015.0751250000002</v>
      </c>
      <c r="AX62">
        <f t="shared" si="55"/>
        <v>1.0150751250000001E-27</v>
      </c>
      <c r="AY62">
        <f t="shared" si="56"/>
        <v>-26.993501814730475</v>
      </c>
      <c r="AZ62">
        <f>6/1</f>
        <v>6</v>
      </c>
      <c r="BA62">
        <f t="shared" si="57"/>
        <v>0.77815125038364363</v>
      </c>
      <c r="BB62">
        <f>6/324.55</f>
        <v>1.848713603450932E-2</v>
      </c>
      <c r="BC62">
        <f t="shared" si="58"/>
        <v>-1.7331303630834989</v>
      </c>
      <c r="BE62">
        <f t="shared" si="84"/>
        <v>823</v>
      </c>
      <c r="BF62">
        <f t="shared" si="59"/>
        <v>1.215066828675577E-3</v>
      </c>
      <c r="BG62">
        <f t="shared" si="85"/>
        <v>1209600</v>
      </c>
      <c r="BH62">
        <f t="shared" si="60"/>
        <v>6.0826417781571314</v>
      </c>
      <c r="BI62" s="1">
        <v>7.0799999999999997E-4</v>
      </c>
      <c r="BJ62">
        <f t="shared" si="61"/>
        <v>-3.1499667423102311</v>
      </c>
      <c r="BK62">
        <v>10</v>
      </c>
      <c r="BL62">
        <f t="shared" si="62"/>
        <v>0.01</v>
      </c>
      <c r="BM62">
        <f t="shared" si="63"/>
        <v>-2</v>
      </c>
      <c r="BN62">
        <v>1.8</v>
      </c>
      <c r="BO62">
        <f t="shared" si="64"/>
        <v>0.25527250510330607</v>
      </c>
      <c r="BQ62">
        <v>85</v>
      </c>
      <c r="BR62">
        <f t="shared" si="65"/>
        <v>1.53</v>
      </c>
      <c r="BS62">
        <f t="shared" si="66"/>
        <v>0.18469143081759881</v>
      </c>
      <c r="BV62">
        <f>EXP(-5.05)/1000</f>
        <v>6.4093334462563835E-6</v>
      </c>
      <c r="BW62" s="1">
        <f t="shared" si="67"/>
        <v>-5.1931871336114215</v>
      </c>
      <c r="CB62" t="e">
        <f>#REF!+#REF!*AG62+#REF!*BC62+#REF!*AY62</f>
        <v>#REF!</v>
      </c>
      <c r="CD62" s="1" t="e">
        <f t="shared" si="86"/>
        <v>#REF!</v>
      </c>
    </row>
    <row r="63" spans="1:82" ht="16.5" customHeight="1" x14ac:dyDescent="0.25">
      <c r="A63" s="3" t="s">
        <v>61</v>
      </c>
      <c r="B63" t="s">
        <v>30</v>
      </c>
      <c r="C63" t="s">
        <v>33</v>
      </c>
      <c r="E63">
        <v>0.16</v>
      </c>
      <c r="F63">
        <f t="shared" si="68"/>
        <v>-0.79588001734407521</v>
      </c>
      <c r="G63">
        <f t="shared" si="69"/>
        <v>0.19047619047619049</v>
      </c>
      <c r="H63">
        <f t="shared" si="70"/>
        <v>-0.7201593034059568</v>
      </c>
      <c r="I63">
        <f t="shared" si="71"/>
        <v>0.84</v>
      </c>
      <c r="J63">
        <f t="shared" si="72"/>
        <v>-7.5720713938118356E-2</v>
      </c>
      <c r="K63">
        <f t="shared" si="73"/>
        <v>5.2499999999999991</v>
      </c>
      <c r="L63">
        <f t="shared" si="74"/>
        <v>0.7201593034059568</v>
      </c>
      <c r="M63">
        <v>0.01</v>
      </c>
      <c r="N63">
        <f t="shared" si="75"/>
        <v>-2</v>
      </c>
      <c r="O63">
        <f t="shared" si="76"/>
        <v>1.0101010101010102E-2</v>
      </c>
      <c r="P63">
        <f t="shared" si="77"/>
        <v>-1.9956351945975499</v>
      </c>
      <c r="Q63">
        <f t="shared" si="78"/>
        <v>5.0595238095238084</v>
      </c>
      <c r="R63">
        <f t="shared" si="79"/>
        <v>0.70410964398842979</v>
      </c>
      <c r="U63">
        <f t="shared" si="80"/>
        <v>-0.7201593034059568</v>
      </c>
      <c r="Y63">
        <f t="shared" si="81"/>
        <v>-0.79588001734407521</v>
      </c>
      <c r="Z63">
        <f t="shared" si="82"/>
        <v>0.01</v>
      </c>
      <c r="AA63">
        <f t="shared" si="83"/>
        <v>-2</v>
      </c>
      <c r="AC63" t="s">
        <v>33</v>
      </c>
      <c r="AD63" t="s">
        <v>28</v>
      </c>
      <c r="AE63" t="s">
        <v>10</v>
      </c>
      <c r="AF63">
        <v>263.15789473684214</v>
      </c>
      <c r="AG63">
        <f t="shared" si="51"/>
        <v>3.7999999999999996E-3</v>
      </c>
      <c r="AH63">
        <v>0.16</v>
      </c>
      <c r="AI63">
        <f t="shared" si="52"/>
        <v>-0.79588001734407521</v>
      </c>
      <c r="AL63" t="s">
        <v>29</v>
      </c>
      <c r="AM63" t="s">
        <v>16</v>
      </c>
      <c r="AN63" t="s">
        <v>15</v>
      </c>
      <c r="AP63" s="1"/>
      <c r="AQ63">
        <v>375</v>
      </c>
      <c r="AR63">
        <f t="shared" si="53"/>
        <v>375000000</v>
      </c>
      <c r="AS63">
        <f t="shared" si="54"/>
        <v>8.5740312677277188</v>
      </c>
      <c r="AU63" s="1">
        <v>375000000</v>
      </c>
      <c r="AW63">
        <f t="shared" ref="AW63:AW73" si="90">10.05^3</f>
        <v>1015.0751250000002</v>
      </c>
      <c r="AX63">
        <f t="shared" si="55"/>
        <v>1.0150751250000001E-27</v>
      </c>
      <c r="AY63">
        <f t="shared" si="56"/>
        <v>-26.993501814730475</v>
      </c>
      <c r="AZ63">
        <f t="shared" ref="AZ63:AZ73" si="91">6/1</f>
        <v>6</v>
      </c>
      <c r="BA63">
        <f t="shared" si="57"/>
        <v>0.77815125038364363</v>
      </c>
      <c r="BB63">
        <f t="shared" ref="BB63:BB73" si="92">6/324.55</f>
        <v>1.848713603450932E-2</v>
      </c>
      <c r="BC63">
        <f t="shared" si="58"/>
        <v>-1.7331303630834989</v>
      </c>
      <c r="BE63">
        <f t="shared" si="84"/>
        <v>823</v>
      </c>
      <c r="BF63">
        <f t="shared" si="59"/>
        <v>1.215066828675577E-3</v>
      </c>
      <c r="BG63">
        <f t="shared" si="85"/>
        <v>1209600</v>
      </c>
      <c r="BH63">
        <f t="shared" si="60"/>
        <v>6.0826417781571314</v>
      </c>
      <c r="BI63" s="1">
        <v>7.0799999999999997E-4</v>
      </c>
      <c r="BJ63">
        <f t="shared" si="61"/>
        <v>-3.1499667423102311</v>
      </c>
      <c r="BK63">
        <v>10</v>
      </c>
      <c r="BL63">
        <f t="shared" si="62"/>
        <v>0.01</v>
      </c>
      <c r="BM63">
        <f t="shared" si="63"/>
        <v>-2</v>
      </c>
      <c r="BN63">
        <v>1.8</v>
      </c>
      <c r="BO63">
        <f t="shared" si="64"/>
        <v>0.25527250510330607</v>
      </c>
      <c r="BQ63">
        <v>85</v>
      </c>
      <c r="BR63">
        <f t="shared" si="65"/>
        <v>1.53</v>
      </c>
      <c r="BS63">
        <f t="shared" si="66"/>
        <v>0.18469143081759881</v>
      </c>
      <c r="BV63">
        <f>EXP(-4.45)/1000</f>
        <v>1.1678566970395443E-5</v>
      </c>
      <c r="BW63" s="1">
        <f t="shared" si="67"/>
        <v>-4.9326104444694705</v>
      </c>
      <c r="CB63" t="e">
        <f>#REF!+#REF!*AG63+#REF!*BC63+#REF!*AY63</f>
        <v>#REF!</v>
      </c>
      <c r="CD63" s="1" t="e">
        <f t="shared" si="86"/>
        <v>#REF!</v>
      </c>
    </row>
    <row r="64" spans="1:82" ht="16.5" customHeight="1" x14ac:dyDescent="0.25">
      <c r="A64" s="3" t="s">
        <v>61</v>
      </c>
      <c r="B64" t="s">
        <v>30</v>
      </c>
      <c r="C64" t="s">
        <v>33</v>
      </c>
      <c r="E64">
        <v>0.16</v>
      </c>
      <c r="F64">
        <f t="shared" si="68"/>
        <v>-0.79588001734407521</v>
      </c>
      <c r="G64">
        <f t="shared" si="69"/>
        <v>0.19047619047619049</v>
      </c>
      <c r="H64">
        <f t="shared" si="70"/>
        <v>-0.7201593034059568</v>
      </c>
      <c r="I64">
        <f t="shared" si="71"/>
        <v>0.84</v>
      </c>
      <c r="J64">
        <f t="shared" si="72"/>
        <v>-7.5720713938118356E-2</v>
      </c>
      <c r="K64">
        <f t="shared" si="73"/>
        <v>5.2499999999999991</v>
      </c>
      <c r="L64">
        <f t="shared" si="74"/>
        <v>0.7201593034059568</v>
      </c>
      <c r="M64">
        <v>0.01</v>
      </c>
      <c r="N64">
        <f t="shared" si="75"/>
        <v>-2</v>
      </c>
      <c r="O64">
        <f t="shared" si="76"/>
        <v>1.0101010101010102E-2</v>
      </c>
      <c r="P64">
        <f t="shared" si="77"/>
        <v>-1.9956351945975499</v>
      </c>
      <c r="Q64">
        <f t="shared" si="78"/>
        <v>5.0595238095238084</v>
      </c>
      <c r="R64">
        <f t="shared" si="79"/>
        <v>0.70410964398842979</v>
      </c>
      <c r="U64">
        <f t="shared" si="80"/>
        <v>-0.7201593034059568</v>
      </c>
      <c r="Y64">
        <f t="shared" si="81"/>
        <v>-0.79588001734407521</v>
      </c>
      <c r="Z64">
        <f t="shared" si="82"/>
        <v>0.01</v>
      </c>
      <c r="AA64">
        <f t="shared" si="83"/>
        <v>-2</v>
      </c>
      <c r="AC64" t="s">
        <v>33</v>
      </c>
      <c r="AD64" t="s">
        <v>28</v>
      </c>
      <c r="AE64" t="s">
        <v>10</v>
      </c>
      <c r="AF64">
        <v>273.22404371584696</v>
      </c>
      <c r="AG64">
        <f t="shared" si="51"/>
        <v>3.6600000000000005E-3</v>
      </c>
      <c r="AH64">
        <v>0.16</v>
      </c>
      <c r="AI64">
        <f t="shared" si="52"/>
        <v>-0.79588001734407521</v>
      </c>
      <c r="AL64" t="s">
        <v>29</v>
      </c>
      <c r="AM64" t="s">
        <v>16</v>
      </c>
      <c r="AN64" t="s">
        <v>15</v>
      </c>
      <c r="AP64" s="1"/>
      <c r="AQ64">
        <v>375</v>
      </c>
      <c r="AR64">
        <f t="shared" si="53"/>
        <v>375000000</v>
      </c>
      <c r="AS64">
        <f t="shared" si="54"/>
        <v>8.5740312677277188</v>
      </c>
      <c r="AU64" s="1">
        <v>375000000</v>
      </c>
      <c r="AW64">
        <f t="shared" si="90"/>
        <v>1015.0751250000002</v>
      </c>
      <c r="AX64">
        <f t="shared" si="55"/>
        <v>1.0150751250000001E-27</v>
      </c>
      <c r="AY64">
        <f t="shared" si="56"/>
        <v>-26.993501814730475</v>
      </c>
      <c r="AZ64">
        <f t="shared" si="91"/>
        <v>6</v>
      </c>
      <c r="BA64">
        <f t="shared" si="57"/>
        <v>0.77815125038364363</v>
      </c>
      <c r="BB64">
        <f t="shared" si="92"/>
        <v>1.848713603450932E-2</v>
      </c>
      <c r="BC64">
        <f t="shared" si="58"/>
        <v>-1.7331303630834989</v>
      </c>
      <c r="BE64">
        <f t="shared" si="84"/>
        <v>823</v>
      </c>
      <c r="BF64">
        <f t="shared" si="59"/>
        <v>1.215066828675577E-3</v>
      </c>
      <c r="BG64">
        <f t="shared" si="85"/>
        <v>1209600</v>
      </c>
      <c r="BH64">
        <f t="shared" si="60"/>
        <v>6.0826417781571314</v>
      </c>
      <c r="BI64" s="1">
        <v>7.0799999999999997E-4</v>
      </c>
      <c r="BJ64">
        <f t="shared" si="61"/>
        <v>-3.1499667423102311</v>
      </c>
      <c r="BK64">
        <v>10</v>
      </c>
      <c r="BL64">
        <f t="shared" si="62"/>
        <v>0.01</v>
      </c>
      <c r="BM64">
        <f t="shared" si="63"/>
        <v>-2</v>
      </c>
      <c r="BN64">
        <v>1.8</v>
      </c>
      <c r="BO64">
        <f t="shared" si="64"/>
        <v>0.25527250510330607</v>
      </c>
      <c r="BQ64">
        <v>85</v>
      </c>
      <c r="BR64">
        <f t="shared" si="65"/>
        <v>1.53</v>
      </c>
      <c r="BS64">
        <f t="shared" si="66"/>
        <v>0.18469143081759881</v>
      </c>
      <c r="BV64">
        <f>EXP(-3.8)/1000</f>
        <v>2.2370771856165602E-5</v>
      </c>
      <c r="BW64" s="1">
        <f t="shared" si="67"/>
        <v>-4.6503190312323568</v>
      </c>
      <c r="CB64" t="e">
        <f>#REF!+#REF!*AG64+#REF!*BC64+#REF!*AY64</f>
        <v>#REF!</v>
      </c>
      <c r="CD64" s="1" t="e">
        <f t="shared" si="86"/>
        <v>#REF!</v>
      </c>
    </row>
    <row r="65" spans="1:82" ht="16.5" customHeight="1" x14ac:dyDescent="0.25">
      <c r="A65" s="3" t="s">
        <v>61</v>
      </c>
      <c r="B65" t="s">
        <v>30</v>
      </c>
      <c r="C65" t="s">
        <v>33</v>
      </c>
      <c r="E65">
        <v>0.16</v>
      </c>
      <c r="F65">
        <f t="shared" si="68"/>
        <v>-0.79588001734407521</v>
      </c>
      <c r="G65">
        <f t="shared" si="69"/>
        <v>0.19047619047619049</v>
      </c>
      <c r="H65">
        <f t="shared" si="70"/>
        <v>-0.7201593034059568</v>
      </c>
      <c r="I65">
        <f t="shared" si="71"/>
        <v>0.84</v>
      </c>
      <c r="J65">
        <f t="shared" si="72"/>
        <v>-7.5720713938118356E-2</v>
      </c>
      <c r="K65">
        <f t="shared" si="73"/>
        <v>5.2499999999999991</v>
      </c>
      <c r="L65">
        <f t="shared" si="74"/>
        <v>0.7201593034059568</v>
      </c>
      <c r="M65">
        <v>0.01</v>
      </c>
      <c r="N65">
        <f t="shared" si="75"/>
        <v>-2</v>
      </c>
      <c r="O65">
        <f t="shared" si="76"/>
        <v>1.0101010101010102E-2</v>
      </c>
      <c r="P65">
        <f t="shared" si="77"/>
        <v>-1.9956351945975499</v>
      </c>
      <c r="Q65">
        <f t="shared" si="78"/>
        <v>5.0595238095238084</v>
      </c>
      <c r="R65">
        <f t="shared" si="79"/>
        <v>0.70410964398842979</v>
      </c>
      <c r="U65">
        <f t="shared" si="80"/>
        <v>-0.7201593034059568</v>
      </c>
      <c r="Y65">
        <f t="shared" si="81"/>
        <v>-0.79588001734407521</v>
      </c>
      <c r="Z65">
        <f t="shared" si="82"/>
        <v>0.01</v>
      </c>
      <c r="AA65">
        <f t="shared" si="83"/>
        <v>-2</v>
      </c>
      <c r="AC65" t="s">
        <v>33</v>
      </c>
      <c r="AD65" t="s">
        <v>28</v>
      </c>
      <c r="AE65" t="s">
        <v>10</v>
      </c>
      <c r="AF65">
        <v>283.28611898016999</v>
      </c>
      <c r="AG65">
        <f t="shared" si="51"/>
        <v>3.5299999999999997E-3</v>
      </c>
      <c r="AH65">
        <v>0.16</v>
      </c>
      <c r="AI65">
        <f t="shared" si="52"/>
        <v>-0.79588001734407521</v>
      </c>
      <c r="AL65" t="s">
        <v>29</v>
      </c>
      <c r="AM65" t="s">
        <v>16</v>
      </c>
      <c r="AN65" t="s">
        <v>15</v>
      </c>
      <c r="AP65" s="1"/>
      <c r="AQ65">
        <v>375</v>
      </c>
      <c r="AR65">
        <f t="shared" si="53"/>
        <v>375000000</v>
      </c>
      <c r="AS65">
        <f t="shared" si="54"/>
        <v>8.5740312677277188</v>
      </c>
      <c r="AU65" s="1">
        <v>375000000</v>
      </c>
      <c r="AW65">
        <f t="shared" si="90"/>
        <v>1015.0751250000002</v>
      </c>
      <c r="AX65">
        <f t="shared" si="55"/>
        <v>1.0150751250000001E-27</v>
      </c>
      <c r="AY65">
        <f t="shared" si="56"/>
        <v>-26.993501814730475</v>
      </c>
      <c r="AZ65">
        <f t="shared" si="91"/>
        <v>6</v>
      </c>
      <c r="BA65">
        <f t="shared" si="57"/>
        <v>0.77815125038364363</v>
      </c>
      <c r="BB65">
        <f t="shared" si="92"/>
        <v>1.848713603450932E-2</v>
      </c>
      <c r="BC65">
        <f t="shared" si="58"/>
        <v>-1.7331303630834989</v>
      </c>
      <c r="BE65">
        <f t="shared" si="84"/>
        <v>823</v>
      </c>
      <c r="BF65">
        <f t="shared" si="59"/>
        <v>1.215066828675577E-3</v>
      </c>
      <c r="BG65">
        <f t="shared" si="85"/>
        <v>1209600</v>
      </c>
      <c r="BH65">
        <f t="shared" si="60"/>
        <v>6.0826417781571314</v>
      </c>
      <c r="BI65" s="1">
        <v>7.0799999999999997E-4</v>
      </c>
      <c r="BJ65">
        <f t="shared" si="61"/>
        <v>-3.1499667423102311</v>
      </c>
      <c r="BK65">
        <v>10</v>
      </c>
      <c r="BL65">
        <f t="shared" si="62"/>
        <v>0.01</v>
      </c>
      <c r="BM65">
        <f t="shared" si="63"/>
        <v>-2</v>
      </c>
      <c r="BN65">
        <v>1.8</v>
      </c>
      <c r="BO65">
        <f t="shared" si="64"/>
        <v>0.25527250510330607</v>
      </c>
      <c r="BQ65">
        <v>85</v>
      </c>
      <c r="BR65">
        <f t="shared" si="65"/>
        <v>1.53</v>
      </c>
      <c r="BS65">
        <f t="shared" si="66"/>
        <v>0.18469143081759881</v>
      </c>
      <c r="BV65">
        <f>EXP(-3.3)/1000</f>
        <v>3.6883167401240018E-5</v>
      </c>
      <c r="BW65" s="1">
        <f t="shared" si="67"/>
        <v>-4.4331717902807313</v>
      </c>
      <c r="CB65" t="e">
        <f>#REF!+#REF!*AG65+#REF!*BC65+#REF!*AY65</f>
        <v>#REF!</v>
      </c>
      <c r="CD65" s="1" t="e">
        <f t="shared" si="86"/>
        <v>#REF!</v>
      </c>
    </row>
    <row r="66" spans="1:82" ht="16.5" customHeight="1" x14ac:dyDescent="0.25">
      <c r="A66" s="3" t="s">
        <v>61</v>
      </c>
      <c r="B66" t="s">
        <v>30</v>
      </c>
      <c r="C66" t="s">
        <v>33</v>
      </c>
      <c r="E66">
        <v>0.16</v>
      </c>
      <c r="F66">
        <f t="shared" si="68"/>
        <v>-0.79588001734407521</v>
      </c>
      <c r="G66">
        <f t="shared" si="69"/>
        <v>0.19047619047619049</v>
      </c>
      <c r="H66">
        <f t="shared" si="70"/>
        <v>-0.7201593034059568</v>
      </c>
      <c r="I66">
        <f t="shared" si="71"/>
        <v>0.84</v>
      </c>
      <c r="J66">
        <f t="shared" si="72"/>
        <v>-7.5720713938118356E-2</v>
      </c>
      <c r="K66">
        <f t="shared" si="73"/>
        <v>5.2499999999999991</v>
      </c>
      <c r="L66">
        <f t="shared" si="74"/>
        <v>0.7201593034059568</v>
      </c>
      <c r="M66">
        <v>0.01</v>
      </c>
      <c r="N66">
        <f t="shared" si="75"/>
        <v>-2</v>
      </c>
      <c r="O66">
        <f t="shared" si="76"/>
        <v>1.0101010101010102E-2</v>
      </c>
      <c r="P66">
        <f t="shared" si="77"/>
        <v>-1.9956351945975499</v>
      </c>
      <c r="Q66">
        <f t="shared" si="78"/>
        <v>5.0595238095238084</v>
      </c>
      <c r="R66">
        <f t="shared" si="79"/>
        <v>0.70410964398842979</v>
      </c>
      <c r="U66">
        <f t="shared" si="80"/>
        <v>-0.7201593034059568</v>
      </c>
      <c r="Y66">
        <f t="shared" si="81"/>
        <v>-0.79588001734407521</v>
      </c>
      <c r="Z66">
        <f t="shared" si="82"/>
        <v>0.01</v>
      </c>
      <c r="AA66">
        <f t="shared" si="83"/>
        <v>-2</v>
      </c>
      <c r="AC66" t="s">
        <v>33</v>
      </c>
      <c r="AD66" t="s">
        <v>28</v>
      </c>
      <c r="AE66" t="s">
        <v>10</v>
      </c>
      <c r="AF66">
        <v>293.25513196480938</v>
      </c>
      <c r="AG66">
        <f t="shared" si="51"/>
        <v>3.4100000000000003E-3</v>
      </c>
      <c r="AH66">
        <v>0.16</v>
      </c>
      <c r="AI66">
        <f t="shared" si="52"/>
        <v>-0.79588001734407521</v>
      </c>
      <c r="AL66" t="s">
        <v>29</v>
      </c>
      <c r="AM66" t="s">
        <v>16</v>
      </c>
      <c r="AN66" t="s">
        <v>15</v>
      </c>
      <c r="AP66" s="1"/>
      <c r="AQ66">
        <v>375</v>
      </c>
      <c r="AR66">
        <f t="shared" si="53"/>
        <v>375000000</v>
      </c>
      <c r="AS66">
        <f t="shared" si="54"/>
        <v>8.5740312677277188</v>
      </c>
      <c r="AU66" s="1">
        <v>375000000</v>
      </c>
      <c r="AW66">
        <f t="shared" si="90"/>
        <v>1015.0751250000002</v>
      </c>
      <c r="AX66">
        <f t="shared" si="55"/>
        <v>1.0150751250000001E-27</v>
      </c>
      <c r="AY66">
        <f t="shared" si="56"/>
        <v>-26.993501814730475</v>
      </c>
      <c r="AZ66">
        <f t="shared" si="91"/>
        <v>6</v>
      </c>
      <c r="BA66">
        <f t="shared" si="57"/>
        <v>0.77815125038364363</v>
      </c>
      <c r="BB66">
        <f t="shared" si="92"/>
        <v>1.848713603450932E-2</v>
      </c>
      <c r="BC66">
        <f t="shared" si="58"/>
        <v>-1.7331303630834989</v>
      </c>
      <c r="BE66">
        <f t="shared" si="84"/>
        <v>823</v>
      </c>
      <c r="BF66">
        <f t="shared" si="59"/>
        <v>1.215066828675577E-3</v>
      </c>
      <c r="BG66">
        <f t="shared" si="85"/>
        <v>1209600</v>
      </c>
      <c r="BH66">
        <f t="shared" si="60"/>
        <v>6.0826417781571314</v>
      </c>
      <c r="BI66" s="1">
        <v>7.0799999999999997E-4</v>
      </c>
      <c r="BJ66">
        <f t="shared" si="61"/>
        <v>-3.1499667423102311</v>
      </c>
      <c r="BK66">
        <v>10</v>
      </c>
      <c r="BL66">
        <f t="shared" si="62"/>
        <v>0.01</v>
      </c>
      <c r="BM66">
        <f t="shared" si="63"/>
        <v>-2</v>
      </c>
      <c r="BN66">
        <v>1.8</v>
      </c>
      <c r="BO66">
        <f t="shared" si="64"/>
        <v>0.25527250510330607</v>
      </c>
      <c r="BQ66">
        <v>85</v>
      </c>
      <c r="BR66">
        <f t="shared" si="65"/>
        <v>1.53</v>
      </c>
      <c r="BS66">
        <f t="shared" si="66"/>
        <v>0.18469143081759881</v>
      </c>
      <c r="BV66">
        <f>EXP(-2.8)/1000</f>
        <v>6.0810062625217975E-5</v>
      </c>
      <c r="BW66" s="1">
        <f t="shared" si="67"/>
        <v>-4.2160245493291049</v>
      </c>
      <c r="CB66" t="e">
        <f>#REF!+#REF!*AG66+#REF!*BC66+#REF!*AY66</f>
        <v>#REF!</v>
      </c>
      <c r="CD66" s="1" t="e">
        <f t="shared" si="86"/>
        <v>#REF!</v>
      </c>
    </row>
    <row r="67" spans="1:82" ht="16.5" customHeight="1" x14ac:dyDescent="0.25">
      <c r="A67" s="3" t="s">
        <v>61</v>
      </c>
      <c r="B67" t="s">
        <v>30</v>
      </c>
      <c r="C67" t="s">
        <v>33</v>
      </c>
      <c r="E67">
        <v>0.16</v>
      </c>
      <c r="F67">
        <f t="shared" si="68"/>
        <v>-0.79588001734407521</v>
      </c>
      <c r="G67">
        <f t="shared" si="69"/>
        <v>0.19047619047619049</v>
      </c>
      <c r="H67">
        <f t="shared" si="70"/>
        <v>-0.7201593034059568</v>
      </c>
      <c r="I67">
        <f t="shared" si="71"/>
        <v>0.84</v>
      </c>
      <c r="J67">
        <f t="shared" si="72"/>
        <v>-7.5720713938118356E-2</v>
      </c>
      <c r="K67">
        <f t="shared" si="73"/>
        <v>5.2499999999999991</v>
      </c>
      <c r="L67">
        <f t="shared" si="74"/>
        <v>0.7201593034059568</v>
      </c>
      <c r="M67">
        <v>0.01</v>
      </c>
      <c r="N67">
        <f t="shared" si="75"/>
        <v>-2</v>
      </c>
      <c r="O67">
        <f t="shared" si="76"/>
        <v>1.0101010101010102E-2</v>
      </c>
      <c r="P67">
        <f t="shared" si="77"/>
        <v>-1.9956351945975499</v>
      </c>
      <c r="Q67">
        <f t="shared" si="78"/>
        <v>5.0595238095238084</v>
      </c>
      <c r="R67">
        <f t="shared" si="79"/>
        <v>0.70410964398842979</v>
      </c>
      <c r="U67">
        <f t="shared" si="80"/>
        <v>-0.7201593034059568</v>
      </c>
      <c r="Y67">
        <f t="shared" si="81"/>
        <v>-0.79588001734407521</v>
      </c>
      <c r="Z67">
        <f t="shared" si="82"/>
        <v>0.01</v>
      </c>
      <c r="AA67">
        <f t="shared" si="83"/>
        <v>-2</v>
      </c>
      <c r="AC67" t="s">
        <v>33</v>
      </c>
      <c r="AD67" t="s">
        <v>28</v>
      </c>
      <c r="AE67" t="s">
        <v>10</v>
      </c>
      <c r="AF67">
        <v>303.03030303030306</v>
      </c>
      <c r="AG67">
        <f t="shared" si="51"/>
        <v>3.2999999999999995E-3</v>
      </c>
      <c r="AH67">
        <v>0.16</v>
      </c>
      <c r="AI67">
        <f t="shared" si="52"/>
        <v>-0.79588001734407521</v>
      </c>
      <c r="AL67" t="s">
        <v>29</v>
      </c>
      <c r="AM67" t="s">
        <v>16</v>
      </c>
      <c r="AN67" t="s">
        <v>15</v>
      </c>
      <c r="AP67" s="1"/>
      <c r="AQ67">
        <v>375</v>
      </c>
      <c r="AR67">
        <f t="shared" si="53"/>
        <v>375000000</v>
      </c>
      <c r="AS67">
        <f t="shared" si="54"/>
        <v>8.5740312677277188</v>
      </c>
      <c r="AU67" s="1">
        <v>375000000</v>
      </c>
      <c r="AW67">
        <f t="shared" si="90"/>
        <v>1015.0751250000002</v>
      </c>
      <c r="AX67">
        <f t="shared" si="55"/>
        <v>1.0150751250000001E-27</v>
      </c>
      <c r="AY67">
        <f t="shared" si="56"/>
        <v>-26.993501814730475</v>
      </c>
      <c r="AZ67">
        <f t="shared" si="91"/>
        <v>6</v>
      </c>
      <c r="BA67">
        <f t="shared" si="57"/>
        <v>0.77815125038364363</v>
      </c>
      <c r="BB67">
        <f t="shared" si="92"/>
        <v>1.848713603450932E-2</v>
      </c>
      <c r="BC67">
        <f t="shared" si="58"/>
        <v>-1.7331303630834989</v>
      </c>
      <c r="BE67">
        <f t="shared" si="84"/>
        <v>823</v>
      </c>
      <c r="BF67">
        <f t="shared" si="59"/>
        <v>1.215066828675577E-3</v>
      </c>
      <c r="BG67">
        <f t="shared" si="85"/>
        <v>1209600</v>
      </c>
      <c r="BH67">
        <f t="shared" si="60"/>
        <v>6.0826417781571314</v>
      </c>
      <c r="BI67" s="1">
        <v>7.0799999999999997E-4</v>
      </c>
      <c r="BJ67">
        <f t="shared" si="61"/>
        <v>-3.1499667423102311</v>
      </c>
      <c r="BK67">
        <v>10</v>
      </c>
      <c r="BL67">
        <f t="shared" si="62"/>
        <v>0.01</v>
      </c>
      <c r="BM67">
        <f t="shared" si="63"/>
        <v>-2</v>
      </c>
      <c r="BN67">
        <v>1.8</v>
      </c>
      <c r="BO67">
        <f t="shared" si="64"/>
        <v>0.25527250510330607</v>
      </c>
      <c r="BQ67">
        <v>85</v>
      </c>
      <c r="BR67">
        <f t="shared" si="65"/>
        <v>1.53</v>
      </c>
      <c r="BS67">
        <f t="shared" si="66"/>
        <v>0.18469143081759881</v>
      </c>
      <c r="BV67">
        <f>EXP(-2.3)/1000</f>
        <v>1.0025884372280374E-4</v>
      </c>
      <c r="BW67" s="1">
        <f t="shared" si="67"/>
        <v>-3.9988773083774793</v>
      </c>
      <c r="CB67" t="e">
        <f>#REF!+#REF!*AG67+#REF!*BC67+#REF!*AY67</f>
        <v>#REF!</v>
      </c>
      <c r="CD67" s="1" t="e">
        <f t="shared" si="86"/>
        <v>#REF!</v>
      </c>
    </row>
    <row r="68" spans="1:82" ht="16.5" customHeight="1" x14ac:dyDescent="0.25">
      <c r="A68" s="3" t="s">
        <v>61</v>
      </c>
      <c r="B68" t="s">
        <v>30</v>
      </c>
      <c r="C68" t="s">
        <v>33</v>
      </c>
      <c r="E68">
        <v>0.16</v>
      </c>
      <c r="F68">
        <f t="shared" si="68"/>
        <v>-0.79588001734407521</v>
      </c>
      <c r="G68">
        <f t="shared" si="69"/>
        <v>0.19047619047619049</v>
      </c>
      <c r="H68">
        <f t="shared" si="70"/>
        <v>-0.7201593034059568</v>
      </c>
      <c r="I68">
        <f t="shared" si="71"/>
        <v>0.84</v>
      </c>
      <c r="J68">
        <f t="shared" si="72"/>
        <v>-7.5720713938118356E-2</v>
      </c>
      <c r="K68">
        <f t="shared" si="73"/>
        <v>5.2499999999999991</v>
      </c>
      <c r="L68">
        <f t="shared" si="74"/>
        <v>0.7201593034059568</v>
      </c>
      <c r="M68">
        <v>0.01</v>
      </c>
      <c r="N68">
        <f t="shared" si="75"/>
        <v>-2</v>
      </c>
      <c r="O68">
        <f t="shared" si="76"/>
        <v>1.0101010101010102E-2</v>
      </c>
      <c r="P68">
        <f t="shared" si="77"/>
        <v>-1.9956351945975499</v>
      </c>
      <c r="Q68">
        <f t="shared" si="78"/>
        <v>5.0595238095238084</v>
      </c>
      <c r="R68">
        <f t="shared" si="79"/>
        <v>0.70410964398842979</v>
      </c>
      <c r="U68">
        <f t="shared" si="80"/>
        <v>-0.7201593034059568</v>
      </c>
      <c r="Y68">
        <f t="shared" si="81"/>
        <v>-0.79588001734407521</v>
      </c>
      <c r="Z68">
        <f t="shared" si="82"/>
        <v>0.01</v>
      </c>
      <c r="AA68">
        <f t="shared" si="83"/>
        <v>-2</v>
      </c>
      <c r="AC68" t="s">
        <v>33</v>
      </c>
      <c r="AD68" t="s">
        <v>28</v>
      </c>
      <c r="AE68" t="s">
        <v>10</v>
      </c>
      <c r="AF68">
        <v>312.5</v>
      </c>
      <c r="AG68">
        <f t="shared" si="51"/>
        <v>3.2000000000000002E-3</v>
      </c>
      <c r="AH68">
        <v>0.16</v>
      </c>
      <c r="AI68">
        <f t="shared" si="52"/>
        <v>-0.79588001734407521</v>
      </c>
      <c r="AL68" t="s">
        <v>29</v>
      </c>
      <c r="AM68" t="s">
        <v>16</v>
      </c>
      <c r="AN68" t="s">
        <v>15</v>
      </c>
      <c r="AP68" s="1"/>
      <c r="AQ68">
        <v>375</v>
      </c>
      <c r="AR68">
        <f t="shared" si="53"/>
        <v>375000000</v>
      </c>
      <c r="AS68">
        <f t="shared" si="54"/>
        <v>8.5740312677277188</v>
      </c>
      <c r="AU68" s="1">
        <v>375000000</v>
      </c>
      <c r="AW68">
        <f t="shared" si="90"/>
        <v>1015.0751250000002</v>
      </c>
      <c r="AX68">
        <f t="shared" si="55"/>
        <v>1.0150751250000001E-27</v>
      </c>
      <c r="AY68">
        <f t="shared" si="56"/>
        <v>-26.993501814730475</v>
      </c>
      <c r="AZ68">
        <f t="shared" si="91"/>
        <v>6</v>
      </c>
      <c r="BA68">
        <f t="shared" si="57"/>
        <v>0.77815125038364363</v>
      </c>
      <c r="BB68">
        <f t="shared" si="92"/>
        <v>1.848713603450932E-2</v>
      </c>
      <c r="BC68">
        <f t="shared" si="58"/>
        <v>-1.7331303630834989</v>
      </c>
      <c r="BE68">
        <f t="shared" si="84"/>
        <v>823</v>
      </c>
      <c r="BF68">
        <f t="shared" si="59"/>
        <v>1.215066828675577E-3</v>
      </c>
      <c r="BG68">
        <f t="shared" si="85"/>
        <v>1209600</v>
      </c>
      <c r="BH68">
        <f t="shared" si="60"/>
        <v>6.0826417781571314</v>
      </c>
      <c r="BI68" s="1">
        <v>7.0799999999999997E-4</v>
      </c>
      <c r="BJ68">
        <f t="shared" si="61"/>
        <v>-3.1499667423102311</v>
      </c>
      <c r="BK68">
        <v>10</v>
      </c>
      <c r="BL68">
        <f t="shared" si="62"/>
        <v>0.01</v>
      </c>
      <c r="BM68">
        <f t="shared" si="63"/>
        <v>-2</v>
      </c>
      <c r="BN68">
        <v>1.8</v>
      </c>
      <c r="BO68">
        <f t="shared" si="64"/>
        <v>0.25527250510330607</v>
      </c>
      <c r="BQ68">
        <v>85</v>
      </c>
      <c r="BR68">
        <f t="shared" si="65"/>
        <v>1.53</v>
      </c>
      <c r="BS68">
        <f t="shared" si="66"/>
        <v>0.18469143081759881</v>
      </c>
      <c r="BV68">
        <f>EXP(-1.85)/1000</f>
        <v>1.572371663136276E-4</v>
      </c>
      <c r="BW68" s="1">
        <f t="shared" si="67"/>
        <v>-3.8034447915210161</v>
      </c>
      <c r="CB68" t="e">
        <f>#REF!+#REF!*AG68+#REF!*BC68+#REF!*AY68</f>
        <v>#REF!</v>
      </c>
      <c r="CD68" s="1" t="e">
        <f t="shared" si="86"/>
        <v>#REF!</v>
      </c>
    </row>
    <row r="69" spans="1:82" ht="16.5" customHeight="1" x14ac:dyDescent="0.25">
      <c r="A69" s="3" t="s">
        <v>61</v>
      </c>
      <c r="B69" t="s">
        <v>30</v>
      </c>
      <c r="C69" t="s">
        <v>33</v>
      </c>
      <c r="E69">
        <v>0.16</v>
      </c>
      <c r="F69">
        <f t="shared" si="68"/>
        <v>-0.79588001734407521</v>
      </c>
      <c r="G69">
        <f t="shared" si="69"/>
        <v>0.19047619047619049</v>
      </c>
      <c r="H69">
        <f t="shared" si="70"/>
        <v>-0.7201593034059568</v>
      </c>
      <c r="I69">
        <f t="shared" si="71"/>
        <v>0.84</v>
      </c>
      <c r="J69">
        <f t="shared" si="72"/>
        <v>-7.5720713938118356E-2</v>
      </c>
      <c r="K69">
        <f t="shared" si="73"/>
        <v>5.2499999999999991</v>
      </c>
      <c r="L69">
        <f t="shared" si="74"/>
        <v>0.7201593034059568</v>
      </c>
      <c r="M69">
        <v>0.01</v>
      </c>
      <c r="N69">
        <f t="shared" si="75"/>
        <v>-2</v>
      </c>
      <c r="O69">
        <f t="shared" si="76"/>
        <v>1.0101010101010102E-2</v>
      </c>
      <c r="P69">
        <f t="shared" si="77"/>
        <v>-1.9956351945975499</v>
      </c>
      <c r="Q69">
        <f t="shared" si="78"/>
        <v>5.0595238095238084</v>
      </c>
      <c r="R69">
        <f t="shared" si="79"/>
        <v>0.70410964398842979</v>
      </c>
      <c r="U69">
        <f t="shared" si="80"/>
        <v>-0.7201593034059568</v>
      </c>
      <c r="Y69">
        <f t="shared" si="81"/>
        <v>-0.79588001734407521</v>
      </c>
      <c r="Z69">
        <f t="shared" si="82"/>
        <v>0.01</v>
      </c>
      <c r="AA69">
        <f t="shared" si="83"/>
        <v>-2</v>
      </c>
      <c r="AC69" t="s">
        <v>33</v>
      </c>
      <c r="AD69" t="s">
        <v>28</v>
      </c>
      <c r="AE69" t="s">
        <v>10</v>
      </c>
      <c r="AF69">
        <v>322.58064516129031</v>
      </c>
      <c r="AG69">
        <f t="shared" si="51"/>
        <v>3.1000000000000003E-3</v>
      </c>
      <c r="AH69">
        <v>0.16</v>
      </c>
      <c r="AI69">
        <f t="shared" si="52"/>
        <v>-0.79588001734407521</v>
      </c>
      <c r="AL69" t="s">
        <v>29</v>
      </c>
      <c r="AM69" t="s">
        <v>16</v>
      </c>
      <c r="AN69" t="s">
        <v>15</v>
      </c>
      <c r="AP69" s="1"/>
      <c r="AQ69">
        <v>375</v>
      </c>
      <c r="AR69">
        <f t="shared" si="53"/>
        <v>375000000</v>
      </c>
      <c r="AS69">
        <f t="shared" si="54"/>
        <v>8.5740312677277188</v>
      </c>
      <c r="AU69" s="1">
        <v>375000000</v>
      </c>
      <c r="AW69">
        <f t="shared" si="90"/>
        <v>1015.0751250000002</v>
      </c>
      <c r="AX69">
        <f t="shared" si="55"/>
        <v>1.0150751250000001E-27</v>
      </c>
      <c r="AY69">
        <f t="shared" si="56"/>
        <v>-26.993501814730475</v>
      </c>
      <c r="AZ69">
        <f t="shared" si="91"/>
        <v>6</v>
      </c>
      <c r="BA69">
        <f t="shared" si="57"/>
        <v>0.77815125038364363</v>
      </c>
      <c r="BB69">
        <f t="shared" si="92"/>
        <v>1.848713603450932E-2</v>
      </c>
      <c r="BC69">
        <f t="shared" si="58"/>
        <v>-1.7331303630834989</v>
      </c>
      <c r="BE69">
        <f t="shared" si="84"/>
        <v>823</v>
      </c>
      <c r="BF69">
        <f t="shared" si="59"/>
        <v>1.215066828675577E-3</v>
      </c>
      <c r="BG69">
        <f t="shared" si="85"/>
        <v>1209600</v>
      </c>
      <c r="BH69">
        <f t="shared" si="60"/>
        <v>6.0826417781571314</v>
      </c>
      <c r="BI69" s="1">
        <v>7.0799999999999997E-4</v>
      </c>
      <c r="BJ69">
        <f t="shared" si="61"/>
        <v>-3.1499667423102311</v>
      </c>
      <c r="BK69">
        <v>10</v>
      </c>
      <c r="BL69">
        <f t="shared" si="62"/>
        <v>0.01</v>
      </c>
      <c r="BM69">
        <f t="shared" si="63"/>
        <v>-2</v>
      </c>
      <c r="BN69">
        <v>1.8</v>
      </c>
      <c r="BO69">
        <f t="shared" si="64"/>
        <v>0.25527250510330607</v>
      </c>
      <c r="BQ69">
        <v>85</v>
      </c>
      <c r="BR69">
        <f t="shared" si="65"/>
        <v>1.53</v>
      </c>
      <c r="BS69">
        <f t="shared" si="66"/>
        <v>0.18469143081759881</v>
      </c>
      <c r="BV69">
        <f>EXP(-1.5)/1000</f>
        <v>2.2313016014842982E-4</v>
      </c>
      <c r="BW69" s="1">
        <f t="shared" si="67"/>
        <v>-3.6514417228548779</v>
      </c>
      <c r="CB69" t="e">
        <f>#REF!+#REF!*AG69+#REF!*BC69+#REF!*AY69</f>
        <v>#REF!</v>
      </c>
      <c r="CD69" s="1" t="e">
        <f t="shared" si="86"/>
        <v>#REF!</v>
      </c>
    </row>
    <row r="70" spans="1:82" ht="16.5" customHeight="1" x14ac:dyDescent="0.25">
      <c r="A70" s="3" t="s">
        <v>61</v>
      </c>
      <c r="B70" t="s">
        <v>30</v>
      </c>
      <c r="C70" t="s">
        <v>33</v>
      </c>
      <c r="E70">
        <v>0.16</v>
      </c>
      <c r="F70">
        <f t="shared" si="68"/>
        <v>-0.79588001734407521</v>
      </c>
      <c r="G70">
        <f t="shared" si="69"/>
        <v>0.19047619047619049</v>
      </c>
      <c r="H70">
        <f t="shared" si="70"/>
        <v>-0.7201593034059568</v>
      </c>
      <c r="I70">
        <f t="shared" si="71"/>
        <v>0.84</v>
      </c>
      <c r="J70">
        <f t="shared" si="72"/>
        <v>-7.5720713938118356E-2</v>
      </c>
      <c r="K70">
        <f t="shared" si="73"/>
        <v>5.2499999999999991</v>
      </c>
      <c r="L70">
        <f t="shared" si="74"/>
        <v>0.7201593034059568</v>
      </c>
      <c r="M70">
        <v>0.01</v>
      </c>
      <c r="N70">
        <f t="shared" si="75"/>
        <v>-2</v>
      </c>
      <c r="O70">
        <f t="shared" si="76"/>
        <v>1.0101010101010102E-2</v>
      </c>
      <c r="P70">
        <f t="shared" si="77"/>
        <v>-1.9956351945975499</v>
      </c>
      <c r="Q70">
        <f t="shared" si="78"/>
        <v>5.0595238095238084</v>
      </c>
      <c r="R70">
        <f t="shared" si="79"/>
        <v>0.70410964398842979</v>
      </c>
      <c r="U70">
        <f t="shared" si="80"/>
        <v>-0.7201593034059568</v>
      </c>
      <c r="Y70">
        <f t="shared" si="81"/>
        <v>-0.79588001734407521</v>
      </c>
      <c r="Z70">
        <f t="shared" si="82"/>
        <v>0.01</v>
      </c>
      <c r="AA70">
        <f t="shared" si="83"/>
        <v>-2</v>
      </c>
      <c r="AC70" t="s">
        <v>33</v>
      </c>
      <c r="AD70" t="s">
        <v>28</v>
      </c>
      <c r="AE70" t="s">
        <v>10</v>
      </c>
      <c r="AF70">
        <v>333.33333333333331</v>
      </c>
      <c r="AG70">
        <f t="shared" si="51"/>
        <v>3.0000000000000001E-3</v>
      </c>
      <c r="AH70">
        <v>0.16</v>
      </c>
      <c r="AI70">
        <f t="shared" si="52"/>
        <v>-0.79588001734407521</v>
      </c>
      <c r="AL70" t="s">
        <v>29</v>
      </c>
      <c r="AM70" t="s">
        <v>16</v>
      </c>
      <c r="AN70" t="s">
        <v>15</v>
      </c>
      <c r="AP70" s="1"/>
      <c r="AQ70">
        <v>375</v>
      </c>
      <c r="AR70">
        <f t="shared" si="53"/>
        <v>375000000</v>
      </c>
      <c r="AS70">
        <f t="shared" si="54"/>
        <v>8.5740312677277188</v>
      </c>
      <c r="AU70" s="1">
        <v>375000000</v>
      </c>
      <c r="AW70">
        <f t="shared" si="90"/>
        <v>1015.0751250000002</v>
      </c>
      <c r="AX70">
        <f t="shared" si="55"/>
        <v>1.0150751250000001E-27</v>
      </c>
      <c r="AY70">
        <f t="shared" si="56"/>
        <v>-26.993501814730475</v>
      </c>
      <c r="AZ70">
        <f t="shared" si="91"/>
        <v>6</v>
      </c>
      <c r="BA70">
        <f t="shared" si="57"/>
        <v>0.77815125038364363</v>
      </c>
      <c r="BB70">
        <f t="shared" si="92"/>
        <v>1.848713603450932E-2</v>
      </c>
      <c r="BC70">
        <f t="shared" si="58"/>
        <v>-1.7331303630834989</v>
      </c>
      <c r="BE70">
        <f t="shared" si="84"/>
        <v>823</v>
      </c>
      <c r="BF70">
        <f t="shared" si="59"/>
        <v>1.215066828675577E-3</v>
      </c>
      <c r="BG70">
        <f t="shared" si="85"/>
        <v>1209600</v>
      </c>
      <c r="BH70">
        <f t="shared" si="60"/>
        <v>6.0826417781571314</v>
      </c>
      <c r="BI70" s="1">
        <v>7.0799999999999997E-4</v>
      </c>
      <c r="BJ70">
        <f t="shared" si="61"/>
        <v>-3.1499667423102311</v>
      </c>
      <c r="BK70">
        <v>10</v>
      </c>
      <c r="BL70">
        <f t="shared" si="62"/>
        <v>0.01</v>
      </c>
      <c r="BM70">
        <f t="shared" si="63"/>
        <v>-2</v>
      </c>
      <c r="BN70">
        <v>1.8</v>
      </c>
      <c r="BO70">
        <f t="shared" si="64"/>
        <v>0.25527250510330607</v>
      </c>
      <c r="BQ70">
        <v>85</v>
      </c>
      <c r="BR70">
        <f t="shared" si="65"/>
        <v>1.53</v>
      </c>
      <c r="BS70">
        <f t="shared" si="66"/>
        <v>0.18469143081759881</v>
      </c>
      <c r="BV70">
        <f>EXP(-1)/1000</f>
        <v>3.6787944117144236E-4</v>
      </c>
      <c r="BW70" s="1">
        <f t="shared" si="67"/>
        <v>-3.4342944819032519</v>
      </c>
      <c r="CB70" t="e">
        <f>#REF!+#REF!*AG70+#REF!*BC70+#REF!*AY70</f>
        <v>#REF!</v>
      </c>
      <c r="CD70" s="1" t="e">
        <f t="shared" si="86"/>
        <v>#REF!</v>
      </c>
    </row>
    <row r="71" spans="1:82" ht="16.5" customHeight="1" x14ac:dyDescent="0.25">
      <c r="A71" s="3" t="s">
        <v>61</v>
      </c>
      <c r="B71" t="s">
        <v>30</v>
      </c>
      <c r="C71" t="s">
        <v>33</v>
      </c>
      <c r="E71">
        <v>0.16</v>
      </c>
      <c r="F71">
        <f t="shared" si="68"/>
        <v>-0.79588001734407521</v>
      </c>
      <c r="G71">
        <f t="shared" si="69"/>
        <v>0.19047619047619049</v>
      </c>
      <c r="H71">
        <f t="shared" si="70"/>
        <v>-0.7201593034059568</v>
      </c>
      <c r="I71">
        <f t="shared" si="71"/>
        <v>0.84</v>
      </c>
      <c r="J71">
        <f t="shared" si="72"/>
        <v>-7.5720713938118356E-2</v>
      </c>
      <c r="K71">
        <f t="shared" si="73"/>
        <v>5.2499999999999991</v>
      </c>
      <c r="L71">
        <f t="shared" si="74"/>
        <v>0.7201593034059568</v>
      </c>
      <c r="M71">
        <v>0.01</v>
      </c>
      <c r="N71">
        <f t="shared" si="75"/>
        <v>-2</v>
      </c>
      <c r="O71">
        <f t="shared" si="76"/>
        <v>1.0101010101010102E-2</v>
      </c>
      <c r="P71">
        <f t="shared" si="77"/>
        <v>-1.9956351945975499</v>
      </c>
      <c r="Q71">
        <f t="shared" si="78"/>
        <v>5.0595238095238084</v>
      </c>
      <c r="R71">
        <f t="shared" si="79"/>
        <v>0.70410964398842979</v>
      </c>
      <c r="U71">
        <f t="shared" si="80"/>
        <v>-0.7201593034059568</v>
      </c>
      <c r="Y71">
        <f t="shared" si="81"/>
        <v>-0.79588001734407521</v>
      </c>
      <c r="Z71">
        <f t="shared" si="82"/>
        <v>0.01</v>
      </c>
      <c r="AA71">
        <f t="shared" si="83"/>
        <v>-2</v>
      </c>
      <c r="AC71" t="s">
        <v>33</v>
      </c>
      <c r="AD71" t="s">
        <v>28</v>
      </c>
      <c r="AE71" t="s">
        <v>10</v>
      </c>
      <c r="AF71">
        <v>343.64261168384877</v>
      </c>
      <c r="AG71">
        <f t="shared" si="51"/>
        <v>2.9100000000000003E-3</v>
      </c>
      <c r="AH71">
        <v>0.16</v>
      </c>
      <c r="AI71">
        <f t="shared" si="52"/>
        <v>-0.79588001734407521</v>
      </c>
      <c r="AL71" t="s">
        <v>29</v>
      </c>
      <c r="AM71" t="s">
        <v>16</v>
      </c>
      <c r="AN71" t="s">
        <v>15</v>
      </c>
      <c r="AP71" s="1"/>
      <c r="AQ71">
        <v>375</v>
      </c>
      <c r="AR71">
        <f t="shared" si="53"/>
        <v>375000000</v>
      </c>
      <c r="AS71">
        <f t="shared" si="54"/>
        <v>8.5740312677277188</v>
      </c>
      <c r="AU71" s="1">
        <v>375000000</v>
      </c>
      <c r="AW71">
        <f t="shared" si="90"/>
        <v>1015.0751250000002</v>
      </c>
      <c r="AX71">
        <f t="shared" si="55"/>
        <v>1.0150751250000001E-27</v>
      </c>
      <c r="AY71">
        <f t="shared" si="56"/>
        <v>-26.993501814730475</v>
      </c>
      <c r="AZ71">
        <f t="shared" si="91"/>
        <v>6</v>
      </c>
      <c r="BA71">
        <f t="shared" si="57"/>
        <v>0.77815125038364363</v>
      </c>
      <c r="BB71">
        <f t="shared" si="92"/>
        <v>1.848713603450932E-2</v>
      </c>
      <c r="BC71">
        <f t="shared" si="58"/>
        <v>-1.7331303630834989</v>
      </c>
      <c r="BE71">
        <f t="shared" si="84"/>
        <v>823</v>
      </c>
      <c r="BF71">
        <f t="shared" si="59"/>
        <v>1.215066828675577E-3</v>
      </c>
      <c r="BG71">
        <f t="shared" si="85"/>
        <v>1209600</v>
      </c>
      <c r="BH71">
        <f t="shared" si="60"/>
        <v>6.0826417781571314</v>
      </c>
      <c r="BI71" s="1">
        <v>7.0799999999999997E-4</v>
      </c>
      <c r="BJ71">
        <f t="shared" si="61"/>
        <v>-3.1499667423102311</v>
      </c>
      <c r="BK71">
        <v>10</v>
      </c>
      <c r="BL71">
        <f t="shared" si="62"/>
        <v>0.01</v>
      </c>
      <c r="BM71">
        <f t="shared" si="63"/>
        <v>-2</v>
      </c>
      <c r="BN71">
        <v>1.8</v>
      </c>
      <c r="BO71">
        <f t="shared" si="64"/>
        <v>0.25527250510330607</v>
      </c>
      <c r="BQ71">
        <v>85</v>
      </c>
      <c r="BR71">
        <f t="shared" si="65"/>
        <v>1.53</v>
      </c>
      <c r="BS71">
        <f t="shared" si="66"/>
        <v>0.18469143081759881</v>
      </c>
      <c r="BV71">
        <f>EXP(-0.8)/1000</f>
        <v>4.4932896411722158E-4</v>
      </c>
      <c r="BW71" s="1">
        <f t="shared" si="67"/>
        <v>-3.3474355855226015</v>
      </c>
      <c r="CB71" t="e">
        <f>#REF!+#REF!*AG71+#REF!*BC71+#REF!*AY71</f>
        <v>#REF!</v>
      </c>
      <c r="CD71" s="1" t="e">
        <f t="shared" si="86"/>
        <v>#REF!</v>
      </c>
    </row>
    <row r="72" spans="1:82" ht="16.5" customHeight="1" x14ac:dyDescent="0.25">
      <c r="A72" s="3" t="s">
        <v>61</v>
      </c>
      <c r="B72" t="s">
        <v>30</v>
      </c>
      <c r="C72" t="s">
        <v>33</v>
      </c>
      <c r="E72">
        <v>0.16</v>
      </c>
      <c r="F72">
        <f t="shared" si="68"/>
        <v>-0.79588001734407521</v>
      </c>
      <c r="G72">
        <f t="shared" si="69"/>
        <v>0.19047619047619049</v>
      </c>
      <c r="H72">
        <f t="shared" si="70"/>
        <v>-0.7201593034059568</v>
      </c>
      <c r="I72">
        <f t="shared" si="71"/>
        <v>0.84</v>
      </c>
      <c r="J72">
        <f t="shared" si="72"/>
        <v>-7.5720713938118356E-2</v>
      </c>
      <c r="K72">
        <f t="shared" si="73"/>
        <v>5.2499999999999991</v>
      </c>
      <c r="L72">
        <f t="shared" si="74"/>
        <v>0.7201593034059568</v>
      </c>
      <c r="M72">
        <v>0.01</v>
      </c>
      <c r="N72">
        <f t="shared" si="75"/>
        <v>-2</v>
      </c>
      <c r="O72">
        <f t="shared" si="76"/>
        <v>1.0101010101010102E-2</v>
      </c>
      <c r="P72">
        <f t="shared" si="77"/>
        <v>-1.9956351945975499</v>
      </c>
      <c r="Q72">
        <f t="shared" si="78"/>
        <v>5.0595238095238084</v>
      </c>
      <c r="R72">
        <f t="shared" si="79"/>
        <v>0.70410964398842979</v>
      </c>
      <c r="U72">
        <f t="shared" si="80"/>
        <v>-0.7201593034059568</v>
      </c>
      <c r="Y72">
        <f t="shared" si="81"/>
        <v>-0.79588001734407521</v>
      </c>
      <c r="Z72">
        <f t="shared" si="82"/>
        <v>0.01</v>
      </c>
      <c r="AA72">
        <f t="shared" si="83"/>
        <v>-2</v>
      </c>
      <c r="AC72" t="s">
        <v>33</v>
      </c>
      <c r="AD72" t="s">
        <v>28</v>
      </c>
      <c r="AE72" t="s">
        <v>10</v>
      </c>
      <c r="AF72">
        <v>353.35689045936397</v>
      </c>
      <c r="AG72">
        <f t="shared" si="51"/>
        <v>2.8300000000000001E-3</v>
      </c>
      <c r="AH72">
        <v>0.16</v>
      </c>
      <c r="AI72">
        <f t="shared" si="52"/>
        <v>-0.79588001734407521</v>
      </c>
      <c r="AL72" t="s">
        <v>29</v>
      </c>
      <c r="AM72" t="s">
        <v>16</v>
      </c>
      <c r="AN72" t="s">
        <v>15</v>
      </c>
      <c r="AP72" s="1"/>
      <c r="AQ72">
        <v>375</v>
      </c>
      <c r="AR72">
        <f t="shared" si="53"/>
        <v>375000000</v>
      </c>
      <c r="AS72">
        <f t="shared" si="54"/>
        <v>8.5740312677277188</v>
      </c>
      <c r="AU72" s="1">
        <v>375000000</v>
      </c>
      <c r="AW72">
        <f t="shared" si="90"/>
        <v>1015.0751250000002</v>
      </c>
      <c r="AX72">
        <f t="shared" si="55"/>
        <v>1.0150751250000001E-27</v>
      </c>
      <c r="AY72">
        <f t="shared" si="56"/>
        <v>-26.993501814730475</v>
      </c>
      <c r="AZ72">
        <f t="shared" si="91"/>
        <v>6</v>
      </c>
      <c r="BA72">
        <f t="shared" si="57"/>
        <v>0.77815125038364363</v>
      </c>
      <c r="BB72">
        <f t="shared" si="92"/>
        <v>1.848713603450932E-2</v>
      </c>
      <c r="BC72">
        <f t="shared" si="58"/>
        <v>-1.7331303630834989</v>
      </c>
      <c r="BE72">
        <f t="shared" si="84"/>
        <v>823</v>
      </c>
      <c r="BF72">
        <f t="shared" si="59"/>
        <v>1.215066828675577E-3</v>
      </c>
      <c r="BG72">
        <f t="shared" si="85"/>
        <v>1209600</v>
      </c>
      <c r="BH72">
        <f t="shared" si="60"/>
        <v>6.0826417781571314</v>
      </c>
      <c r="BI72" s="1">
        <v>7.0799999999999997E-4</v>
      </c>
      <c r="BJ72">
        <f t="shared" si="61"/>
        <v>-3.1499667423102311</v>
      </c>
      <c r="BK72">
        <v>10</v>
      </c>
      <c r="BL72">
        <f t="shared" si="62"/>
        <v>0.01</v>
      </c>
      <c r="BM72">
        <f t="shared" si="63"/>
        <v>-2</v>
      </c>
      <c r="BN72">
        <v>1.8</v>
      </c>
      <c r="BO72">
        <f t="shared" si="64"/>
        <v>0.25527250510330607</v>
      </c>
      <c r="BQ72">
        <v>85</v>
      </c>
      <c r="BR72">
        <f t="shared" si="65"/>
        <v>1.53</v>
      </c>
      <c r="BS72">
        <f t="shared" si="66"/>
        <v>0.18469143081759881</v>
      </c>
      <c r="BV72">
        <f>EXP(-0.45)/1000</f>
        <v>6.376281516217733E-4</v>
      </c>
      <c r="BW72" s="1">
        <f t="shared" si="67"/>
        <v>-3.1954325168564632</v>
      </c>
      <c r="CB72" t="e">
        <f>#REF!+#REF!*AG72+#REF!*BC72+#REF!*AY72</f>
        <v>#REF!</v>
      </c>
      <c r="CD72" s="1" t="e">
        <f t="shared" si="86"/>
        <v>#REF!</v>
      </c>
    </row>
    <row r="73" spans="1:82" ht="16.5" customHeight="1" x14ac:dyDescent="0.25">
      <c r="A73" s="3" t="s">
        <v>61</v>
      </c>
      <c r="B73" t="s">
        <v>30</v>
      </c>
      <c r="C73" t="s">
        <v>33</v>
      </c>
      <c r="E73">
        <v>0.16</v>
      </c>
      <c r="F73">
        <f t="shared" si="68"/>
        <v>-0.79588001734407521</v>
      </c>
      <c r="G73">
        <f t="shared" si="69"/>
        <v>0.19047619047619049</v>
      </c>
      <c r="H73">
        <f t="shared" si="70"/>
        <v>-0.7201593034059568</v>
      </c>
      <c r="I73">
        <f t="shared" si="71"/>
        <v>0.84</v>
      </c>
      <c r="J73">
        <f t="shared" si="72"/>
        <v>-7.5720713938118356E-2</v>
      </c>
      <c r="K73">
        <f t="shared" si="73"/>
        <v>5.2499999999999991</v>
      </c>
      <c r="L73">
        <f t="shared" si="74"/>
        <v>0.7201593034059568</v>
      </c>
      <c r="M73">
        <v>0.01</v>
      </c>
      <c r="N73">
        <f t="shared" si="75"/>
        <v>-2</v>
      </c>
      <c r="O73">
        <f t="shared" si="76"/>
        <v>1.0101010101010102E-2</v>
      </c>
      <c r="P73">
        <f t="shared" si="77"/>
        <v>-1.9956351945975499</v>
      </c>
      <c r="Q73">
        <f t="shared" si="78"/>
        <v>5.0595238095238084</v>
      </c>
      <c r="R73">
        <f t="shared" si="79"/>
        <v>0.70410964398842979</v>
      </c>
      <c r="U73">
        <f t="shared" si="80"/>
        <v>-0.7201593034059568</v>
      </c>
      <c r="Y73">
        <f t="shared" si="81"/>
        <v>-0.79588001734407521</v>
      </c>
      <c r="Z73">
        <f t="shared" si="82"/>
        <v>0.01</v>
      </c>
      <c r="AA73">
        <f t="shared" si="83"/>
        <v>-2</v>
      </c>
      <c r="AC73" t="s">
        <v>33</v>
      </c>
      <c r="AD73" t="s">
        <v>28</v>
      </c>
      <c r="AE73" t="s">
        <v>10</v>
      </c>
      <c r="AF73">
        <v>363.63636363636363</v>
      </c>
      <c r="AG73">
        <f t="shared" si="51"/>
        <v>2.7500000000000003E-3</v>
      </c>
      <c r="AH73">
        <v>0.16</v>
      </c>
      <c r="AI73">
        <f t="shared" si="52"/>
        <v>-0.79588001734407521</v>
      </c>
      <c r="AL73" t="s">
        <v>29</v>
      </c>
      <c r="AM73" t="s">
        <v>16</v>
      </c>
      <c r="AN73" t="s">
        <v>15</v>
      </c>
      <c r="AP73" s="1"/>
      <c r="AQ73">
        <v>375</v>
      </c>
      <c r="AR73">
        <f t="shared" si="53"/>
        <v>375000000</v>
      </c>
      <c r="AS73">
        <f t="shared" si="54"/>
        <v>8.5740312677277188</v>
      </c>
      <c r="AU73" s="1">
        <v>375000000</v>
      </c>
      <c r="AW73">
        <f t="shared" si="90"/>
        <v>1015.0751250000002</v>
      </c>
      <c r="AX73">
        <f t="shared" si="55"/>
        <v>1.0150751250000001E-27</v>
      </c>
      <c r="AY73">
        <f t="shared" si="56"/>
        <v>-26.993501814730475</v>
      </c>
      <c r="AZ73">
        <f t="shared" si="91"/>
        <v>6</v>
      </c>
      <c r="BA73">
        <f t="shared" si="57"/>
        <v>0.77815125038364363</v>
      </c>
      <c r="BB73">
        <f t="shared" si="92"/>
        <v>1.848713603450932E-2</v>
      </c>
      <c r="BC73">
        <f t="shared" si="58"/>
        <v>-1.7331303630834989</v>
      </c>
      <c r="BE73">
        <f t="shared" si="84"/>
        <v>823</v>
      </c>
      <c r="BF73">
        <f t="shared" si="59"/>
        <v>1.215066828675577E-3</v>
      </c>
      <c r="BG73">
        <f t="shared" si="85"/>
        <v>1209600</v>
      </c>
      <c r="BH73">
        <f t="shared" si="60"/>
        <v>6.0826417781571314</v>
      </c>
      <c r="BI73" s="1">
        <v>7.0799999999999997E-4</v>
      </c>
      <c r="BJ73">
        <f t="shared" si="61"/>
        <v>-3.1499667423102311</v>
      </c>
      <c r="BK73">
        <v>10</v>
      </c>
      <c r="BL73">
        <f t="shared" si="62"/>
        <v>0.01</v>
      </c>
      <c r="BM73">
        <f t="shared" si="63"/>
        <v>-2</v>
      </c>
      <c r="BN73">
        <v>1.8</v>
      </c>
      <c r="BO73">
        <f t="shared" si="64"/>
        <v>0.25527250510330607</v>
      </c>
      <c r="BQ73">
        <v>85</v>
      </c>
      <c r="BR73">
        <f t="shared" si="65"/>
        <v>1.53</v>
      </c>
      <c r="BS73">
        <f t="shared" si="66"/>
        <v>0.18469143081759881</v>
      </c>
      <c r="BV73">
        <f>EXP(-0.2)/1000</f>
        <v>8.1873075307798185E-4</v>
      </c>
      <c r="BW73" s="1">
        <f t="shared" si="67"/>
        <v>-3.0868588963806505</v>
      </c>
      <c r="CB73" t="e">
        <f>#REF!+#REF!*AG73+#REF!*BC73+#REF!*AY73</f>
        <v>#REF!</v>
      </c>
      <c r="CD73" s="1" t="e">
        <f t="shared" si="86"/>
        <v>#REF!</v>
      </c>
    </row>
    <row r="74" spans="1:82" ht="16.5" customHeight="1" x14ac:dyDescent="0.25">
      <c r="A74" s="3" t="s">
        <v>61</v>
      </c>
      <c r="B74" t="s">
        <v>30</v>
      </c>
      <c r="C74" t="s">
        <v>34</v>
      </c>
      <c r="E74">
        <v>0.02</v>
      </c>
      <c r="F74">
        <f t="shared" si="68"/>
        <v>-1.6989700043360187</v>
      </c>
      <c r="G74">
        <f t="shared" si="69"/>
        <v>2.0408163265306124E-2</v>
      </c>
      <c r="H74">
        <f t="shared" si="70"/>
        <v>-1.6901960800285136</v>
      </c>
      <c r="I74">
        <f t="shared" si="71"/>
        <v>0.98</v>
      </c>
      <c r="J74">
        <f t="shared" si="72"/>
        <v>-8.7739243075051505E-3</v>
      </c>
      <c r="K74">
        <f t="shared" si="73"/>
        <v>48.999999999999957</v>
      </c>
      <c r="L74">
        <f t="shared" si="74"/>
        <v>1.6901960800285132</v>
      </c>
      <c r="M74">
        <v>0.01</v>
      </c>
      <c r="N74">
        <f t="shared" si="75"/>
        <v>-2</v>
      </c>
      <c r="O74">
        <f t="shared" si="76"/>
        <v>1.0101010101010102E-2</v>
      </c>
      <c r="P74">
        <f t="shared" si="77"/>
        <v>-1.9956351945975499</v>
      </c>
      <c r="Q74">
        <f t="shared" si="78"/>
        <v>48.979591836734649</v>
      </c>
      <c r="R74">
        <f t="shared" si="79"/>
        <v>1.6900151616830921</v>
      </c>
      <c r="U74">
        <f t="shared" si="80"/>
        <v>-1.6901960800285136</v>
      </c>
      <c r="Y74">
        <f t="shared" si="81"/>
        <v>-1.6989700043360187</v>
      </c>
      <c r="Z74">
        <f t="shared" si="82"/>
        <v>1.9999999999999997E-2</v>
      </c>
      <c r="AA74">
        <f t="shared" si="83"/>
        <v>-1.698970004336019</v>
      </c>
      <c r="AC74" t="s">
        <v>34</v>
      </c>
      <c r="AD74" t="s">
        <v>28</v>
      </c>
      <c r="AE74" t="s">
        <v>10</v>
      </c>
      <c r="AF74">
        <v>253.1645569620253</v>
      </c>
      <c r="AG74">
        <f t="shared" si="51"/>
        <v>3.9500000000000004E-3</v>
      </c>
      <c r="AH74">
        <v>0.03</v>
      </c>
      <c r="AI74">
        <f t="shared" si="52"/>
        <v>-1.5228787452803376</v>
      </c>
      <c r="AL74" t="s">
        <v>29</v>
      </c>
      <c r="AM74" t="s">
        <v>16</v>
      </c>
      <c r="AN74" t="s">
        <v>15</v>
      </c>
      <c r="AP74" s="1"/>
      <c r="AQ74">
        <v>375</v>
      </c>
      <c r="AR74">
        <f t="shared" si="53"/>
        <v>375000000</v>
      </c>
      <c r="AS74">
        <f t="shared" si="54"/>
        <v>8.5740312677277188</v>
      </c>
      <c r="AU74" s="1">
        <v>375000000</v>
      </c>
      <c r="AW74">
        <f>10.12^3</f>
        <v>1036.4337279999997</v>
      </c>
      <c r="AX74">
        <f t="shared" si="55"/>
        <v>1.0364337279999997E-27</v>
      </c>
      <c r="AY74">
        <f t="shared" si="56"/>
        <v>-26.984458462488661</v>
      </c>
      <c r="AZ74">
        <f>6/1</f>
        <v>6</v>
      </c>
      <c r="BA74">
        <f t="shared" si="57"/>
        <v>0.77815125038364363</v>
      </c>
      <c r="BB74">
        <f>AZ74/348.05</f>
        <v>1.7238902456543598E-2</v>
      </c>
      <c r="BC74">
        <f t="shared" si="58"/>
        <v>-1.7634903877131636</v>
      </c>
      <c r="BE74">
        <f t="shared" si="84"/>
        <v>823</v>
      </c>
      <c r="BF74">
        <f t="shared" si="59"/>
        <v>1.215066828675577E-3</v>
      </c>
      <c r="BG74">
        <f t="shared" si="85"/>
        <v>1209600</v>
      </c>
      <c r="BH74">
        <f t="shared" si="60"/>
        <v>6.0826417781571314</v>
      </c>
      <c r="BI74" s="1">
        <v>6.5499999999999998E-4</v>
      </c>
      <c r="BJ74">
        <f t="shared" si="61"/>
        <v>-3.1837587000082168</v>
      </c>
      <c r="BK74">
        <v>10</v>
      </c>
      <c r="BL74">
        <f t="shared" si="62"/>
        <v>0.01</v>
      </c>
      <c r="BM74">
        <f t="shared" si="63"/>
        <v>-2</v>
      </c>
      <c r="BN74">
        <v>1.94</v>
      </c>
      <c r="BO74">
        <f t="shared" si="64"/>
        <v>0.28780172993022601</v>
      </c>
      <c r="BQ74">
        <v>87</v>
      </c>
      <c r="BR74">
        <f t="shared" si="65"/>
        <v>1.6878</v>
      </c>
      <c r="BS74">
        <f t="shared" si="66"/>
        <v>0.22732098254884456</v>
      </c>
      <c r="BV74">
        <f>EXP(-8.7)/1000</f>
        <v>1.6658581098763354E-7</v>
      </c>
      <c r="BW74" s="1">
        <f t="shared" si="67"/>
        <v>-6.778361992558291</v>
      </c>
      <c r="CB74" t="e">
        <f>#REF!+#REF!*AG74+#REF!*BC74+#REF!*AY74</f>
        <v>#REF!</v>
      </c>
      <c r="CD74" s="1" t="e">
        <f t="shared" si="86"/>
        <v>#REF!</v>
      </c>
    </row>
    <row r="75" spans="1:82" ht="16.5" customHeight="1" x14ac:dyDescent="0.25">
      <c r="A75" s="3" t="s">
        <v>61</v>
      </c>
      <c r="B75" t="s">
        <v>30</v>
      </c>
      <c r="C75" t="s">
        <v>34</v>
      </c>
      <c r="E75">
        <v>0.02</v>
      </c>
      <c r="F75">
        <f t="shared" si="68"/>
        <v>-1.6989700043360187</v>
      </c>
      <c r="G75">
        <f t="shared" si="69"/>
        <v>2.0408163265306124E-2</v>
      </c>
      <c r="H75">
        <f t="shared" si="70"/>
        <v>-1.6901960800285136</v>
      </c>
      <c r="I75">
        <f t="shared" si="71"/>
        <v>0.98</v>
      </c>
      <c r="J75">
        <f t="shared" si="72"/>
        <v>-8.7739243075051505E-3</v>
      </c>
      <c r="K75">
        <f t="shared" si="73"/>
        <v>48.999999999999957</v>
      </c>
      <c r="L75">
        <f t="shared" si="74"/>
        <v>1.6901960800285132</v>
      </c>
      <c r="M75">
        <v>0.01</v>
      </c>
      <c r="N75">
        <f t="shared" si="75"/>
        <v>-2</v>
      </c>
      <c r="O75">
        <f t="shared" si="76"/>
        <v>1.0101010101010102E-2</v>
      </c>
      <c r="P75">
        <f t="shared" si="77"/>
        <v>-1.9956351945975499</v>
      </c>
      <c r="Q75">
        <f t="shared" si="78"/>
        <v>48.979591836734649</v>
      </c>
      <c r="R75">
        <f t="shared" si="79"/>
        <v>1.6900151616830921</v>
      </c>
      <c r="U75">
        <f t="shared" si="80"/>
        <v>-1.6901960800285136</v>
      </c>
      <c r="Y75">
        <f t="shared" si="81"/>
        <v>-1.6989700043360187</v>
      </c>
      <c r="Z75">
        <f t="shared" si="82"/>
        <v>1.9999999999999997E-2</v>
      </c>
      <c r="AA75">
        <f t="shared" si="83"/>
        <v>-1.698970004336019</v>
      </c>
      <c r="AC75" t="s">
        <v>34</v>
      </c>
      <c r="AD75" t="s">
        <v>28</v>
      </c>
      <c r="AE75" t="s">
        <v>10</v>
      </c>
      <c r="AF75">
        <v>263.15789473684214</v>
      </c>
      <c r="AG75">
        <f t="shared" si="51"/>
        <v>3.7999999999999996E-3</v>
      </c>
      <c r="AH75">
        <v>0.03</v>
      </c>
      <c r="AI75">
        <f t="shared" si="52"/>
        <v>-1.5228787452803376</v>
      </c>
      <c r="AL75" t="s">
        <v>29</v>
      </c>
      <c r="AM75" t="s">
        <v>16</v>
      </c>
      <c r="AN75" t="s">
        <v>15</v>
      </c>
      <c r="AP75" s="1"/>
      <c r="AQ75">
        <v>375</v>
      </c>
      <c r="AR75">
        <f t="shared" si="53"/>
        <v>375000000</v>
      </c>
      <c r="AS75">
        <f t="shared" si="54"/>
        <v>8.5740312677277188</v>
      </c>
      <c r="AU75" s="1">
        <v>375000000</v>
      </c>
      <c r="AW75">
        <f t="shared" ref="AW75:AW85" si="93">10.12^3</f>
        <v>1036.4337279999997</v>
      </c>
      <c r="AX75">
        <f t="shared" si="55"/>
        <v>1.0364337279999997E-27</v>
      </c>
      <c r="AY75">
        <f t="shared" si="56"/>
        <v>-26.984458462488661</v>
      </c>
      <c r="AZ75">
        <f t="shared" ref="AZ75:AZ85" si="94">6/1</f>
        <v>6</v>
      </c>
      <c r="BA75">
        <f t="shared" si="57"/>
        <v>0.77815125038364363</v>
      </c>
      <c r="BB75">
        <f t="shared" ref="BB75:BB85" si="95">AZ75/348.05</f>
        <v>1.7238902456543598E-2</v>
      </c>
      <c r="BC75">
        <f t="shared" si="58"/>
        <v>-1.7634903877131636</v>
      </c>
      <c r="BE75">
        <f t="shared" si="84"/>
        <v>823</v>
      </c>
      <c r="BF75">
        <f t="shared" si="59"/>
        <v>1.215066828675577E-3</v>
      </c>
      <c r="BG75">
        <f t="shared" si="85"/>
        <v>1209600</v>
      </c>
      <c r="BH75">
        <f t="shared" si="60"/>
        <v>6.0826417781571314</v>
      </c>
      <c r="BI75" s="1">
        <v>6.5499999999999998E-4</v>
      </c>
      <c r="BJ75">
        <f t="shared" si="61"/>
        <v>-3.1837587000082168</v>
      </c>
      <c r="BK75">
        <v>10</v>
      </c>
      <c r="BL75">
        <f t="shared" si="62"/>
        <v>0.01</v>
      </c>
      <c r="BM75">
        <f t="shared" si="63"/>
        <v>-2</v>
      </c>
      <c r="BN75">
        <v>1.94</v>
      </c>
      <c r="BO75">
        <f t="shared" si="64"/>
        <v>0.28780172993022601</v>
      </c>
      <c r="BQ75">
        <v>87</v>
      </c>
      <c r="BR75">
        <f t="shared" si="65"/>
        <v>1.6878</v>
      </c>
      <c r="BS75">
        <f t="shared" si="66"/>
        <v>0.22732098254884456</v>
      </c>
      <c r="BV75">
        <f>EXP(-8)/1000</f>
        <v>3.3546262790251187E-7</v>
      </c>
      <c r="BW75" s="1">
        <f t="shared" si="67"/>
        <v>-6.4743558552260145</v>
      </c>
      <c r="CB75" t="e">
        <f>#REF!+#REF!*AG75+#REF!*BC75+#REF!*AY75</f>
        <v>#REF!</v>
      </c>
      <c r="CD75" s="1" t="e">
        <f t="shared" si="86"/>
        <v>#REF!</v>
      </c>
    </row>
    <row r="76" spans="1:82" ht="16.5" customHeight="1" x14ac:dyDescent="0.25">
      <c r="A76" s="3" t="s">
        <v>61</v>
      </c>
      <c r="B76" t="s">
        <v>30</v>
      </c>
      <c r="C76" t="s">
        <v>34</v>
      </c>
      <c r="E76">
        <v>0.02</v>
      </c>
      <c r="F76">
        <f t="shared" si="68"/>
        <v>-1.6989700043360187</v>
      </c>
      <c r="G76">
        <f t="shared" si="69"/>
        <v>2.0408163265306124E-2</v>
      </c>
      <c r="H76">
        <f t="shared" si="70"/>
        <v>-1.6901960800285136</v>
      </c>
      <c r="I76">
        <f t="shared" si="71"/>
        <v>0.98</v>
      </c>
      <c r="J76">
        <f t="shared" si="72"/>
        <v>-8.7739243075051505E-3</v>
      </c>
      <c r="K76">
        <f t="shared" si="73"/>
        <v>48.999999999999957</v>
      </c>
      <c r="L76">
        <f t="shared" si="74"/>
        <v>1.6901960800285132</v>
      </c>
      <c r="M76">
        <v>0.01</v>
      </c>
      <c r="N76">
        <f t="shared" si="75"/>
        <v>-2</v>
      </c>
      <c r="O76">
        <f t="shared" si="76"/>
        <v>1.0101010101010102E-2</v>
      </c>
      <c r="P76">
        <f t="shared" si="77"/>
        <v>-1.9956351945975499</v>
      </c>
      <c r="Q76">
        <f t="shared" si="78"/>
        <v>48.979591836734649</v>
      </c>
      <c r="R76">
        <f t="shared" si="79"/>
        <v>1.6900151616830921</v>
      </c>
      <c r="U76">
        <f t="shared" si="80"/>
        <v>-1.6901960800285136</v>
      </c>
      <c r="Y76">
        <f t="shared" si="81"/>
        <v>-1.6989700043360187</v>
      </c>
      <c r="Z76">
        <f t="shared" si="82"/>
        <v>1.9999999999999997E-2</v>
      </c>
      <c r="AA76">
        <f t="shared" si="83"/>
        <v>-1.698970004336019</v>
      </c>
      <c r="AC76" t="s">
        <v>34</v>
      </c>
      <c r="AD76" t="s">
        <v>28</v>
      </c>
      <c r="AE76" t="s">
        <v>10</v>
      </c>
      <c r="AF76">
        <v>273.22404371584696</v>
      </c>
      <c r="AG76">
        <f t="shared" si="51"/>
        <v>3.6600000000000005E-3</v>
      </c>
      <c r="AH76">
        <v>0.03</v>
      </c>
      <c r="AI76">
        <f t="shared" si="52"/>
        <v>-1.5228787452803376</v>
      </c>
      <c r="AL76" t="s">
        <v>29</v>
      </c>
      <c r="AM76" t="s">
        <v>16</v>
      </c>
      <c r="AN76" t="s">
        <v>15</v>
      </c>
      <c r="AP76" s="1"/>
      <c r="AQ76">
        <v>375</v>
      </c>
      <c r="AR76">
        <f t="shared" si="53"/>
        <v>375000000</v>
      </c>
      <c r="AS76">
        <f t="shared" si="54"/>
        <v>8.5740312677277188</v>
      </c>
      <c r="AU76" s="1">
        <v>375000000</v>
      </c>
      <c r="AW76">
        <f t="shared" si="93"/>
        <v>1036.4337279999997</v>
      </c>
      <c r="AX76">
        <f t="shared" si="55"/>
        <v>1.0364337279999997E-27</v>
      </c>
      <c r="AY76">
        <f t="shared" si="56"/>
        <v>-26.984458462488661</v>
      </c>
      <c r="AZ76">
        <f t="shared" si="94"/>
        <v>6</v>
      </c>
      <c r="BA76">
        <f t="shared" si="57"/>
        <v>0.77815125038364363</v>
      </c>
      <c r="BB76">
        <f t="shared" si="95"/>
        <v>1.7238902456543598E-2</v>
      </c>
      <c r="BC76">
        <f t="shared" si="58"/>
        <v>-1.7634903877131636</v>
      </c>
      <c r="BE76">
        <f t="shared" si="84"/>
        <v>823</v>
      </c>
      <c r="BF76">
        <f t="shared" si="59"/>
        <v>1.215066828675577E-3</v>
      </c>
      <c r="BG76">
        <f t="shared" si="85"/>
        <v>1209600</v>
      </c>
      <c r="BH76">
        <f t="shared" si="60"/>
        <v>6.0826417781571314</v>
      </c>
      <c r="BI76" s="1">
        <v>6.5499999999999998E-4</v>
      </c>
      <c r="BJ76">
        <f t="shared" si="61"/>
        <v>-3.1837587000082168</v>
      </c>
      <c r="BK76">
        <v>10</v>
      </c>
      <c r="BL76">
        <f t="shared" si="62"/>
        <v>0.01</v>
      </c>
      <c r="BM76">
        <f t="shared" si="63"/>
        <v>-2</v>
      </c>
      <c r="BN76">
        <v>1.94</v>
      </c>
      <c r="BO76">
        <f t="shared" si="64"/>
        <v>0.28780172993022601</v>
      </c>
      <c r="BQ76">
        <v>87</v>
      </c>
      <c r="BR76">
        <f t="shared" si="65"/>
        <v>1.6878</v>
      </c>
      <c r="BS76">
        <f t="shared" si="66"/>
        <v>0.22732098254884456</v>
      </c>
      <c r="BV76">
        <f>EXP(-7.3)/1000</f>
        <v>6.7553877519384442E-7</v>
      </c>
      <c r="BW76" s="1">
        <f t="shared" si="67"/>
        <v>-6.1703497178937381</v>
      </c>
      <c r="CB76" t="e">
        <f>#REF!+#REF!*AG76+#REF!*BC76+#REF!*AY76</f>
        <v>#REF!</v>
      </c>
      <c r="CD76" s="1" t="e">
        <f t="shared" si="86"/>
        <v>#REF!</v>
      </c>
    </row>
    <row r="77" spans="1:82" ht="16.5" customHeight="1" x14ac:dyDescent="0.25">
      <c r="A77" s="3" t="s">
        <v>61</v>
      </c>
      <c r="B77" t="s">
        <v>30</v>
      </c>
      <c r="C77" t="s">
        <v>34</v>
      </c>
      <c r="E77">
        <v>0.02</v>
      </c>
      <c r="F77">
        <f t="shared" si="68"/>
        <v>-1.6989700043360187</v>
      </c>
      <c r="G77">
        <f t="shared" si="69"/>
        <v>2.0408163265306124E-2</v>
      </c>
      <c r="H77">
        <f t="shared" si="70"/>
        <v>-1.6901960800285136</v>
      </c>
      <c r="I77">
        <f t="shared" si="71"/>
        <v>0.98</v>
      </c>
      <c r="J77">
        <f t="shared" si="72"/>
        <v>-8.7739243075051505E-3</v>
      </c>
      <c r="K77">
        <f t="shared" si="73"/>
        <v>48.999999999999957</v>
      </c>
      <c r="L77">
        <f t="shared" si="74"/>
        <v>1.6901960800285132</v>
      </c>
      <c r="M77">
        <v>0.01</v>
      </c>
      <c r="N77">
        <f t="shared" si="75"/>
        <v>-2</v>
      </c>
      <c r="O77">
        <f t="shared" si="76"/>
        <v>1.0101010101010102E-2</v>
      </c>
      <c r="P77">
        <f t="shared" si="77"/>
        <v>-1.9956351945975499</v>
      </c>
      <c r="Q77">
        <f t="shared" si="78"/>
        <v>48.979591836734649</v>
      </c>
      <c r="R77">
        <f t="shared" si="79"/>
        <v>1.6900151616830921</v>
      </c>
      <c r="U77">
        <f t="shared" si="80"/>
        <v>-1.6901960800285136</v>
      </c>
      <c r="Y77">
        <f t="shared" si="81"/>
        <v>-1.6989700043360187</v>
      </c>
      <c r="Z77">
        <f t="shared" si="82"/>
        <v>1.9999999999999997E-2</v>
      </c>
      <c r="AA77">
        <f t="shared" si="83"/>
        <v>-1.698970004336019</v>
      </c>
      <c r="AC77" t="s">
        <v>34</v>
      </c>
      <c r="AD77" t="s">
        <v>28</v>
      </c>
      <c r="AE77" t="s">
        <v>10</v>
      </c>
      <c r="AF77">
        <v>283.28611898016999</v>
      </c>
      <c r="AG77">
        <f t="shared" si="51"/>
        <v>3.5299999999999997E-3</v>
      </c>
      <c r="AH77">
        <v>0.03</v>
      </c>
      <c r="AI77">
        <f t="shared" si="52"/>
        <v>-1.5228787452803376</v>
      </c>
      <c r="AL77" t="s">
        <v>29</v>
      </c>
      <c r="AM77" t="s">
        <v>16</v>
      </c>
      <c r="AN77" t="s">
        <v>15</v>
      </c>
      <c r="AP77" s="1"/>
      <c r="AQ77">
        <v>375</v>
      </c>
      <c r="AR77">
        <f t="shared" si="53"/>
        <v>375000000</v>
      </c>
      <c r="AS77">
        <f t="shared" si="54"/>
        <v>8.5740312677277188</v>
      </c>
      <c r="AU77" s="1">
        <v>375000000</v>
      </c>
      <c r="AW77">
        <f t="shared" si="93"/>
        <v>1036.4337279999997</v>
      </c>
      <c r="AX77">
        <f t="shared" si="55"/>
        <v>1.0364337279999997E-27</v>
      </c>
      <c r="AY77">
        <f t="shared" si="56"/>
        <v>-26.984458462488661</v>
      </c>
      <c r="AZ77">
        <f t="shared" si="94"/>
        <v>6</v>
      </c>
      <c r="BA77">
        <f t="shared" si="57"/>
        <v>0.77815125038364363</v>
      </c>
      <c r="BB77">
        <f t="shared" si="95"/>
        <v>1.7238902456543598E-2</v>
      </c>
      <c r="BC77">
        <f t="shared" si="58"/>
        <v>-1.7634903877131636</v>
      </c>
      <c r="BE77">
        <f t="shared" si="84"/>
        <v>823</v>
      </c>
      <c r="BF77">
        <f t="shared" si="59"/>
        <v>1.215066828675577E-3</v>
      </c>
      <c r="BG77">
        <f t="shared" si="85"/>
        <v>1209600</v>
      </c>
      <c r="BH77">
        <f t="shared" si="60"/>
        <v>6.0826417781571314</v>
      </c>
      <c r="BI77" s="1">
        <v>6.5499999999999998E-4</v>
      </c>
      <c r="BJ77">
        <f t="shared" si="61"/>
        <v>-3.1837587000082168</v>
      </c>
      <c r="BK77">
        <v>10</v>
      </c>
      <c r="BL77">
        <f t="shared" si="62"/>
        <v>0.01</v>
      </c>
      <c r="BM77">
        <f t="shared" si="63"/>
        <v>-2</v>
      </c>
      <c r="BN77">
        <v>1.94</v>
      </c>
      <c r="BO77">
        <f t="shared" si="64"/>
        <v>0.28780172993022601</v>
      </c>
      <c r="BQ77">
        <v>87</v>
      </c>
      <c r="BR77">
        <f t="shared" si="65"/>
        <v>1.6878</v>
      </c>
      <c r="BS77">
        <f t="shared" si="66"/>
        <v>0.22732098254884456</v>
      </c>
      <c r="BV77">
        <f>EXP(-6.8)/1000</f>
        <v>1.1137751478448033E-6</v>
      </c>
      <c r="BW77" s="1">
        <f t="shared" si="67"/>
        <v>-5.9532024769421126</v>
      </c>
      <c r="CB77" t="e">
        <f>#REF!+#REF!*AG77+#REF!*BC77+#REF!*AY77</f>
        <v>#REF!</v>
      </c>
      <c r="CD77" s="1" t="e">
        <f t="shared" si="86"/>
        <v>#REF!</v>
      </c>
    </row>
    <row r="78" spans="1:82" ht="16.5" customHeight="1" x14ac:dyDescent="0.25">
      <c r="A78" s="3" t="s">
        <v>61</v>
      </c>
      <c r="B78" t="s">
        <v>30</v>
      </c>
      <c r="C78" t="s">
        <v>34</v>
      </c>
      <c r="E78">
        <v>0.02</v>
      </c>
      <c r="F78">
        <f t="shared" si="68"/>
        <v>-1.6989700043360187</v>
      </c>
      <c r="G78">
        <f t="shared" si="69"/>
        <v>2.0408163265306124E-2</v>
      </c>
      <c r="H78">
        <f t="shared" si="70"/>
        <v>-1.6901960800285136</v>
      </c>
      <c r="I78">
        <f t="shared" si="71"/>
        <v>0.98</v>
      </c>
      <c r="J78">
        <f t="shared" si="72"/>
        <v>-8.7739243075051505E-3</v>
      </c>
      <c r="K78">
        <f t="shared" si="73"/>
        <v>48.999999999999957</v>
      </c>
      <c r="L78">
        <f t="shared" si="74"/>
        <v>1.6901960800285132</v>
      </c>
      <c r="M78">
        <v>0.01</v>
      </c>
      <c r="N78">
        <f t="shared" si="75"/>
        <v>-2</v>
      </c>
      <c r="O78">
        <f t="shared" si="76"/>
        <v>1.0101010101010102E-2</v>
      </c>
      <c r="P78">
        <f t="shared" si="77"/>
        <v>-1.9956351945975499</v>
      </c>
      <c r="Q78">
        <f t="shared" si="78"/>
        <v>48.979591836734649</v>
      </c>
      <c r="R78">
        <f t="shared" si="79"/>
        <v>1.6900151616830921</v>
      </c>
      <c r="U78">
        <f t="shared" si="80"/>
        <v>-1.6901960800285136</v>
      </c>
      <c r="Y78">
        <f t="shared" si="81"/>
        <v>-1.6989700043360187</v>
      </c>
      <c r="Z78">
        <f t="shared" si="82"/>
        <v>1.9999999999999997E-2</v>
      </c>
      <c r="AA78">
        <f t="shared" si="83"/>
        <v>-1.698970004336019</v>
      </c>
      <c r="AC78" t="s">
        <v>34</v>
      </c>
      <c r="AD78" t="s">
        <v>28</v>
      </c>
      <c r="AE78" t="s">
        <v>10</v>
      </c>
      <c r="AF78">
        <v>293.25513196480938</v>
      </c>
      <c r="AG78">
        <f t="shared" si="51"/>
        <v>3.4100000000000003E-3</v>
      </c>
      <c r="AH78">
        <v>0.03</v>
      </c>
      <c r="AI78">
        <f t="shared" si="52"/>
        <v>-1.5228787452803376</v>
      </c>
      <c r="AL78" t="s">
        <v>29</v>
      </c>
      <c r="AM78" t="s">
        <v>16</v>
      </c>
      <c r="AN78" t="s">
        <v>15</v>
      </c>
      <c r="AP78" s="1"/>
      <c r="AQ78">
        <v>375</v>
      </c>
      <c r="AR78">
        <f t="shared" si="53"/>
        <v>375000000</v>
      </c>
      <c r="AS78">
        <f t="shared" si="54"/>
        <v>8.5740312677277188</v>
      </c>
      <c r="AU78" s="1">
        <v>375000000</v>
      </c>
      <c r="AW78">
        <f t="shared" si="93"/>
        <v>1036.4337279999997</v>
      </c>
      <c r="AX78">
        <f t="shared" si="55"/>
        <v>1.0364337279999997E-27</v>
      </c>
      <c r="AY78">
        <f t="shared" si="56"/>
        <v>-26.984458462488661</v>
      </c>
      <c r="AZ78">
        <f t="shared" si="94"/>
        <v>6</v>
      </c>
      <c r="BA78">
        <f t="shared" si="57"/>
        <v>0.77815125038364363</v>
      </c>
      <c r="BB78">
        <f t="shared" si="95"/>
        <v>1.7238902456543598E-2</v>
      </c>
      <c r="BC78">
        <f t="shared" si="58"/>
        <v>-1.7634903877131636</v>
      </c>
      <c r="BE78">
        <f t="shared" si="84"/>
        <v>823</v>
      </c>
      <c r="BF78">
        <f t="shared" si="59"/>
        <v>1.215066828675577E-3</v>
      </c>
      <c r="BG78">
        <f t="shared" si="85"/>
        <v>1209600</v>
      </c>
      <c r="BH78">
        <f t="shared" si="60"/>
        <v>6.0826417781571314</v>
      </c>
      <c r="BI78" s="1">
        <v>6.5499999999999998E-4</v>
      </c>
      <c r="BJ78">
        <f t="shared" si="61"/>
        <v>-3.1837587000082168</v>
      </c>
      <c r="BK78">
        <v>10</v>
      </c>
      <c r="BL78">
        <f t="shared" si="62"/>
        <v>0.01</v>
      </c>
      <c r="BM78">
        <f t="shared" si="63"/>
        <v>-2</v>
      </c>
      <c r="BN78">
        <v>1.94</v>
      </c>
      <c r="BO78">
        <f t="shared" si="64"/>
        <v>0.28780172993022601</v>
      </c>
      <c r="BQ78">
        <v>87</v>
      </c>
      <c r="BR78">
        <f t="shared" si="65"/>
        <v>1.6878</v>
      </c>
      <c r="BS78">
        <f t="shared" si="66"/>
        <v>0.22732098254884456</v>
      </c>
      <c r="BV78">
        <f>EXP(-6.15)/1000</f>
        <v>2.1334817700377079E-6</v>
      </c>
      <c r="BW78" s="1">
        <f t="shared" si="67"/>
        <v>-5.6709110637049989</v>
      </c>
      <c r="CB78" t="e">
        <f>#REF!+#REF!*AG78+#REF!*BC78+#REF!*AY78</f>
        <v>#REF!</v>
      </c>
      <c r="CD78" s="1" t="e">
        <f t="shared" si="86"/>
        <v>#REF!</v>
      </c>
    </row>
    <row r="79" spans="1:82" ht="16.5" customHeight="1" x14ac:dyDescent="0.25">
      <c r="A79" s="3" t="s">
        <v>61</v>
      </c>
      <c r="B79" t="s">
        <v>30</v>
      </c>
      <c r="C79" t="s">
        <v>34</v>
      </c>
      <c r="E79">
        <v>0.02</v>
      </c>
      <c r="F79">
        <f t="shared" si="68"/>
        <v>-1.6989700043360187</v>
      </c>
      <c r="G79">
        <f t="shared" si="69"/>
        <v>2.0408163265306124E-2</v>
      </c>
      <c r="H79">
        <f t="shared" si="70"/>
        <v>-1.6901960800285136</v>
      </c>
      <c r="I79">
        <f t="shared" si="71"/>
        <v>0.98</v>
      </c>
      <c r="J79">
        <f t="shared" si="72"/>
        <v>-8.7739243075051505E-3</v>
      </c>
      <c r="K79">
        <f t="shared" si="73"/>
        <v>48.999999999999957</v>
      </c>
      <c r="L79">
        <f t="shared" si="74"/>
        <v>1.6901960800285132</v>
      </c>
      <c r="M79">
        <v>0.01</v>
      </c>
      <c r="N79">
        <f t="shared" si="75"/>
        <v>-2</v>
      </c>
      <c r="O79">
        <f t="shared" si="76"/>
        <v>1.0101010101010102E-2</v>
      </c>
      <c r="P79">
        <f t="shared" si="77"/>
        <v>-1.9956351945975499</v>
      </c>
      <c r="Q79">
        <f t="shared" si="78"/>
        <v>48.979591836734649</v>
      </c>
      <c r="R79">
        <f t="shared" si="79"/>
        <v>1.6900151616830921</v>
      </c>
      <c r="U79">
        <f t="shared" si="80"/>
        <v>-1.6901960800285136</v>
      </c>
      <c r="Y79">
        <f t="shared" si="81"/>
        <v>-1.6989700043360187</v>
      </c>
      <c r="Z79">
        <f t="shared" si="82"/>
        <v>1.9999999999999997E-2</v>
      </c>
      <c r="AA79">
        <f t="shared" si="83"/>
        <v>-1.698970004336019</v>
      </c>
      <c r="AC79" t="s">
        <v>34</v>
      </c>
      <c r="AD79" t="s">
        <v>28</v>
      </c>
      <c r="AE79" t="s">
        <v>10</v>
      </c>
      <c r="AF79">
        <v>303.03030303030306</v>
      </c>
      <c r="AG79">
        <f t="shared" si="51"/>
        <v>3.2999999999999995E-3</v>
      </c>
      <c r="AH79">
        <v>0.03</v>
      </c>
      <c r="AI79">
        <f t="shared" si="52"/>
        <v>-1.5228787452803376</v>
      </c>
      <c r="AL79" t="s">
        <v>29</v>
      </c>
      <c r="AM79" t="s">
        <v>16</v>
      </c>
      <c r="AN79" t="s">
        <v>15</v>
      </c>
      <c r="AP79" s="1"/>
      <c r="AQ79">
        <v>375</v>
      </c>
      <c r="AR79">
        <f t="shared" si="53"/>
        <v>375000000</v>
      </c>
      <c r="AS79">
        <f t="shared" si="54"/>
        <v>8.5740312677277188</v>
      </c>
      <c r="AU79" s="1">
        <v>375000000</v>
      </c>
      <c r="AW79">
        <f t="shared" si="93"/>
        <v>1036.4337279999997</v>
      </c>
      <c r="AX79">
        <f t="shared" si="55"/>
        <v>1.0364337279999997E-27</v>
      </c>
      <c r="AY79">
        <f t="shared" si="56"/>
        <v>-26.984458462488661</v>
      </c>
      <c r="AZ79">
        <f t="shared" si="94"/>
        <v>6</v>
      </c>
      <c r="BA79">
        <f t="shared" si="57"/>
        <v>0.77815125038364363</v>
      </c>
      <c r="BB79">
        <f t="shared" si="95"/>
        <v>1.7238902456543598E-2</v>
      </c>
      <c r="BC79">
        <f t="shared" si="58"/>
        <v>-1.7634903877131636</v>
      </c>
      <c r="BE79">
        <f t="shared" si="84"/>
        <v>823</v>
      </c>
      <c r="BF79">
        <f t="shared" si="59"/>
        <v>1.215066828675577E-3</v>
      </c>
      <c r="BG79">
        <f t="shared" si="85"/>
        <v>1209600</v>
      </c>
      <c r="BH79">
        <f t="shared" si="60"/>
        <v>6.0826417781571314</v>
      </c>
      <c r="BI79" s="1">
        <v>6.5499999999999998E-4</v>
      </c>
      <c r="BJ79">
        <f t="shared" si="61"/>
        <v>-3.1837587000082168</v>
      </c>
      <c r="BK79">
        <v>10</v>
      </c>
      <c r="BL79">
        <f t="shared" si="62"/>
        <v>0.01</v>
      </c>
      <c r="BM79">
        <f t="shared" si="63"/>
        <v>-2</v>
      </c>
      <c r="BN79">
        <v>1.94</v>
      </c>
      <c r="BO79">
        <f t="shared" si="64"/>
        <v>0.28780172993022601</v>
      </c>
      <c r="BQ79">
        <v>87</v>
      </c>
      <c r="BR79">
        <f t="shared" si="65"/>
        <v>1.6878</v>
      </c>
      <c r="BS79">
        <f t="shared" si="66"/>
        <v>0.22732098254884456</v>
      </c>
      <c r="BV79">
        <f>EXP(-5.65)/1000</f>
        <v>3.5175167749121286E-6</v>
      </c>
      <c r="BW79" s="1">
        <f t="shared" si="67"/>
        <v>-5.4537638227533733</v>
      </c>
      <c r="CB79" t="e">
        <f>#REF!+#REF!*AG79+#REF!*BC79+#REF!*AY79</f>
        <v>#REF!</v>
      </c>
      <c r="CD79" s="1" t="e">
        <f t="shared" si="86"/>
        <v>#REF!</v>
      </c>
    </row>
    <row r="80" spans="1:82" ht="16.5" customHeight="1" x14ac:dyDescent="0.25">
      <c r="A80" s="3" t="s">
        <v>61</v>
      </c>
      <c r="B80" t="s">
        <v>30</v>
      </c>
      <c r="C80" t="s">
        <v>34</v>
      </c>
      <c r="E80">
        <v>0.02</v>
      </c>
      <c r="F80">
        <f t="shared" si="68"/>
        <v>-1.6989700043360187</v>
      </c>
      <c r="G80">
        <f t="shared" si="69"/>
        <v>2.0408163265306124E-2</v>
      </c>
      <c r="H80">
        <f t="shared" si="70"/>
        <v>-1.6901960800285136</v>
      </c>
      <c r="I80">
        <f t="shared" si="71"/>
        <v>0.98</v>
      </c>
      <c r="J80">
        <f t="shared" si="72"/>
        <v>-8.7739243075051505E-3</v>
      </c>
      <c r="K80">
        <f t="shared" si="73"/>
        <v>48.999999999999957</v>
      </c>
      <c r="L80">
        <f t="shared" si="74"/>
        <v>1.6901960800285132</v>
      </c>
      <c r="M80">
        <v>0.01</v>
      </c>
      <c r="N80">
        <f t="shared" si="75"/>
        <v>-2</v>
      </c>
      <c r="O80">
        <f t="shared" si="76"/>
        <v>1.0101010101010102E-2</v>
      </c>
      <c r="P80">
        <f t="shared" si="77"/>
        <v>-1.9956351945975499</v>
      </c>
      <c r="Q80">
        <f t="shared" si="78"/>
        <v>48.979591836734649</v>
      </c>
      <c r="R80">
        <f t="shared" si="79"/>
        <v>1.6900151616830921</v>
      </c>
      <c r="U80">
        <f t="shared" si="80"/>
        <v>-1.6901960800285136</v>
      </c>
      <c r="Y80">
        <f t="shared" si="81"/>
        <v>-1.6989700043360187</v>
      </c>
      <c r="Z80">
        <f t="shared" si="82"/>
        <v>1.9999999999999997E-2</v>
      </c>
      <c r="AA80">
        <f t="shared" si="83"/>
        <v>-1.698970004336019</v>
      </c>
      <c r="AC80" t="s">
        <v>34</v>
      </c>
      <c r="AD80" t="s">
        <v>28</v>
      </c>
      <c r="AE80" t="s">
        <v>10</v>
      </c>
      <c r="AF80">
        <v>312.5</v>
      </c>
      <c r="AG80">
        <f t="shared" si="51"/>
        <v>3.2000000000000002E-3</v>
      </c>
      <c r="AH80">
        <v>0.03</v>
      </c>
      <c r="AI80">
        <f t="shared" si="52"/>
        <v>-1.5228787452803376</v>
      </c>
      <c r="AL80" t="s">
        <v>29</v>
      </c>
      <c r="AM80" t="s">
        <v>16</v>
      </c>
      <c r="AN80" t="s">
        <v>15</v>
      </c>
      <c r="AP80" s="1"/>
      <c r="AQ80">
        <v>375</v>
      </c>
      <c r="AR80">
        <f t="shared" si="53"/>
        <v>375000000</v>
      </c>
      <c r="AS80">
        <f t="shared" si="54"/>
        <v>8.5740312677277188</v>
      </c>
      <c r="AU80" s="1">
        <v>375000000</v>
      </c>
      <c r="AW80">
        <f t="shared" si="93"/>
        <v>1036.4337279999997</v>
      </c>
      <c r="AX80">
        <f t="shared" si="55"/>
        <v>1.0364337279999997E-27</v>
      </c>
      <c r="AY80">
        <f t="shared" si="56"/>
        <v>-26.984458462488661</v>
      </c>
      <c r="AZ80">
        <f t="shared" si="94"/>
        <v>6</v>
      </c>
      <c r="BA80">
        <f t="shared" si="57"/>
        <v>0.77815125038364363</v>
      </c>
      <c r="BB80">
        <f t="shared" si="95"/>
        <v>1.7238902456543598E-2</v>
      </c>
      <c r="BC80">
        <f t="shared" si="58"/>
        <v>-1.7634903877131636</v>
      </c>
      <c r="BE80">
        <f t="shared" si="84"/>
        <v>823</v>
      </c>
      <c r="BF80">
        <f t="shared" si="59"/>
        <v>1.215066828675577E-3</v>
      </c>
      <c r="BG80">
        <f t="shared" si="85"/>
        <v>1209600</v>
      </c>
      <c r="BH80">
        <f t="shared" si="60"/>
        <v>6.0826417781571314</v>
      </c>
      <c r="BI80" s="1">
        <v>6.5499999999999998E-4</v>
      </c>
      <c r="BJ80">
        <f t="shared" si="61"/>
        <v>-3.1837587000082168</v>
      </c>
      <c r="BK80">
        <v>10</v>
      </c>
      <c r="BL80">
        <f t="shared" si="62"/>
        <v>0.01</v>
      </c>
      <c r="BM80">
        <f t="shared" si="63"/>
        <v>-2</v>
      </c>
      <c r="BN80">
        <v>1.94</v>
      </c>
      <c r="BO80">
        <f t="shared" si="64"/>
        <v>0.28780172993022601</v>
      </c>
      <c r="BQ80">
        <v>87</v>
      </c>
      <c r="BR80">
        <f t="shared" si="65"/>
        <v>1.6878</v>
      </c>
      <c r="BS80">
        <f t="shared" si="66"/>
        <v>0.22732098254884456</v>
      </c>
      <c r="BV80">
        <f>EXP(-5.1)/1000</f>
        <v>6.0967465655156379E-6</v>
      </c>
      <c r="BW80" s="1">
        <f t="shared" si="67"/>
        <v>-5.2149018577065842</v>
      </c>
      <c r="CB80" t="e">
        <f>#REF!+#REF!*AG80+#REF!*BC80+#REF!*AY80</f>
        <v>#REF!</v>
      </c>
      <c r="CD80" s="1" t="e">
        <f t="shared" si="86"/>
        <v>#REF!</v>
      </c>
    </row>
    <row r="81" spans="1:82" ht="16.5" customHeight="1" x14ac:dyDescent="0.25">
      <c r="A81" s="3" t="s">
        <v>61</v>
      </c>
      <c r="B81" t="s">
        <v>30</v>
      </c>
      <c r="C81" t="s">
        <v>34</v>
      </c>
      <c r="E81">
        <v>0.02</v>
      </c>
      <c r="F81">
        <f t="shared" si="68"/>
        <v>-1.6989700043360187</v>
      </c>
      <c r="G81">
        <f t="shared" si="69"/>
        <v>2.0408163265306124E-2</v>
      </c>
      <c r="H81">
        <f t="shared" si="70"/>
        <v>-1.6901960800285136</v>
      </c>
      <c r="I81">
        <f t="shared" si="71"/>
        <v>0.98</v>
      </c>
      <c r="J81">
        <f t="shared" si="72"/>
        <v>-8.7739243075051505E-3</v>
      </c>
      <c r="K81">
        <f t="shared" si="73"/>
        <v>48.999999999999957</v>
      </c>
      <c r="L81">
        <f t="shared" si="74"/>
        <v>1.6901960800285132</v>
      </c>
      <c r="M81">
        <v>0.01</v>
      </c>
      <c r="N81">
        <f t="shared" si="75"/>
        <v>-2</v>
      </c>
      <c r="O81">
        <f t="shared" si="76"/>
        <v>1.0101010101010102E-2</v>
      </c>
      <c r="P81">
        <f t="shared" si="77"/>
        <v>-1.9956351945975499</v>
      </c>
      <c r="Q81">
        <f t="shared" si="78"/>
        <v>48.979591836734649</v>
      </c>
      <c r="R81">
        <f t="shared" si="79"/>
        <v>1.6900151616830921</v>
      </c>
      <c r="U81">
        <f t="shared" si="80"/>
        <v>-1.6901960800285136</v>
      </c>
      <c r="Y81">
        <f t="shared" si="81"/>
        <v>-1.6989700043360187</v>
      </c>
      <c r="Z81">
        <f t="shared" si="82"/>
        <v>1.9999999999999997E-2</v>
      </c>
      <c r="AA81">
        <f t="shared" si="83"/>
        <v>-1.698970004336019</v>
      </c>
      <c r="AC81" t="s">
        <v>34</v>
      </c>
      <c r="AD81" t="s">
        <v>28</v>
      </c>
      <c r="AE81" t="s">
        <v>10</v>
      </c>
      <c r="AF81">
        <v>322.58064516129031</v>
      </c>
      <c r="AG81">
        <f t="shared" si="51"/>
        <v>3.1000000000000003E-3</v>
      </c>
      <c r="AH81">
        <v>0.03</v>
      </c>
      <c r="AI81">
        <f t="shared" si="52"/>
        <v>-1.5228787452803376</v>
      </c>
      <c r="AL81" t="s">
        <v>29</v>
      </c>
      <c r="AM81" t="s">
        <v>16</v>
      </c>
      <c r="AN81" t="s">
        <v>15</v>
      </c>
      <c r="AP81" s="1"/>
      <c r="AQ81">
        <v>375</v>
      </c>
      <c r="AR81">
        <f t="shared" si="53"/>
        <v>375000000</v>
      </c>
      <c r="AS81">
        <f t="shared" si="54"/>
        <v>8.5740312677277188</v>
      </c>
      <c r="AU81" s="1">
        <v>375000000</v>
      </c>
      <c r="AW81">
        <f t="shared" si="93"/>
        <v>1036.4337279999997</v>
      </c>
      <c r="AX81">
        <f t="shared" si="55"/>
        <v>1.0364337279999997E-27</v>
      </c>
      <c r="AY81">
        <f t="shared" si="56"/>
        <v>-26.984458462488661</v>
      </c>
      <c r="AZ81">
        <f t="shared" si="94"/>
        <v>6</v>
      </c>
      <c r="BA81">
        <f t="shared" si="57"/>
        <v>0.77815125038364363</v>
      </c>
      <c r="BB81">
        <f t="shared" si="95"/>
        <v>1.7238902456543598E-2</v>
      </c>
      <c r="BC81">
        <f t="shared" si="58"/>
        <v>-1.7634903877131636</v>
      </c>
      <c r="BE81">
        <f t="shared" si="84"/>
        <v>823</v>
      </c>
      <c r="BF81">
        <f t="shared" si="59"/>
        <v>1.215066828675577E-3</v>
      </c>
      <c r="BG81">
        <f t="shared" si="85"/>
        <v>1209600</v>
      </c>
      <c r="BH81">
        <f t="shared" si="60"/>
        <v>6.0826417781571314</v>
      </c>
      <c r="BI81" s="1">
        <v>6.5499999999999998E-4</v>
      </c>
      <c r="BJ81">
        <f t="shared" si="61"/>
        <v>-3.1837587000082168</v>
      </c>
      <c r="BK81">
        <v>10</v>
      </c>
      <c r="BL81">
        <f t="shared" si="62"/>
        <v>0.01</v>
      </c>
      <c r="BM81">
        <f t="shared" si="63"/>
        <v>-2</v>
      </c>
      <c r="BN81">
        <v>1.94</v>
      </c>
      <c r="BO81">
        <f t="shared" si="64"/>
        <v>0.28780172993022601</v>
      </c>
      <c r="BQ81">
        <v>87</v>
      </c>
      <c r="BR81">
        <f t="shared" si="65"/>
        <v>1.6878</v>
      </c>
      <c r="BS81">
        <f t="shared" si="66"/>
        <v>0.22732098254884456</v>
      </c>
      <c r="BV81">
        <f>EXP(-4.6)/1000</f>
        <v>1.0051835744633586E-5</v>
      </c>
      <c r="BW81" s="1">
        <f t="shared" si="67"/>
        <v>-4.9977546167549578</v>
      </c>
      <c r="CB81" t="e">
        <f>#REF!+#REF!*AG81+#REF!*BC81+#REF!*AY81</f>
        <v>#REF!</v>
      </c>
      <c r="CD81" s="1" t="e">
        <f t="shared" si="86"/>
        <v>#REF!</v>
      </c>
    </row>
    <row r="82" spans="1:82" ht="16.5" customHeight="1" x14ac:dyDescent="0.25">
      <c r="A82" s="3" t="s">
        <v>61</v>
      </c>
      <c r="B82" t="s">
        <v>30</v>
      </c>
      <c r="C82" t="s">
        <v>34</v>
      </c>
      <c r="E82">
        <v>0.02</v>
      </c>
      <c r="F82">
        <f t="shared" si="68"/>
        <v>-1.6989700043360187</v>
      </c>
      <c r="G82">
        <f t="shared" si="69"/>
        <v>2.0408163265306124E-2</v>
      </c>
      <c r="H82">
        <f t="shared" si="70"/>
        <v>-1.6901960800285136</v>
      </c>
      <c r="I82">
        <f t="shared" si="71"/>
        <v>0.98</v>
      </c>
      <c r="J82">
        <f t="shared" si="72"/>
        <v>-8.7739243075051505E-3</v>
      </c>
      <c r="K82">
        <f t="shared" si="73"/>
        <v>48.999999999999957</v>
      </c>
      <c r="L82">
        <f t="shared" si="74"/>
        <v>1.6901960800285132</v>
      </c>
      <c r="M82">
        <v>0.01</v>
      </c>
      <c r="N82">
        <f t="shared" si="75"/>
        <v>-2</v>
      </c>
      <c r="O82">
        <f t="shared" si="76"/>
        <v>1.0101010101010102E-2</v>
      </c>
      <c r="P82">
        <f t="shared" si="77"/>
        <v>-1.9956351945975499</v>
      </c>
      <c r="Q82">
        <f t="shared" si="78"/>
        <v>48.979591836734649</v>
      </c>
      <c r="R82">
        <f t="shared" si="79"/>
        <v>1.6900151616830921</v>
      </c>
      <c r="U82">
        <f t="shared" si="80"/>
        <v>-1.6901960800285136</v>
      </c>
      <c r="Y82">
        <f t="shared" si="81"/>
        <v>-1.6989700043360187</v>
      </c>
      <c r="Z82">
        <f t="shared" si="82"/>
        <v>1.9999999999999997E-2</v>
      </c>
      <c r="AA82">
        <f t="shared" si="83"/>
        <v>-1.698970004336019</v>
      </c>
      <c r="AC82" t="s">
        <v>34</v>
      </c>
      <c r="AD82" t="s">
        <v>28</v>
      </c>
      <c r="AE82" t="s">
        <v>10</v>
      </c>
      <c r="AF82">
        <v>333.33333333333331</v>
      </c>
      <c r="AG82">
        <f t="shared" si="51"/>
        <v>3.0000000000000001E-3</v>
      </c>
      <c r="AH82">
        <v>0.03</v>
      </c>
      <c r="AI82">
        <f t="shared" si="52"/>
        <v>-1.5228787452803376</v>
      </c>
      <c r="AL82" t="s">
        <v>29</v>
      </c>
      <c r="AM82" t="s">
        <v>16</v>
      </c>
      <c r="AN82" t="s">
        <v>15</v>
      </c>
      <c r="AP82" s="1"/>
      <c r="AQ82">
        <v>375</v>
      </c>
      <c r="AR82">
        <f t="shared" si="53"/>
        <v>375000000</v>
      </c>
      <c r="AS82">
        <f t="shared" si="54"/>
        <v>8.5740312677277188</v>
      </c>
      <c r="AU82" s="1">
        <v>375000000</v>
      </c>
      <c r="AW82">
        <f t="shared" si="93"/>
        <v>1036.4337279999997</v>
      </c>
      <c r="AX82">
        <f t="shared" si="55"/>
        <v>1.0364337279999997E-27</v>
      </c>
      <c r="AY82">
        <f t="shared" si="56"/>
        <v>-26.984458462488661</v>
      </c>
      <c r="AZ82">
        <f t="shared" si="94"/>
        <v>6</v>
      </c>
      <c r="BA82">
        <f t="shared" si="57"/>
        <v>0.77815125038364363</v>
      </c>
      <c r="BB82">
        <f t="shared" si="95"/>
        <v>1.7238902456543598E-2</v>
      </c>
      <c r="BC82">
        <f t="shared" si="58"/>
        <v>-1.7634903877131636</v>
      </c>
      <c r="BE82">
        <f t="shared" si="84"/>
        <v>823</v>
      </c>
      <c r="BF82">
        <f t="shared" si="59"/>
        <v>1.215066828675577E-3</v>
      </c>
      <c r="BG82">
        <f t="shared" si="85"/>
        <v>1209600</v>
      </c>
      <c r="BH82">
        <f t="shared" si="60"/>
        <v>6.0826417781571314</v>
      </c>
      <c r="BI82" s="1">
        <v>6.5499999999999998E-4</v>
      </c>
      <c r="BJ82">
        <f t="shared" si="61"/>
        <v>-3.1837587000082168</v>
      </c>
      <c r="BK82">
        <v>10</v>
      </c>
      <c r="BL82">
        <f t="shared" si="62"/>
        <v>0.01</v>
      </c>
      <c r="BM82">
        <f t="shared" si="63"/>
        <v>-2</v>
      </c>
      <c r="BN82">
        <v>1.94</v>
      </c>
      <c r="BO82">
        <f t="shared" si="64"/>
        <v>0.28780172993022601</v>
      </c>
      <c r="BQ82">
        <v>87</v>
      </c>
      <c r="BR82">
        <f t="shared" si="65"/>
        <v>1.6878</v>
      </c>
      <c r="BS82">
        <f t="shared" si="66"/>
        <v>0.22732098254884456</v>
      </c>
      <c r="BV82">
        <f>EXP(-4)/1000</f>
        <v>1.831563888873418E-5</v>
      </c>
      <c r="BW82" s="1">
        <f t="shared" si="67"/>
        <v>-4.7371779276130077</v>
      </c>
      <c r="CB82" t="e">
        <f>#REF!+#REF!*AG82+#REF!*BC82+#REF!*AY82</f>
        <v>#REF!</v>
      </c>
      <c r="CD82" s="1" t="e">
        <f t="shared" si="86"/>
        <v>#REF!</v>
      </c>
    </row>
    <row r="83" spans="1:82" ht="16.5" customHeight="1" x14ac:dyDescent="0.25">
      <c r="A83" s="3" t="s">
        <v>61</v>
      </c>
      <c r="B83" t="s">
        <v>30</v>
      </c>
      <c r="C83" t="s">
        <v>34</v>
      </c>
      <c r="E83">
        <v>0.02</v>
      </c>
      <c r="F83">
        <f t="shared" si="68"/>
        <v>-1.6989700043360187</v>
      </c>
      <c r="G83">
        <f t="shared" si="69"/>
        <v>2.0408163265306124E-2</v>
      </c>
      <c r="H83">
        <f t="shared" si="70"/>
        <v>-1.6901960800285136</v>
      </c>
      <c r="I83">
        <f t="shared" si="71"/>
        <v>0.98</v>
      </c>
      <c r="J83">
        <f t="shared" si="72"/>
        <v>-8.7739243075051505E-3</v>
      </c>
      <c r="K83">
        <f t="shared" si="73"/>
        <v>48.999999999999957</v>
      </c>
      <c r="L83">
        <f t="shared" si="74"/>
        <v>1.6901960800285132</v>
      </c>
      <c r="M83">
        <v>0.01</v>
      </c>
      <c r="N83">
        <f t="shared" si="75"/>
        <v>-2</v>
      </c>
      <c r="O83">
        <f t="shared" si="76"/>
        <v>1.0101010101010102E-2</v>
      </c>
      <c r="P83">
        <f t="shared" si="77"/>
        <v>-1.9956351945975499</v>
      </c>
      <c r="Q83">
        <f t="shared" si="78"/>
        <v>48.979591836734649</v>
      </c>
      <c r="R83">
        <f t="shared" si="79"/>
        <v>1.6900151616830921</v>
      </c>
      <c r="U83">
        <f t="shared" si="80"/>
        <v>-1.6901960800285136</v>
      </c>
      <c r="Y83">
        <f t="shared" si="81"/>
        <v>-1.6989700043360187</v>
      </c>
      <c r="Z83">
        <f t="shared" si="82"/>
        <v>1.9999999999999997E-2</v>
      </c>
      <c r="AA83">
        <f t="shared" si="83"/>
        <v>-1.698970004336019</v>
      </c>
      <c r="AC83" t="s">
        <v>34</v>
      </c>
      <c r="AD83" t="s">
        <v>28</v>
      </c>
      <c r="AE83" t="s">
        <v>10</v>
      </c>
      <c r="AF83">
        <v>343.64261168384877</v>
      </c>
      <c r="AG83">
        <f t="shared" si="51"/>
        <v>2.9100000000000003E-3</v>
      </c>
      <c r="AH83">
        <v>0.03</v>
      </c>
      <c r="AI83">
        <f t="shared" si="52"/>
        <v>-1.5228787452803376</v>
      </c>
      <c r="AL83" t="s">
        <v>29</v>
      </c>
      <c r="AM83" t="s">
        <v>16</v>
      </c>
      <c r="AN83" t="s">
        <v>15</v>
      </c>
      <c r="AP83" s="1"/>
      <c r="AQ83">
        <v>375</v>
      </c>
      <c r="AR83">
        <f t="shared" si="53"/>
        <v>375000000</v>
      </c>
      <c r="AS83">
        <f t="shared" si="54"/>
        <v>8.5740312677277188</v>
      </c>
      <c r="AU83" s="1">
        <v>375000000</v>
      </c>
      <c r="AW83">
        <f t="shared" si="93"/>
        <v>1036.4337279999997</v>
      </c>
      <c r="AX83">
        <f t="shared" si="55"/>
        <v>1.0364337279999997E-27</v>
      </c>
      <c r="AY83">
        <f t="shared" si="56"/>
        <v>-26.984458462488661</v>
      </c>
      <c r="AZ83">
        <f t="shared" si="94"/>
        <v>6</v>
      </c>
      <c r="BA83">
        <f t="shared" si="57"/>
        <v>0.77815125038364363</v>
      </c>
      <c r="BB83">
        <f t="shared" si="95"/>
        <v>1.7238902456543598E-2</v>
      </c>
      <c r="BC83">
        <f t="shared" si="58"/>
        <v>-1.7634903877131636</v>
      </c>
      <c r="BE83">
        <f t="shared" si="84"/>
        <v>823</v>
      </c>
      <c r="BF83">
        <f t="shared" si="59"/>
        <v>1.215066828675577E-3</v>
      </c>
      <c r="BG83">
        <f t="shared" si="85"/>
        <v>1209600</v>
      </c>
      <c r="BH83">
        <f t="shared" si="60"/>
        <v>6.0826417781571314</v>
      </c>
      <c r="BI83" s="1">
        <v>6.5499999999999998E-4</v>
      </c>
      <c r="BJ83">
        <f t="shared" si="61"/>
        <v>-3.1837587000082168</v>
      </c>
      <c r="BK83">
        <v>10</v>
      </c>
      <c r="BL83">
        <f t="shared" si="62"/>
        <v>0.01</v>
      </c>
      <c r="BM83">
        <f t="shared" si="63"/>
        <v>-2</v>
      </c>
      <c r="BN83">
        <v>1.94</v>
      </c>
      <c r="BO83">
        <f t="shared" si="64"/>
        <v>0.28780172993022601</v>
      </c>
      <c r="BQ83">
        <v>87</v>
      </c>
      <c r="BR83">
        <f t="shared" si="65"/>
        <v>1.6878</v>
      </c>
      <c r="BS83">
        <f t="shared" si="66"/>
        <v>0.22732098254884456</v>
      </c>
      <c r="BV83">
        <f>EXP(-3.25)/1000</f>
        <v>3.8774207831722012E-5</v>
      </c>
      <c r="BW83" s="1">
        <f t="shared" si="67"/>
        <v>-4.4114570661855685</v>
      </c>
      <c r="CB83" t="e">
        <f>#REF!+#REF!*AG83+#REF!*BC83+#REF!*AY83</f>
        <v>#REF!</v>
      </c>
      <c r="CD83" s="1" t="e">
        <f t="shared" si="86"/>
        <v>#REF!</v>
      </c>
    </row>
    <row r="84" spans="1:82" ht="16.5" customHeight="1" x14ac:dyDescent="0.25">
      <c r="A84" s="3" t="s">
        <v>61</v>
      </c>
      <c r="B84" t="s">
        <v>30</v>
      </c>
      <c r="C84" t="s">
        <v>34</v>
      </c>
      <c r="E84">
        <v>0.02</v>
      </c>
      <c r="F84">
        <f t="shared" si="68"/>
        <v>-1.6989700043360187</v>
      </c>
      <c r="G84">
        <f t="shared" si="69"/>
        <v>2.0408163265306124E-2</v>
      </c>
      <c r="H84">
        <f t="shared" si="70"/>
        <v>-1.6901960800285136</v>
      </c>
      <c r="I84">
        <f t="shared" si="71"/>
        <v>0.98</v>
      </c>
      <c r="J84">
        <f t="shared" si="72"/>
        <v>-8.7739243075051505E-3</v>
      </c>
      <c r="K84">
        <f t="shared" si="73"/>
        <v>48.999999999999957</v>
      </c>
      <c r="L84">
        <f t="shared" si="74"/>
        <v>1.6901960800285132</v>
      </c>
      <c r="M84">
        <v>0.01</v>
      </c>
      <c r="N84">
        <f t="shared" si="75"/>
        <v>-2</v>
      </c>
      <c r="O84">
        <f t="shared" si="76"/>
        <v>1.0101010101010102E-2</v>
      </c>
      <c r="P84">
        <f t="shared" si="77"/>
        <v>-1.9956351945975499</v>
      </c>
      <c r="Q84">
        <f t="shared" si="78"/>
        <v>48.979591836734649</v>
      </c>
      <c r="R84">
        <f t="shared" si="79"/>
        <v>1.6900151616830921</v>
      </c>
      <c r="U84">
        <f t="shared" si="80"/>
        <v>-1.6901960800285136</v>
      </c>
      <c r="Y84">
        <f t="shared" si="81"/>
        <v>-1.6989700043360187</v>
      </c>
      <c r="Z84">
        <f t="shared" si="82"/>
        <v>1.9999999999999997E-2</v>
      </c>
      <c r="AA84">
        <f t="shared" si="83"/>
        <v>-1.698970004336019</v>
      </c>
      <c r="AC84" t="s">
        <v>34</v>
      </c>
      <c r="AD84" t="s">
        <v>28</v>
      </c>
      <c r="AE84" t="s">
        <v>10</v>
      </c>
      <c r="AF84">
        <v>353.35689045936397</v>
      </c>
      <c r="AG84">
        <f t="shared" si="51"/>
        <v>2.8300000000000001E-3</v>
      </c>
      <c r="AH84">
        <v>0.03</v>
      </c>
      <c r="AI84">
        <f t="shared" si="52"/>
        <v>-1.5228787452803376</v>
      </c>
      <c r="AL84" t="s">
        <v>29</v>
      </c>
      <c r="AM84" t="s">
        <v>16</v>
      </c>
      <c r="AN84" t="s">
        <v>15</v>
      </c>
      <c r="AP84" s="1"/>
      <c r="AQ84">
        <v>375</v>
      </c>
      <c r="AR84">
        <f t="shared" si="53"/>
        <v>375000000</v>
      </c>
      <c r="AS84">
        <f t="shared" si="54"/>
        <v>8.5740312677277188</v>
      </c>
      <c r="AU84" s="1">
        <v>375000000</v>
      </c>
      <c r="AW84">
        <f t="shared" si="93"/>
        <v>1036.4337279999997</v>
      </c>
      <c r="AX84">
        <f t="shared" si="55"/>
        <v>1.0364337279999997E-27</v>
      </c>
      <c r="AY84">
        <f t="shared" si="56"/>
        <v>-26.984458462488661</v>
      </c>
      <c r="AZ84">
        <f t="shared" si="94"/>
        <v>6</v>
      </c>
      <c r="BA84">
        <f t="shared" si="57"/>
        <v>0.77815125038364363</v>
      </c>
      <c r="BB84">
        <f t="shared" si="95"/>
        <v>1.7238902456543598E-2</v>
      </c>
      <c r="BC84">
        <f t="shared" si="58"/>
        <v>-1.7634903877131636</v>
      </c>
      <c r="BE84">
        <f t="shared" si="84"/>
        <v>823</v>
      </c>
      <c r="BF84">
        <f t="shared" si="59"/>
        <v>1.215066828675577E-3</v>
      </c>
      <c r="BG84">
        <f t="shared" si="85"/>
        <v>1209600</v>
      </c>
      <c r="BH84">
        <f t="shared" si="60"/>
        <v>6.0826417781571314</v>
      </c>
      <c r="BI84" s="1">
        <v>6.5499999999999998E-4</v>
      </c>
      <c r="BJ84">
        <f t="shared" si="61"/>
        <v>-3.1837587000082168</v>
      </c>
      <c r="BK84">
        <v>10</v>
      </c>
      <c r="BL84">
        <f t="shared" si="62"/>
        <v>0.01</v>
      </c>
      <c r="BM84">
        <f t="shared" si="63"/>
        <v>-2</v>
      </c>
      <c r="BN84">
        <v>1.94</v>
      </c>
      <c r="BO84">
        <f t="shared" si="64"/>
        <v>0.28780172993022601</v>
      </c>
      <c r="BQ84">
        <v>87</v>
      </c>
      <c r="BR84">
        <f t="shared" si="65"/>
        <v>1.6878</v>
      </c>
      <c r="BS84">
        <f t="shared" si="66"/>
        <v>0.22732098254884456</v>
      </c>
      <c r="BV84">
        <f>EXP(-2.45)/1000</f>
        <v>8.6293586499370495E-5</v>
      </c>
      <c r="BW84" s="1">
        <f t="shared" si="67"/>
        <v>-4.0640214806629666</v>
      </c>
      <c r="CB84" t="e">
        <f>#REF!+#REF!*AG84+#REF!*BC84+#REF!*AY84</f>
        <v>#REF!</v>
      </c>
      <c r="CD84" s="1" t="e">
        <f t="shared" si="86"/>
        <v>#REF!</v>
      </c>
    </row>
    <row r="85" spans="1:82" ht="16.5" customHeight="1" x14ac:dyDescent="0.25">
      <c r="A85" s="3" t="s">
        <v>61</v>
      </c>
      <c r="B85" t="s">
        <v>30</v>
      </c>
      <c r="C85" t="s">
        <v>34</v>
      </c>
      <c r="E85">
        <v>0.02</v>
      </c>
      <c r="F85">
        <f t="shared" si="68"/>
        <v>-1.6989700043360187</v>
      </c>
      <c r="G85">
        <f t="shared" si="69"/>
        <v>2.0408163265306124E-2</v>
      </c>
      <c r="H85">
        <f t="shared" si="70"/>
        <v>-1.6901960800285136</v>
      </c>
      <c r="I85">
        <f t="shared" si="71"/>
        <v>0.98</v>
      </c>
      <c r="J85">
        <f t="shared" si="72"/>
        <v>-8.7739243075051505E-3</v>
      </c>
      <c r="K85">
        <f t="shared" si="73"/>
        <v>48.999999999999957</v>
      </c>
      <c r="L85">
        <f t="shared" si="74"/>
        <v>1.6901960800285132</v>
      </c>
      <c r="M85">
        <v>0.01</v>
      </c>
      <c r="N85">
        <f t="shared" si="75"/>
        <v>-2</v>
      </c>
      <c r="O85">
        <f t="shared" si="76"/>
        <v>1.0101010101010102E-2</v>
      </c>
      <c r="P85">
        <f t="shared" si="77"/>
        <v>-1.9956351945975499</v>
      </c>
      <c r="Q85">
        <f t="shared" si="78"/>
        <v>48.979591836734649</v>
      </c>
      <c r="R85">
        <f t="shared" si="79"/>
        <v>1.6900151616830921</v>
      </c>
      <c r="U85">
        <f t="shared" si="80"/>
        <v>-1.6901960800285136</v>
      </c>
      <c r="Y85">
        <f t="shared" si="81"/>
        <v>-1.6989700043360187</v>
      </c>
      <c r="Z85">
        <f t="shared" si="82"/>
        <v>1.9999999999999997E-2</v>
      </c>
      <c r="AA85">
        <f t="shared" si="83"/>
        <v>-1.698970004336019</v>
      </c>
      <c r="AC85" t="s">
        <v>34</v>
      </c>
      <c r="AD85" t="s">
        <v>28</v>
      </c>
      <c r="AE85" t="s">
        <v>10</v>
      </c>
      <c r="AF85">
        <v>363.63636363636363</v>
      </c>
      <c r="AG85">
        <f t="shared" si="51"/>
        <v>2.7500000000000003E-3</v>
      </c>
      <c r="AH85">
        <v>0.03</v>
      </c>
      <c r="AI85">
        <f t="shared" si="52"/>
        <v>-1.5228787452803376</v>
      </c>
      <c r="AL85" t="s">
        <v>29</v>
      </c>
      <c r="AM85" t="s">
        <v>16</v>
      </c>
      <c r="AN85" t="s">
        <v>15</v>
      </c>
      <c r="AP85" s="1"/>
      <c r="AQ85">
        <v>375</v>
      </c>
      <c r="AR85">
        <f t="shared" si="53"/>
        <v>375000000</v>
      </c>
      <c r="AS85">
        <f t="shared" si="54"/>
        <v>8.5740312677277188</v>
      </c>
      <c r="AU85" s="1">
        <v>375000000</v>
      </c>
      <c r="AW85">
        <f t="shared" si="93"/>
        <v>1036.4337279999997</v>
      </c>
      <c r="AX85">
        <f t="shared" si="55"/>
        <v>1.0364337279999997E-27</v>
      </c>
      <c r="AY85">
        <f t="shared" si="56"/>
        <v>-26.984458462488661</v>
      </c>
      <c r="AZ85">
        <f t="shared" si="94"/>
        <v>6</v>
      </c>
      <c r="BA85">
        <f t="shared" si="57"/>
        <v>0.77815125038364363</v>
      </c>
      <c r="BB85">
        <f t="shared" si="95"/>
        <v>1.7238902456543598E-2</v>
      </c>
      <c r="BC85">
        <f t="shared" si="58"/>
        <v>-1.7634903877131636</v>
      </c>
      <c r="BE85">
        <f t="shared" si="84"/>
        <v>823</v>
      </c>
      <c r="BF85">
        <f t="shared" si="59"/>
        <v>1.215066828675577E-3</v>
      </c>
      <c r="BG85">
        <f t="shared" si="85"/>
        <v>1209600</v>
      </c>
      <c r="BH85">
        <f t="shared" si="60"/>
        <v>6.0826417781571314</v>
      </c>
      <c r="BI85" s="1">
        <v>6.5499999999999998E-4</v>
      </c>
      <c r="BJ85">
        <f t="shared" si="61"/>
        <v>-3.1837587000082168</v>
      </c>
      <c r="BK85">
        <v>10</v>
      </c>
      <c r="BL85">
        <f t="shared" si="62"/>
        <v>0.01</v>
      </c>
      <c r="BM85">
        <f t="shared" si="63"/>
        <v>-2</v>
      </c>
      <c r="BN85">
        <v>1.94</v>
      </c>
      <c r="BO85">
        <f t="shared" si="64"/>
        <v>0.28780172993022601</v>
      </c>
      <c r="BQ85">
        <v>87</v>
      </c>
      <c r="BR85">
        <f t="shared" si="65"/>
        <v>1.6878</v>
      </c>
      <c r="BS85">
        <f t="shared" si="66"/>
        <v>0.22732098254884456</v>
      </c>
      <c r="BV85">
        <f>EXP(-1.9)/1000</f>
        <v>1.4956861922263507E-4</v>
      </c>
      <c r="BW85" s="1">
        <f t="shared" si="67"/>
        <v>-3.8251595156161784</v>
      </c>
      <c r="CB85" t="e">
        <f>#REF!+#REF!*AG85+#REF!*BC85+#REF!*AY85</f>
        <v>#REF!</v>
      </c>
      <c r="CD85" s="1" t="e">
        <f t="shared" si="86"/>
        <v>#REF!</v>
      </c>
    </row>
    <row r="86" spans="1:82" ht="16.5" customHeight="1" x14ac:dyDescent="0.25">
      <c r="A86" s="3" t="s">
        <v>61</v>
      </c>
      <c r="B86" t="s">
        <v>30</v>
      </c>
      <c r="C86" t="s">
        <v>36</v>
      </c>
      <c r="E86">
        <v>0.01</v>
      </c>
      <c r="F86">
        <f t="shared" si="68"/>
        <v>-2</v>
      </c>
      <c r="G86">
        <f t="shared" si="69"/>
        <v>1.0101010101010102E-2</v>
      </c>
      <c r="H86">
        <f t="shared" si="70"/>
        <v>-1.9956351945975499</v>
      </c>
      <c r="I86">
        <f t="shared" si="71"/>
        <v>0.99</v>
      </c>
      <c r="J86">
        <f t="shared" si="72"/>
        <v>-4.3648054024500883E-3</v>
      </c>
      <c r="K86">
        <f t="shared" si="73"/>
        <v>98.999999999999915</v>
      </c>
      <c r="L86">
        <f t="shared" si="74"/>
        <v>1.9956351945975495</v>
      </c>
      <c r="M86">
        <v>0.01</v>
      </c>
      <c r="N86">
        <f t="shared" si="75"/>
        <v>-2</v>
      </c>
      <c r="O86">
        <f t="shared" si="76"/>
        <v>1.0101010101010102E-2</v>
      </c>
      <c r="P86">
        <f t="shared" si="77"/>
        <v>-1.9956351945975499</v>
      </c>
      <c r="Q86">
        <f t="shared" si="78"/>
        <v>98.989898989898904</v>
      </c>
      <c r="R86">
        <f t="shared" si="79"/>
        <v>1.9955908810949445</v>
      </c>
      <c r="U86">
        <f t="shared" si="80"/>
        <v>-1.9956351945975499</v>
      </c>
      <c r="Y86">
        <f t="shared" si="81"/>
        <v>-2</v>
      </c>
      <c r="Z86">
        <f t="shared" si="82"/>
        <v>0.02</v>
      </c>
      <c r="AA86">
        <f t="shared" si="83"/>
        <v>-1.6989700043360187</v>
      </c>
      <c r="AC86" t="s">
        <v>36</v>
      </c>
      <c r="AD86" t="s">
        <v>28</v>
      </c>
      <c r="AE86" t="s">
        <v>10</v>
      </c>
      <c r="AF86">
        <v>253.1645569620253</v>
      </c>
      <c r="AG86">
        <f t="shared" si="51"/>
        <v>3.9500000000000004E-3</v>
      </c>
      <c r="AH86">
        <v>0.02</v>
      </c>
      <c r="AI86">
        <f t="shared" si="52"/>
        <v>-1.6989700043360187</v>
      </c>
      <c r="AL86" t="s">
        <v>29</v>
      </c>
      <c r="AM86" t="s">
        <v>16</v>
      </c>
      <c r="AN86" t="s">
        <v>15</v>
      </c>
      <c r="AP86" s="1"/>
      <c r="AQ86">
        <v>375</v>
      </c>
      <c r="AR86">
        <f t="shared" si="53"/>
        <v>375000000</v>
      </c>
      <c r="AS86">
        <f t="shared" si="54"/>
        <v>8.5740312677277188</v>
      </c>
      <c r="AU86" s="1">
        <v>375000000</v>
      </c>
      <c r="AW86">
        <f>10.14^3</f>
        <v>1042.5907440000001</v>
      </c>
      <c r="AX86">
        <f t="shared" si="55"/>
        <v>1.0425907439999999E-27</v>
      </c>
      <c r="AY86">
        <f t="shared" si="56"/>
        <v>-26.981886135008047</v>
      </c>
      <c r="AZ86">
        <f>6/1</f>
        <v>6</v>
      </c>
      <c r="BA86">
        <f t="shared" si="57"/>
        <v>0.77815125038364363</v>
      </c>
      <c r="BB86">
        <f>AZ86/359.8</f>
        <v>1.6675931072818232E-2</v>
      </c>
      <c r="BC86">
        <f t="shared" si="58"/>
        <v>-1.7779099086258889</v>
      </c>
      <c r="BE86">
        <f t="shared" si="84"/>
        <v>823</v>
      </c>
      <c r="BF86">
        <f t="shared" si="59"/>
        <v>1.215066828675577E-3</v>
      </c>
      <c r="BG86">
        <f t="shared" si="85"/>
        <v>1209600</v>
      </c>
      <c r="BH86">
        <f t="shared" si="60"/>
        <v>6.0826417781571314</v>
      </c>
      <c r="BI86" s="1">
        <v>7.0699999999999995E-4</v>
      </c>
      <c r="BJ86">
        <f t="shared" si="61"/>
        <v>-3.1505805862031004</v>
      </c>
      <c r="BK86">
        <v>10</v>
      </c>
      <c r="BL86">
        <f t="shared" si="62"/>
        <v>0.01</v>
      </c>
      <c r="BM86">
        <f t="shared" si="63"/>
        <v>-2</v>
      </c>
      <c r="BN86">
        <v>1.8</v>
      </c>
      <c r="BO86">
        <f t="shared" si="64"/>
        <v>0.25527250510330607</v>
      </c>
      <c r="BQ86">
        <v>79</v>
      </c>
      <c r="BR86">
        <f t="shared" si="65"/>
        <v>1.4220000000000002</v>
      </c>
      <c r="BS86">
        <f t="shared" si="66"/>
        <v>0.15289959639374753</v>
      </c>
      <c r="BV86">
        <f>EXP(-10.9)/1000</f>
        <v>1.8458233995780559E-8</v>
      </c>
      <c r="BW86" s="1">
        <f t="shared" si="67"/>
        <v>-7.7338098527454449</v>
      </c>
      <c r="CB86" t="e">
        <f>#REF!+#REF!*AG86+#REF!*BC86+#REF!*AY86</f>
        <v>#REF!</v>
      </c>
      <c r="CD86" s="1" t="e">
        <f t="shared" si="86"/>
        <v>#REF!</v>
      </c>
    </row>
    <row r="87" spans="1:82" ht="16.5" customHeight="1" x14ac:dyDescent="0.25">
      <c r="A87" s="3" t="s">
        <v>61</v>
      </c>
      <c r="B87" t="s">
        <v>30</v>
      </c>
      <c r="C87" t="s">
        <v>36</v>
      </c>
      <c r="E87">
        <v>0.01</v>
      </c>
      <c r="F87">
        <f t="shared" si="68"/>
        <v>-2</v>
      </c>
      <c r="G87">
        <f t="shared" si="69"/>
        <v>1.0101010101010102E-2</v>
      </c>
      <c r="H87">
        <f t="shared" si="70"/>
        <v>-1.9956351945975499</v>
      </c>
      <c r="I87">
        <f t="shared" si="71"/>
        <v>0.99</v>
      </c>
      <c r="J87">
        <f t="shared" si="72"/>
        <v>-4.3648054024500883E-3</v>
      </c>
      <c r="K87">
        <f t="shared" si="73"/>
        <v>98.999999999999915</v>
      </c>
      <c r="L87">
        <f t="shared" si="74"/>
        <v>1.9956351945975495</v>
      </c>
      <c r="M87">
        <v>0.01</v>
      </c>
      <c r="N87">
        <f t="shared" si="75"/>
        <v>-2</v>
      </c>
      <c r="O87">
        <f t="shared" si="76"/>
        <v>1.0101010101010102E-2</v>
      </c>
      <c r="P87">
        <f t="shared" si="77"/>
        <v>-1.9956351945975499</v>
      </c>
      <c r="Q87">
        <f t="shared" si="78"/>
        <v>98.989898989898904</v>
      </c>
      <c r="R87">
        <f t="shared" si="79"/>
        <v>1.9955908810949445</v>
      </c>
      <c r="U87">
        <f t="shared" si="80"/>
        <v>-1.9956351945975499</v>
      </c>
      <c r="Y87">
        <f t="shared" si="81"/>
        <v>-2</v>
      </c>
      <c r="Z87">
        <f t="shared" si="82"/>
        <v>0.02</v>
      </c>
      <c r="AA87">
        <f t="shared" si="83"/>
        <v>-1.6989700043360187</v>
      </c>
      <c r="AC87" t="s">
        <v>36</v>
      </c>
      <c r="AD87" t="s">
        <v>28</v>
      </c>
      <c r="AE87" t="s">
        <v>10</v>
      </c>
      <c r="AF87">
        <v>263.15789473684214</v>
      </c>
      <c r="AG87">
        <f t="shared" si="51"/>
        <v>3.7999999999999996E-3</v>
      </c>
      <c r="AH87">
        <v>0.02</v>
      </c>
      <c r="AI87">
        <f t="shared" si="52"/>
        <v>-1.6989700043360187</v>
      </c>
      <c r="AL87" t="s">
        <v>29</v>
      </c>
      <c r="AM87" t="s">
        <v>16</v>
      </c>
      <c r="AN87" t="s">
        <v>15</v>
      </c>
      <c r="AP87" s="1"/>
      <c r="AQ87">
        <v>375</v>
      </c>
      <c r="AR87">
        <f t="shared" si="53"/>
        <v>375000000</v>
      </c>
      <c r="AS87">
        <f t="shared" si="54"/>
        <v>8.5740312677277188</v>
      </c>
      <c r="AU87" s="1">
        <v>375000000</v>
      </c>
      <c r="AW87">
        <f t="shared" ref="AW87:AW97" si="96">10.14^3</f>
        <v>1042.5907440000001</v>
      </c>
      <c r="AX87">
        <f t="shared" si="55"/>
        <v>1.0425907439999999E-27</v>
      </c>
      <c r="AY87">
        <f t="shared" si="56"/>
        <v>-26.981886135008047</v>
      </c>
      <c r="AZ87">
        <f t="shared" ref="AZ87:AZ97" si="97">6/1</f>
        <v>6</v>
      </c>
      <c r="BA87">
        <f t="shared" si="57"/>
        <v>0.77815125038364363</v>
      </c>
      <c r="BB87">
        <f>AZ87/359.8</f>
        <v>1.6675931072818232E-2</v>
      </c>
      <c r="BC87">
        <f t="shared" si="58"/>
        <v>-1.7779099086258889</v>
      </c>
      <c r="BE87">
        <f t="shared" si="84"/>
        <v>823</v>
      </c>
      <c r="BF87">
        <f t="shared" si="59"/>
        <v>1.215066828675577E-3</v>
      </c>
      <c r="BG87">
        <f t="shared" si="85"/>
        <v>1209600</v>
      </c>
      <c r="BH87">
        <f t="shared" si="60"/>
        <v>6.0826417781571314</v>
      </c>
      <c r="BI87" s="1">
        <v>7.0699999999999995E-4</v>
      </c>
      <c r="BJ87">
        <f t="shared" si="61"/>
        <v>-3.1505805862031004</v>
      </c>
      <c r="BK87">
        <v>10</v>
      </c>
      <c r="BL87">
        <f t="shared" si="62"/>
        <v>0.01</v>
      </c>
      <c r="BM87">
        <f t="shared" si="63"/>
        <v>-2</v>
      </c>
      <c r="BN87">
        <v>1.8</v>
      </c>
      <c r="BO87">
        <f t="shared" si="64"/>
        <v>0.25527250510330607</v>
      </c>
      <c r="BQ87">
        <v>79</v>
      </c>
      <c r="BR87">
        <f t="shared" si="65"/>
        <v>1.4220000000000002</v>
      </c>
      <c r="BS87">
        <f t="shared" si="66"/>
        <v>0.15289959639374753</v>
      </c>
      <c r="BV87">
        <f>EXP(-10.15)/1000</f>
        <v>3.9076081675708074E-8</v>
      </c>
      <c r="BW87" s="1">
        <f t="shared" si="67"/>
        <v>-7.4080889913180066</v>
      </c>
      <c r="CB87" t="e">
        <f>#REF!+#REF!*AG87+#REF!*BC87+#REF!*AY87</f>
        <v>#REF!</v>
      </c>
      <c r="CD87" s="1" t="e">
        <f t="shared" si="86"/>
        <v>#REF!</v>
      </c>
    </row>
    <row r="88" spans="1:82" ht="16.5" customHeight="1" x14ac:dyDescent="0.25">
      <c r="A88" s="3" t="s">
        <v>61</v>
      </c>
      <c r="B88" t="s">
        <v>30</v>
      </c>
      <c r="C88" t="s">
        <v>36</v>
      </c>
      <c r="E88">
        <v>0.01</v>
      </c>
      <c r="F88">
        <f t="shared" si="68"/>
        <v>-2</v>
      </c>
      <c r="G88">
        <f t="shared" si="69"/>
        <v>1.0101010101010102E-2</v>
      </c>
      <c r="H88">
        <f t="shared" si="70"/>
        <v>-1.9956351945975499</v>
      </c>
      <c r="I88">
        <f t="shared" si="71"/>
        <v>0.99</v>
      </c>
      <c r="J88">
        <f t="shared" si="72"/>
        <v>-4.3648054024500883E-3</v>
      </c>
      <c r="K88">
        <f t="shared" si="73"/>
        <v>98.999999999999915</v>
      </c>
      <c r="L88">
        <f t="shared" si="74"/>
        <v>1.9956351945975495</v>
      </c>
      <c r="M88">
        <v>0.01</v>
      </c>
      <c r="N88">
        <f t="shared" si="75"/>
        <v>-2</v>
      </c>
      <c r="O88">
        <f t="shared" si="76"/>
        <v>1.0101010101010102E-2</v>
      </c>
      <c r="P88">
        <f t="shared" si="77"/>
        <v>-1.9956351945975499</v>
      </c>
      <c r="Q88">
        <f t="shared" si="78"/>
        <v>98.989898989898904</v>
      </c>
      <c r="R88">
        <f t="shared" si="79"/>
        <v>1.9955908810949445</v>
      </c>
      <c r="U88">
        <f t="shared" si="80"/>
        <v>-1.9956351945975499</v>
      </c>
      <c r="Y88">
        <f t="shared" si="81"/>
        <v>-2</v>
      </c>
      <c r="Z88">
        <f t="shared" si="82"/>
        <v>0.02</v>
      </c>
      <c r="AA88">
        <f t="shared" si="83"/>
        <v>-1.6989700043360187</v>
      </c>
      <c r="AC88" t="s">
        <v>36</v>
      </c>
      <c r="AD88" t="s">
        <v>28</v>
      </c>
      <c r="AE88" t="s">
        <v>10</v>
      </c>
      <c r="AF88">
        <v>273.22404371584696</v>
      </c>
      <c r="AG88">
        <f t="shared" ref="AG88:AG110" si="98">1/AF88</f>
        <v>3.6600000000000005E-3</v>
      </c>
      <c r="AH88">
        <v>0.02</v>
      </c>
      <c r="AI88">
        <f t="shared" ref="AI88:AI110" si="99">LOG10(AH88)</f>
        <v>-1.6989700043360187</v>
      </c>
      <c r="AL88" t="s">
        <v>29</v>
      </c>
      <c r="AM88" t="s">
        <v>16</v>
      </c>
      <c r="AN88" t="s">
        <v>15</v>
      </c>
      <c r="AP88" s="1"/>
      <c r="AQ88">
        <v>375</v>
      </c>
      <c r="AR88">
        <f t="shared" ref="AR88:AR110" si="100">AQ88*10^6</f>
        <v>375000000</v>
      </c>
      <c r="AS88">
        <f t="shared" ref="AS88:AS110" si="101">LOG10(AR88)</f>
        <v>8.5740312677277188</v>
      </c>
      <c r="AU88" s="1">
        <v>375000000</v>
      </c>
      <c r="AW88">
        <f t="shared" si="96"/>
        <v>1042.5907440000001</v>
      </c>
      <c r="AX88">
        <f t="shared" ref="AX88:AX110" si="102">AW88*10^-30</f>
        <v>1.0425907439999999E-27</v>
      </c>
      <c r="AY88">
        <f t="shared" ref="AY88:AY110" si="103">LOG10(AX88)</f>
        <v>-26.981886135008047</v>
      </c>
      <c r="AZ88">
        <f t="shared" si="97"/>
        <v>6</v>
      </c>
      <c r="BA88">
        <f t="shared" ref="BA88:BA110" si="104">LOG10(AZ88)</f>
        <v>0.77815125038364363</v>
      </c>
      <c r="BB88">
        <f t="shared" ref="BB88:BB97" si="105">AZ88/359.8</f>
        <v>1.6675931072818232E-2</v>
      </c>
      <c r="BC88">
        <f t="shared" ref="BC88:BC110" si="106">LOG10(BB88)</f>
        <v>-1.7779099086258889</v>
      </c>
      <c r="BE88">
        <f t="shared" si="84"/>
        <v>823</v>
      </c>
      <c r="BF88">
        <f t="shared" ref="BF88:BF110" si="107">1/BE88</f>
        <v>1.215066828675577E-3</v>
      </c>
      <c r="BG88">
        <f t="shared" si="85"/>
        <v>1209600</v>
      </c>
      <c r="BH88">
        <f t="shared" ref="BH88:BH110" si="108">LOG(BG88)</f>
        <v>6.0826417781571314</v>
      </c>
      <c r="BI88" s="1">
        <v>7.0699999999999995E-4</v>
      </c>
      <c r="BJ88">
        <f t="shared" ref="BJ88:BJ110" si="109">LOG10(BI88)</f>
        <v>-3.1505805862031004</v>
      </c>
      <c r="BK88">
        <v>10</v>
      </c>
      <c r="BL88">
        <f t="shared" ref="BL88:BL110" si="110">BK88*10^-3</f>
        <v>0.01</v>
      </c>
      <c r="BM88">
        <f t="shared" ref="BM88:BM110" si="111">LOG10(BL88)</f>
        <v>-2</v>
      </c>
      <c r="BN88">
        <v>1.8</v>
      </c>
      <c r="BO88">
        <f t="shared" ref="BO88:BO110" si="112">LOG10(BN88)</f>
        <v>0.25527250510330607</v>
      </c>
      <c r="BQ88">
        <v>79</v>
      </c>
      <c r="BR88">
        <f t="shared" ref="BR88:BR110" si="113">BQ88/100*BN88</f>
        <v>1.4220000000000002</v>
      </c>
      <c r="BS88">
        <f t="shared" ref="BS88:BS110" si="114">LOG10(BR88)</f>
        <v>0.15289959639374753</v>
      </c>
      <c r="BV88">
        <f>EXP(-9.5)/1000</f>
        <v>7.4851829887700603E-8</v>
      </c>
      <c r="BW88" s="1">
        <f t="shared" ref="BW88:BW110" si="115">LOG10(BV88)</f>
        <v>-7.125797578080892</v>
      </c>
      <c r="CB88" t="e">
        <f>#REF!+#REF!*AG88+#REF!*BC88+#REF!*AY88</f>
        <v>#REF!</v>
      </c>
      <c r="CD88" s="1" t="e">
        <f t="shared" si="86"/>
        <v>#REF!</v>
      </c>
    </row>
    <row r="89" spans="1:82" ht="16.5" customHeight="1" x14ac:dyDescent="0.25">
      <c r="A89" s="3" t="s">
        <v>61</v>
      </c>
      <c r="B89" t="s">
        <v>30</v>
      </c>
      <c r="C89" t="s">
        <v>36</v>
      </c>
      <c r="E89">
        <v>0.01</v>
      </c>
      <c r="F89">
        <f t="shared" si="68"/>
        <v>-2</v>
      </c>
      <c r="G89">
        <f t="shared" si="69"/>
        <v>1.0101010101010102E-2</v>
      </c>
      <c r="H89">
        <f t="shared" si="70"/>
        <v>-1.9956351945975499</v>
      </c>
      <c r="I89">
        <f t="shared" si="71"/>
        <v>0.99</v>
      </c>
      <c r="J89">
        <f t="shared" si="72"/>
        <v>-4.3648054024500883E-3</v>
      </c>
      <c r="K89">
        <f t="shared" si="73"/>
        <v>98.999999999999915</v>
      </c>
      <c r="L89">
        <f t="shared" si="74"/>
        <v>1.9956351945975495</v>
      </c>
      <c r="M89">
        <v>0.01</v>
      </c>
      <c r="N89">
        <f t="shared" si="75"/>
        <v>-2</v>
      </c>
      <c r="O89">
        <f t="shared" si="76"/>
        <v>1.0101010101010102E-2</v>
      </c>
      <c r="P89">
        <f t="shared" si="77"/>
        <v>-1.9956351945975499</v>
      </c>
      <c r="Q89">
        <f t="shared" si="78"/>
        <v>98.989898989898904</v>
      </c>
      <c r="R89">
        <f t="shared" si="79"/>
        <v>1.9955908810949445</v>
      </c>
      <c r="U89">
        <f t="shared" si="80"/>
        <v>-1.9956351945975499</v>
      </c>
      <c r="Y89">
        <f t="shared" si="81"/>
        <v>-2</v>
      </c>
      <c r="Z89">
        <f t="shared" si="82"/>
        <v>0.02</v>
      </c>
      <c r="AA89">
        <f t="shared" si="83"/>
        <v>-1.6989700043360187</v>
      </c>
      <c r="AC89" t="s">
        <v>36</v>
      </c>
      <c r="AD89" t="s">
        <v>28</v>
      </c>
      <c r="AE89" t="s">
        <v>10</v>
      </c>
      <c r="AF89">
        <v>283.28611898016999</v>
      </c>
      <c r="AG89">
        <f t="shared" si="98"/>
        <v>3.5299999999999997E-3</v>
      </c>
      <c r="AH89">
        <v>0.02</v>
      </c>
      <c r="AI89">
        <f t="shared" si="99"/>
        <v>-1.6989700043360187</v>
      </c>
      <c r="AL89" t="s">
        <v>29</v>
      </c>
      <c r="AM89" t="s">
        <v>16</v>
      </c>
      <c r="AN89" t="s">
        <v>15</v>
      </c>
      <c r="AP89" s="1"/>
      <c r="AQ89">
        <v>375</v>
      </c>
      <c r="AR89">
        <f t="shared" si="100"/>
        <v>375000000</v>
      </c>
      <c r="AS89">
        <f t="shared" si="101"/>
        <v>8.5740312677277188</v>
      </c>
      <c r="AU89" s="1">
        <v>375000000</v>
      </c>
      <c r="AW89">
        <f t="shared" si="96"/>
        <v>1042.5907440000001</v>
      </c>
      <c r="AX89">
        <f t="shared" si="102"/>
        <v>1.0425907439999999E-27</v>
      </c>
      <c r="AY89">
        <f t="shared" si="103"/>
        <v>-26.981886135008047</v>
      </c>
      <c r="AZ89">
        <f t="shared" si="97"/>
        <v>6</v>
      </c>
      <c r="BA89">
        <f t="shared" si="104"/>
        <v>0.77815125038364363</v>
      </c>
      <c r="BB89">
        <f t="shared" si="105"/>
        <v>1.6675931072818232E-2</v>
      </c>
      <c r="BC89">
        <f t="shared" si="106"/>
        <v>-1.7779099086258889</v>
      </c>
      <c r="BE89">
        <f t="shared" si="84"/>
        <v>823</v>
      </c>
      <c r="BF89">
        <f t="shared" si="107"/>
        <v>1.215066828675577E-3</v>
      </c>
      <c r="BG89">
        <f t="shared" si="85"/>
        <v>1209600</v>
      </c>
      <c r="BH89">
        <f t="shared" si="108"/>
        <v>6.0826417781571314</v>
      </c>
      <c r="BI89" s="1">
        <v>7.0699999999999995E-4</v>
      </c>
      <c r="BJ89">
        <f t="shared" si="109"/>
        <v>-3.1505805862031004</v>
      </c>
      <c r="BK89">
        <v>10</v>
      </c>
      <c r="BL89">
        <f t="shared" si="110"/>
        <v>0.01</v>
      </c>
      <c r="BM89">
        <f t="shared" si="111"/>
        <v>-2</v>
      </c>
      <c r="BN89">
        <v>1.8</v>
      </c>
      <c r="BO89">
        <f t="shared" si="112"/>
        <v>0.25527250510330607</v>
      </c>
      <c r="BQ89">
        <v>79</v>
      </c>
      <c r="BR89">
        <f t="shared" si="113"/>
        <v>1.4220000000000002</v>
      </c>
      <c r="BS89">
        <f t="shared" si="114"/>
        <v>0.15289959639374753</v>
      </c>
      <c r="BV89">
        <f>EXP(-8.85)/1000</f>
        <v>1.4338173627629318E-7</v>
      </c>
      <c r="BW89" s="1">
        <f t="shared" si="115"/>
        <v>-6.8435061648437783</v>
      </c>
      <c r="CB89" t="e">
        <f>#REF!+#REF!*AG89+#REF!*BC89+#REF!*AY89</f>
        <v>#REF!</v>
      </c>
      <c r="CD89" s="1" t="e">
        <f t="shared" si="86"/>
        <v>#REF!</v>
      </c>
    </row>
    <row r="90" spans="1:82" ht="16.5" customHeight="1" x14ac:dyDescent="0.25">
      <c r="A90" s="3" t="s">
        <v>61</v>
      </c>
      <c r="B90" t="s">
        <v>30</v>
      </c>
      <c r="C90" t="s">
        <v>36</v>
      </c>
      <c r="E90">
        <v>0.01</v>
      </c>
      <c r="F90">
        <f t="shared" si="68"/>
        <v>-2</v>
      </c>
      <c r="G90">
        <f t="shared" si="69"/>
        <v>1.0101010101010102E-2</v>
      </c>
      <c r="H90">
        <f t="shared" si="70"/>
        <v>-1.9956351945975499</v>
      </c>
      <c r="I90">
        <f t="shared" si="71"/>
        <v>0.99</v>
      </c>
      <c r="J90">
        <f t="shared" si="72"/>
        <v>-4.3648054024500883E-3</v>
      </c>
      <c r="K90">
        <f t="shared" si="73"/>
        <v>98.999999999999915</v>
      </c>
      <c r="L90">
        <f t="shared" si="74"/>
        <v>1.9956351945975495</v>
      </c>
      <c r="M90">
        <v>0.01</v>
      </c>
      <c r="N90">
        <f t="shared" si="75"/>
        <v>-2</v>
      </c>
      <c r="O90">
        <f t="shared" si="76"/>
        <v>1.0101010101010102E-2</v>
      </c>
      <c r="P90">
        <f t="shared" si="77"/>
        <v>-1.9956351945975499</v>
      </c>
      <c r="Q90">
        <f t="shared" si="78"/>
        <v>98.989898989898904</v>
      </c>
      <c r="R90">
        <f t="shared" si="79"/>
        <v>1.9955908810949445</v>
      </c>
      <c r="U90">
        <f t="shared" si="80"/>
        <v>-1.9956351945975499</v>
      </c>
      <c r="Y90">
        <f t="shared" si="81"/>
        <v>-2</v>
      </c>
      <c r="Z90">
        <f t="shared" si="82"/>
        <v>0.02</v>
      </c>
      <c r="AA90">
        <f t="shared" si="83"/>
        <v>-1.6989700043360187</v>
      </c>
      <c r="AC90" t="s">
        <v>36</v>
      </c>
      <c r="AD90" t="s">
        <v>28</v>
      </c>
      <c r="AE90" t="s">
        <v>10</v>
      </c>
      <c r="AF90">
        <v>293.25513196480938</v>
      </c>
      <c r="AG90">
        <f t="shared" si="98"/>
        <v>3.4100000000000003E-3</v>
      </c>
      <c r="AH90">
        <v>0.02</v>
      </c>
      <c r="AI90">
        <f t="shared" si="99"/>
        <v>-1.6989700043360187</v>
      </c>
      <c r="AL90" t="s">
        <v>29</v>
      </c>
      <c r="AM90" t="s">
        <v>16</v>
      </c>
      <c r="AN90" t="s">
        <v>15</v>
      </c>
      <c r="AP90" s="1"/>
      <c r="AQ90">
        <v>375</v>
      </c>
      <c r="AR90">
        <f t="shared" si="100"/>
        <v>375000000</v>
      </c>
      <c r="AS90">
        <f t="shared" si="101"/>
        <v>8.5740312677277188</v>
      </c>
      <c r="AU90" s="1">
        <v>375000000</v>
      </c>
      <c r="AW90">
        <f t="shared" si="96"/>
        <v>1042.5907440000001</v>
      </c>
      <c r="AX90">
        <f t="shared" si="102"/>
        <v>1.0425907439999999E-27</v>
      </c>
      <c r="AY90">
        <f t="shared" si="103"/>
        <v>-26.981886135008047</v>
      </c>
      <c r="AZ90">
        <f t="shared" si="97"/>
        <v>6</v>
      </c>
      <c r="BA90">
        <f t="shared" si="104"/>
        <v>0.77815125038364363</v>
      </c>
      <c r="BB90">
        <f t="shared" si="105"/>
        <v>1.6675931072818232E-2</v>
      </c>
      <c r="BC90">
        <f t="shared" si="106"/>
        <v>-1.7779099086258889</v>
      </c>
      <c r="BE90">
        <f t="shared" si="84"/>
        <v>823</v>
      </c>
      <c r="BF90">
        <f t="shared" si="107"/>
        <v>1.215066828675577E-3</v>
      </c>
      <c r="BG90">
        <f t="shared" si="85"/>
        <v>1209600</v>
      </c>
      <c r="BH90">
        <f t="shared" si="108"/>
        <v>6.0826417781571314</v>
      </c>
      <c r="BI90" s="1">
        <v>7.0699999999999995E-4</v>
      </c>
      <c r="BJ90">
        <f t="shared" si="109"/>
        <v>-3.1505805862031004</v>
      </c>
      <c r="BK90">
        <v>10</v>
      </c>
      <c r="BL90">
        <f t="shared" si="110"/>
        <v>0.01</v>
      </c>
      <c r="BM90">
        <f t="shared" si="111"/>
        <v>-2</v>
      </c>
      <c r="BN90">
        <v>1.8</v>
      </c>
      <c r="BO90">
        <f t="shared" si="112"/>
        <v>0.25527250510330607</v>
      </c>
      <c r="BQ90">
        <v>79</v>
      </c>
      <c r="BR90">
        <f t="shared" si="113"/>
        <v>1.4220000000000002</v>
      </c>
      <c r="BS90">
        <f t="shared" si="114"/>
        <v>0.15289959639374753</v>
      </c>
      <c r="BV90">
        <f>EXP(-8.2)/1000</f>
        <v>2.7465356997214254E-7</v>
      </c>
      <c r="BW90" s="1">
        <f t="shared" si="115"/>
        <v>-6.5612147516066646</v>
      </c>
      <c r="CB90" t="e">
        <f>#REF!+#REF!*AG90+#REF!*BC90+#REF!*AY90</f>
        <v>#REF!</v>
      </c>
      <c r="CD90" s="1" t="e">
        <f t="shared" si="86"/>
        <v>#REF!</v>
      </c>
    </row>
    <row r="91" spans="1:82" ht="16.5" customHeight="1" x14ac:dyDescent="0.25">
      <c r="A91" s="3" t="s">
        <v>61</v>
      </c>
      <c r="B91" t="s">
        <v>30</v>
      </c>
      <c r="C91" t="s">
        <v>36</v>
      </c>
      <c r="E91">
        <v>0.01</v>
      </c>
      <c r="F91">
        <f t="shared" si="68"/>
        <v>-2</v>
      </c>
      <c r="G91">
        <f t="shared" si="69"/>
        <v>1.0101010101010102E-2</v>
      </c>
      <c r="H91">
        <f t="shared" si="70"/>
        <v>-1.9956351945975499</v>
      </c>
      <c r="I91">
        <f t="shared" si="71"/>
        <v>0.99</v>
      </c>
      <c r="J91">
        <f t="shared" si="72"/>
        <v>-4.3648054024500883E-3</v>
      </c>
      <c r="K91">
        <f t="shared" si="73"/>
        <v>98.999999999999915</v>
      </c>
      <c r="L91">
        <f t="shared" si="74"/>
        <v>1.9956351945975495</v>
      </c>
      <c r="M91">
        <v>0.01</v>
      </c>
      <c r="N91">
        <f t="shared" si="75"/>
        <v>-2</v>
      </c>
      <c r="O91">
        <f t="shared" si="76"/>
        <v>1.0101010101010102E-2</v>
      </c>
      <c r="P91">
        <f t="shared" si="77"/>
        <v>-1.9956351945975499</v>
      </c>
      <c r="Q91">
        <f t="shared" si="78"/>
        <v>98.989898989898904</v>
      </c>
      <c r="R91">
        <f t="shared" si="79"/>
        <v>1.9955908810949445</v>
      </c>
      <c r="U91">
        <f t="shared" si="80"/>
        <v>-1.9956351945975499</v>
      </c>
      <c r="Y91">
        <f t="shared" si="81"/>
        <v>-2</v>
      </c>
      <c r="Z91">
        <f t="shared" si="82"/>
        <v>0.02</v>
      </c>
      <c r="AA91">
        <f t="shared" si="83"/>
        <v>-1.6989700043360187</v>
      </c>
      <c r="AC91" t="s">
        <v>36</v>
      </c>
      <c r="AD91" t="s">
        <v>28</v>
      </c>
      <c r="AE91" t="s">
        <v>10</v>
      </c>
      <c r="AF91">
        <v>303.03030303030306</v>
      </c>
      <c r="AG91">
        <f t="shared" si="98"/>
        <v>3.2999999999999995E-3</v>
      </c>
      <c r="AH91">
        <v>0.02</v>
      </c>
      <c r="AI91">
        <f t="shared" si="99"/>
        <v>-1.6989700043360187</v>
      </c>
      <c r="AL91" t="s">
        <v>29</v>
      </c>
      <c r="AM91" t="s">
        <v>16</v>
      </c>
      <c r="AN91" t="s">
        <v>15</v>
      </c>
      <c r="AP91" s="1"/>
      <c r="AQ91">
        <v>375</v>
      </c>
      <c r="AR91">
        <f t="shared" si="100"/>
        <v>375000000</v>
      </c>
      <c r="AS91">
        <f t="shared" si="101"/>
        <v>8.5740312677277188</v>
      </c>
      <c r="AU91" s="1">
        <v>375000000</v>
      </c>
      <c r="AW91">
        <f t="shared" si="96"/>
        <v>1042.5907440000001</v>
      </c>
      <c r="AX91">
        <f t="shared" si="102"/>
        <v>1.0425907439999999E-27</v>
      </c>
      <c r="AY91">
        <f t="shared" si="103"/>
        <v>-26.981886135008047</v>
      </c>
      <c r="AZ91">
        <f t="shared" si="97"/>
        <v>6</v>
      </c>
      <c r="BA91">
        <f t="shared" si="104"/>
        <v>0.77815125038364363</v>
      </c>
      <c r="BB91">
        <f t="shared" si="105"/>
        <v>1.6675931072818232E-2</v>
      </c>
      <c r="BC91">
        <f t="shared" si="106"/>
        <v>-1.7779099086258889</v>
      </c>
      <c r="BE91">
        <f t="shared" si="84"/>
        <v>823</v>
      </c>
      <c r="BF91">
        <f t="shared" si="107"/>
        <v>1.215066828675577E-3</v>
      </c>
      <c r="BG91">
        <f t="shared" si="85"/>
        <v>1209600</v>
      </c>
      <c r="BH91">
        <f t="shared" si="108"/>
        <v>6.0826417781571314</v>
      </c>
      <c r="BI91" s="1">
        <v>7.0699999999999995E-4</v>
      </c>
      <c r="BJ91">
        <f t="shared" si="109"/>
        <v>-3.1505805862031004</v>
      </c>
      <c r="BK91">
        <v>10</v>
      </c>
      <c r="BL91">
        <f t="shared" si="110"/>
        <v>0.01</v>
      </c>
      <c r="BM91">
        <f t="shared" si="111"/>
        <v>-2</v>
      </c>
      <c r="BN91">
        <v>1.8</v>
      </c>
      <c r="BO91">
        <f t="shared" si="112"/>
        <v>0.25527250510330607</v>
      </c>
      <c r="BQ91">
        <v>79</v>
      </c>
      <c r="BR91">
        <f t="shared" si="113"/>
        <v>1.4220000000000002</v>
      </c>
      <c r="BS91">
        <f t="shared" si="114"/>
        <v>0.15289959639374753</v>
      </c>
      <c r="BV91">
        <f>EXP(-7.6)/1000</f>
        <v>5.0045143344061078E-7</v>
      </c>
      <c r="BW91" s="1">
        <f t="shared" si="115"/>
        <v>-6.3006380624647136</v>
      </c>
      <c r="CB91" t="e">
        <f>#REF!+#REF!*AG91+#REF!*BC91+#REF!*AY91</f>
        <v>#REF!</v>
      </c>
      <c r="CD91" s="1" t="e">
        <f t="shared" si="86"/>
        <v>#REF!</v>
      </c>
    </row>
    <row r="92" spans="1:82" ht="16.5" customHeight="1" x14ac:dyDescent="0.25">
      <c r="A92" s="3" t="s">
        <v>61</v>
      </c>
      <c r="B92" t="s">
        <v>30</v>
      </c>
      <c r="C92" t="s">
        <v>36</v>
      </c>
      <c r="E92">
        <v>0.01</v>
      </c>
      <c r="F92">
        <f t="shared" si="68"/>
        <v>-2</v>
      </c>
      <c r="G92">
        <f t="shared" si="69"/>
        <v>1.0101010101010102E-2</v>
      </c>
      <c r="H92">
        <f t="shared" si="70"/>
        <v>-1.9956351945975499</v>
      </c>
      <c r="I92">
        <f t="shared" si="71"/>
        <v>0.99</v>
      </c>
      <c r="J92">
        <f t="shared" si="72"/>
        <v>-4.3648054024500883E-3</v>
      </c>
      <c r="K92">
        <f t="shared" si="73"/>
        <v>98.999999999999915</v>
      </c>
      <c r="L92">
        <f t="shared" si="74"/>
        <v>1.9956351945975495</v>
      </c>
      <c r="M92">
        <v>0.01</v>
      </c>
      <c r="N92">
        <f t="shared" si="75"/>
        <v>-2</v>
      </c>
      <c r="O92">
        <f t="shared" si="76"/>
        <v>1.0101010101010102E-2</v>
      </c>
      <c r="P92">
        <f t="shared" si="77"/>
        <v>-1.9956351945975499</v>
      </c>
      <c r="Q92">
        <f t="shared" si="78"/>
        <v>98.989898989898904</v>
      </c>
      <c r="R92">
        <f t="shared" si="79"/>
        <v>1.9955908810949445</v>
      </c>
      <c r="U92">
        <f t="shared" si="80"/>
        <v>-1.9956351945975499</v>
      </c>
      <c r="Y92">
        <f t="shared" si="81"/>
        <v>-2</v>
      </c>
      <c r="Z92">
        <f t="shared" si="82"/>
        <v>0.02</v>
      </c>
      <c r="AA92">
        <f t="shared" si="83"/>
        <v>-1.6989700043360187</v>
      </c>
      <c r="AC92" t="s">
        <v>36</v>
      </c>
      <c r="AD92" t="s">
        <v>28</v>
      </c>
      <c r="AE92" t="s">
        <v>10</v>
      </c>
      <c r="AF92">
        <v>312.5</v>
      </c>
      <c r="AG92">
        <f t="shared" si="98"/>
        <v>3.2000000000000002E-3</v>
      </c>
      <c r="AH92">
        <v>0.02</v>
      </c>
      <c r="AI92">
        <f t="shared" si="99"/>
        <v>-1.6989700043360187</v>
      </c>
      <c r="AL92" t="s">
        <v>29</v>
      </c>
      <c r="AM92" t="s">
        <v>16</v>
      </c>
      <c r="AN92" t="s">
        <v>15</v>
      </c>
      <c r="AP92" s="1"/>
      <c r="AQ92">
        <v>375</v>
      </c>
      <c r="AR92">
        <f t="shared" si="100"/>
        <v>375000000</v>
      </c>
      <c r="AS92">
        <f t="shared" si="101"/>
        <v>8.5740312677277188</v>
      </c>
      <c r="AU92" s="1">
        <v>375000000</v>
      </c>
      <c r="AW92">
        <f t="shared" si="96"/>
        <v>1042.5907440000001</v>
      </c>
      <c r="AX92">
        <f t="shared" si="102"/>
        <v>1.0425907439999999E-27</v>
      </c>
      <c r="AY92">
        <f t="shared" si="103"/>
        <v>-26.981886135008047</v>
      </c>
      <c r="AZ92">
        <f t="shared" si="97"/>
        <v>6</v>
      </c>
      <c r="BA92">
        <f t="shared" si="104"/>
        <v>0.77815125038364363</v>
      </c>
      <c r="BB92">
        <f t="shared" si="105"/>
        <v>1.6675931072818232E-2</v>
      </c>
      <c r="BC92">
        <f t="shared" si="106"/>
        <v>-1.7779099086258889</v>
      </c>
      <c r="BE92">
        <f t="shared" si="84"/>
        <v>823</v>
      </c>
      <c r="BF92">
        <f t="shared" si="107"/>
        <v>1.215066828675577E-3</v>
      </c>
      <c r="BG92">
        <f t="shared" si="85"/>
        <v>1209600</v>
      </c>
      <c r="BH92">
        <f t="shared" si="108"/>
        <v>6.0826417781571314</v>
      </c>
      <c r="BI92" s="1">
        <v>7.0699999999999995E-4</v>
      </c>
      <c r="BJ92">
        <f t="shared" si="109"/>
        <v>-3.1505805862031004</v>
      </c>
      <c r="BK92">
        <v>10</v>
      </c>
      <c r="BL92">
        <f t="shared" si="110"/>
        <v>0.01</v>
      </c>
      <c r="BM92">
        <f t="shared" si="111"/>
        <v>-2</v>
      </c>
      <c r="BN92">
        <v>1.8</v>
      </c>
      <c r="BO92">
        <f t="shared" si="112"/>
        <v>0.25527250510330607</v>
      </c>
      <c r="BQ92">
        <v>79</v>
      </c>
      <c r="BR92">
        <f t="shared" si="113"/>
        <v>1.4220000000000002</v>
      </c>
      <c r="BS92">
        <f t="shared" si="114"/>
        <v>0.15289959639374753</v>
      </c>
      <c r="BV92">
        <f>EXP(-7)/1000</f>
        <v>9.1188196555451628E-7</v>
      </c>
      <c r="BW92" s="1">
        <f t="shared" si="115"/>
        <v>-6.0400613733227626</v>
      </c>
      <c r="CB92" t="e">
        <f>#REF!+#REF!*AG92+#REF!*BC92+#REF!*AY92</f>
        <v>#REF!</v>
      </c>
      <c r="CD92" s="1" t="e">
        <f t="shared" si="86"/>
        <v>#REF!</v>
      </c>
    </row>
    <row r="93" spans="1:82" ht="16.5" customHeight="1" x14ac:dyDescent="0.25">
      <c r="A93" s="3" t="s">
        <v>61</v>
      </c>
      <c r="B93" t="s">
        <v>30</v>
      </c>
      <c r="C93" t="s">
        <v>36</v>
      </c>
      <c r="E93">
        <v>0.01</v>
      </c>
      <c r="F93">
        <f t="shared" si="68"/>
        <v>-2</v>
      </c>
      <c r="G93">
        <f t="shared" si="69"/>
        <v>1.0101010101010102E-2</v>
      </c>
      <c r="H93">
        <f t="shared" si="70"/>
        <v>-1.9956351945975499</v>
      </c>
      <c r="I93">
        <f t="shared" si="71"/>
        <v>0.99</v>
      </c>
      <c r="J93">
        <f t="shared" si="72"/>
        <v>-4.3648054024500883E-3</v>
      </c>
      <c r="K93">
        <f t="shared" si="73"/>
        <v>98.999999999999915</v>
      </c>
      <c r="L93">
        <f t="shared" si="74"/>
        <v>1.9956351945975495</v>
      </c>
      <c r="M93">
        <v>0.01</v>
      </c>
      <c r="N93">
        <f t="shared" si="75"/>
        <v>-2</v>
      </c>
      <c r="O93">
        <f t="shared" si="76"/>
        <v>1.0101010101010102E-2</v>
      </c>
      <c r="P93">
        <f t="shared" si="77"/>
        <v>-1.9956351945975499</v>
      </c>
      <c r="Q93">
        <f t="shared" si="78"/>
        <v>98.989898989898904</v>
      </c>
      <c r="R93">
        <f t="shared" si="79"/>
        <v>1.9955908810949445</v>
      </c>
      <c r="U93">
        <f t="shared" si="80"/>
        <v>-1.9956351945975499</v>
      </c>
      <c r="Y93">
        <f t="shared" si="81"/>
        <v>-2</v>
      </c>
      <c r="Z93">
        <f t="shared" si="82"/>
        <v>0.02</v>
      </c>
      <c r="AA93">
        <f t="shared" si="83"/>
        <v>-1.6989700043360187</v>
      </c>
      <c r="AC93" t="s">
        <v>36</v>
      </c>
      <c r="AD93" t="s">
        <v>28</v>
      </c>
      <c r="AE93" t="s">
        <v>10</v>
      </c>
      <c r="AF93">
        <v>322.58064516129031</v>
      </c>
      <c r="AG93">
        <f t="shared" si="98"/>
        <v>3.1000000000000003E-3</v>
      </c>
      <c r="AH93">
        <v>0.02</v>
      </c>
      <c r="AI93">
        <f t="shared" si="99"/>
        <v>-1.6989700043360187</v>
      </c>
      <c r="AL93" t="s">
        <v>29</v>
      </c>
      <c r="AM93" t="s">
        <v>16</v>
      </c>
      <c r="AN93" t="s">
        <v>15</v>
      </c>
      <c r="AP93" s="1"/>
      <c r="AQ93">
        <v>375</v>
      </c>
      <c r="AR93">
        <f t="shared" si="100"/>
        <v>375000000</v>
      </c>
      <c r="AS93">
        <f t="shared" si="101"/>
        <v>8.5740312677277188</v>
      </c>
      <c r="AU93" s="1">
        <v>375000000</v>
      </c>
      <c r="AW93">
        <f t="shared" si="96"/>
        <v>1042.5907440000001</v>
      </c>
      <c r="AX93">
        <f t="shared" si="102"/>
        <v>1.0425907439999999E-27</v>
      </c>
      <c r="AY93">
        <f t="shared" si="103"/>
        <v>-26.981886135008047</v>
      </c>
      <c r="AZ93">
        <f t="shared" si="97"/>
        <v>6</v>
      </c>
      <c r="BA93">
        <f t="shared" si="104"/>
        <v>0.77815125038364363</v>
      </c>
      <c r="BB93">
        <f t="shared" si="105"/>
        <v>1.6675931072818232E-2</v>
      </c>
      <c r="BC93">
        <f t="shared" si="106"/>
        <v>-1.7779099086258889</v>
      </c>
      <c r="BE93">
        <f t="shared" si="84"/>
        <v>823</v>
      </c>
      <c r="BF93">
        <f t="shared" si="107"/>
        <v>1.215066828675577E-3</v>
      </c>
      <c r="BG93">
        <f t="shared" si="85"/>
        <v>1209600</v>
      </c>
      <c r="BH93">
        <f t="shared" si="108"/>
        <v>6.0826417781571314</v>
      </c>
      <c r="BI93" s="1">
        <v>7.0699999999999995E-4</v>
      </c>
      <c r="BJ93">
        <f t="shared" si="109"/>
        <v>-3.1505805862031004</v>
      </c>
      <c r="BK93">
        <v>10</v>
      </c>
      <c r="BL93">
        <f t="shared" si="110"/>
        <v>0.01</v>
      </c>
      <c r="BM93">
        <f t="shared" si="111"/>
        <v>-2</v>
      </c>
      <c r="BN93">
        <v>1.8</v>
      </c>
      <c r="BO93">
        <f t="shared" si="112"/>
        <v>0.25527250510330607</v>
      </c>
      <c r="BQ93">
        <v>79</v>
      </c>
      <c r="BR93">
        <f t="shared" si="113"/>
        <v>1.4220000000000002</v>
      </c>
      <c r="BS93">
        <f t="shared" si="114"/>
        <v>0.15289959639374753</v>
      </c>
      <c r="BV93">
        <f>EXP(-6.5)/1000</f>
        <v>1.5034391929775723E-6</v>
      </c>
      <c r="BW93" s="1">
        <f t="shared" si="115"/>
        <v>-5.8229141323711371</v>
      </c>
      <c r="CB93" t="e">
        <f>#REF!+#REF!*AG93+#REF!*BC93+#REF!*AY93</f>
        <v>#REF!</v>
      </c>
      <c r="CD93" s="1" t="e">
        <f t="shared" si="86"/>
        <v>#REF!</v>
      </c>
    </row>
    <row r="94" spans="1:82" ht="16.5" customHeight="1" x14ac:dyDescent="0.25">
      <c r="A94" s="3" t="s">
        <v>61</v>
      </c>
      <c r="B94" t="s">
        <v>30</v>
      </c>
      <c r="C94" t="s">
        <v>36</v>
      </c>
      <c r="E94">
        <v>0.01</v>
      </c>
      <c r="F94">
        <f t="shared" si="68"/>
        <v>-2</v>
      </c>
      <c r="G94">
        <f t="shared" si="69"/>
        <v>1.0101010101010102E-2</v>
      </c>
      <c r="H94">
        <f t="shared" si="70"/>
        <v>-1.9956351945975499</v>
      </c>
      <c r="I94">
        <f t="shared" si="71"/>
        <v>0.99</v>
      </c>
      <c r="J94">
        <f t="shared" si="72"/>
        <v>-4.3648054024500883E-3</v>
      </c>
      <c r="K94">
        <f t="shared" si="73"/>
        <v>98.999999999999915</v>
      </c>
      <c r="L94">
        <f t="shared" si="74"/>
        <v>1.9956351945975495</v>
      </c>
      <c r="M94">
        <v>0.01</v>
      </c>
      <c r="N94">
        <f t="shared" si="75"/>
        <v>-2</v>
      </c>
      <c r="O94">
        <f t="shared" si="76"/>
        <v>1.0101010101010102E-2</v>
      </c>
      <c r="P94">
        <f t="shared" si="77"/>
        <v>-1.9956351945975499</v>
      </c>
      <c r="Q94">
        <f t="shared" si="78"/>
        <v>98.989898989898904</v>
      </c>
      <c r="R94">
        <f t="shared" si="79"/>
        <v>1.9955908810949445</v>
      </c>
      <c r="U94">
        <f t="shared" si="80"/>
        <v>-1.9956351945975499</v>
      </c>
      <c r="Y94">
        <f t="shared" si="81"/>
        <v>-2</v>
      </c>
      <c r="Z94">
        <f t="shared" si="82"/>
        <v>0.02</v>
      </c>
      <c r="AA94">
        <f t="shared" si="83"/>
        <v>-1.6989700043360187</v>
      </c>
      <c r="AC94" t="s">
        <v>36</v>
      </c>
      <c r="AD94" t="s">
        <v>28</v>
      </c>
      <c r="AE94" t="s">
        <v>10</v>
      </c>
      <c r="AF94">
        <v>333.33333333333331</v>
      </c>
      <c r="AG94">
        <f t="shared" si="98"/>
        <v>3.0000000000000001E-3</v>
      </c>
      <c r="AH94">
        <v>0.02</v>
      </c>
      <c r="AI94">
        <f t="shared" si="99"/>
        <v>-1.6989700043360187</v>
      </c>
      <c r="AL94" t="s">
        <v>29</v>
      </c>
      <c r="AM94" t="s">
        <v>16</v>
      </c>
      <c r="AN94" t="s">
        <v>15</v>
      </c>
      <c r="AP94" s="1"/>
      <c r="AQ94">
        <v>375</v>
      </c>
      <c r="AR94">
        <f t="shared" si="100"/>
        <v>375000000</v>
      </c>
      <c r="AS94">
        <f t="shared" si="101"/>
        <v>8.5740312677277188</v>
      </c>
      <c r="AU94" s="1">
        <v>375000000</v>
      </c>
      <c r="AW94">
        <f t="shared" si="96"/>
        <v>1042.5907440000001</v>
      </c>
      <c r="AX94">
        <f t="shared" si="102"/>
        <v>1.0425907439999999E-27</v>
      </c>
      <c r="AY94">
        <f t="shared" si="103"/>
        <v>-26.981886135008047</v>
      </c>
      <c r="AZ94">
        <f t="shared" si="97"/>
        <v>6</v>
      </c>
      <c r="BA94">
        <f t="shared" si="104"/>
        <v>0.77815125038364363</v>
      </c>
      <c r="BB94">
        <f t="shared" si="105"/>
        <v>1.6675931072818232E-2</v>
      </c>
      <c r="BC94">
        <f t="shared" si="106"/>
        <v>-1.7779099086258889</v>
      </c>
      <c r="BE94">
        <f t="shared" si="84"/>
        <v>823</v>
      </c>
      <c r="BF94">
        <f t="shared" si="107"/>
        <v>1.215066828675577E-3</v>
      </c>
      <c r="BG94">
        <f t="shared" si="85"/>
        <v>1209600</v>
      </c>
      <c r="BH94">
        <f t="shared" si="108"/>
        <v>6.0826417781571314</v>
      </c>
      <c r="BI94" s="1">
        <v>7.0699999999999995E-4</v>
      </c>
      <c r="BJ94">
        <f t="shared" si="109"/>
        <v>-3.1505805862031004</v>
      </c>
      <c r="BK94">
        <v>10</v>
      </c>
      <c r="BL94">
        <f t="shared" si="110"/>
        <v>0.01</v>
      </c>
      <c r="BM94">
        <f t="shared" si="111"/>
        <v>-2</v>
      </c>
      <c r="BN94">
        <v>1.8</v>
      </c>
      <c r="BO94">
        <f t="shared" si="112"/>
        <v>0.25527250510330607</v>
      </c>
      <c r="BQ94">
        <v>79</v>
      </c>
      <c r="BR94">
        <f t="shared" si="113"/>
        <v>1.4220000000000002</v>
      </c>
      <c r="BS94">
        <f t="shared" si="114"/>
        <v>0.15289959639374753</v>
      </c>
      <c r="BV94">
        <f>EXP(-6)/1000</f>
        <v>2.4787521766663583E-6</v>
      </c>
      <c r="BW94" s="1">
        <f t="shared" si="115"/>
        <v>-5.6057668914195107</v>
      </c>
      <c r="CB94" t="e">
        <f>#REF!+#REF!*AG94+#REF!*BC94+#REF!*AY94</f>
        <v>#REF!</v>
      </c>
      <c r="CD94" s="1" t="e">
        <f t="shared" si="86"/>
        <v>#REF!</v>
      </c>
    </row>
    <row r="95" spans="1:82" ht="16.5" customHeight="1" x14ac:dyDescent="0.25">
      <c r="A95" s="3" t="s">
        <v>61</v>
      </c>
      <c r="B95" t="s">
        <v>30</v>
      </c>
      <c r="C95" t="s">
        <v>36</v>
      </c>
      <c r="E95">
        <v>0.01</v>
      </c>
      <c r="F95">
        <f t="shared" si="68"/>
        <v>-2</v>
      </c>
      <c r="G95">
        <f t="shared" ref="G95:G110" si="116">E95/(1-E95)</f>
        <v>1.0101010101010102E-2</v>
      </c>
      <c r="H95">
        <f t="shared" si="70"/>
        <v>-1.9956351945975499</v>
      </c>
      <c r="I95">
        <f t="shared" ref="I95:I110" si="117">1-E95</f>
        <v>0.99</v>
      </c>
      <c r="J95">
        <f t="shared" si="72"/>
        <v>-4.3648054024500883E-3</v>
      </c>
      <c r="K95">
        <f t="shared" ref="K95:K110" si="118">I95/(1-I95)</f>
        <v>98.999999999999915</v>
      </c>
      <c r="L95">
        <f t="shared" si="74"/>
        <v>1.9956351945975495</v>
      </c>
      <c r="M95">
        <v>0.01</v>
      </c>
      <c r="N95">
        <f t="shared" si="75"/>
        <v>-2</v>
      </c>
      <c r="O95">
        <f t="shared" ref="O95:O110" si="119">M95/(1-M95)</f>
        <v>1.0101010101010102E-2</v>
      </c>
      <c r="P95">
        <f t="shared" si="77"/>
        <v>-1.9956351945975499</v>
      </c>
      <c r="Q95">
        <f t="shared" si="78"/>
        <v>98.989898989898904</v>
      </c>
      <c r="R95">
        <f t="shared" si="79"/>
        <v>1.9955908810949445</v>
      </c>
      <c r="U95">
        <f t="shared" ref="U95:U110" si="120">LOG10(G95)</f>
        <v>-1.9956351945975499</v>
      </c>
      <c r="Y95">
        <f t="shared" ref="Y95:Y110" si="121">LOG10(E95)</f>
        <v>-2</v>
      </c>
      <c r="Z95">
        <f t="shared" ref="Z95:Z110" si="122">AH95-E95+0.01</f>
        <v>0.02</v>
      </c>
      <c r="AA95">
        <f t="shared" si="83"/>
        <v>-1.6989700043360187</v>
      </c>
      <c r="AC95" t="s">
        <v>36</v>
      </c>
      <c r="AD95" t="s">
        <v>28</v>
      </c>
      <c r="AE95" t="s">
        <v>10</v>
      </c>
      <c r="AF95">
        <v>343.64261168384877</v>
      </c>
      <c r="AG95">
        <f t="shared" si="98"/>
        <v>2.9100000000000003E-3</v>
      </c>
      <c r="AH95">
        <v>0.02</v>
      </c>
      <c r="AI95">
        <f t="shared" si="99"/>
        <v>-1.6989700043360187</v>
      </c>
      <c r="AL95" t="s">
        <v>29</v>
      </c>
      <c r="AM95" t="s">
        <v>16</v>
      </c>
      <c r="AN95" t="s">
        <v>15</v>
      </c>
      <c r="AP95" s="1"/>
      <c r="AQ95">
        <v>375</v>
      </c>
      <c r="AR95">
        <f t="shared" si="100"/>
        <v>375000000</v>
      </c>
      <c r="AS95">
        <f t="shared" si="101"/>
        <v>8.5740312677277188</v>
      </c>
      <c r="AU95" s="1">
        <v>375000000</v>
      </c>
      <c r="AW95">
        <f t="shared" si="96"/>
        <v>1042.5907440000001</v>
      </c>
      <c r="AX95">
        <f t="shared" si="102"/>
        <v>1.0425907439999999E-27</v>
      </c>
      <c r="AY95">
        <f t="shared" si="103"/>
        <v>-26.981886135008047</v>
      </c>
      <c r="AZ95">
        <f t="shared" si="97"/>
        <v>6</v>
      </c>
      <c r="BA95">
        <f t="shared" si="104"/>
        <v>0.77815125038364363</v>
      </c>
      <c r="BB95">
        <f t="shared" si="105"/>
        <v>1.6675931072818232E-2</v>
      </c>
      <c r="BC95">
        <f t="shared" si="106"/>
        <v>-1.7779099086258889</v>
      </c>
      <c r="BE95">
        <f t="shared" si="84"/>
        <v>823</v>
      </c>
      <c r="BF95">
        <f t="shared" si="107"/>
        <v>1.215066828675577E-3</v>
      </c>
      <c r="BG95">
        <f t="shared" si="85"/>
        <v>1209600</v>
      </c>
      <c r="BH95">
        <f t="shared" si="108"/>
        <v>6.0826417781571314</v>
      </c>
      <c r="BI95" s="1">
        <v>7.0699999999999995E-4</v>
      </c>
      <c r="BJ95">
        <f t="shared" si="109"/>
        <v>-3.1505805862031004</v>
      </c>
      <c r="BK95">
        <v>10</v>
      </c>
      <c r="BL95">
        <f t="shared" si="110"/>
        <v>0.01</v>
      </c>
      <c r="BM95">
        <f t="shared" si="111"/>
        <v>-2</v>
      </c>
      <c r="BN95">
        <v>1.8</v>
      </c>
      <c r="BO95">
        <f t="shared" si="112"/>
        <v>0.25527250510330607</v>
      </c>
      <c r="BQ95">
        <v>79</v>
      </c>
      <c r="BR95">
        <f t="shared" si="113"/>
        <v>1.4220000000000002</v>
      </c>
      <c r="BS95">
        <f t="shared" si="114"/>
        <v>0.15289959639374753</v>
      </c>
      <c r="BV95">
        <f>EXP(-5.45)/1000</f>
        <v>4.2963046907523395E-6</v>
      </c>
      <c r="BW95" s="1">
        <f t="shared" si="115"/>
        <v>-5.3669049263727224</v>
      </c>
      <c r="CB95" t="e">
        <f>#REF!+#REF!*AG95+#REF!*BC95+#REF!*AY95</f>
        <v>#REF!</v>
      </c>
      <c r="CD95" s="1" t="e">
        <f t="shared" ref="CD95:CD110" si="123">(CB95-BW95)^2</f>
        <v>#REF!</v>
      </c>
    </row>
    <row r="96" spans="1:82" ht="16.5" customHeight="1" x14ac:dyDescent="0.25">
      <c r="A96" s="3" t="s">
        <v>61</v>
      </c>
      <c r="B96" t="s">
        <v>30</v>
      </c>
      <c r="C96" t="s">
        <v>36</v>
      </c>
      <c r="E96">
        <v>0.01</v>
      </c>
      <c r="F96">
        <f t="shared" ref="F96:F110" si="124">LOG10(E96)</f>
        <v>-2</v>
      </c>
      <c r="G96">
        <f t="shared" si="116"/>
        <v>1.0101010101010102E-2</v>
      </c>
      <c r="H96">
        <f t="shared" ref="H96:H110" si="125">LOG10(G96)</f>
        <v>-1.9956351945975499</v>
      </c>
      <c r="I96">
        <f t="shared" si="117"/>
        <v>0.99</v>
      </c>
      <c r="J96">
        <f t="shared" ref="J96:J110" si="126">LOG10(I96)</f>
        <v>-4.3648054024500883E-3</v>
      </c>
      <c r="K96">
        <f t="shared" si="118"/>
        <v>98.999999999999915</v>
      </c>
      <c r="L96">
        <f t="shared" ref="L96:L110" si="127">LOG10(K96)</f>
        <v>1.9956351945975495</v>
      </c>
      <c r="M96">
        <v>0.01</v>
      </c>
      <c r="N96">
        <f t="shared" ref="N96:N110" si="128">LOG10(M96)</f>
        <v>-2</v>
      </c>
      <c r="O96">
        <f t="shared" si="119"/>
        <v>1.0101010101010102E-2</v>
      </c>
      <c r="P96">
        <f t="shared" ref="P96:P110" si="129">LOG10(O96)</f>
        <v>-1.9956351945975499</v>
      </c>
      <c r="Q96">
        <f t="shared" ref="Q96:Q110" si="130">ABS(G96-K96)</f>
        <v>98.989898989898904</v>
      </c>
      <c r="R96">
        <f t="shared" ref="R96:R110" si="131">LOG10(Q96)</f>
        <v>1.9955908810949445</v>
      </c>
      <c r="U96">
        <f t="shared" si="120"/>
        <v>-1.9956351945975499</v>
      </c>
      <c r="Y96">
        <f t="shared" si="121"/>
        <v>-2</v>
      </c>
      <c r="Z96">
        <f t="shared" si="122"/>
        <v>0.02</v>
      </c>
      <c r="AA96">
        <f t="shared" ref="AA96:AA110" si="132">LOG10(Z96)</f>
        <v>-1.6989700043360187</v>
      </c>
      <c r="AC96" t="s">
        <v>36</v>
      </c>
      <c r="AD96" t="s">
        <v>28</v>
      </c>
      <c r="AE96" t="s">
        <v>10</v>
      </c>
      <c r="AF96">
        <v>353.35689045936397</v>
      </c>
      <c r="AG96">
        <f t="shared" si="98"/>
        <v>2.8300000000000001E-3</v>
      </c>
      <c r="AH96">
        <v>0.02</v>
      </c>
      <c r="AI96">
        <f t="shared" si="99"/>
        <v>-1.6989700043360187</v>
      </c>
      <c r="AL96" t="s">
        <v>29</v>
      </c>
      <c r="AM96" t="s">
        <v>16</v>
      </c>
      <c r="AN96" t="s">
        <v>15</v>
      </c>
      <c r="AP96" s="1"/>
      <c r="AQ96">
        <v>375</v>
      </c>
      <c r="AR96">
        <f t="shared" si="100"/>
        <v>375000000</v>
      </c>
      <c r="AS96">
        <f t="shared" si="101"/>
        <v>8.5740312677277188</v>
      </c>
      <c r="AU96" s="1">
        <v>375000000</v>
      </c>
      <c r="AW96">
        <f t="shared" si="96"/>
        <v>1042.5907440000001</v>
      </c>
      <c r="AX96">
        <f t="shared" si="102"/>
        <v>1.0425907439999999E-27</v>
      </c>
      <c r="AY96">
        <f t="shared" si="103"/>
        <v>-26.981886135008047</v>
      </c>
      <c r="AZ96">
        <f t="shared" si="97"/>
        <v>6</v>
      </c>
      <c r="BA96">
        <f t="shared" si="104"/>
        <v>0.77815125038364363</v>
      </c>
      <c r="BB96">
        <f t="shared" si="105"/>
        <v>1.6675931072818232E-2</v>
      </c>
      <c r="BC96">
        <f t="shared" si="106"/>
        <v>-1.7779099086258889</v>
      </c>
      <c r="BE96">
        <f t="shared" ref="BE96:BE110" si="133">550+273</f>
        <v>823</v>
      </c>
      <c r="BF96">
        <f t="shared" si="107"/>
        <v>1.215066828675577E-3</v>
      </c>
      <c r="BG96">
        <f t="shared" ref="BG96:BG110" si="134">2*7*24*60*60</f>
        <v>1209600</v>
      </c>
      <c r="BH96">
        <f t="shared" si="108"/>
        <v>6.0826417781571314</v>
      </c>
      <c r="BI96" s="1">
        <v>7.0699999999999995E-4</v>
      </c>
      <c r="BJ96">
        <f t="shared" si="109"/>
        <v>-3.1505805862031004</v>
      </c>
      <c r="BK96">
        <v>10</v>
      </c>
      <c r="BL96">
        <f t="shared" si="110"/>
        <v>0.01</v>
      </c>
      <c r="BM96">
        <f t="shared" si="111"/>
        <v>-2</v>
      </c>
      <c r="BN96">
        <v>1.8</v>
      </c>
      <c r="BO96">
        <f t="shared" si="112"/>
        <v>0.25527250510330607</v>
      </c>
      <c r="BQ96">
        <v>79</v>
      </c>
      <c r="BR96">
        <f t="shared" si="113"/>
        <v>1.4220000000000002</v>
      </c>
      <c r="BS96">
        <f t="shared" si="114"/>
        <v>0.15289959639374753</v>
      </c>
      <c r="BV96">
        <f>EXP(-5)/1000</f>
        <v>6.7379469990854667E-6</v>
      </c>
      <c r="BW96" s="1">
        <f t="shared" si="115"/>
        <v>-5.1714724095162588</v>
      </c>
      <c r="CB96" t="e">
        <f>#REF!+#REF!*AG96+#REF!*BC96+#REF!*AY96</f>
        <v>#REF!</v>
      </c>
      <c r="CD96" s="1" t="e">
        <f t="shared" si="123"/>
        <v>#REF!</v>
      </c>
    </row>
    <row r="97" spans="1:82" ht="16.5" customHeight="1" x14ac:dyDescent="0.25">
      <c r="A97" s="3" t="s">
        <v>61</v>
      </c>
      <c r="B97" t="s">
        <v>30</v>
      </c>
      <c r="C97" t="s">
        <v>36</v>
      </c>
      <c r="E97">
        <v>0.01</v>
      </c>
      <c r="F97">
        <f t="shared" si="124"/>
        <v>-2</v>
      </c>
      <c r="G97">
        <f t="shared" si="116"/>
        <v>1.0101010101010102E-2</v>
      </c>
      <c r="H97">
        <f t="shared" si="125"/>
        <v>-1.9956351945975499</v>
      </c>
      <c r="I97">
        <f t="shared" si="117"/>
        <v>0.99</v>
      </c>
      <c r="J97">
        <f t="shared" si="126"/>
        <v>-4.3648054024500883E-3</v>
      </c>
      <c r="K97">
        <f t="shared" si="118"/>
        <v>98.999999999999915</v>
      </c>
      <c r="L97">
        <f t="shared" si="127"/>
        <v>1.9956351945975495</v>
      </c>
      <c r="M97">
        <v>0.01</v>
      </c>
      <c r="N97">
        <f t="shared" si="128"/>
        <v>-2</v>
      </c>
      <c r="O97">
        <f t="shared" si="119"/>
        <v>1.0101010101010102E-2</v>
      </c>
      <c r="P97">
        <f t="shared" si="129"/>
        <v>-1.9956351945975499</v>
      </c>
      <c r="Q97">
        <f t="shared" si="130"/>
        <v>98.989898989898904</v>
      </c>
      <c r="R97">
        <f t="shared" si="131"/>
        <v>1.9955908810949445</v>
      </c>
      <c r="U97">
        <f t="shared" si="120"/>
        <v>-1.9956351945975499</v>
      </c>
      <c r="Y97">
        <f t="shared" si="121"/>
        <v>-2</v>
      </c>
      <c r="Z97">
        <f t="shared" si="122"/>
        <v>0.02</v>
      </c>
      <c r="AA97">
        <f t="shared" si="132"/>
        <v>-1.6989700043360187</v>
      </c>
      <c r="AC97" t="s">
        <v>36</v>
      </c>
      <c r="AD97" t="s">
        <v>28</v>
      </c>
      <c r="AE97" t="s">
        <v>10</v>
      </c>
      <c r="AF97">
        <v>363.63636363636363</v>
      </c>
      <c r="AG97">
        <f t="shared" si="98"/>
        <v>2.7500000000000003E-3</v>
      </c>
      <c r="AH97">
        <v>0.02</v>
      </c>
      <c r="AI97">
        <f t="shared" si="99"/>
        <v>-1.6989700043360187</v>
      </c>
      <c r="AL97" t="s">
        <v>29</v>
      </c>
      <c r="AM97" t="s">
        <v>16</v>
      </c>
      <c r="AN97" t="s">
        <v>15</v>
      </c>
      <c r="AP97" s="1"/>
      <c r="AQ97">
        <v>375</v>
      </c>
      <c r="AR97">
        <f t="shared" si="100"/>
        <v>375000000</v>
      </c>
      <c r="AS97">
        <f t="shared" si="101"/>
        <v>8.5740312677277188</v>
      </c>
      <c r="AU97" s="1">
        <v>375000000</v>
      </c>
      <c r="AW97">
        <f t="shared" si="96"/>
        <v>1042.5907440000001</v>
      </c>
      <c r="AX97">
        <f t="shared" si="102"/>
        <v>1.0425907439999999E-27</v>
      </c>
      <c r="AY97">
        <f t="shared" si="103"/>
        <v>-26.981886135008047</v>
      </c>
      <c r="AZ97">
        <f t="shared" si="97"/>
        <v>6</v>
      </c>
      <c r="BA97">
        <f t="shared" si="104"/>
        <v>0.77815125038364363</v>
      </c>
      <c r="BB97">
        <f t="shared" si="105"/>
        <v>1.6675931072818232E-2</v>
      </c>
      <c r="BC97">
        <f t="shared" si="106"/>
        <v>-1.7779099086258889</v>
      </c>
      <c r="BE97">
        <f t="shared" si="133"/>
        <v>823</v>
      </c>
      <c r="BF97">
        <f t="shared" si="107"/>
        <v>1.215066828675577E-3</v>
      </c>
      <c r="BG97">
        <f t="shared" si="134"/>
        <v>1209600</v>
      </c>
      <c r="BH97">
        <f t="shared" si="108"/>
        <v>6.0826417781571314</v>
      </c>
      <c r="BI97" s="1">
        <v>7.0699999999999995E-4</v>
      </c>
      <c r="BJ97">
        <f t="shared" si="109"/>
        <v>-3.1505805862031004</v>
      </c>
      <c r="BK97">
        <v>10</v>
      </c>
      <c r="BL97">
        <f t="shared" si="110"/>
        <v>0.01</v>
      </c>
      <c r="BM97">
        <f t="shared" si="111"/>
        <v>-2</v>
      </c>
      <c r="BN97">
        <v>1.8</v>
      </c>
      <c r="BO97">
        <f t="shared" si="112"/>
        <v>0.25527250510330607</v>
      </c>
      <c r="BQ97">
        <v>79</v>
      </c>
      <c r="BR97">
        <f t="shared" si="113"/>
        <v>1.4220000000000002</v>
      </c>
      <c r="BS97">
        <f t="shared" si="114"/>
        <v>0.15289959639374753</v>
      </c>
      <c r="BV97">
        <f>EXP(-4.5)/1000</f>
        <v>1.1108996538242306E-5</v>
      </c>
      <c r="BW97" s="1">
        <f t="shared" si="115"/>
        <v>-4.9543251685646332</v>
      </c>
      <c r="CB97" t="e">
        <f>#REF!+#REF!*AG97+#REF!*BC97+#REF!*AY97</f>
        <v>#REF!</v>
      </c>
      <c r="CD97" s="1" t="e">
        <f t="shared" si="123"/>
        <v>#REF!</v>
      </c>
    </row>
    <row r="98" spans="1:82" ht="16.5" customHeight="1" x14ac:dyDescent="0.25">
      <c r="A98" s="3" t="s">
        <v>61</v>
      </c>
      <c r="B98" t="s">
        <v>31</v>
      </c>
      <c r="C98" t="s">
        <v>32</v>
      </c>
      <c r="E98">
        <v>0.62</v>
      </c>
      <c r="F98">
        <f t="shared" si="124"/>
        <v>-0.20760831050174613</v>
      </c>
      <c r="G98">
        <f t="shared" si="116"/>
        <v>1.631578947368421</v>
      </c>
      <c r="H98">
        <f t="shared" si="125"/>
        <v>0.21260809288144372</v>
      </c>
      <c r="I98">
        <f t="shared" si="117"/>
        <v>0.38</v>
      </c>
      <c r="J98">
        <f t="shared" si="126"/>
        <v>-0.42021640338318983</v>
      </c>
      <c r="K98">
        <f t="shared" si="118"/>
        <v>0.61290322580645162</v>
      </c>
      <c r="L98">
        <f t="shared" si="127"/>
        <v>-0.21260809288144372</v>
      </c>
      <c r="M98">
        <v>0.01</v>
      </c>
      <c r="N98">
        <f t="shared" si="128"/>
        <v>-2</v>
      </c>
      <c r="O98">
        <f t="shared" si="119"/>
        <v>1.0101010101010102E-2</v>
      </c>
      <c r="P98">
        <f t="shared" si="129"/>
        <v>-1.9956351945975499</v>
      </c>
      <c r="Q98">
        <f t="shared" si="130"/>
        <v>1.0186757215619693</v>
      </c>
      <c r="R98">
        <f t="shared" si="131"/>
        <v>8.0359555965419244E-3</v>
      </c>
      <c r="U98">
        <f t="shared" si="120"/>
        <v>0.21260809288144372</v>
      </c>
      <c r="Y98">
        <f t="shared" si="121"/>
        <v>-0.20760831050174613</v>
      </c>
      <c r="Z98">
        <f t="shared" si="122"/>
        <v>0.01</v>
      </c>
      <c r="AA98">
        <f t="shared" si="132"/>
        <v>-2</v>
      </c>
      <c r="AC98" t="s">
        <v>32</v>
      </c>
      <c r="AD98" t="s">
        <v>28</v>
      </c>
      <c r="AE98" t="s">
        <v>10</v>
      </c>
      <c r="AF98">
        <f>1000/3.8</f>
        <v>263.15789473684214</v>
      </c>
      <c r="AG98">
        <f t="shared" si="98"/>
        <v>3.7999999999999996E-3</v>
      </c>
      <c r="AH98">
        <v>0.62</v>
      </c>
      <c r="AI98">
        <f t="shared" si="99"/>
        <v>-0.20760831050174613</v>
      </c>
      <c r="AL98" t="s">
        <v>29</v>
      </c>
      <c r="AM98" t="s">
        <v>16</v>
      </c>
      <c r="AN98" t="s">
        <v>38</v>
      </c>
      <c r="AO98" s="1">
        <v>75000000</v>
      </c>
      <c r="AP98" s="1">
        <f t="shared" ref="AP98:AP110" si="135">LOG10(AO98)</f>
        <v>7.8750612633917001</v>
      </c>
      <c r="AQ98">
        <v>370</v>
      </c>
      <c r="AR98">
        <f t="shared" si="100"/>
        <v>370000000</v>
      </c>
      <c r="AS98">
        <f t="shared" si="101"/>
        <v>8.568201724066995</v>
      </c>
      <c r="AU98" s="1">
        <v>370000000</v>
      </c>
      <c r="AW98">
        <f t="shared" ref="AW98:AW105" si="136">9.86^3</f>
        <v>958.58525599999984</v>
      </c>
      <c r="AX98">
        <f t="shared" si="102"/>
        <v>9.5858525599999981E-28</v>
      </c>
      <c r="AY98">
        <f t="shared" si="103"/>
        <v>-27.018369255176367</v>
      </c>
      <c r="AZ98">
        <v>6</v>
      </c>
      <c r="BA98">
        <f t="shared" si="104"/>
        <v>0.77815125038364363</v>
      </c>
      <c r="BB98">
        <f t="shared" ref="BB98:BB105" si="137">6/268.4</f>
        <v>2.2354694485842028E-2</v>
      </c>
      <c r="BC98">
        <f t="shared" si="106"/>
        <v>-1.6506312611133107</v>
      </c>
      <c r="BE98">
        <f t="shared" si="133"/>
        <v>823</v>
      </c>
      <c r="BF98">
        <f t="shared" si="107"/>
        <v>1.215066828675577E-3</v>
      </c>
      <c r="BG98">
        <f t="shared" si="134"/>
        <v>1209600</v>
      </c>
      <c r="BH98">
        <f t="shared" si="108"/>
        <v>6.0826417781571314</v>
      </c>
      <c r="BI98" s="1">
        <v>1E-3</v>
      </c>
      <c r="BJ98">
        <f t="shared" si="109"/>
        <v>-3</v>
      </c>
      <c r="BK98">
        <v>100</v>
      </c>
      <c r="BL98">
        <f t="shared" si="110"/>
        <v>0.1</v>
      </c>
      <c r="BM98">
        <f t="shared" si="111"/>
        <v>-1</v>
      </c>
      <c r="BN98">
        <v>1.77</v>
      </c>
      <c r="BO98">
        <f t="shared" si="112"/>
        <v>0.24797326636180664</v>
      </c>
      <c r="BQ98">
        <v>95</v>
      </c>
      <c r="BR98">
        <f t="shared" si="113"/>
        <v>1.6815</v>
      </c>
      <c r="BS98">
        <f t="shared" si="114"/>
        <v>0.22569687165065438</v>
      </c>
      <c r="BV98">
        <f>EXP(-2.3)/1000</f>
        <v>1.0025884372280374E-4</v>
      </c>
      <c r="BW98" s="1">
        <f t="shared" si="115"/>
        <v>-3.9988773083774793</v>
      </c>
      <c r="CB98" t="e">
        <f>#REF!+#REF!*AG98+#REF!*BC98+#REF!*AY98</f>
        <v>#REF!</v>
      </c>
      <c r="CD98" s="1" t="e">
        <f t="shared" si="123"/>
        <v>#REF!</v>
      </c>
    </row>
    <row r="99" spans="1:82" ht="16.5" customHeight="1" x14ac:dyDescent="0.25">
      <c r="A99" s="3" t="s">
        <v>61</v>
      </c>
      <c r="B99" t="s">
        <v>31</v>
      </c>
      <c r="C99" t="s">
        <v>32</v>
      </c>
      <c r="E99">
        <v>0.62</v>
      </c>
      <c r="F99">
        <f t="shared" si="124"/>
        <v>-0.20760831050174613</v>
      </c>
      <c r="G99">
        <f t="shared" si="116"/>
        <v>1.631578947368421</v>
      </c>
      <c r="H99">
        <f t="shared" si="125"/>
        <v>0.21260809288144372</v>
      </c>
      <c r="I99">
        <f t="shared" si="117"/>
        <v>0.38</v>
      </c>
      <c r="J99">
        <f t="shared" si="126"/>
        <v>-0.42021640338318983</v>
      </c>
      <c r="K99">
        <f t="shared" si="118"/>
        <v>0.61290322580645162</v>
      </c>
      <c r="L99">
        <f t="shared" si="127"/>
        <v>-0.21260809288144372</v>
      </c>
      <c r="M99">
        <v>0.01</v>
      </c>
      <c r="N99">
        <f t="shared" si="128"/>
        <v>-2</v>
      </c>
      <c r="O99">
        <f t="shared" si="119"/>
        <v>1.0101010101010102E-2</v>
      </c>
      <c r="P99">
        <f t="shared" si="129"/>
        <v>-1.9956351945975499</v>
      </c>
      <c r="Q99">
        <f t="shared" si="130"/>
        <v>1.0186757215619693</v>
      </c>
      <c r="R99">
        <f t="shared" si="131"/>
        <v>8.0359555965419244E-3</v>
      </c>
      <c r="U99">
        <f t="shared" si="120"/>
        <v>0.21260809288144372</v>
      </c>
      <c r="Y99">
        <f t="shared" si="121"/>
        <v>-0.20760831050174613</v>
      </c>
      <c r="Z99">
        <f t="shared" si="122"/>
        <v>0.01</v>
      </c>
      <c r="AA99">
        <f t="shared" si="132"/>
        <v>-2</v>
      </c>
      <c r="AC99" t="s">
        <v>32</v>
      </c>
      <c r="AD99" t="s">
        <v>28</v>
      </c>
      <c r="AE99" t="s">
        <v>10</v>
      </c>
      <c r="AF99">
        <f>1000/3.675</f>
        <v>272.108843537415</v>
      </c>
      <c r="AG99">
        <f t="shared" si="98"/>
        <v>3.6749999999999994E-3</v>
      </c>
      <c r="AH99">
        <v>0.62</v>
      </c>
      <c r="AI99">
        <f t="shared" si="99"/>
        <v>-0.20760831050174613</v>
      </c>
      <c r="AL99" t="s">
        <v>29</v>
      </c>
      <c r="AM99" t="s">
        <v>16</v>
      </c>
      <c r="AN99" t="s">
        <v>38</v>
      </c>
      <c r="AO99" s="1">
        <v>75000000</v>
      </c>
      <c r="AP99" s="1">
        <f t="shared" si="135"/>
        <v>7.8750612633917001</v>
      </c>
      <c r="AQ99">
        <v>370</v>
      </c>
      <c r="AR99">
        <f t="shared" si="100"/>
        <v>370000000</v>
      </c>
      <c r="AS99">
        <f t="shared" si="101"/>
        <v>8.568201724066995</v>
      </c>
      <c r="AU99" s="1">
        <v>370000000</v>
      </c>
      <c r="AW99">
        <f t="shared" si="136"/>
        <v>958.58525599999984</v>
      </c>
      <c r="AX99">
        <f t="shared" si="102"/>
        <v>9.5858525599999981E-28</v>
      </c>
      <c r="AY99">
        <f t="shared" si="103"/>
        <v>-27.018369255176367</v>
      </c>
      <c r="AZ99">
        <v>6</v>
      </c>
      <c r="BA99">
        <f t="shared" si="104"/>
        <v>0.77815125038364363</v>
      </c>
      <c r="BB99">
        <f t="shared" si="137"/>
        <v>2.2354694485842028E-2</v>
      </c>
      <c r="BC99">
        <f t="shared" si="106"/>
        <v>-1.6506312611133107</v>
      </c>
      <c r="BE99">
        <f t="shared" si="133"/>
        <v>823</v>
      </c>
      <c r="BF99">
        <f t="shared" si="107"/>
        <v>1.215066828675577E-3</v>
      </c>
      <c r="BG99">
        <f t="shared" si="134"/>
        <v>1209600</v>
      </c>
      <c r="BH99">
        <f t="shared" si="108"/>
        <v>6.0826417781571314</v>
      </c>
      <c r="BI99" s="1">
        <v>1E-3</v>
      </c>
      <c r="BJ99">
        <f t="shared" si="109"/>
        <v>-3</v>
      </c>
      <c r="BK99">
        <v>100</v>
      </c>
      <c r="BL99">
        <f t="shared" si="110"/>
        <v>0.1</v>
      </c>
      <c r="BM99">
        <f t="shared" si="111"/>
        <v>-1</v>
      </c>
      <c r="BN99">
        <v>1.77</v>
      </c>
      <c r="BO99">
        <f t="shared" si="112"/>
        <v>0.24797326636180664</v>
      </c>
      <c r="BQ99">
        <v>95</v>
      </c>
      <c r="BR99">
        <f t="shared" si="113"/>
        <v>1.6815</v>
      </c>
      <c r="BS99">
        <f t="shared" si="114"/>
        <v>0.22569687165065438</v>
      </c>
      <c r="BV99">
        <f>EXP(-1.75)/1000</f>
        <v>1.7377394345044513E-4</v>
      </c>
      <c r="BW99" s="1">
        <f t="shared" si="115"/>
        <v>-3.7600153433306907</v>
      </c>
      <c r="CB99" t="e">
        <f>#REF!+#REF!*AG99+#REF!*BC99+#REF!*AY99</f>
        <v>#REF!</v>
      </c>
      <c r="CD99" s="1" t="e">
        <f t="shared" si="123"/>
        <v>#REF!</v>
      </c>
    </row>
    <row r="100" spans="1:82" ht="16.5" customHeight="1" x14ac:dyDescent="0.25">
      <c r="A100" s="3" t="s">
        <v>61</v>
      </c>
      <c r="B100" t="s">
        <v>31</v>
      </c>
      <c r="C100" t="s">
        <v>32</v>
      </c>
      <c r="E100">
        <v>0.62</v>
      </c>
      <c r="F100">
        <f t="shared" si="124"/>
        <v>-0.20760831050174613</v>
      </c>
      <c r="G100">
        <f t="shared" si="116"/>
        <v>1.631578947368421</v>
      </c>
      <c r="H100">
        <f t="shared" si="125"/>
        <v>0.21260809288144372</v>
      </c>
      <c r="I100">
        <f t="shared" si="117"/>
        <v>0.38</v>
      </c>
      <c r="J100">
        <f t="shared" si="126"/>
        <v>-0.42021640338318983</v>
      </c>
      <c r="K100">
        <f t="shared" si="118"/>
        <v>0.61290322580645162</v>
      </c>
      <c r="L100">
        <f t="shared" si="127"/>
        <v>-0.21260809288144372</v>
      </c>
      <c r="M100">
        <v>0.01</v>
      </c>
      <c r="N100">
        <f t="shared" si="128"/>
        <v>-2</v>
      </c>
      <c r="O100">
        <f t="shared" si="119"/>
        <v>1.0101010101010102E-2</v>
      </c>
      <c r="P100">
        <f t="shared" si="129"/>
        <v>-1.9956351945975499</v>
      </c>
      <c r="Q100">
        <f t="shared" si="130"/>
        <v>1.0186757215619693</v>
      </c>
      <c r="R100">
        <f t="shared" si="131"/>
        <v>8.0359555965419244E-3</v>
      </c>
      <c r="U100">
        <f t="shared" si="120"/>
        <v>0.21260809288144372</v>
      </c>
      <c r="Y100">
        <f t="shared" si="121"/>
        <v>-0.20760831050174613</v>
      </c>
      <c r="Z100">
        <f t="shared" si="122"/>
        <v>0.01</v>
      </c>
      <c r="AA100">
        <f t="shared" si="132"/>
        <v>-2</v>
      </c>
      <c r="AC100" t="s">
        <v>32</v>
      </c>
      <c r="AD100" t="s">
        <v>28</v>
      </c>
      <c r="AE100" t="s">
        <v>10</v>
      </c>
      <c r="AF100">
        <f>1000/3.53</f>
        <v>283.28611898016999</v>
      </c>
      <c r="AG100">
        <f t="shared" si="98"/>
        <v>3.5299999999999997E-3</v>
      </c>
      <c r="AH100">
        <v>0.62</v>
      </c>
      <c r="AI100">
        <f t="shared" si="99"/>
        <v>-0.20760831050174613</v>
      </c>
      <c r="AL100" t="s">
        <v>29</v>
      </c>
      <c r="AM100" t="s">
        <v>16</v>
      </c>
      <c r="AN100" t="s">
        <v>38</v>
      </c>
      <c r="AO100" s="1">
        <v>75000000</v>
      </c>
      <c r="AP100" s="1">
        <f t="shared" si="135"/>
        <v>7.8750612633917001</v>
      </c>
      <c r="AQ100">
        <v>370</v>
      </c>
      <c r="AR100">
        <f t="shared" si="100"/>
        <v>370000000</v>
      </c>
      <c r="AS100">
        <f t="shared" si="101"/>
        <v>8.568201724066995</v>
      </c>
      <c r="AU100" s="1">
        <v>370000000</v>
      </c>
      <c r="AW100">
        <f t="shared" si="136"/>
        <v>958.58525599999984</v>
      </c>
      <c r="AX100">
        <f t="shared" si="102"/>
        <v>9.5858525599999981E-28</v>
      </c>
      <c r="AY100">
        <f t="shared" si="103"/>
        <v>-27.018369255176367</v>
      </c>
      <c r="AZ100">
        <v>6</v>
      </c>
      <c r="BA100">
        <f t="shared" si="104"/>
        <v>0.77815125038364363</v>
      </c>
      <c r="BB100">
        <f t="shared" si="137"/>
        <v>2.2354694485842028E-2</v>
      </c>
      <c r="BC100">
        <f t="shared" si="106"/>
        <v>-1.6506312611133107</v>
      </c>
      <c r="BE100">
        <f t="shared" si="133"/>
        <v>823</v>
      </c>
      <c r="BF100">
        <f t="shared" si="107"/>
        <v>1.215066828675577E-3</v>
      </c>
      <c r="BG100">
        <f t="shared" si="134"/>
        <v>1209600</v>
      </c>
      <c r="BH100">
        <f t="shared" si="108"/>
        <v>6.0826417781571314</v>
      </c>
      <c r="BI100" s="1">
        <v>1E-3</v>
      </c>
      <c r="BJ100">
        <f t="shared" si="109"/>
        <v>-3</v>
      </c>
      <c r="BK100">
        <v>100</v>
      </c>
      <c r="BL100">
        <f t="shared" si="110"/>
        <v>0.1</v>
      </c>
      <c r="BM100">
        <f t="shared" si="111"/>
        <v>-1</v>
      </c>
      <c r="BN100">
        <v>1.77</v>
      </c>
      <c r="BO100">
        <f t="shared" si="112"/>
        <v>0.24797326636180664</v>
      </c>
      <c r="BQ100">
        <v>95</v>
      </c>
      <c r="BR100">
        <f t="shared" si="113"/>
        <v>1.6815</v>
      </c>
      <c r="BS100">
        <f t="shared" si="114"/>
        <v>0.22569687165065438</v>
      </c>
      <c r="BV100">
        <f>EXP(-1)/1000</f>
        <v>3.6787944117144236E-4</v>
      </c>
      <c r="BW100" s="1">
        <f t="shared" si="115"/>
        <v>-3.4342944819032519</v>
      </c>
      <c r="CB100" t="e">
        <f>#REF!+#REF!*AG100+#REF!*BC100+#REF!*AY100</f>
        <v>#REF!</v>
      </c>
      <c r="CD100" s="1" t="e">
        <f t="shared" si="123"/>
        <v>#REF!</v>
      </c>
    </row>
    <row r="101" spans="1:82" ht="16.5" customHeight="1" x14ac:dyDescent="0.25">
      <c r="A101" s="3" t="s">
        <v>61</v>
      </c>
      <c r="B101" t="s">
        <v>31</v>
      </c>
      <c r="C101" t="s">
        <v>32</v>
      </c>
      <c r="E101">
        <v>0.62</v>
      </c>
      <c r="F101">
        <f t="shared" si="124"/>
        <v>-0.20760831050174613</v>
      </c>
      <c r="G101">
        <f t="shared" si="116"/>
        <v>1.631578947368421</v>
      </c>
      <c r="H101">
        <f t="shared" si="125"/>
        <v>0.21260809288144372</v>
      </c>
      <c r="I101">
        <f t="shared" si="117"/>
        <v>0.38</v>
      </c>
      <c r="J101">
        <f t="shared" si="126"/>
        <v>-0.42021640338318983</v>
      </c>
      <c r="K101">
        <f t="shared" si="118"/>
        <v>0.61290322580645162</v>
      </c>
      <c r="L101">
        <f t="shared" si="127"/>
        <v>-0.21260809288144372</v>
      </c>
      <c r="M101">
        <v>0.01</v>
      </c>
      <c r="N101">
        <f t="shared" si="128"/>
        <v>-2</v>
      </c>
      <c r="O101">
        <f t="shared" si="119"/>
        <v>1.0101010101010102E-2</v>
      </c>
      <c r="P101">
        <f t="shared" si="129"/>
        <v>-1.9956351945975499</v>
      </c>
      <c r="Q101">
        <f t="shared" si="130"/>
        <v>1.0186757215619693</v>
      </c>
      <c r="R101">
        <f t="shared" si="131"/>
        <v>8.0359555965419244E-3</v>
      </c>
      <c r="U101">
        <f t="shared" si="120"/>
        <v>0.21260809288144372</v>
      </c>
      <c r="Y101">
        <f t="shared" si="121"/>
        <v>-0.20760831050174613</v>
      </c>
      <c r="Z101">
        <f t="shared" si="122"/>
        <v>0.01</v>
      </c>
      <c r="AA101">
        <f t="shared" si="132"/>
        <v>-2</v>
      </c>
      <c r="AC101" t="s">
        <v>32</v>
      </c>
      <c r="AD101" t="s">
        <v>28</v>
      </c>
      <c r="AE101" t="s">
        <v>10</v>
      </c>
      <c r="AF101">
        <f>1000/3.36</f>
        <v>297.61904761904765</v>
      </c>
      <c r="AG101">
        <f t="shared" si="98"/>
        <v>3.3599999999999997E-3</v>
      </c>
      <c r="AH101">
        <v>0.62</v>
      </c>
      <c r="AI101">
        <f t="shared" si="99"/>
        <v>-0.20760831050174613</v>
      </c>
      <c r="AL101" t="s">
        <v>29</v>
      </c>
      <c r="AM101" t="s">
        <v>16</v>
      </c>
      <c r="AN101" t="s">
        <v>38</v>
      </c>
      <c r="AO101" s="1">
        <v>75000000</v>
      </c>
      <c r="AP101" s="1">
        <f t="shared" si="135"/>
        <v>7.8750612633917001</v>
      </c>
      <c r="AQ101">
        <v>370</v>
      </c>
      <c r="AR101">
        <f t="shared" si="100"/>
        <v>370000000</v>
      </c>
      <c r="AS101">
        <f t="shared" si="101"/>
        <v>8.568201724066995</v>
      </c>
      <c r="AU101" s="1">
        <v>370000000</v>
      </c>
      <c r="AW101">
        <f t="shared" si="136"/>
        <v>958.58525599999984</v>
      </c>
      <c r="AX101">
        <f t="shared" si="102"/>
        <v>9.5858525599999981E-28</v>
      </c>
      <c r="AY101">
        <f t="shared" si="103"/>
        <v>-27.018369255176367</v>
      </c>
      <c r="AZ101">
        <v>6</v>
      </c>
      <c r="BA101">
        <f t="shared" si="104"/>
        <v>0.77815125038364363</v>
      </c>
      <c r="BB101">
        <f t="shared" si="137"/>
        <v>2.2354694485842028E-2</v>
      </c>
      <c r="BC101">
        <f t="shared" si="106"/>
        <v>-1.6506312611133107</v>
      </c>
      <c r="BE101">
        <f t="shared" si="133"/>
        <v>823</v>
      </c>
      <c r="BF101">
        <f t="shared" si="107"/>
        <v>1.215066828675577E-3</v>
      </c>
      <c r="BG101">
        <f t="shared" si="134"/>
        <v>1209600</v>
      </c>
      <c r="BH101">
        <f t="shared" si="108"/>
        <v>6.0826417781571314</v>
      </c>
      <c r="BI101" s="1">
        <v>1E-3</v>
      </c>
      <c r="BJ101">
        <f t="shared" si="109"/>
        <v>-3</v>
      </c>
      <c r="BK101">
        <v>100</v>
      </c>
      <c r="BL101">
        <f t="shared" si="110"/>
        <v>0.1</v>
      </c>
      <c r="BM101">
        <f t="shared" si="111"/>
        <v>-1</v>
      </c>
      <c r="BN101">
        <v>1.77</v>
      </c>
      <c r="BO101">
        <f t="shared" si="112"/>
        <v>0.24797326636180664</v>
      </c>
      <c r="BQ101">
        <v>95</v>
      </c>
      <c r="BR101">
        <f t="shared" si="113"/>
        <v>1.6815</v>
      </c>
      <c r="BS101">
        <f t="shared" si="114"/>
        <v>0.22569687165065438</v>
      </c>
      <c r="BV101">
        <f>EXP(-0.25)/1000</f>
        <v>7.7880078307140488E-4</v>
      </c>
      <c r="BW101" s="1">
        <f t="shared" si="115"/>
        <v>-3.1085736204758128</v>
      </c>
      <c r="CB101" t="e">
        <f>#REF!+#REF!*AG101+#REF!*BC101+#REF!*AY101</f>
        <v>#REF!</v>
      </c>
      <c r="CD101" s="1" t="e">
        <f t="shared" si="123"/>
        <v>#REF!</v>
      </c>
    </row>
    <row r="102" spans="1:82" ht="16.5" customHeight="1" x14ac:dyDescent="0.25">
      <c r="A102" s="3" t="s">
        <v>61</v>
      </c>
      <c r="B102" t="s">
        <v>31</v>
      </c>
      <c r="C102" t="s">
        <v>32</v>
      </c>
      <c r="E102">
        <v>0.62</v>
      </c>
      <c r="F102">
        <f t="shared" si="124"/>
        <v>-0.20760831050174613</v>
      </c>
      <c r="G102">
        <f t="shared" si="116"/>
        <v>1.631578947368421</v>
      </c>
      <c r="H102">
        <f t="shared" si="125"/>
        <v>0.21260809288144372</v>
      </c>
      <c r="I102">
        <f t="shared" si="117"/>
        <v>0.38</v>
      </c>
      <c r="J102">
        <f t="shared" si="126"/>
        <v>-0.42021640338318983</v>
      </c>
      <c r="K102">
        <f t="shared" si="118"/>
        <v>0.61290322580645162</v>
      </c>
      <c r="L102">
        <f t="shared" si="127"/>
        <v>-0.21260809288144372</v>
      </c>
      <c r="M102">
        <v>0.01</v>
      </c>
      <c r="N102">
        <f t="shared" si="128"/>
        <v>-2</v>
      </c>
      <c r="O102">
        <f t="shared" si="119"/>
        <v>1.0101010101010102E-2</v>
      </c>
      <c r="P102">
        <f t="shared" si="129"/>
        <v>-1.9956351945975499</v>
      </c>
      <c r="Q102">
        <f t="shared" si="130"/>
        <v>1.0186757215619693</v>
      </c>
      <c r="R102">
        <f t="shared" si="131"/>
        <v>8.0359555965419244E-3</v>
      </c>
      <c r="U102">
        <f t="shared" si="120"/>
        <v>0.21260809288144372</v>
      </c>
      <c r="Y102">
        <f t="shared" si="121"/>
        <v>-0.20760831050174613</v>
      </c>
      <c r="Z102">
        <f t="shared" si="122"/>
        <v>0.01</v>
      </c>
      <c r="AA102">
        <f t="shared" si="132"/>
        <v>-2</v>
      </c>
      <c r="AC102" t="s">
        <v>32</v>
      </c>
      <c r="AD102" t="s">
        <v>28</v>
      </c>
      <c r="AE102" t="s">
        <v>10</v>
      </c>
      <c r="AF102">
        <f>1000/3.3</f>
        <v>303.03030303030306</v>
      </c>
      <c r="AG102">
        <f t="shared" si="98"/>
        <v>3.2999999999999995E-3</v>
      </c>
      <c r="AH102">
        <v>0.62</v>
      </c>
      <c r="AI102">
        <f t="shared" si="99"/>
        <v>-0.20760831050174613</v>
      </c>
      <c r="AL102" t="s">
        <v>29</v>
      </c>
      <c r="AM102" t="s">
        <v>16</v>
      </c>
      <c r="AN102" t="s">
        <v>38</v>
      </c>
      <c r="AO102" s="1">
        <v>75000000</v>
      </c>
      <c r="AP102" s="1">
        <f t="shared" si="135"/>
        <v>7.8750612633917001</v>
      </c>
      <c r="AQ102">
        <v>370</v>
      </c>
      <c r="AR102">
        <f t="shared" si="100"/>
        <v>370000000</v>
      </c>
      <c r="AS102">
        <f t="shared" si="101"/>
        <v>8.568201724066995</v>
      </c>
      <c r="AU102" s="1">
        <v>370000000</v>
      </c>
      <c r="AW102">
        <f t="shared" si="136"/>
        <v>958.58525599999984</v>
      </c>
      <c r="AX102">
        <f t="shared" si="102"/>
        <v>9.5858525599999981E-28</v>
      </c>
      <c r="AY102">
        <f t="shared" si="103"/>
        <v>-27.018369255176367</v>
      </c>
      <c r="AZ102">
        <v>6</v>
      </c>
      <c r="BA102">
        <f t="shared" si="104"/>
        <v>0.77815125038364363</v>
      </c>
      <c r="BB102">
        <f t="shared" si="137"/>
        <v>2.2354694485842028E-2</v>
      </c>
      <c r="BC102">
        <f t="shared" si="106"/>
        <v>-1.6506312611133107</v>
      </c>
      <c r="BE102">
        <f t="shared" si="133"/>
        <v>823</v>
      </c>
      <c r="BF102">
        <f t="shared" si="107"/>
        <v>1.215066828675577E-3</v>
      </c>
      <c r="BG102">
        <f t="shared" si="134"/>
        <v>1209600</v>
      </c>
      <c r="BH102">
        <f t="shared" si="108"/>
        <v>6.0826417781571314</v>
      </c>
      <c r="BI102" s="1">
        <v>1E-3</v>
      </c>
      <c r="BJ102">
        <f t="shared" si="109"/>
        <v>-3</v>
      </c>
      <c r="BK102">
        <v>100</v>
      </c>
      <c r="BL102">
        <f t="shared" si="110"/>
        <v>0.1</v>
      </c>
      <c r="BM102">
        <f t="shared" si="111"/>
        <v>-1</v>
      </c>
      <c r="BN102">
        <v>1.77</v>
      </c>
      <c r="BO102">
        <f t="shared" si="112"/>
        <v>0.24797326636180664</v>
      </c>
      <c r="BQ102">
        <v>95</v>
      </c>
      <c r="BR102">
        <f t="shared" si="113"/>
        <v>1.6815</v>
      </c>
      <c r="BS102">
        <f t="shared" si="114"/>
        <v>0.22569687165065438</v>
      </c>
      <c r="BV102">
        <f>EXP(0)/1000</f>
        <v>1E-3</v>
      </c>
      <c r="BW102" s="1">
        <f t="shared" si="115"/>
        <v>-3</v>
      </c>
      <c r="CB102" t="e">
        <f>#REF!+#REF!*AG102+#REF!*BC102+#REF!*AY102</f>
        <v>#REF!</v>
      </c>
      <c r="CD102" s="1" t="e">
        <f t="shared" si="123"/>
        <v>#REF!</v>
      </c>
    </row>
    <row r="103" spans="1:82" ht="16.5" customHeight="1" x14ac:dyDescent="0.25">
      <c r="A103" s="3" t="s">
        <v>61</v>
      </c>
      <c r="B103" t="s">
        <v>31</v>
      </c>
      <c r="C103" t="s">
        <v>32</v>
      </c>
      <c r="E103">
        <v>0.62</v>
      </c>
      <c r="F103">
        <f t="shared" si="124"/>
        <v>-0.20760831050174613</v>
      </c>
      <c r="G103">
        <f t="shared" si="116"/>
        <v>1.631578947368421</v>
      </c>
      <c r="H103">
        <f t="shared" si="125"/>
        <v>0.21260809288144372</v>
      </c>
      <c r="I103">
        <f t="shared" si="117"/>
        <v>0.38</v>
      </c>
      <c r="J103">
        <f t="shared" si="126"/>
        <v>-0.42021640338318983</v>
      </c>
      <c r="K103">
        <f t="shared" si="118"/>
        <v>0.61290322580645162</v>
      </c>
      <c r="L103">
        <f t="shared" si="127"/>
        <v>-0.21260809288144372</v>
      </c>
      <c r="M103">
        <v>0.01</v>
      </c>
      <c r="N103">
        <f t="shared" si="128"/>
        <v>-2</v>
      </c>
      <c r="O103">
        <f t="shared" si="119"/>
        <v>1.0101010101010102E-2</v>
      </c>
      <c r="P103">
        <f t="shared" si="129"/>
        <v>-1.9956351945975499</v>
      </c>
      <c r="Q103">
        <f t="shared" si="130"/>
        <v>1.0186757215619693</v>
      </c>
      <c r="R103">
        <f t="shared" si="131"/>
        <v>8.0359555965419244E-3</v>
      </c>
      <c r="U103">
        <f t="shared" si="120"/>
        <v>0.21260809288144372</v>
      </c>
      <c r="Y103">
        <f t="shared" si="121"/>
        <v>-0.20760831050174613</v>
      </c>
      <c r="Z103">
        <f t="shared" si="122"/>
        <v>0.01</v>
      </c>
      <c r="AA103">
        <f t="shared" si="132"/>
        <v>-2</v>
      </c>
      <c r="AC103" t="s">
        <v>32</v>
      </c>
      <c r="AD103" t="s">
        <v>28</v>
      </c>
      <c r="AE103" t="s">
        <v>10</v>
      </c>
      <c r="AF103">
        <f>1000/3.2</f>
        <v>312.5</v>
      </c>
      <c r="AG103">
        <f t="shared" si="98"/>
        <v>3.2000000000000002E-3</v>
      </c>
      <c r="AH103">
        <v>0.62</v>
      </c>
      <c r="AI103">
        <f t="shared" si="99"/>
        <v>-0.20760831050174613</v>
      </c>
      <c r="AL103" t="s">
        <v>29</v>
      </c>
      <c r="AM103" t="s">
        <v>16</v>
      </c>
      <c r="AN103" t="s">
        <v>38</v>
      </c>
      <c r="AO103" s="1">
        <v>75000000</v>
      </c>
      <c r="AP103" s="1">
        <f t="shared" si="135"/>
        <v>7.8750612633917001</v>
      </c>
      <c r="AQ103">
        <v>370</v>
      </c>
      <c r="AR103">
        <f t="shared" si="100"/>
        <v>370000000</v>
      </c>
      <c r="AS103">
        <f t="shared" si="101"/>
        <v>8.568201724066995</v>
      </c>
      <c r="AU103" s="1">
        <v>370000000</v>
      </c>
      <c r="AW103">
        <f t="shared" si="136"/>
        <v>958.58525599999984</v>
      </c>
      <c r="AX103">
        <f t="shared" si="102"/>
        <v>9.5858525599999981E-28</v>
      </c>
      <c r="AY103">
        <f t="shared" si="103"/>
        <v>-27.018369255176367</v>
      </c>
      <c r="AZ103">
        <v>6</v>
      </c>
      <c r="BA103">
        <f t="shared" si="104"/>
        <v>0.77815125038364363</v>
      </c>
      <c r="BB103">
        <f t="shared" si="137"/>
        <v>2.2354694485842028E-2</v>
      </c>
      <c r="BC103">
        <f t="shared" si="106"/>
        <v>-1.6506312611133107</v>
      </c>
      <c r="BE103">
        <f t="shared" si="133"/>
        <v>823</v>
      </c>
      <c r="BF103">
        <f t="shared" si="107"/>
        <v>1.215066828675577E-3</v>
      </c>
      <c r="BG103">
        <f t="shared" si="134"/>
        <v>1209600</v>
      </c>
      <c r="BH103">
        <f t="shared" si="108"/>
        <v>6.0826417781571314</v>
      </c>
      <c r="BI103" s="1">
        <v>1E-3</v>
      </c>
      <c r="BJ103">
        <f t="shared" si="109"/>
        <v>-3</v>
      </c>
      <c r="BK103">
        <v>100</v>
      </c>
      <c r="BL103">
        <f t="shared" si="110"/>
        <v>0.1</v>
      </c>
      <c r="BM103">
        <f t="shared" si="111"/>
        <v>-1</v>
      </c>
      <c r="BN103">
        <v>1.77</v>
      </c>
      <c r="BO103">
        <f t="shared" si="112"/>
        <v>0.24797326636180664</v>
      </c>
      <c r="BQ103">
        <v>95</v>
      </c>
      <c r="BR103">
        <f t="shared" si="113"/>
        <v>1.6815</v>
      </c>
      <c r="BS103">
        <f t="shared" si="114"/>
        <v>0.22569687165065438</v>
      </c>
      <c r="BV103">
        <f>EXP(0.5)/1000</f>
        <v>1.6487212707001282E-3</v>
      </c>
      <c r="BW103" s="1">
        <f t="shared" si="115"/>
        <v>-2.782852759048374</v>
      </c>
      <c r="CB103" t="e">
        <f>#REF!+#REF!*AG103+#REF!*BC103+#REF!*AY103</f>
        <v>#REF!</v>
      </c>
      <c r="CD103" s="1" t="e">
        <f t="shared" si="123"/>
        <v>#REF!</v>
      </c>
    </row>
    <row r="104" spans="1:82" ht="16.5" customHeight="1" x14ac:dyDescent="0.25">
      <c r="A104" s="3" t="s">
        <v>61</v>
      </c>
      <c r="B104" t="s">
        <v>31</v>
      </c>
      <c r="C104" t="s">
        <v>32</v>
      </c>
      <c r="E104">
        <v>0.62</v>
      </c>
      <c r="F104">
        <f t="shared" si="124"/>
        <v>-0.20760831050174613</v>
      </c>
      <c r="G104">
        <f t="shared" si="116"/>
        <v>1.631578947368421</v>
      </c>
      <c r="H104">
        <f t="shared" si="125"/>
        <v>0.21260809288144372</v>
      </c>
      <c r="I104">
        <f t="shared" si="117"/>
        <v>0.38</v>
      </c>
      <c r="J104">
        <f t="shared" si="126"/>
        <v>-0.42021640338318983</v>
      </c>
      <c r="K104">
        <f t="shared" si="118"/>
        <v>0.61290322580645162</v>
      </c>
      <c r="L104">
        <f t="shared" si="127"/>
        <v>-0.21260809288144372</v>
      </c>
      <c r="M104">
        <v>0.01</v>
      </c>
      <c r="N104">
        <f t="shared" si="128"/>
        <v>-2</v>
      </c>
      <c r="O104">
        <f t="shared" si="119"/>
        <v>1.0101010101010102E-2</v>
      </c>
      <c r="P104">
        <f t="shared" si="129"/>
        <v>-1.9956351945975499</v>
      </c>
      <c r="Q104">
        <f t="shared" si="130"/>
        <v>1.0186757215619693</v>
      </c>
      <c r="R104">
        <f t="shared" si="131"/>
        <v>8.0359555965419244E-3</v>
      </c>
      <c r="U104">
        <f t="shared" si="120"/>
        <v>0.21260809288144372</v>
      </c>
      <c r="Y104">
        <f t="shared" si="121"/>
        <v>-0.20760831050174613</v>
      </c>
      <c r="Z104">
        <f t="shared" si="122"/>
        <v>0.01</v>
      </c>
      <c r="AA104">
        <f t="shared" si="132"/>
        <v>-2</v>
      </c>
      <c r="AC104" t="s">
        <v>32</v>
      </c>
      <c r="AD104" t="s">
        <v>28</v>
      </c>
      <c r="AE104" t="s">
        <v>10</v>
      </c>
      <c r="AF104">
        <f>1000/3.1</f>
        <v>322.58064516129031</v>
      </c>
      <c r="AG104">
        <f t="shared" si="98"/>
        <v>3.1000000000000003E-3</v>
      </c>
      <c r="AH104">
        <v>0.62</v>
      </c>
      <c r="AI104">
        <f t="shared" si="99"/>
        <v>-0.20760831050174613</v>
      </c>
      <c r="AL104" t="s">
        <v>29</v>
      </c>
      <c r="AM104" t="s">
        <v>16</v>
      </c>
      <c r="AN104" t="s">
        <v>38</v>
      </c>
      <c r="AO104" s="1">
        <v>75000000</v>
      </c>
      <c r="AP104" s="1">
        <f t="shared" si="135"/>
        <v>7.8750612633917001</v>
      </c>
      <c r="AQ104">
        <v>370</v>
      </c>
      <c r="AR104">
        <f t="shared" si="100"/>
        <v>370000000</v>
      </c>
      <c r="AS104">
        <f t="shared" si="101"/>
        <v>8.568201724066995</v>
      </c>
      <c r="AU104" s="1">
        <v>370000000</v>
      </c>
      <c r="AW104">
        <f t="shared" si="136"/>
        <v>958.58525599999984</v>
      </c>
      <c r="AX104">
        <f t="shared" si="102"/>
        <v>9.5858525599999981E-28</v>
      </c>
      <c r="AY104">
        <f t="shared" si="103"/>
        <v>-27.018369255176367</v>
      </c>
      <c r="AZ104">
        <v>6</v>
      </c>
      <c r="BA104">
        <f t="shared" si="104"/>
        <v>0.77815125038364363</v>
      </c>
      <c r="BB104">
        <f t="shared" si="137"/>
        <v>2.2354694485842028E-2</v>
      </c>
      <c r="BC104">
        <f t="shared" si="106"/>
        <v>-1.6506312611133107</v>
      </c>
      <c r="BE104">
        <f t="shared" si="133"/>
        <v>823</v>
      </c>
      <c r="BF104">
        <f t="shared" si="107"/>
        <v>1.215066828675577E-3</v>
      </c>
      <c r="BG104">
        <f t="shared" si="134"/>
        <v>1209600</v>
      </c>
      <c r="BH104">
        <f t="shared" si="108"/>
        <v>6.0826417781571314</v>
      </c>
      <c r="BI104" s="1">
        <v>1E-3</v>
      </c>
      <c r="BJ104">
        <f t="shared" si="109"/>
        <v>-3</v>
      </c>
      <c r="BK104">
        <v>100</v>
      </c>
      <c r="BL104">
        <f t="shared" si="110"/>
        <v>0.1</v>
      </c>
      <c r="BM104">
        <f t="shared" si="111"/>
        <v>-1</v>
      </c>
      <c r="BN104">
        <v>1.77</v>
      </c>
      <c r="BO104">
        <f t="shared" si="112"/>
        <v>0.24797326636180664</v>
      </c>
      <c r="BQ104">
        <v>95</v>
      </c>
      <c r="BR104">
        <f t="shared" si="113"/>
        <v>1.6815</v>
      </c>
      <c r="BS104">
        <f t="shared" si="114"/>
        <v>0.22569687165065438</v>
      </c>
      <c r="BV104">
        <f>EXP(0.95)/1000</f>
        <v>2.5857096593158461E-3</v>
      </c>
      <c r="BW104" s="1">
        <f t="shared" si="115"/>
        <v>-2.5874202421919108</v>
      </c>
      <c r="CB104" t="e">
        <f>#REF!+#REF!*AG104+#REF!*BC104+#REF!*AY104</f>
        <v>#REF!</v>
      </c>
      <c r="CD104" s="1" t="e">
        <f t="shared" si="123"/>
        <v>#REF!</v>
      </c>
    </row>
    <row r="105" spans="1:82" ht="16.5" customHeight="1" x14ac:dyDescent="0.25">
      <c r="A105" s="3" t="s">
        <v>61</v>
      </c>
      <c r="B105" t="s">
        <v>31</v>
      </c>
      <c r="C105" t="s">
        <v>32</v>
      </c>
      <c r="E105">
        <v>0.62</v>
      </c>
      <c r="F105">
        <f t="shared" si="124"/>
        <v>-0.20760831050174613</v>
      </c>
      <c r="G105">
        <f t="shared" si="116"/>
        <v>1.631578947368421</v>
      </c>
      <c r="H105">
        <f t="shared" si="125"/>
        <v>0.21260809288144372</v>
      </c>
      <c r="I105">
        <f t="shared" si="117"/>
        <v>0.38</v>
      </c>
      <c r="J105">
        <f t="shared" si="126"/>
        <v>-0.42021640338318983</v>
      </c>
      <c r="K105">
        <f t="shared" si="118"/>
        <v>0.61290322580645162</v>
      </c>
      <c r="L105">
        <f t="shared" si="127"/>
        <v>-0.21260809288144372</v>
      </c>
      <c r="M105">
        <v>0.01</v>
      </c>
      <c r="N105">
        <f t="shared" si="128"/>
        <v>-2</v>
      </c>
      <c r="O105">
        <f t="shared" si="119"/>
        <v>1.0101010101010102E-2</v>
      </c>
      <c r="P105">
        <f t="shared" si="129"/>
        <v>-1.9956351945975499</v>
      </c>
      <c r="Q105">
        <f t="shared" si="130"/>
        <v>1.0186757215619693</v>
      </c>
      <c r="R105">
        <f t="shared" si="131"/>
        <v>8.0359555965419244E-3</v>
      </c>
      <c r="U105">
        <f t="shared" si="120"/>
        <v>0.21260809288144372</v>
      </c>
      <c r="Y105">
        <f t="shared" si="121"/>
        <v>-0.20760831050174613</v>
      </c>
      <c r="Z105">
        <f t="shared" si="122"/>
        <v>0.01</v>
      </c>
      <c r="AA105">
        <f t="shared" si="132"/>
        <v>-2</v>
      </c>
      <c r="AC105" t="s">
        <v>32</v>
      </c>
      <c r="AD105" t="s">
        <v>28</v>
      </c>
      <c r="AE105" t="s">
        <v>10</v>
      </c>
      <c r="AF105">
        <f>1000/3</f>
        <v>333.33333333333331</v>
      </c>
      <c r="AG105">
        <f t="shared" si="98"/>
        <v>3.0000000000000001E-3</v>
      </c>
      <c r="AH105">
        <v>0.62</v>
      </c>
      <c r="AI105">
        <f t="shared" si="99"/>
        <v>-0.20760831050174613</v>
      </c>
      <c r="AL105" t="s">
        <v>29</v>
      </c>
      <c r="AM105" t="s">
        <v>16</v>
      </c>
      <c r="AN105" t="s">
        <v>38</v>
      </c>
      <c r="AO105" s="1">
        <v>75000000</v>
      </c>
      <c r="AP105" s="1">
        <f t="shared" si="135"/>
        <v>7.8750612633917001</v>
      </c>
      <c r="AQ105">
        <v>370</v>
      </c>
      <c r="AR105">
        <f t="shared" si="100"/>
        <v>370000000</v>
      </c>
      <c r="AS105">
        <f t="shared" si="101"/>
        <v>8.568201724066995</v>
      </c>
      <c r="AU105" s="1">
        <v>370000000</v>
      </c>
      <c r="AW105">
        <f t="shared" si="136"/>
        <v>958.58525599999984</v>
      </c>
      <c r="AX105">
        <f t="shared" si="102"/>
        <v>9.5858525599999981E-28</v>
      </c>
      <c r="AY105">
        <f t="shared" si="103"/>
        <v>-27.018369255176367</v>
      </c>
      <c r="AZ105">
        <v>6</v>
      </c>
      <c r="BA105">
        <f t="shared" si="104"/>
        <v>0.77815125038364363</v>
      </c>
      <c r="BB105">
        <f t="shared" si="137"/>
        <v>2.2354694485842028E-2</v>
      </c>
      <c r="BC105">
        <f t="shared" si="106"/>
        <v>-1.6506312611133107</v>
      </c>
      <c r="BE105">
        <f t="shared" si="133"/>
        <v>823</v>
      </c>
      <c r="BF105">
        <f t="shared" si="107"/>
        <v>1.215066828675577E-3</v>
      </c>
      <c r="BG105">
        <f t="shared" si="134"/>
        <v>1209600</v>
      </c>
      <c r="BH105">
        <f t="shared" si="108"/>
        <v>6.0826417781571314</v>
      </c>
      <c r="BI105" s="1">
        <v>1E-3</v>
      </c>
      <c r="BJ105">
        <f t="shared" si="109"/>
        <v>-3</v>
      </c>
      <c r="BK105">
        <v>100</v>
      </c>
      <c r="BL105">
        <f t="shared" si="110"/>
        <v>0.1</v>
      </c>
      <c r="BM105">
        <f t="shared" si="111"/>
        <v>-1</v>
      </c>
      <c r="BN105">
        <v>1.77</v>
      </c>
      <c r="BO105">
        <f t="shared" si="112"/>
        <v>0.24797326636180664</v>
      </c>
      <c r="BQ105">
        <v>95</v>
      </c>
      <c r="BR105">
        <f t="shared" si="113"/>
        <v>1.6815</v>
      </c>
      <c r="BS105">
        <f t="shared" si="114"/>
        <v>0.22569687165065438</v>
      </c>
      <c r="BV105">
        <f>EXP(1.3)/1000</f>
        <v>3.6692966676192445E-3</v>
      </c>
      <c r="BW105" s="1">
        <f t="shared" si="115"/>
        <v>-2.4354171735257726</v>
      </c>
      <c r="CB105" t="e">
        <f>#REF!+#REF!*AG105+#REF!*BC105+#REF!*AY105</f>
        <v>#REF!</v>
      </c>
      <c r="CD105" s="1" t="e">
        <f t="shared" si="123"/>
        <v>#REF!</v>
      </c>
    </row>
    <row r="106" spans="1:82" ht="16.5" customHeight="1" x14ac:dyDescent="0.25">
      <c r="A106" s="3" t="s">
        <v>61</v>
      </c>
      <c r="B106" t="s">
        <v>31</v>
      </c>
      <c r="C106" t="s">
        <v>33</v>
      </c>
      <c r="E106">
        <v>0.16</v>
      </c>
      <c r="F106">
        <f t="shared" si="124"/>
        <v>-0.79588001734407521</v>
      </c>
      <c r="G106">
        <f t="shared" si="116"/>
        <v>0.19047619047619049</v>
      </c>
      <c r="H106">
        <f t="shared" si="125"/>
        <v>-0.7201593034059568</v>
      </c>
      <c r="I106">
        <f t="shared" si="117"/>
        <v>0.84</v>
      </c>
      <c r="J106">
        <f t="shared" si="126"/>
        <v>-7.5720713938118356E-2</v>
      </c>
      <c r="K106">
        <f t="shared" si="118"/>
        <v>5.2499999999999991</v>
      </c>
      <c r="L106">
        <f t="shared" si="127"/>
        <v>0.7201593034059568</v>
      </c>
      <c r="M106">
        <v>0.01</v>
      </c>
      <c r="N106">
        <f t="shared" si="128"/>
        <v>-2</v>
      </c>
      <c r="O106">
        <f t="shared" si="119"/>
        <v>1.0101010101010102E-2</v>
      </c>
      <c r="P106">
        <f t="shared" si="129"/>
        <v>-1.9956351945975499</v>
      </c>
      <c r="Q106">
        <f t="shared" si="130"/>
        <v>5.0595238095238084</v>
      </c>
      <c r="R106">
        <f t="shared" si="131"/>
        <v>0.70410964398842979</v>
      </c>
      <c r="U106">
        <f t="shared" si="120"/>
        <v>-0.7201593034059568</v>
      </c>
      <c r="Y106">
        <f t="shared" si="121"/>
        <v>-0.79588001734407521</v>
      </c>
      <c r="Z106">
        <f t="shared" si="122"/>
        <v>0.01</v>
      </c>
      <c r="AA106">
        <f t="shared" si="132"/>
        <v>-2</v>
      </c>
      <c r="AC106" t="s">
        <v>33</v>
      </c>
      <c r="AD106" t="s">
        <v>28</v>
      </c>
      <c r="AE106" t="s">
        <v>10</v>
      </c>
      <c r="AF106">
        <f>1000/3.8</f>
        <v>263.15789473684214</v>
      </c>
      <c r="AG106">
        <f t="shared" si="98"/>
        <v>3.7999999999999996E-3</v>
      </c>
      <c r="AH106">
        <v>0.16</v>
      </c>
      <c r="AI106">
        <f t="shared" si="99"/>
        <v>-0.79588001734407521</v>
      </c>
      <c r="AL106" t="s">
        <v>29</v>
      </c>
      <c r="AM106" t="s">
        <v>16</v>
      </c>
      <c r="AN106" t="s">
        <v>38</v>
      </c>
      <c r="AO106" s="1">
        <v>75000000</v>
      </c>
      <c r="AP106" s="1">
        <f t="shared" si="135"/>
        <v>7.8750612633917001</v>
      </c>
      <c r="AQ106">
        <v>370</v>
      </c>
      <c r="AR106">
        <f t="shared" si="100"/>
        <v>370000000</v>
      </c>
      <c r="AS106">
        <f t="shared" si="101"/>
        <v>8.568201724066995</v>
      </c>
      <c r="AU106" s="1">
        <v>370000000</v>
      </c>
      <c r="AW106">
        <f t="shared" ref="AW106:AW110" si="138">10.05^3</f>
        <v>1015.0751250000002</v>
      </c>
      <c r="AX106">
        <f t="shared" si="102"/>
        <v>1.0150751250000001E-27</v>
      </c>
      <c r="AY106">
        <f t="shared" si="103"/>
        <v>-26.993501814730475</v>
      </c>
      <c r="AZ106">
        <v>6</v>
      </c>
      <c r="BA106">
        <f t="shared" si="104"/>
        <v>0.77815125038364363</v>
      </c>
      <c r="BB106">
        <f t="shared" ref="BB106:BB110" si="139">6/324.55</f>
        <v>1.848713603450932E-2</v>
      </c>
      <c r="BC106">
        <f t="shared" si="106"/>
        <v>-1.7331303630834989</v>
      </c>
      <c r="BE106">
        <f t="shared" si="133"/>
        <v>823</v>
      </c>
      <c r="BF106">
        <f t="shared" si="107"/>
        <v>1.215066828675577E-3</v>
      </c>
      <c r="BG106">
        <f t="shared" si="134"/>
        <v>1209600</v>
      </c>
      <c r="BH106">
        <f t="shared" si="108"/>
        <v>6.0826417781571314</v>
      </c>
      <c r="BI106" s="1">
        <v>8.7000000000000001E-4</v>
      </c>
      <c r="BJ106">
        <f t="shared" si="109"/>
        <v>-3.0604807473813813</v>
      </c>
      <c r="BK106">
        <v>100</v>
      </c>
      <c r="BL106">
        <f t="shared" si="110"/>
        <v>0.1</v>
      </c>
      <c r="BM106">
        <f t="shared" si="111"/>
        <v>-1</v>
      </c>
      <c r="BN106">
        <v>2.0299999999999998</v>
      </c>
      <c r="BO106">
        <f t="shared" si="112"/>
        <v>0.30749603791321289</v>
      </c>
      <c r="BQ106">
        <v>96</v>
      </c>
      <c r="BR106">
        <f t="shared" si="113"/>
        <v>1.9487999999999996</v>
      </c>
      <c r="BS106">
        <f t="shared" si="114"/>
        <v>0.28976727095278126</v>
      </c>
      <c r="BV106">
        <f>EXP(-3.7)/1000</f>
        <v>2.4723526470339387E-5</v>
      </c>
      <c r="BW106" s="1">
        <f t="shared" si="115"/>
        <v>-4.6068895830420322</v>
      </c>
      <c r="CB106" t="e">
        <f>#REF!+#REF!*AG106+#REF!*BC106+#REF!*AY106</f>
        <v>#REF!</v>
      </c>
      <c r="CD106" s="1" t="e">
        <f t="shared" si="123"/>
        <v>#REF!</v>
      </c>
    </row>
    <row r="107" spans="1:82" ht="16.5" customHeight="1" x14ac:dyDescent="0.25">
      <c r="A107" s="3" t="s">
        <v>61</v>
      </c>
      <c r="B107" t="s">
        <v>31</v>
      </c>
      <c r="C107" t="s">
        <v>33</v>
      </c>
      <c r="E107">
        <v>0.16</v>
      </c>
      <c r="F107">
        <f t="shared" si="124"/>
        <v>-0.79588001734407521</v>
      </c>
      <c r="G107">
        <f t="shared" si="116"/>
        <v>0.19047619047619049</v>
      </c>
      <c r="H107">
        <f t="shared" si="125"/>
        <v>-0.7201593034059568</v>
      </c>
      <c r="I107">
        <f t="shared" si="117"/>
        <v>0.84</v>
      </c>
      <c r="J107">
        <f t="shared" si="126"/>
        <v>-7.5720713938118356E-2</v>
      </c>
      <c r="K107">
        <f t="shared" si="118"/>
        <v>5.2499999999999991</v>
      </c>
      <c r="L107">
        <f t="shared" si="127"/>
        <v>0.7201593034059568</v>
      </c>
      <c r="M107">
        <v>0.01</v>
      </c>
      <c r="N107">
        <f t="shared" si="128"/>
        <v>-2</v>
      </c>
      <c r="O107">
        <f t="shared" si="119"/>
        <v>1.0101010101010102E-2</v>
      </c>
      <c r="P107">
        <f t="shared" si="129"/>
        <v>-1.9956351945975499</v>
      </c>
      <c r="Q107">
        <f t="shared" si="130"/>
        <v>5.0595238095238084</v>
      </c>
      <c r="R107">
        <f t="shared" si="131"/>
        <v>0.70410964398842979</v>
      </c>
      <c r="U107">
        <f t="shared" si="120"/>
        <v>-0.7201593034059568</v>
      </c>
      <c r="Y107">
        <f t="shared" si="121"/>
        <v>-0.79588001734407521</v>
      </c>
      <c r="Z107">
        <f t="shared" si="122"/>
        <v>0.01</v>
      </c>
      <c r="AA107">
        <f t="shared" si="132"/>
        <v>-2</v>
      </c>
      <c r="AC107" t="s">
        <v>33</v>
      </c>
      <c r="AD107" t="s">
        <v>28</v>
      </c>
      <c r="AE107" t="s">
        <v>10</v>
      </c>
      <c r="AF107">
        <f>1000/3.675</f>
        <v>272.108843537415</v>
      </c>
      <c r="AG107">
        <f t="shared" si="98"/>
        <v>3.6749999999999994E-3</v>
      </c>
      <c r="AH107">
        <v>0.16</v>
      </c>
      <c r="AI107">
        <f t="shared" si="99"/>
        <v>-0.79588001734407521</v>
      </c>
      <c r="AL107" t="s">
        <v>29</v>
      </c>
      <c r="AM107" t="s">
        <v>16</v>
      </c>
      <c r="AN107" t="s">
        <v>38</v>
      </c>
      <c r="AO107" s="1">
        <v>75000000</v>
      </c>
      <c r="AP107" s="1">
        <f t="shared" si="135"/>
        <v>7.8750612633917001</v>
      </c>
      <c r="AQ107">
        <v>370</v>
      </c>
      <c r="AR107">
        <f t="shared" si="100"/>
        <v>370000000</v>
      </c>
      <c r="AS107">
        <f t="shared" si="101"/>
        <v>8.568201724066995</v>
      </c>
      <c r="AU107" s="1">
        <v>370000000</v>
      </c>
      <c r="AW107">
        <f t="shared" si="138"/>
        <v>1015.0751250000002</v>
      </c>
      <c r="AX107">
        <f t="shared" si="102"/>
        <v>1.0150751250000001E-27</v>
      </c>
      <c r="AY107">
        <f t="shared" si="103"/>
        <v>-26.993501814730475</v>
      </c>
      <c r="AZ107">
        <v>6</v>
      </c>
      <c r="BA107">
        <f t="shared" si="104"/>
        <v>0.77815125038364363</v>
      </c>
      <c r="BB107">
        <f t="shared" si="139"/>
        <v>1.848713603450932E-2</v>
      </c>
      <c r="BC107">
        <f t="shared" si="106"/>
        <v>-1.7331303630834989</v>
      </c>
      <c r="BE107">
        <f t="shared" si="133"/>
        <v>823</v>
      </c>
      <c r="BF107">
        <f t="shared" si="107"/>
        <v>1.215066828675577E-3</v>
      </c>
      <c r="BG107">
        <f t="shared" si="134"/>
        <v>1209600</v>
      </c>
      <c r="BH107">
        <f t="shared" si="108"/>
        <v>6.0826417781571314</v>
      </c>
      <c r="BI107" s="1">
        <v>8.7000000000000001E-4</v>
      </c>
      <c r="BJ107">
        <f t="shared" si="109"/>
        <v>-3.0604807473813813</v>
      </c>
      <c r="BK107">
        <v>100</v>
      </c>
      <c r="BL107">
        <f t="shared" si="110"/>
        <v>0.1</v>
      </c>
      <c r="BM107">
        <f t="shared" si="111"/>
        <v>-1</v>
      </c>
      <c r="BN107">
        <v>2.0299999999999998</v>
      </c>
      <c r="BO107">
        <f t="shared" si="112"/>
        <v>0.30749603791321289</v>
      </c>
      <c r="BQ107">
        <v>96</v>
      </c>
      <c r="BR107">
        <f t="shared" si="113"/>
        <v>1.9487999999999996</v>
      </c>
      <c r="BS107">
        <f t="shared" si="114"/>
        <v>0.28976727095278126</v>
      </c>
      <c r="BV107">
        <f>EXP(-3)/1000</f>
        <v>4.9787068367863945E-5</v>
      </c>
      <c r="BW107" s="1">
        <f t="shared" si="115"/>
        <v>-4.3028834457097558</v>
      </c>
      <c r="CB107" t="e">
        <f>#REF!+#REF!*AG107+#REF!*BC107+#REF!*AY107</f>
        <v>#REF!</v>
      </c>
      <c r="CD107" s="1" t="e">
        <f t="shared" si="123"/>
        <v>#REF!</v>
      </c>
    </row>
    <row r="108" spans="1:82" ht="16.5" customHeight="1" x14ac:dyDescent="0.25">
      <c r="A108" s="3" t="s">
        <v>61</v>
      </c>
      <c r="B108" t="s">
        <v>31</v>
      </c>
      <c r="C108" t="s">
        <v>33</v>
      </c>
      <c r="E108">
        <v>0.16</v>
      </c>
      <c r="F108">
        <f t="shared" si="124"/>
        <v>-0.79588001734407521</v>
      </c>
      <c r="G108">
        <f t="shared" si="116"/>
        <v>0.19047619047619049</v>
      </c>
      <c r="H108">
        <f t="shared" si="125"/>
        <v>-0.7201593034059568</v>
      </c>
      <c r="I108">
        <f t="shared" si="117"/>
        <v>0.84</v>
      </c>
      <c r="J108">
        <f t="shared" si="126"/>
        <v>-7.5720713938118356E-2</v>
      </c>
      <c r="K108">
        <f t="shared" si="118"/>
        <v>5.2499999999999991</v>
      </c>
      <c r="L108">
        <f t="shared" si="127"/>
        <v>0.7201593034059568</v>
      </c>
      <c r="M108">
        <v>0.01</v>
      </c>
      <c r="N108">
        <f t="shared" si="128"/>
        <v>-2</v>
      </c>
      <c r="O108">
        <f t="shared" si="119"/>
        <v>1.0101010101010102E-2</v>
      </c>
      <c r="P108">
        <f t="shared" si="129"/>
        <v>-1.9956351945975499</v>
      </c>
      <c r="Q108">
        <f t="shared" si="130"/>
        <v>5.0595238095238084</v>
      </c>
      <c r="R108">
        <f t="shared" si="131"/>
        <v>0.70410964398842979</v>
      </c>
      <c r="U108">
        <f t="shared" si="120"/>
        <v>-0.7201593034059568</v>
      </c>
      <c r="Y108">
        <f t="shared" si="121"/>
        <v>-0.79588001734407521</v>
      </c>
      <c r="Z108">
        <f t="shared" si="122"/>
        <v>0.01</v>
      </c>
      <c r="AA108">
        <f t="shared" si="132"/>
        <v>-2</v>
      </c>
      <c r="AC108" t="s">
        <v>33</v>
      </c>
      <c r="AD108" t="s">
        <v>28</v>
      </c>
      <c r="AE108" t="s">
        <v>10</v>
      </c>
      <c r="AF108">
        <f>1000/3.53</f>
        <v>283.28611898016999</v>
      </c>
      <c r="AG108">
        <f t="shared" si="98"/>
        <v>3.5299999999999997E-3</v>
      </c>
      <c r="AH108">
        <v>0.16</v>
      </c>
      <c r="AI108">
        <f t="shared" si="99"/>
        <v>-0.79588001734407521</v>
      </c>
      <c r="AL108" t="s">
        <v>29</v>
      </c>
      <c r="AM108" t="s">
        <v>16</v>
      </c>
      <c r="AN108" t="s">
        <v>38</v>
      </c>
      <c r="AO108" s="1">
        <v>75000000</v>
      </c>
      <c r="AP108" s="1">
        <f t="shared" si="135"/>
        <v>7.8750612633917001</v>
      </c>
      <c r="AQ108">
        <v>370</v>
      </c>
      <c r="AR108">
        <f t="shared" si="100"/>
        <v>370000000</v>
      </c>
      <c r="AS108">
        <f t="shared" si="101"/>
        <v>8.568201724066995</v>
      </c>
      <c r="AU108" s="1">
        <v>370000000</v>
      </c>
      <c r="AW108">
        <f t="shared" si="138"/>
        <v>1015.0751250000002</v>
      </c>
      <c r="AX108">
        <f t="shared" si="102"/>
        <v>1.0150751250000001E-27</v>
      </c>
      <c r="AY108">
        <f t="shared" si="103"/>
        <v>-26.993501814730475</v>
      </c>
      <c r="AZ108">
        <v>6</v>
      </c>
      <c r="BA108">
        <f t="shared" si="104"/>
        <v>0.77815125038364363</v>
      </c>
      <c r="BB108">
        <f t="shared" si="139"/>
        <v>1.848713603450932E-2</v>
      </c>
      <c r="BC108">
        <f t="shared" si="106"/>
        <v>-1.7331303630834989</v>
      </c>
      <c r="BE108">
        <f t="shared" si="133"/>
        <v>823</v>
      </c>
      <c r="BF108">
        <f t="shared" si="107"/>
        <v>1.215066828675577E-3</v>
      </c>
      <c r="BG108">
        <f t="shared" si="134"/>
        <v>1209600</v>
      </c>
      <c r="BH108">
        <f t="shared" si="108"/>
        <v>6.0826417781571314</v>
      </c>
      <c r="BI108" s="1">
        <v>8.7000000000000001E-4</v>
      </c>
      <c r="BJ108">
        <f t="shared" si="109"/>
        <v>-3.0604807473813813</v>
      </c>
      <c r="BK108">
        <v>100</v>
      </c>
      <c r="BL108">
        <f t="shared" si="110"/>
        <v>0.1</v>
      </c>
      <c r="BM108">
        <f t="shared" si="111"/>
        <v>-1</v>
      </c>
      <c r="BN108">
        <v>2.0299999999999998</v>
      </c>
      <c r="BO108">
        <f t="shared" si="112"/>
        <v>0.30749603791321289</v>
      </c>
      <c r="BQ108">
        <v>96</v>
      </c>
      <c r="BR108">
        <f t="shared" si="113"/>
        <v>1.9487999999999996</v>
      </c>
      <c r="BS108">
        <f t="shared" si="114"/>
        <v>0.28976727095278126</v>
      </c>
      <c r="BV108">
        <f>EXP(-2.5)/1000</f>
        <v>8.2084998623898806E-5</v>
      </c>
      <c r="BW108" s="1">
        <f t="shared" si="115"/>
        <v>-4.0857362047581294</v>
      </c>
      <c r="CB108" t="e">
        <f>#REF!+#REF!*AG108+#REF!*BC108+#REF!*AY108</f>
        <v>#REF!</v>
      </c>
      <c r="CD108" s="1" t="e">
        <f t="shared" si="123"/>
        <v>#REF!</v>
      </c>
    </row>
    <row r="109" spans="1:82" ht="16.5" customHeight="1" x14ac:dyDescent="0.25">
      <c r="A109" s="3" t="s">
        <v>61</v>
      </c>
      <c r="B109" t="s">
        <v>31</v>
      </c>
      <c r="C109" t="s">
        <v>33</v>
      </c>
      <c r="E109">
        <v>0.16</v>
      </c>
      <c r="F109">
        <f t="shared" si="124"/>
        <v>-0.79588001734407521</v>
      </c>
      <c r="G109">
        <f t="shared" si="116"/>
        <v>0.19047619047619049</v>
      </c>
      <c r="H109">
        <f t="shared" si="125"/>
        <v>-0.7201593034059568</v>
      </c>
      <c r="I109">
        <f t="shared" si="117"/>
        <v>0.84</v>
      </c>
      <c r="J109">
        <f t="shared" si="126"/>
        <v>-7.5720713938118356E-2</v>
      </c>
      <c r="K109">
        <f t="shared" si="118"/>
        <v>5.2499999999999991</v>
      </c>
      <c r="L109">
        <f t="shared" si="127"/>
        <v>0.7201593034059568</v>
      </c>
      <c r="M109">
        <v>0.01</v>
      </c>
      <c r="N109">
        <f t="shared" si="128"/>
        <v>-2</v>
      </c>
      <c r="O109">
        <f t="shared" si="119"/>
        <v>1.0101010101010102E-2</v>
      </c>
      <c r="P109">
        <f t="shared" si="129"/>
        <v>-1.9956351945975499</v>
      </c>
      <c r="Q109">
        <f t="shared" si="130"/>
        <v>5.0595238095238084</v>
      </c>
      <c r="R109">
        <f t="shared" si="131"/>
        <v>0.70410964398842979</v>
      </c>
      <c r="U109">
        <f t="shared" si="120"/>
        <v>-0.7201593034059568</v>
      </c>
      <c r="Y109">
        <f t="shared" si="121"/>
        <v>-0.79588001734407521</v>
      </c>
      <c r="Z109">
        <f t="shared" si="122"/>
        <v>0.01</v>
      </c>
      <c r="AA109">
        <f t="shared" si="132"/>
        <v>-2</v>
      </c>
      <c r="AC109" t="s">
        <v>33</v>
      </c>
      <c r="AD109" t="s">
        <v>28</v>
      </c>
      <c r="AE109" t="s">
        <v>10</v>
      </c>
      <c r="AF109">
        <f>1000/3.36</f>
        <v>297.61904761904765</v>
      </c>
      <c r="AG109">
        <f t="shared" si="98"/>
        <v>3.3599999999999997E-3</v>
      </c>
      <c r="AH109">
        <v>0.16</v>
      </c>
      <c r="AI109">
        <f t="shared" si="99"/>
        <v>-0.79588001734407521</v>
      </c>
      <c r="AL109" t="s">
        <v>29</v>
      </c>
      <c r="AM109" t="s">
        <v>16</v>
      </c>
      <c r="AN109" t="s">
        <v>38</v>
      </c>
      <c r="AO109" s="1">
        <v>75000000</v>
      </c>
      <c r="AP109" s="1">
        <f t="shared" si="135"/>
        <v>7.8750612633917001</v>
      </c>
      <c r="AQ109">
        <v>370</v>
      </c>
      <c r="AR109">
        <f t="shared" si="100"/>
        <v>370000000</v>
      </c>
      <c r="AS109">
        <f t="shared" si="101"/>
        <v>8.568201724066995</v>
      </c>
      <c r="AU109" s="1">
        <v>370000000</v>
      </c>
      <c r="AW109">
        <f t="shared" si="138"/>
        <v>1015.0751250000002</v>
      </c>
      <c r="AX109">
        <f t="shared" si="102"/>
        <v>1.0150751250000001E-27</v>
      </c>
      <c r="AY109">
        <f t="shared" si="103"/>
        <v>-26.993501814730475</v>
      </c>
      <c r="AZ109">
        <v>6</v>
      </c>
      <c r="BA109">
        <f t="shared" si="104"/>
        <v>0.77815125038364363</v>
      </c>
      <c r="BB109">
        <f t="shared" si="139"/>
        <v>1.848713603450932E-2</v>
      </c>
      <c r="BC109">
        <f t="shared" si="106"/>
        <v>-1.7331303630834989</v>
      </c>
      <c r="BE109">
        <f t="shared" si="133"/>
        <v>823</v>
      </c>
      <c r="BF109">
        <f t="shared" si="107"/>
        <v>1.215066828675577E-3</v>
      </c>
      <c r="BG109">
        <f t="shared" si="134"/>
        <v>1209600</v>
      </c>
      <c r="BH109">
        <f t="shared" si="108"/>
        <v>6.0826417781571314</v>
      </c>
      <c r="BI109" s="1">
        <v>8.7000000000000001E-4</v>
      </c>
      <c r="BJ109">
        <f t="shared" si="109"/>
        <v>-3.0604807473813813</v>
      </c>
      <c r="BK109">
        <v>100</v>
      </c>
      <c r="BL109">
        <f t="shared" si="110"/>
        <v>0.1</v>
      </c>
      <c r="BM109">
        <f t="shared" si="111"/>
        <v>-1</v>
      </c>
      <c r="BN109">
        <v>2.0299999999999998</v>
      </c>
      <c r="BO109">
        <f t="shared" si="112"/>
        <v>0.30749603791321289</v>
      </c>
      <c r="BQ109">
        <v>96</v>
      </c>
      <c r="BR109">
        <f t="shared" si="113"/>
        <v>1.9487999999999996</v>
      </c>
      <c r="BS109">
        <f t="shared" si="114"/>
        <v>0.28976727095278126</v>
      </c>
      <c r="BV109">
        <f>EXP(-1.8)/1000</f>
        <v>1.6529888822158653E-4</v>
      </c>
      <c r="BW109" s="1">
        <f t="shared" si="115"/>
        <v>-3.7817300674258534</v>
      </c>
      <c r="CB109" t="e">
        <f>#REF!+#REF!*AG109+#REF!*BC109+#REF!*AY109</f>
        <v>#REF!</v>
      </c>
      <c r="CD109" s="1" t="e">
        <f t="shared" si="123"/>
        <v>#REF!</v>
      </c>
    </row>
    <row r="110" spans="1:82" ht="16.5" customHeight="1" x14ac:dyDescent="0.25">
      <c r="A110" s="3" t="s">
        <v>61</v>
      </c>
      <c r="B110" t="s">
        <v>31</v>
      </c>
      <c r="C110" t="s">
        <v>33</v>
      </c>
      <c r="E110">
        <v>0.16</v>
      </c>
      <c r="F110">
        <f t="shared" si="124"/>
        <v>-0.79588001734407521</v>
      </c>
      <c r="G110">
        <f t="shared" si="116"/>
        <v>0.19047619047619049</v>
      </c>
      <c r="H110">
        <f t="shared" si="125"/>
        <v>-0.7201593034059568</v>
      </c>
      <c r="I110">
        <f t="shared" si="117"/>
        <v>0.84</v>
      </c>
      <c r="J110">
        <f t="shared" si="126"/>
        <v>-7.5720713938118356E-2</v>
      </c>
      <c r="K110">
        <f t="shared" si="118"/>
        <v>5.2499999999999991</v>
      </c>
      <c r="L110">
        <f t="shared" si="127"/>
        <v>0.7201593034059568</v>
      </c>
      <c r="M110">
        <v>0.01</v>
      </c>
      <c r="N110">
        <f t="shared" si="128"/>
        <v>-2</v>
      </c>
      <c r="O110">
        <f t="shared" si="119"/>
        <v>1.0101010101010102E-2</v>
      </c>
      <c r="P110">
        <f t="shared" si="129"/>
        <v>-1.9956351945975499</v>
      </c>
      <c r="Q110">
        <f t="shared" si="130"/>
        <v>5.0595238095238084</v>
      </c>
      <c r="R110">
        <f t="shared" si="131"/>
        <v>0.70410964398842979</v>
      </c>
      <c r="U110">
        <f t="shared" si="120"/>
        <v>-0.7201593034059568</v>
      </c>
      <c r="Y110">
        <f t="shared" si="121"/>
        <v>-0.79588001734407521</v>
      </c>
      <c r="Z110">
        <f t="shared" si="122"/>
        <v>0.01</v>
      </c>
      <c r="AA110">
        <f t="shared" si="132"/>
        <v>-2</v>
      </c>
      <c r="AC110" t="s">
        <v>33</v>
      </c>
      <c r="AD110" t="s">
        <v>28</v>
      </c>
      <c r="AE110" t="s">
        <v>10</v>
      </c>
      <c r="AF110">
        <f>1000/3.3</f>
        <v>303.03030303030306</v>
      </c>
      <c r="AG110">
        <f t="shared" si="98"/>
        <v>3.2999999999999995E-3</v>
      </c>
      <c r="AH110">
        <v>0.16</v>
      </c>
      <c r="AI110">
        <f t="shared" si="99"/>
        <v>-0.79588001734407521</v>
      </c>
      <c r="AL110" t="s">
        <v>29</v>
      </c>
      <c r="AM110" t="s">
        <v>16</v>
      </c>
      <c r="AN110" t="s">
        <v>38</v>
      </c>
      <c r="AO110" s="1">
        <v>75000000</v>
      </c>
      <c r="AP110" s="1">
        <f t="shared" si="135"/>
        <v>7.8750612633917001</v>
      </c>
      <c r="AQ110">
        <v>370</v>
      </c>
      <c r="AR110">
        <f t="shared" si="100"/>
        <v>370000000</v>
      </c>
      <c r="AS110">
        <f t="shared" si="101"/>
        <v>8.568201724066995</v>
      </c>
      <c r="AU110" s="1">
        <v>370000000</v>
      </c>
      <c r="AW110">
        <f t="shared" si="138"/>
        <v>1015.0751250000002</v>
      </c>
      <c r="AX110">
        <f t="shared" si="102"/>
        <v>1.0150751250000001E-27</v>
      </c>
      <c r="AY110">
        <f t="shared" si="103"/>
        <v>-26.993501814730475</v>
      </c>
      <c r="AZ110">
        <v>6</v>
      </c>
      <c r="BA110">
        <f t="shared" si="104"/>
        <v>0.77815125038364363</v>
      </c>
      <c r="BB110">
        <f t="shared" si="139"/>
        <v>1.848713603450932E-2</v>
      </c>
      <c r="BC110">
        <f t="shared" si="106"/>
        <v>-1.7331303630834989</v>
      </c>
      <c r="BE110">
        <f t="shared" si="133"/>
        <v>823</v>
      </c>
      <c r="BF110">
        <f t="shared" si="107"/>
        <v>1.215066828675577E-3</v>
      </c>
      <c r="BG110">
        <f t="shared" si="134"/>
        <v>1209600</v>
      </c>
      <c r="BH110">
        <f t="shared" si="108"/>
        <v>6.0826417781571314</v>
      </c>
      <c r="BI110" s="1">
        <v>8.7000000000000001E-4</v>
      </c>
      <c r="BJ110">
        <f t="shared" si="109"/>
        <v>-3.0604807473813813</v>
      </c>
      <c r="BK110">
        <v>100</v>
      </c>
      <c r="BL110">
        <f t="shared" si="110"/>
        <v>0.1</v>
      </c>
      <c r="BM110">
        <f t="shared" si="111"/>
        <v>-1</v>
      </c>
      <c r="BN110">
        <v>2.0299999999999998</v>
      </c>
      <c r="BO110">
        <f t="shared" si="112"/>
        <v>0.30749603791321289</v>
      </c>
      <c r="BQ110">
        <v>96</v>
      </c>
      <c r="BR110">
        <f t="shared" si="113"/>
        <v>1.9487999999999996</v>
      </c>
      <c r="BS110">
        <f t="shared" si="114"/>
        <v>0.28976727095278126</v>
      </c>
      <c r="BV110">
        <f>EXP(-1.4)/1000</f>
        <v>2.4659696394160652E-4</v>
      </c>
      <c r="BW110" s="1">
        <f t="shared" si="115"/>
        <v>-3.6080122746645524</v>
      </c>
      <c r="CB110" t="e">
        <f>#REF!+#REF!*AG110+#REF!*BC110+#REF!*AY110</f>
        <v>#REF!</v>
      </c>
      <c r="CD110" s="1" t="e">
        <f t="shared" si="123"/>
        <v>#REF!</v>
      </c>
    </row>
    <row r="111" spans="1:82" ht="16.5" customHeight="1" x14ac:dyDescent="0.25">
      <c r="A111" s="3" t="s">
        <v>61</v>
      </c>
      <c r="B111" t="s">
        <v>54</v>
      </c>
      <c r="C111" t="s">
        <v>32</v>
      </c>
      <c r="D111" t="s">
        <v>28</v>
      </c>
      <c r="E111">
        <v>0.62</v>
      </c>
      <c r="F111">
        <f t="shared" ref="F111:F137" si="140">LOG10(E111)</f>
        <v>-0.20760831050174613</v>
      </c>
      <c r="G111">
        <f t="shared" ref="G111:G136" si="141">E111/(1-E111)</f>
        <v>1.631578947368421</v>
      </c>
      <c r="H111">
        <f t="shared" ref="H111:H137" si="142">LOG10(G111)</f>
        <v>0.21260809288144372</v>
      </c>
      <c r="I111">
        <f t="shared" ref="I111:I136" si="143">1-E111</f>
        <v>0.38</v>
      </c>
      <c r="J111">
        <f t="shared" ref="J111:J137" si="144">LOG10(I111)</f>
        <v>-0.42021640338318983</v>
      </c>
      <c r="K111">
        <f t="shared" ref="K111:K136" si="145">I111/(1-I111)</f>
        <v>0.61290322580645162</v>
      </c>
      <c r="L111">
        <f t="shared" ref="L111:L137" si="146">LOG10(K111)</f>
        <v>-0.21260809288144372</v>
      </c>
      <c r="M111">
        <v>0.01</v>
      </c>
      <c r="N111">
        <f t="shared" ref="N111:N137" si="147">LOG10(M111)</f>
        <v>-2</v>
      </c>
      <c r="O111">
        <f t="shared" ref="O111:O136" si="148">M111/(1-M111)</f>
        <v>1.0101010101010102E-2</v>
      </c>
      <c r="P111">
        <f t="shared" ref="P111:P137" si="149">LOG10(O111)</f>
        <v>-1.9956351945975499</v>
      </c>
      <c r="Q111">
        <f t="shared" ref="Q111:Q137" si="150">ABS(G111-K111)</f>
        <v>1.0186757215619693</v>
      </c>
      <c r="R111">
        <f t="shared" ref="R111:R137" si="151">LOG10(Q111)</f>
        <v>8.0359555965419244E-3</v>
      </c>
      <c r="U111">
        <f t="shared" ref="U111:U136" si="152">LOG10(G111)</f>
        <v>0.21260809288144372</v>
      </c>
      <c r="Y111">
        <f t="shared" ref="Y111:Y136" si="153">LOG10(E111)</f>
        <v>-0.20760831050174613</v>
      </c>
      <c r="Z111">
        <f t="shared" ref="Z111:Z136" si="154">AH111-E111+0.01</f>
        <v>0.01</v>
      </c>
      <c r="AA111">
        <f t="shared" ref="AA111:AA137" si="155">LOG10(Z111)</f>
        <v>-2</v>
      </c>
      <c r="AC111" t="s">
        <v>32</v>
      </c>
      <c r="AD111" t="s">
        <v>28</v>
      </c>
      <c r="AE111" t="s">
        <v>10</v>
      </c>
      <c r="AF111">
        <f t="shared" ref="AF111:AF128" si="156">1/AG111</f>
        <v>383.14176245210729</v>
      </c>
      <c r="AG111">
        <v>2.6099999999999999E-3</v>
      </c>
      <c r="AH111">
        <v>0.62</v>
      </c>
      <c r="AI111">
        <f t="shared" ref="AI111:AI129" si="157">LOG10(AH111)</f>
        <v>-0.20760831050174613</v>
      </c>
      <c r="AL111" t="s">
        <v>29</v>
      </c>
      <c r="AM111" t="s">
        <v>16</v>
      </c>
      <c r="AN111" t="s">
        <v>56</v>
      </c>
      <c r="AO111">
        <f t="shared" ref="AO111:AO128" si="158">10^5</f>
        <v>100000</v>
      </c>
      <c r="AP111" s="1">
        <f t="shared" ref="AP111:AP132" si="159">LOG10(AO111)</f>
        <v>5</v>
      </c>
      <c r="AQ111">
        <v>588</v>
      </c>
      <c r="AR111">
        <f t="shared" ref="AR111:AR132" si="160">AQ111*10^6</f>
        <v>588000000</v>
      </c>
      <c r="AS111">
        <f t="shared" ref="AS111:AS132" si="161">LOG10(AR111)</f>
        <v>8.769377326076139</v>
      </c>
      <c r="AU111" s="1">
        <v>400000000</v>
      </c>
      <c r="AW111">
        <v>949.57</v>
      </c>
      <c r="AX111">
        <f t="shared" ref="AX111:AX132" si="162">AW111*10^-30</f>
        <v>9.4957000000000001E-28</v>
      </c>
      <c r="AY111">
        <f t="shared" ref="AY111:AY132" si="163">LOG10(AX111)</f>
        <v>-27.022473014609769</v>
      </c>
      <c r="AZ111">
        <v>6</v>
      </c>
      <c r="BA111">
        <f t="shared" ref="BA111:BA132" si="164">LOG10(AZ111)</f>
        <v>0.77815125038364363</v>
      </c>
      <c r="BB111">
        <v>2.2354694485842028E-2</v>
      </c>
      <c r="BC111">
        <f t="shared" ref="BC111:BC132" si="165">LOG10(BB111)</f>
        <v>-1.6506312611133107</v>
      </c>
      <c r="BE111">
        <f t="shared" ref="BE111:BE128" si="166">550+273</f>
        <v>823</v>
      </c>
      <c r="BF111">
        <f t="shared" ref="BF111:BF132" si="167">1/BE111</f>
        <v>1.215066828675577E-3</v>
      </c>
      <c r="BG111">
        <f t="shared" ref="BG111:BG127" si="168">5*60*60</f>
        <v>18000</v>
      </c>
      <c r="BH111">
        <f t="shared" ref="BH111:BH132" si="169">LOG(BG111)</f>
        <v>4.2552725051033065</v>
      </c>
      <c r="BI111" s="1">
        <v>1E-3</v>
      </c>
      <c r="BJ111">
        <f t="shared" ref="BJ111:BJ132" si="170">LOG10(BI111)</f>
        <v>-3</v>
      </c>
      <c r="BN111">
        <v>1.655</v>
      </c>
      <c r="BO111">
        <f t="shared" ref="BO111:BO132" si="171">LOG10(BN111)</f>
        <v>0.21879799811173756</v>
      </c>
      <c r="BV111">
        <f>EXP(2)/1000</f>
        <v>7.3890560989306507E-3</v>
      </c>
      <c r="BW111" s="1">
        <f t="shared" ref="BW111:BW132" si="172">LOG10(BV111)</f>
        <v>-2.1314110361934961</v>
      </c>
      <c r="CB111" t="e">
        <f>#REF!+#REF!*AG111+#REF!*BC111+#REF!*AY111</f>
        <v>#REF!</v>
      </c>
      <c r="CD111" s="1" t="e">
        <f t="shared" ref="CD111:CD132" si="173">(CB111-BW111)^2</f>
        <v>#REF!</v>
      </c>
    </row>
    <row r="112" spans="1:82" ht="16.5" customHeight="1" x14ac:dyDescent="0.25">
      <c r="A112" s="3" t="s">
        <v>61</v>
      </c>
      <c r="B112" t="s">
        <v>54</v>
      </c>
      <c r="C112" t="s">
        <v>32</v>
      </c>
      <c r="D112" t="s">
        <v>28</v>
      </c>
      <c r="E112">
        <v>0.62</v>
      </c>
      <c r="F112">
        <f t="shared" si="140"/>
        <v>-0.20760831050174613</v>
      </c>
      <c r="G112">
        <f t="shared" si="141"/>
        <v>1.631578947368421</v>
      </c>
      <c r="H112">
        <f t="shared" si="142"/>
        <v>0.21260809288144372</v>
      </c>
      <c r="I112">
        <f t="shared" si="143"/>
        <v>0.38</v>
      </c>
      <c r="J112">
        <f t="shared" si="144"/>
        <v>-0.42021640338318983</v>
      </c>
      <c r="K112">
        <f t="shared" si="145"/>
        <v>0.61290322580645162</v>
      </c>
      <c r="L112">
        <f t="shared" si="146"/>
        <v>-0.21260809288144372</v>
      </c>
      <c r="M112">
        <v>0.01</v>
      </c>
      <c r="N112">
        <f t="shared" si="147"/>
        <v>-2</v>
      </c>
      <c r="O112">
        <f t="shared" si="148"/>
        <v>1.0101010101010102E-2</v>
      </c>
      <c r="P112">
        <f t="shared" si="149"/>
        <v>-1.9956351945975499</v>
      </c>
      <c r="Q112">
        <f t="shared" si="150"/>
        <v>1.0186757215619693</v>
      </c>
      <c r="R112">
        <f t="shared" si="151"/>
        <v>8.0359555965419244E-3</v>
      </c>
      <c r="U112">
        <f t="shared" si="152"/>
        <v>0.21260809288144372</v>
      </c>
      <c r="Y112">
        <f t="shared" si="153"/>
        <v>-0.20760831050174613</v>
      </c>
      <c r="Z112">
        <f t="shared" si="154"/>
        <v>0.01</v>
      </c>
      <c r="AA112">
        <f t="shared" si="155"/>
        <v>-2</v>
      </c>
      <c r="AC112" t="s">
        <v>32</v>
      </c>
      <c r="AD112" t="s">
        <v>28</v>
      </c>
      <c r="AE112" t="s">
        <v>10</v>
      </c>
      <c r="AF112">
        <f t="shared" si="156"/>
        <v>393.70078740157476</v>
      </c>
      <c r="AG112">
        <v>2.5400000000000002E-3</v>
      </c>
      <c r="AH112">
        <v>0.62</v>
      </c>
      <c r="AI112">
        <f t="shared" si="157"/>
        <v>-0.20760831050174613</v>
      </c>
      <c r="AL112" t="s">
        <v>29</v>
      </c>
      <c r="AM112" t="s">
        <v>16</v>
      </c>
      <c r="AN112" t="s">
        <v>56</v>
      </c>
      <c r="AO112">
        <f t="shared" si="158"/>
        <v>100000</v>
      </c>
      <c r="AP112" s="1">
        <f t="shared" si="159"/>
        <v>5</v>
      </c>
      <c r="AQ112">
        <v>588</v>
      </c>
      <c r="AR112">
        <f t="shared" si="160"/>
        <v>588000000</v>
      </c>
      <c r="AS112">
        <f t="shared" si="161"/>
        <v>8.769377326076139</v>
      </c>
      <c r="AU112" s="1">
        <v>400000000</v>
      </c>
      <c r="AW112">
        <v>949.57</v>
      </c>
      <c r="AX112">
        <f t="shared" si="162"/>
        <v>9.4957000000000001E-28</v>
      </c>
      <c r="AY112">
        <f t="shared" si="163"/>
        <v>-27.022473014609769</v>
      </c>
      <c r="AZ112">
        <v>6</v>
      </c>
      <c r="BA112">
        <f t="shared" si="164"/>
        <v>0.77815125038364363</v>
      </c>
      <c r="BB112">
        <v>2.2354694485842028E-2</v>
      </c>
      <c r="BC112">
        <f t="shared" si="165"/>
        <v>-1.6506312611133107</v>
      </c>
      <c r="BE112">
        <f t="shared" si="166"/>
        <v>823</v>
      </c>
      <c r="BF112">
        <f t="shared" si="167"/>
        <v>1.215066828675577E-3</v>
      </c>
      <c r="BG112">
        <f t="shared" si="168"/>
        <v>18000</v>
      </c>
      <c r="BH112">
        <f t="shared" si="169"/>
        <v>4.2552725051033065</v>
      </c>
      <c r="BI112" s="1">
        <v>1E-3</v>
      </c>
      <c r="BJ112">
        <f t="shared" si="170"/>
        <v>-3</v>
      </c>
      <c r="BN112">
        <v>1.655</v>
      </c>
      <c r="BO112">
        <f t="shared" si="171"/>
        <v>0.21879799811173756</v>
      </c>
      <c r="BV112">
        <f>EXP(2.7)/1000</f>
        <v>1.4879731724872837E-2</v>
      </c>
      <c r="BW112" s="1">
        <f t="shared" si="172"/>
        <v>-1.8274048988612199</v>
      </c>
      <c r="CB112" t="e">
        <f>#REF!+#REF!*AG112+#REF!*BC112+#REF!*AY112</f>
        <v>#REF!</v>
      </c>
      <c r="CD112" s="1" t="e">
        <f t="shared" si="173"/>
        <v>#REF!</v>
      </c>
    </row>
    <row r="113" spans="1:82" ht="16.5" customHeight="1" x14ac:dyDescent="0.25">
      <c r="A113" s="3" t="s">
        <v>61</v>
      </c>
      <c r="B113" t="s">
        <v>54</v>
      </c>
      <c r="C113" t="s">
        <v>32</v>
      </c>
      <c r="D113" t="s">
        <v>28</v>
      </c>
      <c r="E113">
        <v>0.62</v>
      </c>
      <c r="F113">
        <f t="shared" si="140"/>
        <v>-0.20760831050174613</v>
      </c>
      <c r="G113">
        <f t="shared" si="141"/>
        <v>1.631578947368421</v>
      </c>
      <c r="H113">
        <f t="shared" si="142"/>
        <v>0.21260809288144372</v>
      </c>
      <c r="I113">
        <f t="shared" si="143"/>
        <v>0.38</v>
      </c>
      <c r="J113">
        <f t="shared" si="144"/>
        <v>-0.42021640338318983</v>
      </c>
      <c r="K113">
        <f t="shared" si="145"/>
        <v>0.61290322580645162</v>
      </c>
      <c r="L113">
        <f t="shared" si="146"/>
        <v>-0.21260809288144372</v>
      </c>
      <c r="M113">
        <v>0.01</v>
      </c>
      <c r="N113">
        <f t="shared" si="147"/>
        <v>-2</v>
      </c>
      <c r="O113">
        <f t="shared" si="148"/>
        <v>1.0101010101010102E-2</v>
      </c>
      <c r="P113">
        <f t="shared" si="149"/>
        <v>-1.9956351945975499</v>
      </c>
      <c r="Q113">
        <f t="shared" si="150"/>
        <v>1.0186757215619693</v>
      </c>
      <c r="R113">
        <f t="shared" si="151"/>
        <v>8.0359555965419244E-3</v>
      </c>
      <c r="U113">
        <f t="shared" si="152"/>
        <v>0.21260809288144372</v>
      </c>
      <c r="Y113">
        <f t="shared" si="153"/>
        <v>-0.20760831050174613</v>
      </c>
      <c r="Z113">
        <f t="shared" si="154"/>
        <v>0.01</v>
      </c>
      <c r="AA113">
        <f t="shared" si="155"/>
        <v>-2</v>
      </c>
      <c r="AC113" t="s">
        <v>32</v>
      </c>
      <c r="AD113" t="s">
        <v>28</v>
      </c>
      <c r="AE113" t="s">
        <v>10</v>
      </c>
      <c r="AF113">
        <f t="shared" si="156"/>
        <v>403.22580645161293</v>
      </c>
      <c r="AG113">
        <v>2.48E-3</v>
      </c>
      <c r="AH113">
        <v>0.62</v>
      </c>
      <c r="AI113">
        <f t="shared" si="157"/>
        <v>-0.20760831050174613</v>
      </c>
      <c r="AL113" t="s">
        <v>29</v>
      </c>
      <c r="AM113" t="s">
        <v>16</v>
      </c>
      <c r="AN113" t="s">
        <v>56</v>
      </c>
      <c r="AO113">
        <f t="shared" si="158"/>
        <v>100000</v>
      </c>
      <c r="AP113" s="1">
        <f t="shared" si="159"/>
        <v>5</v>
      </c>
      <c r="AQ113">
        <v>588</v>
      </c>
      <c r="AR113">
        <f t="shared" si="160"/>
        <v>588000000</v>
      </c>
      <c r="AS113">
        <f t="shared" si="161"/>
        <v>8.769377326076139</v>
      </c>
      <c r="AU113" s="1">
        <v>400000000</v>
      </c>
      <c r="AW113">
        <v>949.57</v>
      </c>
      <c r="AX113">
        <f t="shared" si="162"/>
        <v>9.4957000000000001E-28</v>
      </c>
      <c r="AY113">
        <f t="shared" si="163"/>
        <v>-27.022473014609769</v>
      </c>
      <c r="AZ113">
        <v>6</v>
      </c>
      <c r="BA113">
        <f t="shared" si="164"/>
        <v>0.77815125038364363</v>
      </c>
      <c r="BB113">
        <v>2.2354694485842028E-2</v>
      </c>
      <c r="BC113">
        <f t="shared" si="165"/>
        <v>-1.6506312611133107</v>
      </c>
      <c r="BE113">
        <f t="shared" si="166"/>
        <v>823</v>
      </c>
      <c r="BF113">
        <f t="shared" si="167"/>
        <v>1.215066828675577E-3</v>
      </c>
      <c r="BG113">
        <f t="shared" si="168"/>
        <v>18000</v>
      </c>
      <c r="BH113">
        <f t="shared" si="169"/>
        <v>4.2552725051033065</v>
      </c>
      <c r="BI113" s="1">
        <v>1E-3</v>
      </c>
      <c r="BJ113">
        <f t="shared" si="170"/>
        <v>-3</v>
      </c>
      <c r="BN113">
        <v>1.655</v>
      </c>
      <c r="BO113">
        <f t="shared" si="171"/>
        <v>0.21879799811173756</v>
      </c>
      <c r="BV113">
        <f>EXP(2.8)/1000</f>
        <v>1.6444646771097048E-2</v>
      </c>
      <c r="BW113" s="1">
        <f t="shared" si="172"/>
        <v>-1.7839754506708949</v>
      </c>
      <c r="CB113" t="e">
        <f>#REF!+#REF!*AG113+#REF!*BC113+#REF!*AY113</f>
        <v>#REF!</v>
      </c>
      <c r="CD113" s="1" t="e">
        <f t="shared" si="173"/>
        <v>#REF!</v>
      </c>
    </row>
    <row r="114" spans="1:82" ht="16.5" customHeight="1" x14ac:dyDescent="0.25">
      <c r="A114" s="3" t="s">
        <v>61</v>
      </c>
      <c r="B114" t="s">
        <v>54</v>
      </c>
      <c r="C114" t="s">
        <v>32</v>
      </c>
      <c r="D114" t="s">
        <v>28</v>
      </c>
      <c r="E114">
        <v>0.62</v>
      </c>
      <c r="F114">
        <f t="shared" si="140"/>
        <v>-0.20760831050174613</v>
      </c>
      <c r="G114">
        <f t="shared" si="141"/>
        <v>1.631578947368421</v>
      </c>
      <c r="H114">
        <f t="shared" si="142"/>
        <v>0.21260809288144372</v>
      </c>
      <c r="I114">
        <f t="shared" si="143"/>
        <v>0.38</v>
      </c>
      <c r="J114">
        <f t="shared" si="144"/>
        <v>-0.42021640338318983</v>
      </c>
      <c r="K114">
        <f t="shared" si="145"/>
        <v>0.61290322580645162</v>
      </c>
      <c r="L114">
        <f t="shared" si="146"/>
        <v>-0.21260809288144372</v>
      </c>
      <c r="M114">
        <v>0.01</v>
      </c>
      <c r="N114">
        <f t="shared" si="147"/>
        <v>-2</v>
      </c>
      <c r="O114">
        <f t="shared" si="148"/>
        <v>1.0101010101010102E-2</v>
      </c>
      <c r="P114">
        <f t="shared" si="149"/>
        <v>-1.9956351945975499</v>
      </c>
      <c r="Q114">
        <f t="shared" si="150"/>
        <v>1.0186757215619693</v>
      </c>
      <c r="R114">
        <f t="shared" si="151"/>
        <v>8.0359555965419244E-3</v>
      </c>
      <c r="U114">
        <f t="shared" si="152"/>
        <v>0.21260809288144372</v>
      </c>
      <c r="Y114">
        <f t="shared" si="153"/>
        <v>-0.20760831050174613</v>
      </c>
      <c r="Z114">
        <f t="shared" si="154"/>
        <v>0.01</v>
      </c>
      <c r="AA114">
        <f t="shared" si="155"/>
        <v>-2</v>
      </c>
      <c r="AC114" t="s">
        <v>32</v>
      </c>
      <c r="AD114" t="s">
        <v>28</v>
      </c>
      <c r="AE114" t="s">
        <v>10</v>
      </c>
      <c r="AF114">
        <f t="shared" si="156"/>
        <v>413.22314049586777</v>
      </c>
      <c r="AG114">
        <v>2.4199999999999998E-3</v>
      </c>
      <c r="AH114">
        <v>0.62</v>
      </c>
      <c r="AI114">
        <f t="shared" si="157"/>
        <v>-0.20760831050174613</v>
      </c>
      <c r="AL114" t="s">
        <v>29</v>
      </c>
      <c r="AM114" t="s">
        <v>16</v>
      </c>
      <c r="AN114" t="s">
        <v>56</v>
      </c>
      <c r="AO114">
        <f t="shared" si="158"/>
        <v>100000</v>
      </c>
      <c r="AP114" s="1">
        <f t="shared" si="159"/>
        <v>5</v>
      </c>
      <c r="AQ114">
        <v>588</v>
      </c>
      <c r="AR114">
        <f t="shared" si="160"/>
        <v>588000000</v>
      </c>
      <c r="AS114">
        <f t="shared" si="161"/>
        <v>8.769377326076139</v>
      </c>
      <c r="AU114" s="1">
        <v>400000000</v>
      </c>
      <c r="AW114">
        <v>949.57</v>
      </c>
      <c r="AX114">
        <f t="shared" si="162"/>
        <v>9.4957000000000001E-28</v>
      </c>
      <c r="AY114">
        <f t="shared" si="163"/>
        <v>-27.022473014609769</v>
      </c>
      <c r="AZ114">
        <v>6</v>
      </c>
      <c r="BA114">
        <f t="shared" si="164"/>
        <v>0.77815125038364363</v>
      </c>
      <c r="BB114">
        <v>2.2354694485842028E-2</v>
      </c>
      <c r="BC114">
        <f t="shared" si="165"/>
        <v>-1.6506312611133107</v>
      </c>
      <c r="BE114">
        <f t="shared" si="166"/>
        <v>823</v>
      </c>
      <c r="BF114">
        <f t="shared" si="167"/>
        <v>1.215066828675577E-3</v>
      </c>
      <c r="BG114">
        <f t="shared" si="168"/>
        <v>18000</v>
      </c>
      <c r="BH114">
        <f t="shared" si="169"/>
        <v>4.2552725051033065</v>
      </c>
      <c r="BI114" s="1">
        <v>1E-3</v>
      </c>
      <c r="BJ114">
        <f t="shared" si="170"/>
        <v>-3</v>
      </c>
      <c r="BN114">
        <v>1.655</v>
      </c>
      <c r="BO114">
        <f t="shared" si="171"/>
        <v>0.21879799811173756</v>
      </c>
      <c r="BV114">
        <f>EXP(3)/1000</f>
        <v>2.0085536923187666E-2</v>
      </c>
      <c r="BW114" s="1">
        <f t="shared" si="172"/>
        <v>-1.6971165542902444</v>
      </c>
      <c r="CB114" t="e">
        <f>#REF!+#REF!*AG114+#REF!*BC114+#REF!*AY114</f>
        <v>#REF!</v>
      </c>
      <c r="CD114" s="1" t="e">
        <f t="shared" si="173"/>
        <v>#REF!</v>
      </c>
    </row>
    <row r="115" spans="1:82" ht="16.5" customHeight="1" x14ac:dyDescent="0.25">
      <c r="A115" s="3" t="s">
        <v>61</v>
      </c>
      <c r="B115" t="s">
        <v>54</v>
      </c>
      <c r="C115" t="s">
        <v>32</v>
      </c>
      <c r="D115" t="s">
        <v>28</v>
      </c>
      <c r="E115">
        <v>0.62</v>
      </c>
      <c r="F115">
        <f t="shared" si="140"/>
        <v>-0.20760831050174613</v>
      </c>
      <c r="G115">
        <f t="shared" si="141"/>
        <v>1.631578947368421</v>
      </c>
      <c r="H115">
        <f t="shared" si="142"/>
        <v>0.21260809288144372</v>
      </c>
      <c r="I115">
        <f t="shared" si="143"/>
        <v>0.38</v>
      </c>
      <c r="J115">
        <f t="shared" si="144"/>
        <v>-0.42021640338318983</v>
      </c>
      <c r="K115">
        <f t="shared" si="145"/>
        <v>0.61290322580645162</v>
      </c>
      <c r="L115">
        <f t="shared" si="146"/>
        <v>-0.21260809288144372</v>
      </c>
      <c r="M115">
        <v>0.01</v>
      </c>
      <c r="N115">
        <f t="shared" si="147"/>
        <v>-2</v>
      </c>
      <c r="O115">
        <f t="shared" si="148"/>
        <v>1.0101010101010102E-2</v>
      </c>
      <c r="P115">
        <f t="shared" si="149"/>
        <v>-1.9956351945975499</v>
      </c>
      <c r="Q115">
        <f t="shared" si="150"/>
        <v>1.0186757215619693</v>
      </c>
      <c r="R115">
        <f t="shared" si="151"/>
        <v>8.0359555965419244E-3</v>
      </c>
      <c r="U115">
        <f t="shared" si="152"/>
        <v>0.21260809288144372</v>
      </c>
      <c r="Y115">
        <f t="shared" si="153"/>
        <v>-0.20760831050174613</v>
      </c>
      <c r="Z115">
        <f t="shared" si="154"/>
        <v>0.01</v>
      </c>
      <c r="AA115">
        <f t="shared" si="155"/>
        <v>-2</v>
      </c>
      <c r="AC115" t="s">
        <v>32</v>
      </c>
      <c r="AD115" t="s">
        <v>28</v>
      </c>
      <c r="AE115" t="s">
        <v>10</v>
      </c>
      <c r="AF115">
        <f t="shared" si="156"/>
        <v>421.94092827004215</v>
      </c>
      <c r="AG115">
        <v>2.3700000000000001E-3</v>
      </c>
      <c r="AH115">
        <v>0.62</v>
      </c>
      <c r="AI115">
        <f t="shared" si="157"/>
        <v>-0.20760831050174613</v>
      </c>
      <c r="AL115" t="s">
        <v>29</v>
      </c>
      <c r="AM115" t="s">
        <v>16</v>
      </c>
      <c r="AN115" t="s">
        <v>56</v>
      </c>
      <c r="AO115">
        <f t="shared" si="158"/>
        <v>100000</v>
      </c>
      <c r="AP115" s="1">
        <f t="shared" si="159"/>
        <v>5</v>
      </c>
      <c r="AQ115">
        <v>588</v>
      </c>
      <c r="AR115">
        <f t="shared" si="160"/>
        <v>588000000</v>
      </c>
      <c r="AS115">
        <f t="shared" si="161"/>
        <v>8.769377326076139</v>
      </c>
      <c r="AU115" s="1">
        <v>400000000</v>
      </c>
      <c r="AW115">
        <v>949.57</v>
      </c>
      <c r="AX115">
        <f t="shared" si="162"/>
        <v>9.4957000000000001E-28</v>
      </c>
      <c r="AY115">
        <f t="shared" si="163"/>
        <v>-27.022473014609769</v>
      </c>
      <c r="AZ115">
        <v>6</v>
      </c>
      <c r="BA115">
        <f t="shared" si="164"/>
        <v>0.77815125038364363</v>
      </c>
      <c r="BB115">
        <v>2.2354694485842028E-2</v>
      </c>
      <c r="BC115">
        <f t="shared" si="165"/>
        <v>-1.6506312611133107</v>
      </c>
      <c r="BE115">
        <f t="shared" si="166"/>
        <v>823</v>
      </c>
      <c r="BF115">
        <f t="shared" si="167"/>
        <v>1.215066828675577E-3</v>
      </c>
      <c r="BG115">
        <f t="shared" si="168"/>
        <v>18000</v>
      </c>
      <c r="BH115">
        <f t="shared" si="169"/>
        <v>4.2552725051033065</v>
      </c>
      <c r="BI115" s="1">
        <v>1E-3</v>
      </c>
      <c r="BJ115">
        <f t="shared" si="170"/>
        <v>-3</v>
      </c>
      <c r="BN115">
        <v>1.655</v>
      </c>
      <c r="BO115">
        <f t="shared" si="171"/>
        <v>0.21879799811173756</v>
      </c>
      <c r="BV115">
        <f>EXP(3.1)/1000</f>
        <v>2.2197951281441634E-2</v>
      </c>
      <c r="BW115" s="1">
        <f t="shared" si="172"/>
        <v>-1.6536871060999194</v>
      </c>
      <c r="CB115" t="e">
        <f>#REF!+#REF!*AG115+#REF!*BC115+#REF!*AY115</f>
        <v>#REF!</v>
      </c>
      <c r="CD115" s="1" t="e">
        <f t="shared" si="173"/>
        <v>#REF!</v>
      </c>
    </row>
    <row r="116" spans="1:82" ht="16.5" customHeight="1" x14ac:dyDescent="0.25">
      <c r="A116" s="3" t="s">
        <v>61</v>
      </c>
      <c r="B116" t="s">
        <v>54</v>
      </c>
      <c r="C116" t="s">
        <v>55</v>
      </c>
      <c r="D116" t="s">
        <v>28</v>
      </c>
      <c r="E116">
        <v>0.5</v>
      </c>
      <c r="F116">
        <f t="shared" si="140"/>
        <v>-0.3010299956639812</v>
      </c>
      <c r="G116">
        <f t="shared" si="141"/>
        <v>1</v>
      </c>
      <c r="H116">
        <f t="shared" si="142"/>
        <v>0</v>
      </c>
      <c r="I116">
        <f t="shared" si="143"/>
        <v>0.5</v>
      </c>
      <c r="J116">
        <f t="shared" si="144"/>
        <v>-0.3010299956639812</v>
      </c>
      <c r="K116">
        <f t="shared" si="145"/>
        <v>1</v>
      </c>
      <c r="L116">
        <f t="shared" si="146"/>
        <v>0</v>
      </c>
      <c r="M116">
        <v>0.01</v>
      </c>
      <c r="N116">
        <f t="shared" si="147"/>
        <v>-2</v>
      </c>
      <c r="O116">
        <f t="shared" si="148"/>
        <v>1.0101010101010102E-2</v>
      </c>
      <c r="P116">
        <f t="shared" si="149"/>
        <v>-1.9956351945975499</v>
      </c>
      <c r="Q116">
        <v>0.01</v>
      </c>
      <c r="R116">
        <v>-2</v>
      </c>
      <c r="U116">
        <f t="shared" si="152"/>
        <v>0</v>
      </c>
      <c r="Y116">
        <f t="shared" si="153"/>
        <v>-0.3010299956639812</v>
      </c>
      <c r="Z116">
        <f t="shared" si="154"/>
        <v>-3.9999999999999987E-2</v>
      </c>
      <c r="AA116" t="e">
        <f t="shared" si="155"/>
        <v>#NUM!</v>
      </c>
      <c r="AC116" t="s">
        <v>55</v>
      </c>
      <c r="AD116" t="s">
        <v>28</v>
      </c>
      <c r="AE116" t="s">
        <v>10</v>
      </c>
      <c r="AF116">
        <f t="shared" si="156"/>
        <v>304.8780487804878</v>
      </c>
      <c r="AG116">
        <v>3.2799999999999999E-3</v>
      </c>
      <c r="AH116">
        <v>0.45</v>
      </c>
      <c r="AI116">
        <f t="shared" si="157"/>
        <v>-0.34678748622465633</v>
      </c>
      <c r="AL116" t="s">
        <v>29</v>
      </c>
      <c r="AM116" t="s">
        <v>16</v>
      </c>
      <c r="AN116" t="s">
        <v>56</v>
      </c>
      <c r="AO116">
        <f t="shared" si="158"/>
        <v>100000</v>
      </c>
      <c r="AP116" s="1">
        <f t="shared" si="159"/>
        <v>5</v>
      </c>
      <c r="AQ116">
        <v>588</v>
      </c>
      <c r="AR116">
        <f t="shared" si="160"/>
        <v>588000000</v>
      </c>
      <c r="AS116">
        <f t="shared" si="161"/>
        <v>8.769377326076139</v>
      </c>
      <c r="AU116" s="1">
        <v>400000000</v>
      </c>
      <c r="AW116">
        <v>972.15</v>
      </c>
      <c r="AX116">
        <f t="shared" si="162"/>
        <v>9.7214999999999994E-28</v>
      </c>
      <c r="AY116">
        <f t="shared" si="163"/>
        <v>-27.012266719491169</v>
      </c>
      <c r="AZ116">
        <v>6</v>
      </c>
      <c r="BA116">
        <f t="shared" si="164"/>
        <v>0.77815125038364363</v>
      </c>
      <c r="BB116">
        <f>6/290.6</f>
        <v>2.0646937370956641E-2</v>
      </c>
      <c r="BC116">
        <f t="shared" si="165"/>
        <v>-1.6851443595783591</v>
      </c>
      <c r="BD116" s="1">
        <v>2E-8</v>
      </c>
      <c r="BE116">
        <f t="shared" si="166"/>
        <v>823</v>
      </c>
      <c r="BF116">
        <f t="shared" si="167"/>
        <v>1.215066828675577E-3</v>
      </c>
      <c r="BG116">
        <f t="shared" si="168"/>
        <v>18000</v>
      </c>
      <c r="BH116">
        <f t="shared" si="169"/>
        <v>4.2552725051033065</v>
      </c>
      <c r="BI116" s="1">
        <v>1E-3</v>
      </c>
      <c r="BJ116">
        <f t="shared" si="170"/>
        <v>-3</v>
      </c>
      <c r="BN116" t="e">
        <f>AVERAGE(#REF!,#REF!)</f>
        <v>#REF!</v>
      </c>
      <c r="BO116" t="e">
        <f t="shared" si="171"/>
        <v>#REF!</v>
      </c>
      <c r="BV116">
        <f>EXP(0.1)/1000</f>
        <v>1.1051709180756478E-3</v>
      </c>
      <c r="BW116" s="1">
        <f t="shared" si="172"/>
        <v>-2.9565705518096745</v>
      </c>
      <c r="CB116" t="e">
        <f>#REF!+#REF!*AG116+#REF!*BC116+#REF!*AY116</f>
        <v>#REF!</v>
      </c>
      <c r="CD116" s="1" t="e">
        <f t="shared" si="173"/>
        <v>#REF!</v>
      </c>
    </row>
    <row r="117" spans="1:82" ht="16.5" customHeight="1" x14ac:dyDescent="0.25">
      <c r="A117" s="3" t="s">
        <v>61</v>
      </c>
      <c r="B117" t="s">
        <v>54</v>
      </c>
      <c r="C117" t="s">
        <v>55</v>
      </c>
      <c r="D117" t="s">
        <v>28</v>
      </c>
      <c r="E117">
        <v>0.5</v>
      </c>
      <c r="F117">
        <f t="shared" si="140"/>
        <v>-0.3010299956639812</v>
      </c>
      <c r="G117">
        <f t="shared" si="141"/>
        <v>1</v>
      </c>
      <c r="H117">
        <f t="shared" si="142"/>
        <v>0</v>
      </c>
      <c r="I117">
        <f t="shared" si="143"/>
        <v>0.5</v>
      </c>
      <c r="J117">
        <f t="shared" si="144"/>
        <v>-0.3010299956639812</v>
      </c>
      <c r="K117">
        <f t="shared" si="145"/>
        <v>1</v>
      </c>
      <c r="L117">
        <f t="shared" si="146"/>
        <v>0</v>
      </c>
      <c r="M117">
        <v>0.01</v>
      </c>
      <c r="N117">
        <f t="shared" si="147"/>
        <v>-2</v>
      </c>
      <c r="O117">
        <f t="shared" si="148"/>
        <v>1.0101010101010102E-2</v>
      </c>
      <c r="P117">
        <f t="shared" si="149"/>
        <v>-1.9956351945975499</v>
      </c>
      <c r="Q117">
        <v>0.01</v>
      </c>
      <c r="R117">
        <v>-2</v>
      </c>
      <c r="U117">
        <f t="shared" si="152"/>
        <v>0</v>
      </c>
      <c r="Y117">
        <f t="shared" si="153"/>
        <v>-0.3010299956639812</v>
      </c>
      <c r="Z117">
        <f t="shared" si="154"/>
        <v>-3.9999999999999987E-2</v>
      </c>
      <c r="AA117" t="e">
        <f t="shared" si="155"/>
        <v>#NUM!</v>
      </c>
      <c r="AC117" t="s">
        <v>55</v>
      </c>
      <c r="AD117" t="s">
        <v>28</v>
      </c>
      <c r="AE117" t="s">
        <v>10</v>
      </c>
      <c r="AF117">
        <f t="shared" si="156"/>
        <v>314.46540880503142</v>
      </c>
      <c r="AG117">
        <v>3.1800000000000001E-3</v>
      </c>
      <c r="AH117">
        <v>0.45</v>
      </c>
      <c r="AI117">
        <f t="shared" si="157"/>
        <v>-0.34678748622465633</v>
      </c>
      <c r="AL117" t="s">
        <v>29</v>
      </c>
      <c r="AM117" t="s">
        <v>16</v>
      </c>
      <c r="AN117" t="s">
        <v>56</v>
      </c>
      <c r="AO117">
        <f t="shared" si="158"/>
        <v>100000</v>
      </c>
      <c r="AP117" s="1">
        <f t="shared" si="159"/>
        <v>5</v>
      </c>
      <c r="AQ117">
        <v>588</v>
      </c>
      <c r="AR117">
        <f t="shared" si="160"/>
        <v>588000000</v>
      </c>
      <c r="AS117">
        <f t="shared" si="161"/>
        <v>8.769377326076139</v>
      </c>
      <c r="AU117" s="1">
        <v>400000000</v>
      </c>
      <c r="AW117">
        <v>972.15</v>
      </c>
      <c r="AX117">
        <f t="shared" si="162"/>
        <v>9.7214999999999994E-28</v>
      </c>
      <c r="AY117">
        <f t="shared" si="163"/>
        <v>-27.012266719491169</v>
      </c>
      <c r="AZ117">
        <v>6</v>
      </c>
      <c r="BA117">
        <f t="shared" si="164"/>
        <v>0.77815125038364363</v>
      </c>
      <c r="BB117">
        <f t="shared" ref="BB117:BB127" si="174">6/290.6</f>
        <v>2.0646937370956641E-2</v>
      </c>
      <c r="BC117">
        <f t="shared" si="165"/>
        <v>-1.6851443595783591</v>
      </c>
      <c r="BD117" s="1">
        <v>2E-8</v>
      </c>
      <c r="BE117">
        <f t="shared" si="166"/>
        <v>823</v>
      </c>
      <c r="BF117">
        <f t="shared" si="167"/>
        <v>1.215066828675577E-3</v>
      </c>
      <c r="BG117">
        <f t="shared" si="168"/>
        <v>18000</v>
      </c>
      <c r="BH117">
        <f t="shared" si="169"/>
        <v>4.2552725051033065</v>
      </c>
      <c r="BI117" s="1">
        <v>1E-3</v>
      </c>
      <c r="BJ117">
        <f t="shared" si="170"/>
        <v>-3</v>
      </c>
      <c r="BN117" t="e">
        <f>AVERAGE(#REF!,#REF!)</f>
        <v>#REF!</v>
      </c>
      <c r="BO117" t="e">
        <f t="shared" si="171"/>
        <v>#REF!</v>
      </c>
      <c r="BV117">
        <f>EXP(0.4)/1000</f>
        <v>1.4918246976412704E-3</v>
      </c>
      <c r="BW117" s="1">
        <f t="shared" si="172"/>
        <v>-2.8262822072386991</v>
      </c>
      <c r="CB117" t="e">
        <f>#REF!+#REF!*AG117+#REF!*BC117+#REF!*AY117</f>
        <v>#REF!</v>
      </c>
      <c r="CD117" s="1" t="e">
        <f t="shared" si="173"/>
        <v>#REF!</v>
      </c>
    </row>
    <row r="118" spans="1:82" ht="16.5" customHeight="1" x14ac:dyDescent="0.25">
      <c r="A118" s="3" t="s">
        <v>61</v>
      </c>
      <c r="B118" t="s">
        <v>54</v>
      </c>
      <c r="C118" t="s">
        <v>55</v>
      </c>
      <c r="D118" t="s">
        <v>28</v>
      </c>
      <c r="E118">
        <v>0.5</v>
      </c>
      <c r="F118">
        <f t="shared" si="140"/>
        <v>-0.3010299956639812</v>
      </c>
      <c r="G118">
        <f t="shared" si="141"/>
        <v>1</v>
      </c>
      <c r="H118">
        <f t="shared" si="142"/>
        <v>0</v>
      </c>
      <c r="I118">
        <f t="shared" si="143"/>
        <v>0.5</v>
      </c>
      <c r="J118">
        <f t="shared" si="144"/>
        <v>-0.3010299956639812</v>
      </c>
      <c r="K118">
        <f t="shared" si="145"/>
        <v>1</v>
      </c>
      <c r="L118">
        <f t="shared" si="146"/>
        <v>0</v>
      </c>
      <c r="M118">
        <v>0.01</v>
      </c>
      <c r="N118">
        <f t="shared" si="147"/>
        <v>-2</v>
      </c>
      <c r="O118">
        <f t="shared" si="148"/>
        <v>1.0101010101010102E-2</v>
      </c>
      <c r="P118">
        <f t="shared" si="149"/>
        <v>-1.9956351945975499</v>
      </c>
      <c r="Q118">
        <v>0.01</v>
      </c>
      <c r="R118">
        <v>-2</v>
      </c>
      <c r="U118">
        <f t="shared" si="152"/>
        <v>0</v>
      </c>
      <c r="Y118">
        <f t="shared" si="153"/>
        <v>-0.3010299956639812</v>
      </c>
      <c r="Z118">
        <f t="shared" si="154"/>
        <v>-3.9999999999999987E-2</v>
      </c>
      <c r="AA118" t="e">
        <f t="shared" si="155"/>
        <v>#NUM!</v>
      </c>
      <c r="AC118" t="s">
        <v>55</v>
      </c>
      <c r="AD118" t="s">
        <v>28</v>
      </c>
      <c r="AE118" t="s">
        <v>10</v>
      </c>
      <c r="AF118">
        <f t="shared" si="156"/>
        <v>323.62459546925567</v>
      </c>
      <c r="AG118">
        <v>3.0899999999999999E-3</v>
      </c>
      <c r="AH118">
        <v>0.45</v>
      </c>
      <c r="AI118">
        <f t="shared" si="157"/>
        <v>-0.34678748622465633</v>
      </c>
      <c r="AL118" t="s">
        <v>29</v>
      </c>
      <c r="AM118" t="s">
        <v>16</v>
      </c>
      <c r="AN118" t="s">
        <v>56</v>
      </c>
      <c r="AO118">
        <f t="shared" si="158"/>
        <v>100000</v>
      </c>
      <c r="AP118" s="1">
        <f t="shared" si="159"/>
        <v>5</v>
      </c>
      <c r="AQ118">
        <v>588</v>
      </c>
      <c r="AR118">
        <f t="shared" si="160"/>
        <v>588000000</v>
      </c>
      <c r="AS118">
        <f t="shared" si="161"/>
        <v>8.769377326076139</v>
      </c>
      <c r="AU118" s="1">
        <v>400000000</v>
      </c>
      <c r="AW118">
        <v>972.15</v>
      </c>
      <c r="AX118">
        <f t="shared" si="162"/>
        <v>9.7214999999999994E-28</v>
      </c>
      <c r="AY118">
        <f t="shared" si="163"/>
        <v>-27.012266719491169</v>
      </c>
      <c r="AZ118">
        <v>6</v>
      </c>
      <c r="BA118">
        <f t="shared" si="164"/>
        <v>0.77815125038364363</v>
      </c>
      <c r="BB118">
        <f t="shared" si="174"/>
        <v>2.0646937370956641E-2</v>
      </c>
      <c r="BC118">
        <f t="shared" si="165"/>
        <v>-1.6851443595783591</v>
      </c>
      <c r="BD118" s="1">
        <v>2E-8</v>
      </c>
      <c r="BE118">
        <f t="shared" si="166"/>
        <v>823</v>
      </c>
      <c r="BF118">
        <f t="shared" si="167"/>
        <v>1.215066828675577E-3</v>
      </c>
      <c r="BG118">
        <f t="shared" si="168"/>
        <v>18000</v>
      </c>
      <c r="BH118">
        <f t="shared" si="169"/>
        <v>4.2552725051033065</v>
      </c>
      <c r="BI118" s="1">
        <v>1E-3</v>
      </c>
      <c r="BJ118">
        <f t="shared" si="170"/>
        <v>-3</v>
      </c>
      <c r="BN118" t="e">
        <f>AVERAGE(#REF!,#REF!)</f>
        <v>#REF!</v>
      </c>
      <c r="BO118" t="e">
        <f t="shared" si="171"/>
        <v>#REF!</v>
      </c>
      <c r="BV118">
        <f>EXP(0.75)/1000</f>
        <v>2.1170000166126747E-3</v>
      </c>
      <c r="BW118" s="1">
        <f t="shared" si="172"/>
        <v>-2.6742791385725613</v>
      </c>
      <c r="CB118" t="e">
        <f>#REF!+#REF!*AG118+#REF!*BC118+#REF!*AY118</f>
        <v>#REF!</v>
      </c>
      <c r="CD118" s="1" t="e">
        <f t="shared" si="173"/>
        <v>#REF!</v>
      </c>
    </row>
    <row r="119" spans="1:82" ht="16.5" customHeight="1" x14ac:dyDescent="0.25">
      <c r="A119" s="3" t="s">
        <v>61</v>
      </c>
      <c r="B119" t="s">
        <v>54</v>
      </c>
      <c r="C119" t="s">
        <v>55</v>
      </c>
      <c r="D119" t="s">
        <v>28</v>
      </c>
      <c r="E119">
        <v>0.5</v>
      </c>
      <c r="F119">
        <f t="shared" si="140"/>
        <v>-0.3010299956639812</v>
      </c>
      <c r="G119">
        <f t="shared" si="141"/>
        <v>1</v>
      </c>
      <c r="H119">
        <f t="shared" si="142"/>
        <v>0</v>
      </c>
      <c r="I119">
        <f t="shared" si="143"/>
        <v>0.5</v>
      </c>
      <c r="J119">
        <f t="shared" si="144"/>
        <v>-0.3010299956639812</v>
      </c>
      <c r="K119">
        <f t="shared" si="145"/>
        <v>1</v>
      </c>
      <c r="L119">
        <f t="shared" si="146"/>
        <v>0</v>
      </c>
      <c r="M119">
        <v>0.01</v>
      </c>
      <c r="N119">
        <f t="shared" si="147"/>
        <v>-2</v>
      </c>
      <c r="O119">
        <f t="shared" si="148"/>
        <v>1.0101010101010102E-2</v>
      </c>
      <c r="P119">
        <f t="shared" si="149"/>
        <v>-1.9956351945975499</v>
      </c>
      <c r="Q119">
        <v>0.01</v>
      </c>
      <c r="R119">
        <v>-2</v>
      </c>
      <c r="U119">
        <f t="shared" si="152"/>
        <v>0</v>
      </c>
      <c r="Y119">
        <f t="shared" si="153"/>
        <v>-0.3010299956639812</v>
      </c>
      <c r="Z119">
        <f t="shared" si="154"/>
        <v>-3.9999999999999987E-2</v>
      </c>
      <c r="AA119" t="e">
        <f t="shared" si="155"/>
        <v>#NUM!</v>
      </c>
      <c r="AC119" t="s">
        <v>55</v>
      </c>
      <c r="AD119" t="s">
        <v>28</v>
      </c>
      <c r="AE119" t="s">
        <v>10</v>
      </c>
      <c r="AF119">
        <f t="shared" si="156"/>
        <v>334.44816053511704</v>
      </c>
      <c r="AG119">
        <v>2.99E-3</v>
      </c>
      <c r="AH119">
        <v>0.45</v>
      </c>
      <c r="AI119">
        <f t="shared" si="157"/>
        <v>-0.34678748622465633</v>
      </c>
      <c r="AL119" t="s">
        <v>29</v>
      </c>
      <c r="AM119" t="s">
        <v>16</v>
      </c>
      <c r="AN119" t="s">
        <v>56</v>
      </c>
      <c r="AO119">
        <f t="shared" si="158"/>
        <v>100000</v>
      </c>
      <c r="AP119" s="1">
        <f t="shared" si="159"/>
        <v>5</v>
      </c>
      <c r="AQ119">
        <v>588</v>
      </c>
      <c r="AR119">
        <f t="shared" si="160"/>
        <v>588000000</v>
      </c>
      <c r="AS119">
        <f t="shared" si="161"/>
        <v>8.769377326076139</v>
      </c>
      <c r="AU119" s="1">
        <v>400000000</v>
      </c>
      <c r="AW119">
        <v>972.15</v>
      </c>
      <c r="AX119">
        <f t="shared" si="162"/>
        <v>9.7214999999999994E-28</v>
      </c>
      <c r="AY119">
        <f t="shared" si="163"/>
        <v>-27.012266719491169</v>
      </c>
      <c r="AZ119">
        <v>6</v>
      </c>
      <c r="BA119">
        <f t="shared" si="164"/>
        <v>0.77815125038364363</v>
      </c>
      <c r="BB119">
        <f t="shared" si="174"/>
        <v>2.0646937370956641E-2</v>
      </c>
      <c r="BC119">
        <f t="shared" si="165"/>
        <v>-1.6851443595783591</v>
      </c>
      <c r="BD119" s="1">
        <v>2E-8</v>
      </c>
      <c r="BE119">
        <f t="shared" si="166"/>
        <v>823</v>
      </c>
      <c r="BF119">
        <f t="shared" si="167"/>
        <v>1.215066828675577E-3</v>
      </c>
      <c r="BG119">
        <f t="shared" si="168"/>
        <v>18000</v>
      </c>
      <c r="BH119">
        <f t="shared" si="169"/>
        <v>4.2552725051033065</v>
      </c>
      <c r="BI119" s="1">
        <v>1E-3</v>
      </c>
      <c r="BJ119">
        <f t="shared" si="170"/>
        <v>-3</v>
      </c>
      <c r="BN119" t="e">
        <f>AVERAGE(#REF!,#REF!)</f>
        <v>#REF!</v>
      </c>
      <c r="BO119" t="e">
        <f t="shared" si="171"/>
        <v>#REF!</v>
      </c>
      <c r="BV119">
        <f>EXP(1.1)/1000</f>
        <v>3.0041660239464333E-3</v>
      </c>
      <c r="BW119" s="1">
        <f t="shared" si="172"/>
        <v>-2.5222760699064231</v>
      </c>
      <c r="CB119" t="e">
        <f>#REF!+#REF!*AG119+#REF!*BC119+#REF!*AY119</f>
        <v>#REF!</v>
      </c>
      <c r="CD119" s="1" t="e">
        <f t="shared" si="173"/>
        <v>#REF!</v>
      </c>
    </row>
    <row r="120" spans="1:82" ht="16.5" customHeight="1" x14ac:dyDescent="0.25">
      <c r="A120" s="3" t="s">
        <v>61</v>
      </c>
      <c r="B120" t="s">
        <v>54</v>
      </c>
      <c r="C120" t="s">
        <v>55</v>
      </c>
      <c r="D120" t="s">
        <v>28</v>
      </c>
      <c r="E120">
        <v>0.5</v>
      </c>
      <c r="F120">
        <f t="shared" si="140"/>
        <v>-0.3010299956639812</v>
      </c>
      <c r="G120">
        <f t="shared" si="141"/>
        <v>1</v>
      </c>
      <c r="H120">
        <f t="shared" si="142"/>
        <v>0</v>
      </c>
      <c r="I120">
        <f t="shared" si="143"/>
        <v>0.5</v>
      </c>
      <c r="J120">
        <f t="shared" si="144"/>
        <v>-0.3010299956639812</v>
      </c>
      <c r="K120">
        <f t="shared" si="145"/>
        <v>1</v>
      </c>
      <c r="L120">
        <f t="shared" si="146"/>
        <v>0</v>
      </c>
      <c r="M120">
        <v>0.01</v>
      </c>
      <c r="N120">
        <f t="shared" si="147"/>
        <v>-2</v>
      </c>
      <c r="O120">
        <f t="shared" si="148"/>
        <v>1.0101010101010102E-2</v>
      </c>
      <c r="P120">
        <f t="shared" si="149"/>
        <v>-1.9956351945975499</v>
      </c>
      <c r="Q120">
        <v>0.01</v>
      </c>
      <c r="R120">
        <v>-2</v>
      </c>
      <c r="U120">
        <f t="shared" si="152"/>
        <v>0</v>
      </c>
      <c r="Y120">
        <f t="shared" si="153"/>
        <v>-0.3010299956639812</v>
      </c>
      <c r="Z120">
        <f t="shared" si="154"/>
        <v>-3.9999999999999987E-2</v>
      </c>
      <c r="AA120" t="e">
        <f t="shared" si="155"/>
        <v>#NUM!</v>
      </c>
      <c r="AC120" t="s">
        <v>55</v>
      </c>
      <c r="AD120" t="s">
        <v>28</v>
      </c>
      <c r="AE120" t="s">
        <v>10</v>
      </c>
      <c r="AF120">
        <f t="shared" si="156"/>
        <v>344.82758620689657</v>
      </c>
      <c r="AG120">
        <v>2.8999999999999998E-3</v>
      </c>
      <c r="AH120">
        <v>0.45</v>
      </c>
      <c r="AI120">
        <f t="shared" si="157"/>
        <v>-0.34678748622465633</v>
      </c>
      <c r="AL120" t="s">
        <v>29</v>
      </c>
      <c r="AM120" t="s">
        <v>16</v>
      </c>
      <c r="AN120" t="s">
        <v>56</v>
      </c>
      <c r="AO120">
        <f t="shared" si="158"/>
        <v>100000</v>
      </c>
      <c r="AP120" s="1">
        <f t="shared" si="159"/>
        <v>5</v>
      </c>
      <c r="AQ120">
        <v>588</v>
      </c>
      <c r="AR120">
        <f t="shared" si="160"/>
        <v>588000000</v>
      </c>
      <c r="AS120">
        <f t="shared" si="161"/>
        <v>8.769377326076139</v>
      </c>
      <c r="AU120" s="1">
        <v>400000000</v>
      </c>
      <c r="AW120">
        <v>972.15</v>
      </c>
      <c r="AX120">
        <f t="shared" si="162"/>
        <v>9.7214999999999994E-28</v>
      </c>
      <c r="AY120">
        <f t="shared" si="163"/>
        <v>-27.012266719491169</v>
      </c>
      <c r="AZ120">
        <v>6</v>
      </c>
      <c r="BA120">
        <f t="shared" si="164"/>
        <v>0.77815125038364363</v>
      </c>
      <c r="BB120">
        <f t="shared" si="174"/>
        <v>2.0646937370956641E-2</v>
      </c>
      <c r="BC120">
        <f t="shared" si="165"/>
        <v>-1.6851443595783591</v>
      </c>
      <c r="BD120" s="1">
        <v>2E-8</v>
      </c>
      <c r="BE120">
        <f t="shared" si="166"/>
        <v>823</v>
      </c>
      <c r="BF120">
        <f t="shared" si="167"/>
        <v>1.215066828675577E-3</v>
      </c>
      <c r="BG120">
        <f t="shared" si="168"/>
        <v>18000</v>
      </c>
      <c r="BH120">
        <f t="shared" si="169"/>
        <v>4.2552725051033065</v>
      </c>
      <c r="BI120" s="1">
        <v>1E-3</v>
      </c>
      <c r="BJ120">
        <f t="shared" si="170"/>
        <v>-3</v>
      </c>
      <c r="BN120" t="e">
        <f>AVERAGE(#REF!,#REF!)</f>
        <v>#REF!</v>
      </c>
      <c r="BO120" t="e">
        <f t="shared" si="171"/>
        <v>#REF!</v>
      </c>
      <c r="BV120">
        <f>EXP(1.45)/1000</f>
        <v>4.2631145151688166E-3</v>
      </c>
      <c r="BW120" s="1">
        <f t="shared" si="172"/>
        <v>-2.3702730012402848</v>
      </c>
      <c r="CB120" t="e">
        <f>#REF!+#REF!*AG120+#REF!*BC120+#REF!*AY120</f>
        <v>#REF!</v>
      </c>
      <c r="CD120" s="1" t="e">
        <f t="shared" si="173"/>
        <v>#REF!</v>
      </c>
    </row>
    <row r="121" spans="1:82" ht="16.5" customHeight="1" x14ac:dyDescent="0.25">
      <c r="A121" s="3" t="s">
        <v>61</v>
      </c>
      <c r="B121" t="s">
        <v>54</v>
      </c>
      <c r="C121" t="s">
        <v>55</v>
      </c>
      <c r="D121" t="s">
        <v>28</v>
      </c>
      <c r="E121">
        <v>0.5</v>
      </c>
      <c r="F121">
        <f t="shared" si="140"/>
        <v>-0.3010299956639812</v>
      </c>
      <c r="G121">
        <f t="shared" si="141"/>
        <v>1</v>
      </c>
      <c r="H121">
        <f t="shared" si="142"/>
        <v>0</v>
      </c>
      <c r="I121">
        <f t="shared" si="143"/>
        <v>0.5</v>
      </c>
      <c r="J121">
        <f t="shared" si="144"/>
        <v>-0.3010299956639812</v>
      </c>
      <c r="K121">
        <f t="shared" si="145"/>
        <v>1</v>
      </c>
      <c r="L121">
        <f t="shared" si="146"/>
        <v>0</v>
      </c>
      <c r="M121">
        <v>0.01</v>
      </c>
      <c r="N121">
        <f t="shared" si="147"/>
        <v>-2</v>
      </c>
      <c r="O121">
        <f t="shared" si="148"/>
        <v>1.0101010101010102E-2</v>
      </c>
      <c r="P121">
        <f t="shared" si="149"/>
        <v>-1.9956351945975499</v>
      </c>
      <c r="Q121">
        <v>0.01</v>
      </c>
      <c r="R121">
        <v>-2</v>
      </c>
      <c r="U121">
        <f t="shared" si="152"/>
        <v>0</v>
      </c>
      <c r="Y121">
        <f t="shared" si="153"/>
        <v>-0.3010299956639812</v>
      </c>
      <c r="Z121">
        <f t="shared" si="154"/>
        <v>-3.9999999999999987E-2</v>
      </c>
      <c r="AA121" t="e">
        <f t="shared" si="155"/>
        <v>#NUM!</v>
      </c>
      <c r="AC121" t="s">
        <v>55</v>
      </c>
      <c r="AD121" t="s">
        <v>28</v>
      </c>
      <c r="AE121" t="s">
        <v>10</v>
      </c>
      <c r="AF121">
        <f t="shared" si="156"/>
        <v>354.6099290780142</v>
      </c>
      <c r="AG121">
        <v>2.82E-3</v>
      </c>
      <c r="AH121">
        <v>0.45</v>
      </c>
      <c r="AI121">
        <f t="shared" si="157"/>
        <v>-0.34678748622465633</v>
      </c>
      <c r="AL121" t="s">
        <v>29</v>
      </c>
      <c r="AM121" t="s">
        <v>16</v>
      </c>
      <c r="AN121" t="s">
        <v>56</v>
      </c>
      <c r="AO121">
        <f t="shared" si="158"/>
        <v>100000</v>
      </c>
      <c r="AP121" s="1">
        <f t="shared" si="159"/>
        <v>5</v>
      </c>
      <c r="AQ121">
        <v>588</v>
      </c>
      <c r="AR121">
        <f t="shared" si="160"/>
        <v>588000000</v>
      </c>
      <c r="AS121">
        <f t="shared" si="161"/>
        <v>8.769377326076139</v>
      </c>
      <c r="AU121" s="1">
        <v>400000000</v>
      </c>
      <c r="AW121">
        <v>972.15</v>
      </c>
      <c r="AX121">
        <f t="shared" si="162"/>
        <v>9.7214999999999994E-28</v>
      </c>
      <c r="AY121">
        <f t="shared" si="163"/>
        <v>-27.012266719491169</v>
      </c>
      <c r="AZ121">
        <v>6</v>
      </c>
      <c r="BA121">
        <f t="shared" si="164"/>
        <v>0.77815125038364363</v>
      </c>
      <c r="BB121">
        <f t="shared" si="174"/>
        <v>2.0646937370956641E-2</v>
      </c>
      <c r="BC121">
        <f t="shared" si="165"/>
        <v>-1.6851443595783591</v>
      </c>
      <c r="BD121" s="1">
        <v>2E-8</v>
      </c>
      <c r="BE121">
        <f t="shared" si="166"/>
        <v>823</v>
      </c>
      <c r="BF121">
        <f t="shared" si="167"/>
        <v>1.215066828675577E-3</v>
      </c>
      <c r="BG121">
        <f t="shared" si="168"/>
        <v>18000</v>
      </c>
      <c r="BH121">
        <f t="shared" si="169"/>
        <v>4.2552725051033065</v>
      </c>
      <c r="BI121" s="1">
        <v>1E-3</v>
      </c>
      <c r="BJ121">
        <f t="shared" si="170"/>
        <v>-3</v>
      </c>
      <c r="BN121" t="e">
        <f>AVERAGE(#REF!,#REF!)</f>
        <v>#REF!</v>
      </c>
      <c r="BO121" t="e">
        <f t="shared" si="171"/>
        <v>#REF!</v>
      </c>
      <c r="BV121">
        <f>EXP(1.75)/1000</f>
        <v>5.7546026760057307E-3</v>
      </c>
      <c r="BW121" s="1">
        <f t="shared" si="172"/>
        <v>-2.2399846566693093</v>
      </c>
      <c r="CB121" t="e">
        <f>#REF!+#REF!*AG121+#REF!*BC121+#REF!*AY121</f>
        <v>#REF!</v>
      </c>
      <c r="CD121" s="1" t="e">
        <f t="shared" si="173"/>
        <v>#REF!</v>
      </c>
    </row>
    <row r="122" spans="1:82" ht="16.5" customHeight="1" x14ac:dyDescent="0.25">
      <c r="A122" s="3" t="s">
        <v>61</v>
      </c>
      <c r="B122" t="s">
        <v>54</v>
      </c>
      <c r="C122" t="s">
        <v>55</v>
      </c>
      <c r="D122" t="s">
        <v>28</v>
      </c>
      <c r="E122">
        <v>0.5</v>
      </c>
      <c r="F122">
        <f t="shared" si="140"/>
        <v>-0.3010299956639812</v>
      </c>
      <c r="G122">
        <f t="shared" si="141"/>
        <v>1</v>
      </c>
      <c r="H122">
        <f t="shared" si="142"/>
        <v>0</v>
      </c>
      <c r="I122">
        <f t="shared" si="143"/>
        <v>0.5</v>
      </c>
      <c r="J122">
        <f t="shared" si="144"/>
        <v>-0.3010299956639812</v>
      </c>
      <c r="K122">
        <f t="shared" si="145"/>
        <v>1</v>
      </c>
      <c r="L122">
        <f t="shared" si="146"/>
        <v>0</v>
      </c>
      <c r="M122">
        <v>0.01</v>
      </c>
      <c r="N122">
        <f t="shared" si="147"/>
        <v>-2</v>
      </c>
      <c r="O122">
        <f t="shared" si="148"/>
        <v>1.0101010101010102E-2</v>
      </c>
      <c r="P122">
        <f t="shared" si="149"/>
        <v>-1.9956351945975499</v>
      </c>
      <c r="Q122">
        <v>0.01</v>
      </c>
      <c r="R122">
        <v>-2</v>
      </c>
      <c r="U122">
        <f t="shared" si="152"/>
        <v>0</v>
      </c>
      <c r="Y122">
        <f t="shared" si="153"/>
        <v>-0.3010299956639812</v>
      </c>
      <c r="Z122">
        <f t="shared" si="154"/>
        <v>-3.9999999999999987E-2</v>
      </c>
      <c r="AA122" t="e">
        <f t="shared" si="155"/>
        <v>#NUM!</v>
      </c>
      <c r="AC122" t="s">
        <v>55</v>
      </c>
      <c r="AD122" t="s">
        <v>28</v>
      </c>
      <c r="AE122" t="s">
        <v>10</v>
      </c>
      <c r="AF122">
        <f t="shared" si="156"/>
        <v>363.63636363636368</v>
      </c>
      <c r="AG122">
        <v>2.7499999999999998E-3</v>
      </c>
      <c r="AH122">
        <v>0.45</v>
      </c>
      <c r="AI122">
        <f t="shared" si="157"/>
        <v>-0.34678748622465633</v>
      </c>
      <c r="AL122" t="s">
        <v>29</v>
      </c>
      <c r="AM122" t="s">
        <v>16</v>
      </c>
      <c r="AN122" t="s">
        <v>56</v>
      </c>
      <c r="AO122">
        <f t="shared" si="158"/>
        <v>100000</v>
      </c>
      <c r="AP122" s="1">
        <f t="shared" si="159"/>
        <v>5</v>
      </c>
      <c r="AQ122">
        <v>588</v>
      </c>
      <c r="AR122">
        <f t="shared" si="160"/>
        <v>588000000</v>
      </c>
      <c r="AS122">
        <f t="shared" si="161"/>
        <v>8.769377326076139</v>
      </c>
      <c r="AU122" s="1">
        <v>400000000</v>
      </c>
      <c r="AW122">
        <v>972.15</v>
      </c>
      <c r="AX122">
        <f t="shared" si="162"/>
        <v>9.7214999999999994E-28</v>
      </c>
      <c r="AY122">
        <f t="shared" si="163"/>
        <v>-27.012266719491169</v>
      </c>
      <c r="AZ122">
        <v>6</v>
      </c>
      <c r="BA122">
        <f t="shared" si="164"/>
        <v>0.77815125038364363</v>
      </c>
      <c r="BB122">
        <f t="shared" si="174"/>
        <v>2.0646937370956641E-2</v>
      </c>
      <c r="BC122">
        <f t="shared" si="165"/>
        <v>-1.6851443595783591</v>
      </c>
      <c r="BD122" s="1">
        <v>2E-8</v>
      </c>
      <c r="BE122">
        <f t="shared" si="166"/>
        <v>823</v>
      </c>
      <c r="BF122">
        <f t="shared" si="167"/>
        <v>1.215066828675577E-3</v>
      </c>
      <c r="BG122">
        <f t="shared" si="168"/>
        <v>18000</v>
      </c>
      <c r="BH122">
        <f t="shared" si="169"/>
        <v>4.2552725051033065</v>
      </c>
      <c r="BI122" s="1">
        <v>1E-3</v>
      </c>
      <c r="BJ122">
        <f t="shared" si="170"/>
        <v>-3</v>
      </c>
      <c r="BN122" t="e">
        <f>AVERAGE(#REF!,#REF!)</f>
        <v>#REF!</v>
      </c>
      <c r="BO122" t="e">
        <f t="shared" si="171"/>
        <v>#REF!</v>
      </c>
      <c r="BV122">
        <f>EXP(2.05)/1000</f>
        <v>7.7679011063067705E-3</v>
      </c>
      <c r="BW122" s="1">
        <f t="shared" si="172"/>
        <v>-2.1096963120983339</v>
      </c>
      <c r="CB122" t="e">
        <f>#REF!+#REF!*AG122+#REF!*BC122+#REF!*AY122</f>
        <v>#REF!</v>
      </c>
      <c r="CD122" s="1" t="e">
        <f t="shared" si="173"/>
        <v>#REF!</v>
      </c>
    </row>
    <row r="123" spans="1:82" ht="16.5" customHeight="1" x14ac:dyDescent="0.25">
      <c r="A123" s="3" t="s">
        <v>61</v>
      </c>
      <c r="B123" t="s">
        <v>54</v>
      </c>
      <c r="C123" t="s">
        <v>55</v>
      </c>
      <c r="D123" t="s">
        <v>28</v>
      </c>
      <c r="E123">
        <v>0.5</v>
      </c>
      <c r="F123">
        <f t="shared" si="140"/>
        <v>-0.3010299956639812</v>
      </c>
      <c r="G123">
        <f t="shared" si="141"/>
        <v>1</v>
      </c>
      <c r="H123">
        <f t="shared" si="142"/>
        <v>0</v>
      </c>
      <c r="I123">
        <f t="shared" si="143"/>
        <v>0.5</v>
      </c>
      <c r="J123">
        <f t="shared" si="144"/>
        <v>-0.3010299956639812</v>
      </c>
      <c r="K123">
        <f t="shared" si="145"/>
        <v>1</v>
      </c>
      <c r="L123">
        <f t="shared" si="146"/>
        <v>0</v>
      </c>
      <c r="M123">
        <v>0.01</v>
      </c>
      <c r="N123">
        <f t="shared" si="147"/>
        <v>-2</v>
      </c>
      <c r="O123">
        <f t="shared" si="148"/>
        <v>1.0101010101010102E-2</v>
      </c>
      <c r="P123">
        <f t="shared" si="149"/>
        <v>-1.9956351945975499</v>
      </c>
      <c r="Q123">
        <v>0.01</v>
      </c>
      <c r="R123">
        <v>-2</v>
      </c>
      <c r="U123">
        <f t="shared" si="152"/>
        <v>0</v>
      </c>
      <c r="Y123">
        <f t="shared" si="153"/>
        <v>-0.3010299956639812</v>
      </c>
      <c r="Z123">
        <f t="shared" si="154"/>
        <v>-3.9999999999999987E-2</v>
      </c>
      <c r="AA123" t="e">
        <f t="shared" si="155"/>
        <v>#NUM!</v>
      </c>
      <c r="AC123" t="s">
        <v>55</v>
      </c>
      <c r="AD123" t="s">
        <v>28</v>
      </c>
      <c r="AE123" t="s">
        <v>10</v>
      </c>
      <c r="AF123">
        <f t="shared" si="156"/>
        <v>373.13432835820896</v>
      </c>
      <c r="AG123">
        <v>2.6800000000000001E-3</v>
      </c>
      <c r="AH123">
        <v>0.45</v>
      </c>
      <c r="AI123">
        <f t="shared" si="157"/>
        <v>-0.34678748622465633</v>
      </c>
      <c r="AL123" t="s">
        <v>29</v>
      </c>
      <c r="AM123" t="s">
        <v>16</v>
      </c>
      <c r="AN123" t="s">
        <v>56</v>
      </c>
      <c r="AO123">
        <f t="shared" si="158"/>
        <v>100000</v>
      </c>
      <c r="AP123" s="1">
        <f t="shared" si="159"/>
        <v>5</v>
      </c>
      <c r="AQ123">
        <v>588</v>
      </c>
      <c r="AR123">
        <f t="shared" si="160"/>
        <v>588000000</v>
      </c>
      <c r="AS123">
        <f t="shared" si="161"/>
        <v>8.769377326076139</v>
      </c>
      <c r="AU123" s="1">
        <v>400000000</v>
      </c>
      <c r="AW123">
        <v>972.15</v>
      </c>
      <c r="AX123">
        <f t="shared" si="162"/>
        <v>9.7214999999999994E-28</v>
      </c>
      <c r="AY123">
        <f t="shared" si="163"/>
        <v>-27.012266719491169</v>
      </c>
      <c r="AZ123">
        <v>6</v>
      </c>
      <c r="BA123">
        <f t="shared" si="164"/>
        <v>0.77815125038364363</v>
      </c>
      <c r="BB123">
        <f t="shared" si="174"/>
        <v>2.0646937370956641E-2</v>
      </c>
      <c r="BC123">
        <f t="shared" si="165"/>
        <v>-1.6851443595783591</v>
      </c>
      <c r="BD123" s="1">
        <v>2E-8</v>
      </c>
      <c r="BE123">
        <f t="shared" si="166"/>
        <v>823</v>
      </c>
      <c r="BF123">
        <f t="shared" si="167"/>
        <v>1.215066828675577E-3</v>
      </c>
      <c r="BG123">
        <f t="shared" si="168"/>
        <v>18000</v>
      </c>
      <c r="BH123">
        <f t="shared" si="169"/>
        <v>4.2552725051033065</v>
      </c>
      <c r="BI123" s="1">
        <v>1E-3</v>
      </c>
      <c r="BJ123">
        <f t="shared" si="170"/>
        <v>-3</v>
      </c>
      <c r="BN123" t="e">
        <f>AVERAGE(#REF!,#REF!)</f>
        <v>#REF!</v>
      </c>
      <c r="BO123" t="e">
        <f t="shared" si="171"/>
        <v>#REF!</v>
      </c>
      <c r="BV123">
        <f>EXP(2.3)/1000</f>
        <v>9.9741824548147187E-3</v>
      </c>
      <c r="BW123" s="1">
        <f t="shared" si="172"/>
        <v>-2.0011226916225211</v>
      </c>
      <c r="CB123" t="e">
        <f>#REF!+#REF!*AG123+#REF!*BC123+#REF!*AY123</f>
        <v>#REF!</v>
      </c>
      <c r="CD123" s="1" t="e">
        <f t="shared" si="173"/>
        <v>#REF!</v>
      </c>
    </row>
    <row r="124" spans="1:82" ht="16.5" customHeight="1" x14ac:dyDescent="0.25">
      <c r="A124" s="3" t="s">
        <v>61</v>
      </c>
      <c r="B124" t="s">
        <v>54</v>
      </c>
      <c r="C124" t="s">
        <v>55</v>
      </c>
      <c r="D124" t="s">
        <v>28</v>
      </c>
      <c r="E124">
        <v>0.5</v>
      </c>
      <c r="F124">
        <f t="shared" si="140"/>
        <v>-0.3010299956639812</v>
      </c>
      <c r="G124">
        <f t="shared" si="141"/>
        <v>1</v>
      </c>
      <c r="H124">
        <f t="shared" si="142"/>
        <v>0</v>
      </c>
      <c r="I124">
        <f t="shared" si="143"/>
        <v>0.5</v>
      </c>
      <c r="J124">
        <f t="shared" si="144"/>
        <v>-0.3010299956639812</v>
      </c>
      <c r="K124">
        <f t="shared" si="145"/>
        <v>1</v>
      </c>
      <c r="L124">
        <f t="shared" si="146"/>
        <v>0</v>
      </c>
      <c r="M124">
        <v>0.01</v>
      </c>
      <c r="N124">
        <f t="shared" si="147"/>
        <v>-2</v>
      </c>
      <c r="O124">
        <f t="shared" si="148"/>
        <v>1.0101010101010102E-2</v>
      </c>
      <c r="P124">
        <f t="shared" si="149"/>
        <v>-1.9956351945975499</v>
      </c>
      <c r="Q124">
        <v>0.01</v>
      </c>
      <c r="R124">
        <v>-2</v>
      </c>
      <c r="U124">
        <f t="shared" si="152"/>
        <v>0</v>
      </c>
      <c r="Y124">
        <f t="shared" si="153"/>
        <v>-0.3010299956639812</v>
      </c>
      <c r="Z124">
        <f t="shared" si="154"/>
        <v>-3.9999999999999987E-2</v>
      </c>
      <c r="AA124" t="e">
        <f t="shared" si="155"/>
        <v>#NUM!</v>
      </c>
      <c r="AC124" t="s">
        <v>55</v>
      </c>
      <c r="AD124" t="s">
        <v>28</v>
      </c>
      <c r="AE124" t="s">
        <v>10</v>
      </c>
      <c r="AF124">
        <f t="shared" si="156"/>
        <v>384.61538461538464</v>
      </c>
      <c r="AG124">
        <v>2.5999999999999999E-3</v>
      </c>
      <c r="AH124">
        <v>0.45</v>
      </c>
      <c r="AI124">
        <f t="shared" si="157"/>
        <v>-0.34678748622465633</v>
      </c>
      <c r="AL124" t="s">
        <v>29</v>
      </c>
      <c r="AM124" t="s">
        <v>16</v>
      </c>
      <c r="AN124" t="s">
        <v>56</v>
      </c>
      <c r="AO124">
        <f t="shared" si="158"/>
        <v>100000</v>
      </c>
      <c r="AP124" s="1">
        <f t="shared" si="159"/>
        <v>5</v>
      </c>
      <c r="AQ124">
        <v>588</v>
      </c>
      <c r="AR124">
        <f t="shared" si="160"/>
        <v>588000000</v>
      </c>
      <c r="AS124">
        <f t="shared" si="161"/>
        <v>8.769377326076139</v>
      </c>
      <c r="AU124" s="1">
        <v>400000000</v>
      </c>
      <c r="AW124">
        <v>972.15</v>
      </c>
      <c r="AX124">
        <f t="shared" si="162"/>
        <v>9.7214999999999994E-28</v>
      </c>
      <c r="AY124">
        <f t="shared" si="163"/>
        <v>-27.012266719491169</v>
      </c>
      <c r="AZ124">
        <v>6</v>
      </c>
      <c r="BA124">
        <f t="shared" si="164"/>
        <v>0.77815125038364363</v>
      </c>
      <c r="BB124">
        <f t="shared" si="174"/>
        <v>2.0646937370956641E-2</v>
      </c>
      <c r="BC124">
        <f t="shared" si="165"/>
        <v>-1.6851443595783591</v>
      </c>
      <c r="BD124" s="1">
        <v>2E-8</v>
      </c>
      <c r="BE124">
        <f t="shared" si="166"/>
        <v>823</v>
      </c>
      <c r="BF124">
        <f t="shared" si="167"/>
        <v>1.215066828675577E-3</v>
      </c>
      <c r="BG124">
        <f t="shared" si="168"/>
        <v>18000</v>
      </c>
      <c r="BH124">
        <f t="shared" si="169"/>
        <v>4.2552725051033065</v>
      </c>
      <c r="BI124" s="1">
        <v>1E-3</v>
      </c>
      <c r="BJ124">
        <f t="shared" si="170"/>
        <v>-3</v>
      </c>
      <c r="BN124" t="e">
        <f>AVERAGE(#REF!,#REF!)</f>
        <v>#REF!</v>
      </c>
      <c r="BO124" t="e">
        <f t="shared" si="171"/>
        <v>#REF!</v>
      </c>
      <c r="BV124">
        <f>EXP(2.5)/1000</f>
        <v>1.2182493960703472E-2</v>
      </c>
      <c r="BW124" s="1">
        <f t="shared" si="172"/>
        <v>-1.9142637952418704</v>
      </c>
      <c r="CB124" t="e">
        <f>#REF!+#REF!*AG124+#REF!*BC124+#REF!*AY124</f>
        <v>#REF!</v>
      </c>
      <c r="CD124" s="1" t="e">
        <f t="shared" si="173"/>
        <v>#REF!</v>
      </c>
    </row>
    <row r="125" spans="1:82" ht="16.5" customHeight="1" x14ac:dyDescent="0.25">
      <c r="A125" s="3" t="s">
        <v>61</v>
      </c>
      <c r="B125" t="s">
        <v>54</v>
      </c>
      <c r="C125" t="s">
        <v>55</v>
      </c>
      <c r="D125" t="s">
        <v>28</v>
      </c>
      <c r="E125">
        <v>0.5</v>
      </c>
      <c r="F125">
        <f t="shared" si="140"/>
        <v>-0.3010299956639812</v>
      </c>
      <c r="G125">
        <f t="shared" si="141"/>
        <v>1</v>
      </c>
      <c r="H125">
        <f t="shared" si="142"/>
        <v>0</v>
      </c>
      <c r="I125">
        <f t="shared" si="143"/>
        <v>0.5</v>
      </c>
      <c r="J125">
        <f t="shared" si="144"/>
        <v>-0.3010299956639812</v>
      </c>
      <c r="K125">
        <f t="shared" si="145"/>
        <v>1</v>
      </c>
      <c r="L125">
        <f t="shared" si="146"/>
        <v>0</v>
      </c>
      <c r="M125">
        <v>0.01</v>
      </c>
      <c r="N125">
        <f t="shared" si="147"/>
        <v>-2</v>
      </c>
      <c r="O125">
        <f t="shared" si="148"/>
        <v>1.0101010101010102E-2</v>
      </c>
      <c r="P125">
        <f t="shared" si="149"/>
        <v>-1.9956351945975499</v>
      </c>
      <c r="Q125">
        <v>0.01</v>
      </c>
      <c r="R125">
        <v>-2</v>
      </c>
      <c r="U125">
        <f t="shared" si="152"/>
        <v>0</v>
      </c>
      <c r="Y125">
        <f t="shared" si="153"/>
        <v>-0.3010299956639812</v>
      </c>
      <c r="Z125">
        <f t="shared" si="154"/>
        <v>-3.9999999999999987E-2</v>
      </c>
      <c r="AA125" t="e">
        <f t="shared" si="155"/>
        <v>#NUM!</v>
      </c>
      <c r="AC125" t="s">
        <v>55</v>
      </c>
      <c r="AD125" t="s">
        <v>28</v>
      </c>
      <c r="AE125" t="s">
        <v>10</v>
      </c>
      <c r="AF125">
        <f t="shared" si="156"/>
        <v>395.25691699604744</v>
      </c>
      <c r="AG125">
        <v>2.5300000000000001E-3</v>
      </c>
      <c r="AH125">
        <v>0.45</v>
      </c>
      <c r="AI125">
        <f t="shared" si="157"/>
        <v>-0.34678748622465633</v>
      </c>
      <c r="AL125" t="s">
        <v>29</v>
      </c>
      <c r="AM125" t="s">
        <v>16</v>
      </c>
      <c r="AN125" t="s">
        <v>56</v>
      </c>
      <c r="AO125">
        <f t="shared" si="158"/>
        <v>100000</v>
      </c>
      <c r="AP125" s="1">
        <f t="shared" si="159"/>
        <v>5</v>
      </c>
      <c r="AQ125">
        <v>588</v>
      </c>
      <c r="AR125">
        <f t="shared" si="160"/>
        <v>588000000</v>
      </c>
      <c r="AS125">
        <f t="shared" si="161"/>
        <v>8.769377326076139</v>
      </c>
      <c r="AU125" s="1">
        <v>400000000</v>
      </c>
      <c r="AW125">
        <v>972.15</v>
      </c>
      <c r="AX125">
        <f t="shared" si="162"/>
        <v>9.7214999999999994E-28</v>
      </c>
      <c r="AY125">
        <f t="shared" si="163"/>
        <v>-27.012266719491169</v>
      </c>
      <c r="AZ125">
        <v>6</v>
      </c>
      <c r="BA125">
        <f t="shared" si="164"/>
        <v>0.77815125038364363</v>
      </c>
      <c r="BB125">
        <f t="shared" si="174"/>
        <v>2.0646937370956641E-2</v>
      </c>
      <c r="BC125">
        <f t="shared" si="165"/>
        <v>-1.6851443595783591</v>
      </c>
      <c r="BD125" s="1">
        <v>2E-8</v>
      </c>
      <c r="BE125">
        <f t="shared" si="166"/>
        <v>823</v>
      </c>
      <c r="BF125">
        <f t="shared" si="167"/>
        <v>1.215066828675577E-3</v>
      </c>
      <c r="BG125">
        <f t="shared" si="168"/>
        <v>18000</v>
      </c>
      <c r="BH125">
        <f t="shared" si="169"/>
        <v>4.2552725051033065</v>
      </c>
      <c r="BI125" s="1">
        <v>1E-3</v>
      </c>
      <c r="BJ125">
        <f t="shared" si="170"/>
        <v>-3</v>
      </c>
      <c r="BN125" t="e">
        <f>AVERAGE(#REF!,#REF!)</f>
        <v>#REF!</v>
      </c>
      <c r="BO125" t="e">
        <f t="shared" si="171"/>
        <v>#REF!</v>
      </c>
      <c r="BV125">
        <f>EXP(2.8)/1000</f>
        <v>1.6444646771097048E-2</v>
      </c>
      <c r="BW125" s="1">
        <f t="shared" si="172"/>
        <v>-1.7839754506708949</v>
      </c>
      <c r="CB125" t="e">
        <f>#REF!+#REF!*AG125+#REF!*BC125+#REF!*AY125</f>
        <v>#REF!</v>
      </c>
      <c r="CD125" s="1" t="e">
        <f t="shared" si="173"/>
        <v>#REF!</v>
      </c>
    </row>
    <row r="126" spans="1:82" ht="16.5" customHeight="1" x14ac:dyDescent="0.25">
      <c r="A126" s="3" t="s">
        <v>61</v>
      </c>
      <c r="B126" t="s">
        <v>54</v>
      </c>
      <c r="C126" t="s">
        <v>55</v>
      </c>
      <c r="D126" t="s">
        <v>28</v>
      </c>
      <c r="E126">
        <v>0.5</v>
      </c>
      <c r="F126">
        <f t="shared" si="140"/>
        <v>-0.3010299956639812</v>
      </c>
      <c r="G126">
        <f t="shared" si="141"/>
        <v>1</v>
      </c>
      <c r="H126">
        <f t="shared" si="142"/>
        <v>0</v>
      </c>
      <c r="I126">
        <f t="shared" si="143"/>
        <v>0.5</v>
      </c>
      <c r="J126">
        <f t="shared" si="144"/>
        <v>-0.3010299956639812</v>
      </c>
      <c r="K126">
        <f t="shared" si="145"/>
        <v>1</v>
      </c>
      <c r="L126">
        <f t="shared" si="146"/>
        <v>0</v>
      </c>
      <c r="M126">
        <v>0.01</v>
      </c>
      <c r="N126">
        <f t="shared" si="147"/>
        <v>-2</v>
      </c>
      <c r="O126">
        <f t="shared" si="148"/>
        <v>1.0101010101010102E-2</v>
      </c>
      <c r="P126">
        <f t="shared" si="149"/>
        <v>-1.9956351945975499</v>
      </c>
      <c r="Q126">
        <v>0.01</v>
      </c>
      <c r="R126">
        <v>-2</v>
      </c>
      <c r="U126">
        <f t="shared" si="152"/>
        <v>0</v>
      </c>
      <c r="Y126">
        <f t="shared" si="153"/>
        <v>-0.3010299956639812</v>
      </c>
      <c r="Z126">
        <f t="shared" si="154"/>
        <v>-3.9999999999999987E-2</v>
      </c>
      <c r="AA126" t="e">
        <f t="shared" si="155"/>
        <v>#NUM!</v>
      </c>
      <c r="AC126" t="s">
        <v>55</v>
      </c>
      <c r="AD126" t="s">
        <v>28</v>
      </c>
      <c r="AE126" t="s">
        <v>10</v>
      </c>
      <c r="AF126">
        <f t="shared" si="156"/>
        <v>404.85829959514172</v>
      </c>
      <c r="AG126">
        <v>2.47E-3</v>
      </c>
      <c r="AH126">
        <v>0.45</v>
      </c>
      <c r="AI126">
        <f t="shared" si="157"/>
        <v>-0.34678748622465633</v>
      </c>
      <c r="AL126" t="s">
        <v>29</v>
      </c>
      <c r="AM126" t="s">
        <v>16</v>
      </c>
      <c r="AN126" t="s">
        <v>56</v>
      </c>
      <c r="AO126">
        <f t="shared" si="158"/>
        <v>100000</v>
      </c>
      <c r="AP126" s="1">
        <f t="shared" si="159"/>
        <v>5</v>
      </c>
      <c r="AQ126">
        <v>588</v>
      </c>
      <c r="AR126">
        <f t="shared" si="160"/>
        <v>588000000</v>
      </c>
      <c r="AS126">
        <f t="shared" si="161"/>
        <v>8.769377326076139</v>
      </c>
      <c r="AU126" s="1">
        <v>400000000</v>
      </c>
      <c r="AW126">
        <v>972.15</v>
      </c>
      <c r="AX126">
        <f t="shared" si="162"/>
        <v>9.7214999999999994E-28</v>
      </c>
      <c r="AY126">
        <f t="shared" si="163"/>
        <v>-27.012266719491169</v>
      </c>
      <c r="AZ126">
        <v>6</v>
      </c>
      <c r="BA126">
        <f t="shared" si="164"/>
        <v>0.77815125038364363</v>
      </c>
      <c r="BB126">
        <f t="shared" si="174"/>
        <v>2.0646937370956641E-2</v>
      </c>
      <c r="BC126">
        <f t="shared" si="165"/>
        <v>-1.6851443595783591</v>
      </c>
      <c r="BD126" s="1">
        <v>2E-8</v>
      </c>
      <c r="BE126">
        <f t="shared" si="166"/>
        <v>823</v>
      </c>
      <c r="BF126">
        <f t="shared" si="167"/>
        <v>1.215066828675577E-3</v>
      </c>
      <c r="BG126">
        <f t="shared" si="168"/>
        <v>18000</v>
      </c>
      <c r="BH126">
        <f t="shared" si="169"/>
        <v>4.2552725051033065</v>
      </c>
      <c r="BI126" s="1">
        <v>1E-3</v>
      </c>
      <c r="BJ126">
        <f t="shared" si="170"/>
        <v>-3</v>
      </c>
      <c r="BN126" t="e">
        <f>AVERAGE(#REF!,#REF!)</f>
        <v>#REF!</v>
      </c>
      <c r="BO126" t="e">
        <f t="shared" si="171"/>
        <v>#REF!</v>
      </c>
      <c r="BV126">
        <f>EXP(3)/1000</f>
        <v>2.0085536923187666E-2</v>
      </c>
      <c r="BW126" s="1">
        <f t="shared" si="172"/>
        <v>-1.6971165542902444</v>
      </c>
      <c r="CB126" t="e">
        <f>#REF!+#REF!*AG126+#REF!*BC126+#REF!*AY126</f>
        <v>#REF!</v>
      </c>
      <c r="CD126" s="1" t="e">
        <f t="shared" si="173"/>
        <v>#REF!</v>
      </c>
    </row>
    <row r="127" spans="1:82" ht="16.5" customHeight="1" x14ac:dyDescent="0.25">
      <c r="A127" s="3" t="s">
        <v>61</v>
      </c>
      <c r="B127" t="s">
        <v>54</v>
      </c>
      <c r="C127" t="s">
        <v>55</v>
      </c>
      <c r="D127" t="s">
        <v>28</v>
      </c>
      <c r="E127">
        <v>0.5</v>
      </c>
      <c r="F127">
        <f t="shared" si="140"/>
        <v>-0.3010299956639812</v>
      </c>
      <c r="G127">
        <f t="shared" si="141"/>
        <v>1</v>
      </c>
      <c r="H127">
        <f t="shared" si="142"/>
        <v>0</v>
      </c>
      <c r="I127">
        <f t="shared" si="143"/>
        <v>0.5</v>
      </c>
      <c r="J127">
        <f t="shared" si="144"/>
        <v>-0.3010299956639812</v>
      </c>
      <c r="K127">
        <f t="shared" si="145"/>
        <v>1</v>
      </c>
      <c r="L127">
        <f t="shared" si="146"/>
        <v>0</v>
      </c>
      <c r="M127">
        <v>0.01</v>
      </c>
      <c r="N127">
        <f t="shared" si="147"/>
        <v>-2</v>
      </c>
      <c r="O127">
        <f t="shared" si="148"/>
        <v>1.0101010101010102E-2</v>
      </c>
      <c r="P127">
        <f t="shared" si="149"/>
        <v>-1.9956351945975499</v>
      </c>
      <c r="Q127">
        <v>0.01</v>
      </c>
      <c r="R127">
        <v>-2</v>
      </c>
      <c r="U127">
        <f t="shared" si="152"/>
        <v>0</v>
      </c>
      <c r="Y127">
        <f t="shared" si="153"/>
        <v>-0.3010299956639812</v>
      </c>
      <c r="Z127">
        <f t="shared" si="154"/>
        <v>-3.9999999999999987E-2</v>
      </c>
      <c r="AA127" t="e">
        <f t="shared" si="155"/>
        <v>#NUM!</v>
      </c>
      <c r="AC127" t="s">
        <v>55</v>
      </c>
      <c r="AD127" t="s">
        <v>28</v>
      </c>
      <c r="AE127" t="s">
        <v>10</v>
      </c>
      <c r="AF127">
        <f t="shared" si="156"/>
        <v>414.93775933609959</v>
      </c>
      <c r="AG127">
        <v>2.4099999999999998E-3</v>
      </c>
      <c r="AH127">
        <v>0.45</v>
      </c>
      <c r="AI127">
        <f t="shared" si="157"/>
        <v>-0.34678748622465633</v>
      </c>
      <c r="AL127" t="s">
        <v>29</v>
      </c>
      <c r="AM127" t="s">
        <v>16</v>
      </c>
      <c r="AN127" t="s">
        <v>56</v>
      </c>
      <c r="AO127">
        <f t="shared" si="158"/>
        <v>100000</v>
      </c>
      <c r="AP127" s="1">
        <f t="shared" si="159"/>
        <v>5</v>
      </c>
      <c r="AQ127">
        <v>588</v>
      </c>
      <c r="AR127">
        <f t="shared" si="160"/>
        <v>588000000</v>
      </c>
      <c r="AS127">
        <f t="shared" si="161"/>
        <v>8.769377326076139</v>
      </c>
      <c r="AU127" s="1">
        <v>400000000</v>
      </c>
      <c r="AW127">
        <v>972.15</v>
      </c>
      <c r="AX127">
        <f t="shared" si="162"/>
        <v>9.7214999999999994E-28</v>
      </c>
      <c r="AY127">
        <f t="shared" si="163"/>
        <v>-27.012266719491169</v>
      </c>
      <c r="AZ127">
        <v>6</v>
      </c>
      <c r="BA127">
        <f t="shared" si="164"/>
        <v>0.77815125038364363</v>
      </c>
      <c r="BB127">
        <f t="shared" si="174"/>
        <v>2.0646937370956641E-2</v>
      </c>
      <c r="BC127">
        <f t="shared" si="165"/>
        <v>-1.6851443595783591</v>
      </c>
      <c r="BD127" s="1">
        <v>2E-8</v>
      </c>
      <c r="BE127">
        <f t="shared" si="166"/>
        <v>823</v>
      </c>
      <c r="BF127">
        <f t="shared" si="167"/>
        <v>1.215066828675577E-3</v>
      </c>
      <c r="BG127">
        <f t="shared" si="168"/>
        <v>18000</v>
      </c>
      <c r="BH127">
        <f t="shared" si="169"/>
        <v>4.2552725051033065</v>
      </c>
      <c r="BI127" s="1">
        <v>1E-3</v>
      </c>
      <c r="BJ127">
        <f t="shared" si="170"/>
        <v>-3</v>
      </c>
      <c r="BN127" t="e">
        <f>AVERAGE(#REF!,#REF!)</f>
        <v>#REF!</v>
      </c>
      <c r="BO127" t="e">
        <f t="shared" si="171"/>
        <v>#REF!</v>
      </c>
      <c r="BV127">
        <f>EXP(3.2)/1000</f>
        <v>2.4532530197109353E-2</v>
      </c>
      <c r="BW127" s="1">
        <f t="shared" si="172"/>
        <v>-1.610257657909594</v>
      </c>
      <c r="CB127" t="e">
        <f>#REF!+#REF!*AG127+#REF!*BC127+#REF!*AY127</f>
        <v>#REF!</v>
      </c>
      <c r="CD127" s="1" t="e">
        <f t="shared" si="173"/>
        <v>#REF!</v>
      </c>
    </row>
    <row r="128" spans="1:82" ht="16.5" customHeight="1" x14ac:dyDescent="0.25">
      <c r="A128" s="3" t="s">
        <v>61</v>
      </c>
      <c r="B128" t="s">
        <v>54</v>
      </c>
      <c r="C128" t="s">
        <v>55</v>
      </c>
      <c r="D128" t="s">
        <v>28</v>
      </c>
      <c r="E128">
        <v>0.5</v>
      </c>
      <c r="F128">
        <f t="shared" si="140"/>
        <v>-0.3010299956639812</v>
      </c>
      <c r="G128">
        <f t="shared" si="141"/>
        <v>1</v>
      </c>
      <c r="H128">
        <f t="shared" si="142"/>
        <v>0</v>
      </c>
      <c r="I128">
        <f t="shared" si="143"/>
        <v>0.5</v>
      </c>
      <c r="J128">
        <f t="shared" si="144"/>
        <v>-0.3010299956639812</v>
      </c>
      <c r="K128">
        <f t="shared" si="145"/>
        <v>1</v>
      </c>
      <c r="L128">
        <f t="shared" si="146"/>
        <v>0</v>
      </c>
      <c r="M128">
        <v>0.01</v>
      </c>
      <c r="N128">
        <f t="shared" si="147"/>
        <v>-2</v>
      </c>
      <c r="O128">
        <f t="shared" si="148"/>
        <v>1.0101010101010102E-2</v>
      </c>
      <c r="P128">
        <f t="shared" si="149"/>
        <v>-1.9956351945975499</v>
      </c>
      <c r="Q128">
        <v>0.01</v>
      </c>
      <c r="R128">
        <v>-2</v>
      </c>
      <c r="U128">
        <f t="shared" si="152"/>
        <v>0</v>
      </c>
      <c r="Y128">
        <f t="shared" si="153"/>
        <v>-0.3010299956639812</v>
      </c>
      <c r="Z128">
        <f t="shared" si="154"/>
        <v>-3.9999999999999987E-2</v>
      </c>
      <c r="AA128" t="e">
        <f t="shared" si="155"/>
        <v>#NUM!</v>
      </c>
      <c r="AC128" t="s">
        <v>55</v>
      </c>
      <c r="AD128" t="s">
        <v>28</v>
      </c>
      <c r="AE128" t="s">
        <v>10</v>
      </c>
      <c r="AF128">
        <f t="shared" si="156"/>
        <v>423.72881355932202</v>
      </c>
      <c r="AG128">
        <v>2.3600000000000001E-3</v>
      </c>
      <c r="AH128">
        <v>0.45</v>
      </c>
      <c r="AI128">
        <f t="shared" si="157"/>
        <v>-0.34678748622465633</v>
      </c>
      <c r="AL128" t="s">
        <v>29</v>
      </c>
      <c r="AM128" t="s">
        <v>16</v>
      </c>
      <c r="AN128" t="s">
        <v>56</v>
      </c>
      <c r="AO128">
        <f t="shared" si="158"/>
        <v>100000</v>
      </c>
      <c r="AP128" s="1">
        <f t="shared" si="159"/>
        <v>5</v>
      </c>
      <c r="AQ128">
        <v>588</v>
      </c>
      <c r="AR128">
        <f t="shared" si="160"/>
        <v>588000000</v>
      </c>
      <c r="AS128">
        <f t="shared" si="161"/>
        <v>8.769377326076139</v>
      </c>
      <c r="AU128" s="1">
        <v>400000000</v>
      </c>
      <c r="AW128">
        <v>972.15</v>
      </c>
      <c r="AX128">
        <f t="shared" si="162"/>
        <v>9.7214999999999994E-28</v>
      </c>
      <c r="AY128">
        <f t="shared" si="163"/>
        <v>-27.012266719491169</v>
      </c>
      <c r="AZ128">
        <v>6</v>
      </c>
      <c r="BA128">
        <f t="shared" si="164"/>
        <v>0.77815125038364363</v>
      </c>
      <c r="BB128">
        <f>6/290.6</f>
        <v>2.0646937370956641E-2</v>
      </c>
      <c r="BC128">
        <f t="shared" si="165"/>
        <v>-1.6851443595783591</v>
      </c>
      <c r="BD128" s="1">
        <v>2E-8</v>
      </c>
      <c r="BE128">
        <f t="shared" si="166"/>
        <v>823</v>
      </c>
      <c r="BF128">
        <f t="shared" si="167"/>
        <v>1.215066828675577E-3</v>
      </c>
      <c r="BG128">
        <f>5*60*60</f>
        <v>18000</v>
      </c>
      <c r="BH128">
        <f t="shared" si="169"/>
        <v>4.2552725051033065</v>
      </c>
      <c r="BI128" s="1">
        <v>1E-3</v>
      </c>
      <c r="BJ128">
        <f t="shared" si="170"/>
        <v>-3</v>
      </c>
      <c r="BN128" t="e">
        <f>AVERAGE(#REF!,#REF!)</f>
        <v>#REF!</v>
      </c>
      <c r="BO128" t="e">
        <f t="shared" si="171"/>
        <v>#REF!</v>
      </c>
      <c r="BV128">
        <f>EXP(3.4)/1000</f>
        <v>2.996410004739701E-2</v>
      </c>
      <c r="BW128" s="1">
        <f t="shared" si="172"/>
        <v>-1.5233987615289439</v>
      </c>
      <c r="CB128" t="e">
        <f>#REF!+#REF!*AG128+#REF!*BC128+#REF!*AY128</f>
        <v>#REF!</v>
      </c>
      <c r="CD128" s="1" t="e">
        <f t="shared" si="173"/>
        <v>#REF!</v>
      </c>
    </row>
    <row r="129" spans="1:82" ht="16.5" customHeight="1" x14ac:dyDescent="0.25">
      <c r="A129" s="3" t="s">
        <v>61</v>
      </c>
      <c r="B129" t="s">
        <v>62</v>
      </c>
      <c r="C129" t="s">
        <v>36</v>
      </c>
      <c r="D129" t="s">
        <v>28</v>
      </c>
      <c r="E129">
        <v>0.01</v>
      </c>
      <c r="F129">
        <f t="shared" si="140"/>
        <v>-2</v>
      </c>
      <c r="G129">
        <f t="shared" si="141"/>
        <v>1.0101010101010102E-2</v>
      </c>
      <c r="H129">
        <f t="shared" si="142"/>
        <v>-1.9956351945975499</v>
      </c>
      <c r="I129">
        <f t="shared" si="143"/>
        <v>0.99</v>
      </c>
      <c r="J129">
        <f t="shared" si="144"/>
        <v>-4.3648054024500883E-3</v>
      </c>
      <c r="K129">
        <f t="shared" si="145"/>
        <v>98.999999999999915</v>
      </c>
      <c r="L129">
        <f t="shared" si="146"/>
        <v>1.9956351945975495</v>
      </c>
      <c r="M129">
        <v>0.01</v>
      </c>
      <c r="N129">
        <f t="shared" si="147"/>
        <v>-2</v>
      </c>
      <c r="O129">
        <f t="shared" si="148"/>
        <v>1.0101010101010102E-2</v>
      </c>
      <c r="P129">
        <f t="shared" si="149"/>
        <v>-1.9956351945975499</v>
      </c>
      <c r="Q129">
        <f t="shared" si="150"/>
        <v>98.989898989898904</v>
      </c>
      <c r="R129">
        <f t="shared" si="151"/>
        <v>1.9955908810949445</v>
      </c>
      <c r="U129">
        <f t="shared" si="152"/>
        <v>-1.9956351945975499</v>
      </c>
      <c r="Y129">
        <f t="shared" si="153"/>
        <v>-2</v>
      </c>
      <c r="Z129">
        <f t="shared" si="154"/>
        <v>0.02</v>
      </c>
      <c r="AA129">
        <f t="shared" si="155"/>
        <v>-1.6989700043360187</v>
      </c>
      <c r="AC129" t="s">
        <v>36</v>
      </c>
      <c r="AE129" t="s">
        <v>10</v>
      </c>
      <c r="AF129">
        <f>273.15+20</f>
        <v>293.14999999999998</v>
      </c>
      <c r="AG129">
        <v>2.3600000000000001E-3</v>
      </c>
      <c r="AH129">
        <v>0.02</v>
      </c>
      <c r="AI129">
        <f t="shared" si="157"/>
        <v>-1.6989700043360187</v>
      </c>
      <c r="AL129" t="s">
        <v>29</v>
      </c>
      <c r="AM129" t="s">
        <v>16</v>
      </c>
      <c r="AN129" t="s">
        <v>15</v>
      </c>
      <c r="AO129" s="1">
        <v>1000000</v>
      </c>
      <c r="AP129" s="1">
        <f t="shared" si="159"/>
        <v>6</v>
      </c>
      <c r="AQ129">
        <v>980</v>
      </c>
      <c r="AR129">
        <f t="shared" si="160"/>
        <v>980000000</v>
      </c>
      <c r="AS129">
        <f t="shared" si="161"/>
        <v>8.9912260756924951</v>
      </c>
      <c r="AW129">
        <f>10.14^3</f>
        <v>1042.5907440000001</v>
      </c>
      <c r="AX129">
        <f t="shared" si="162"/>
        <v>1.0425907439999999E-27</v>
      </c>
      <c r="AY129">
        <f t="shared" si="163"/>
        <v>-26.981886135008047</v>
      </c>
      <c r="AZ129">
        <v>6</v>
      </c>
      <c r="BA129">
        <f t="shared" si="164"/>
        <v>0.77815125038364363</v>
      </c>
      <c r="BB129">
        <f>AZ129/359.8</f>
        <v>1.6675931072818232E-2</v>
      </c>
      <c r="BC129">
        <f t="shared" si="165"/>
        <v>-1.7779099086258889</v>
      </c>
      <c r="BD129" s="1">
        <v>1E-8</v>
      </c>
      <c r="BE129">
        <v>293</v>
      </c>
      <c r="BF129">
        <f t="shared" si="167"/>
        <v>3.4129692832764505E-3</v>
      </c>
      <c r="BG129">
        <f>5*60*60</f>
        <v>18000</v>
      </c>
      <c r="BH129">
        <f t="shared" si="169"/>
        <v>4.2552725051033065</v>
      </c>
      <c r="BI129" s="1">
        <v>1E-3</v>
      </c>
      <c r="BJ129">
        <f t="shared" si="170"/>
        <v>-3</v>
      </c>
      <c r="BK129">
        <v>10</v>
      </c>
      <c r="BL129">
        <f t="shared" ref="BL129:BL132" si="175">BK129*10^-3</f>
        <v>0.01</v>
      </c>
      <c r="BM129">
        <f t="shared" ref="BM129:BM132" si="176">LOG10(BL129)</f>
        <v>-2</v>
      </c>
      <c r="BN129">
        <v>2.08</v>
      </c>
      <c r="BO129">
        <f t="shared" si="171"/>
        <v>0.31806333496276157</v>
      </c>
      <c r="BV129" s="1">
        <v>3.4000000000000002E-4</v>
      </c>
      <c r="BW129" s="1">
        <f t="shared" si="172"/>
        <v>-3.4685210829577446</v>
      </c>
      <c r="CB129" t="e">
        <f>#REF!+#REF!*AG129+#REF!*BC129+#REF!*AY129</f>
        <v>#REF!</v>
      </c>
      <c r="CD129" s="1" t="e">
        <f t="shared" si="173"/>
        <v>#REF!</v>
      </c>
    </row>
    <row r="130" spans="1:82" ht="16.5" customHeight="1" x14ac:dyDescent="0.25">
      <c r="A130" s="3" t="s">
        <v>61</v>
      </c>
      <c r="B130" t="s">
        <v>62</v>
      </c>
      <c r="C130" t="s">
        <v>36</v>
      </c>
      <c r="D130" t="s">
        <v>28</v>
      </c>
      <c r="E130">
        <v>0.01</v>
      </c>
      <c r="F130">
        <f t="shared" si="140"/>
        <v>-2</v>
      </c>
      <c r="G130">
        <f t="shared" si="141"/>
        <v>1.0101010101010102E-2</v>
      </c>
      <c r="H130">
        <f t="shared" si="142"/>
        <v>-1.9956351945975499</v>
      </c>
      <c r="I130">
        <f t="shared" si="143"/>
        <v>0.99</v>
      </c>
      <c r="J130">
        <f t="shared" si="144"/>
        <v>-4.3648054024500883E-3</v>
      </c>
      <c r="K130">
        <f t="shared" si="145"/>
        <v>98.999999999999915</v>
      </c>
      <c r="L130">
        <f t="shared" si="146"/>
        <v>1.9956351945975495</v>
      </c>
      <c r="M130">
        <v>0.01</v>
      </c>
      <c r="N130">
        <f t="shared" si="147"/>
        <v>-2</v>
      </c>
      <c r="O130">
        <f t="shared" si="148"/>
        <v>1.0101010101010102E-2</v>
      </c>
      <c r="P130">
        <f t="shared" si="149"/>
        <v>-1.9956351945975499</v>
      </c>
      <c r="Q130">
        <f t="shared" si="150"/>
        <v>98.989898989898904</v>
      </c>
      <c r="R130">
        <f t="shared" si="151"/>
        <v>1.9955908810949445</v>
      </c>
      <c r="U130">
        <f t="shared" si="152"/>
        <v>-1.9956351945975499</v>
      </c>
      <c r="Y130">
        <f t="shared" si="153"/>
        <v>-2</v>
      </c>
      <c r="Z130">
        <f t="shared" si="154"/>
        <v>0.02</v>
      </c>
      <c r="AA130">
        <f t="shared" si="155"/>
        <v>-1.6989700043360187</v>
      </c>
      <c r="AC130" t="s">
        <v>36</v>
      </c>
      <c r="AE130" t="s">
        <v>10</v>
      </c>
      <c r="AF130">
        <f t="shared" ref="AF130:AF132" si="177">273.15+20</f>
        <v>293.14999999999998</v>
      </c>
      <c r="AG130">
        <v>2.3600000000000001E-3</v>
      </c>
      <c r="AH130">
        <v>0.02</v>
      </c>
      <c r="AL130" t="s">
        <v>29</v>
      </c>
      <c r="AM130" t="s">
        <v>16</v>
      </c>
      <c r="AN130" t="s">
        <v>15</v>
      </c>
      <c r="AO130" s="1">
        <v>1000000</v>
      </c>
      <c r="AP130" s="1">
        <f t="shared" si="159"/>
        <v>6</v>
      </c>
      <c r="AQ130">
        <v>980</v>
      </c>
      <c r="AR130">
        <f t="shared" si="160"/>
        <v>980000000</v>
      </c>
      <c r="AS130">
        <f t="shared" si="161"/>
        <v>8.9912260756924951</v>
      </c>
      <c r="AW130">
        <f>10.14^3</f>
        <v>1042.5907440000001</v>
      </c>
      <c r="AX130">
        <f t="shared" si="162"/>
        <v>1.0425907439999999E-27</v>
      </c>
      <c r="AY130">
        <f t="shared" si="163"/>
        <v>-26.981886135008047</v>
      </c>
      <c r="AZ130">
        <v>6</v>
      </c>
      <c r="BA130">
        <f t="shared" si="164"/>
        <v>0.77815125038364363</v>
      </c>
      <c r="BB130">
        <f>AZ130/359.8</f>
        <v>1.6675931072818232E-2</v>
      </c>
      <c r="BC130">
        <f t="shared" si="165"/>
        <v>-1.7779099086258889</v>
      </c>
      <c r="BD130" s="1">
        <v>8.7999999999999994E-8</v>
      </c>
      <c r="BE130">
        <f>273+550</f>
        <v>823</v>
      </c>
      <c r="BF130">
        <f t="shared" si="167"/>
        <v>1.215066828675577E-3</v>
      </c>
      <c r="BG130">
        <f t="shared" ref="BG130:BG132" si="178">5*60*60</f>
        <v>18000</v>
      </c>
      <c r="BH130">
        <f t="shared" si="169"/>
        <v>4.2552725051033065</v>
      </c>
      <c r="BI130" s="1">
        <v>1E-3</v>
      </c>
      <c r="BJ130">
        <f t="shared" si="170"/>
        <v>-3</v>
      </c>
      <c r="BK130">
        <v>10</v>
      </c>
      <c r="BL130">
        <f t="shared" si="175"/>
        <v>0.01</v>
      </c>
      <c r="BM130">
        <f t="shared" si="176"/>
        <v>-2</v>
      </c>
      <c r="BN130">
        <v>2.08</v>
      </c>
      <c r="BO130">
        <f t="shared" si="171"/>
        <v>0.31806333496276157</v>
      </c>
      <c r="BV130" s="1">
        <v>1.1999999999999999E-6</v>
      </c>
      <c r="BW130" s="1">
        <f t="shared" si="172"/>
        <v>-5.9208187539523749</v>
      </c>
      <c r="CB130" t="e">
        <f>#REF!+#REF!*AG130+#REF!*BC130+#REF!*AY130</f>
        <v>#REF!</v>
      </c>
      <c r="CD130" s="1" t="e">
        <f t="shared" si="173"/>
        <v>#REF!</v>
      </c>
    </row>
    <row r="131" spans="1:82" ht="16.5" customHeight="1" x14ac:dyDescent="0.25">
      <c r="A131" s="3" t="s">
        <v>61</v>
      </c>
      <c r="B131" t="s">
        <v>62</v>
      </c>
      <c r="C131" t="s">
        <v>32</v>
      </c>
      <c r="D131" t="s">
        <v>28</v>
      </c>
      <c r="E131">
        <v>0.62</v>
      </c>
      <c r="F131">
        <f t="shared" si="140"/>
        <v>-0.20760831050174613</v>
      </c>
      <c r="G131">
        <f t="shared" si="141"/>
        <v>1.631578947368421</v>
      </c>
      <c r="H131">
        <f t="shared" si="142"/>
        <v>0.21260809288144372</v>
      </c>
      <c r="I131">
        <f t="shared" si="143"/>
        <v>0.38</v>
      </c>
      <c r="J131">
        <f t="shared" si="144"/>
        <v>-0.42021640338318983</v>
      </c>
      <c r="K131">
        <f t="shared" si="145"/>
        <v>0.61290322580645162</v>
      </c>
      <c r="L131">
        <f t="shared" si="146"/>
        <v>-0.21260809288144372</v>
      </c>
      <c r="M131">
        <v>0.01</v>
      </c>
      <c r="N131">
        <f t="shared" si="147"/>
        <v>-2</v>
      </c>
      <c r="O131">
        <f t="shared" si="148"/>
        <v>1.0101010101010102E-2</v>
      </c>
      <c r="P131">
        <f t="shared" si="149"/>
        <v>-1.9956351945975499</v>
      </c>
      <c r="Q131">
        <f t="shared" si="150"/>
        <v>1.0186757215619693</v>
      </c>
      <c r="R131">
        <f t="shared" si="151"/>
        <v>8.0359555965419244E-3</v>
      </c>
      <c r="U131">
        <f t="shared" si="152"/>
        <v>0.21260809288144372</v>
      </c>
      <c r="Y131">
        <f t="shared" si="153"/>
        <v>-0.20760831050174613</v>
      </c>
      <c r="Z131">
        <f t="shared" si="154"/>
        <v>-0.59</v>
      </c>
      <c r="AA131" t="e">
        <f t="shared" si="155"/>
        <v>#NUM!</v>
      </c>
      <c r="AC131" t="s">
        <v>32</v>
      </c>
      <c r="AE131" t="s">
        <v>10</v>
      </c>
      <c r="AF131">
        <f t="shared" si="177"/>
        <v>293.14999999999998</v>
      </c>
      <c r="AG131">
        <v>2.3600000000000001E-3</v>
      </c>
      <c r="AH131">
        <v>0.02</v>
      </c>
      <c r="AL131" t="s">
        <v>29</v>
      </c>
      <c r="AM131" t="s">
        <v>16</v>
      </c>
      <c r="AN131" t="s">
        <v>15</v>
      </c>
      <c r="AO131" s="1">
        <v>1000000</v>
      </c>
      <c r="AP131" s="1">
        <f t="shared" si="159"/>
        <v>6</v>
      </c>
      <c r="AQ131">
        <v>980</v>
      </c>
      <c r="AR131">
        <f t="shared" si="160"/>
        <v>980000000</v>
      </c>
      <c r="AS131">
        <f t="shared" si="161"/>
        <v>8.9912260756924951</v>
      </c>
      <c r="AW131">
        <f>9.83^3</f>
        <v>949.86208699999997</v>
      </c>
      <c r="AX131">
        <f t="shared" si="162"/>
        <v>9.4986208699999986E-28</v>
      </c>
      <c r="AY131">
        <f t="shared" si="163"/>
        <v>-27.022339446503594</v>
      </c>
      <c r="AZ131">
        <v>6</v>
      </c>
      <c r="BA131">
        <f t="shared" si="164"/>
        <v>0.77815125038364363</v>
      </c>
      <c r="BB131">
        <v>2.2354694485842028E-2</v>
      </c>
      <c r="BC131">
        <f t="shared" si="165"/>
        <v>-1.6506312611133107</v>
      </c>
      <c r="BD131" s="1">
        <v>1E-8</v>
      </c>
      <c r="BE131">
        <v>293</v>
      </c>
      <c r="BF131">
        <f t="shared" si="167"/>
        <v>3.4129692832764505E-3</v>
      </c>
      <c r="BG131">
        <f t="shared" si="178"/>
        <v>18000</v>
      </c>
      <c r="BH131">
        <f t="shared" si="169"/>
        <v>4.2552725051033065</v>
      </c>
      <c r="BI131" s="1">
        <v>1E-3</v>
      </c>
      <c r="BJ131">
        <f t="shared" si="170"/>
        <v>-3</v>
      </c>
      <c r="BK131">
        <v>10</v>
      </c>
      <c r="BL131">
        <f t="shared" si="175"/>
        <v>0.01</v>
      </c>
      <c r="BM131">
        <f t="shared" si="176"/>
        <v>-2</v>
      </c>
      <c r="BN131">
        <v>1.655</v>
      </c>
      <c r="BO131">
        <f t="shared" si="171"/>
        <v>0.21879799811173756</v>
      </c>
      <c r="BV131" s="1">
        <v>7.3000000000000004E-6</v>
      </c>
      <c r="BW131" s="1">
        <f t="shared" si="172"/>
        <v>-5.1366771398795441</v>
      </c>
      <c r="CB131" t="e">
        <f>#REF!+#REF!*AG131+#REF!*BC131+#REF!*AY131</f>
        <v>#REF!</v>
      </c>
      <c r="CD131" s="1" t="e">
        <f t="shared" si="173"/>
        <v>#REF!</v>
      </c>
    </row>
    <row r="132" spans="1:82" ht="16.5" customHeight="1" x14ac:dyDescent="0.25">
      <c r="A132" s="3" t="s">
        <v>61</v>
      </c>
      <c r="B132" t="s">
        <v>62</v>
      </c>
      <c r="C132" t="s">
        <v>32</v>
      </c>
      <c r="D132" t="s">
        <v>28</v>
      </c>
      <c r="E132">
        <v>0.62</v>
      </c>
      <c r="F132">
        <f t="shared" si="140"/>
        <v>-0.20760831050174613</v>
      </c>
      <c r="G132">
        <f t="shared" si="141"/>
        <v>1.631578947368421</v>
      </c>
      <c r="H132">
        <f t="shared" si="142"/>
        <v>0.21260809288144372</v>
      </c>
      <c r="I132">
        <f t="shared" si="143"/>
        <v>0.38</v>
      </c>
      <c r="J132">
        <f t="shared" si="144"/>
        <v>-0.42021640338318983</v>
      </c>
      <c r="K132">
        <f t="shared" si="145"/>
        <v>0.61290322580645162</v>
      </c>
      <c r="L132">
        <f t="shared" si="146"/>
        <v>-0.21260809288144372</v>
      </c>
      <c r="M132">
        <v>0.01</v>
      </c>
      <c r="N132">
        <f t="shared" si="147"/>
        <v>-2</v>
      </c>
      <c r="O132">
        <f t="shared" si="148"/>
        <v>1.0101010101010102E-2</v>
      </c>
      <c r="P132">
        <f t="shared" si="149"/>
        <v>-1.9956351945975499</v>
      </c>
      <c r="Q132">
        <f t="shared" si="150"/>
        <v>1.0186757215619693</v>
      </c>
      <c r="R132">
        <f t="shared" si="151"/>
        <v>8.0359555965419244E-3</v>
      </c>
      <c r="U132">
        <f t="shared" si="152"/>
        <v>0.21260809288144372</v>
      </c>
      <c r="Y132">
        <f t="shared" si="153"/>
        <v>-0.20760831050174613</v>
      </c>
      <c r="Z132">
        <f t="shared" si="154"/>
        <v>-0.59</v>
      </c>
      <c r="AA132" t="e">
        <f t="shared" si="155"/>
        <v>#NUM!</v>
      </c>
      <c r="AC132" t="s">
        <v>32</v>
      </c>
      <c r="AE132" t="s">
        <v>10</v>
      </c>
      <c r="AF132">
        <f t="shared" si="177"/>
        <v>293.14999999999998</v>
      </c>
      <c r="AG132">
        <v>2.3600000000000001E-3</v>
      </c>
      <c r="AH132">
        <v>0.02</v>
      </c>
      <c r="AL132" t="s">
        <v>29</v>
      </c>
      <c r="AM132" t="s">
        <v>16</v>
      </c>
      <c r="AN132" t="s">
        <v>15</v>
      </c>
      <c r="AO132" s="1">
        <v>1000000</v>
      </c>
      <c r="AP132" s="1">
        <f t="shared" si="159"/>
        <v>6</v>
      </c>
      <c r="AQ132">
        <v>980</v>
      </c>
      <c r="AR132">
        <f t="shared" si="160"/>
        <v>980000000</v>
      </c>
      <c r="AS132">
        <f t="shared" si="161"/>
        <v>8.9912260756924951</v>
      </c>
      <c r="AW132">
        <f>9.83^3</f>
        <v>949.86208699999997</v>
      </c>
      <c r="AX132">
        <f t="shared" si="162"/>
        <v>9.4986208699999986E-28</v>
      </c>
      <c r="AY132">
        <f t="shared" si="163"/>
        <v>-27.022339446503594</v>
      </c>
      <c r="AZ132">
        <v>6</v>
      </c>
      <c r="BA132">
        <f t="shared" si="164"/>
        <v>0.77815125038364363</v>
      </c>
      <c r="BB132">
        <v>2.2354694485842028E-2</v>
      </c>
      <c r="BC132">
        <f t="shared" si="165"/>
        <v>-1.6506312611133107</v>
      </c>
      <c r="BD132" s="1">
        <v>5.9999999999999995E-8</v>
      </c>
      <c r="BE132">
        <v>823</v>
      </c>
      <c r="BF132">
        <f t="shared" si="167"/>
        <v>1.215066828675577E-3</v>
      </c>
      <c r="BG132">
        <f t="shared" si="178"/>
        <v>18000</v>
      </c>
      <c r="BH132">
        <f t="shared" si="169"/>
        <v>4.2552725051033065</v>
      </c>
      <c r="BI132" s="1">
        <v>1E-3</v>
      </c>
      <c r="BJ132">
        <f t="shared" si="170"/>
        <v>-3</v>
      </c>
      <c r="BK132">
        <v>10</v>
      </c>
      <c r="BL132">
        <f t="shared" si="175"/>
        <v>0.01</v>
      </c>
      <c r="BM132">
        <f t="shared" si="176"/>
        <v>-2</v>
      </c>
      <c r="BN132">
        <v>1.655</v>
      </c>
      <c r="BO132">
        <f t="shared" si="171"/>
        <v>0.21879799811173756</v>
      </c>
      <c r="BV132" s="1">
        <v>1.0000000000000001E-5</v>
      </c>
      <c r="BW132" s="1">
        <f t="shared" si="172"/>
        <v>-5</v>
      </c>
      <c r="CB132" t="e">
        <f>#REF!+#REF!*AG132+#REF!*BC132+#REF!*AY132</f>
        <v>#REF!</v>
      </c>
      <c r="CD132" s="1" t="e">
        <f t="shared" si="173"/>
        <v>#REF!</v>
      </c>
    </row>
    <row r="133" spans="1:82" ht="16.5" customHeight="1" x14ac:dyDescent="0.25">
      <c r="A133" s="2" t="s">
        <v>68</v>
      </c>
      <c r="B133" t="s">
        <v>69</v>
      </c>
      <c r="C133" t="s">
        <v>71</v>
      </c>
      <c r="D133" t="s">
        <v>70</v>
      </c>
      <c r="E133">
        <v>0.01</v>
      </c>
      <c r="F133">
        <f t="shared" si="140"/>
        <v>-2</v>
      </c>
      <c r="G133">
        <f t="shared" si="141"/>
        <v>1.0101010101010102E-2</v>
      </c>
      <c r="H133">
        <f t="shared" si="142"/>
        <v>-1.9956351945975499</v>
      </c>
      <c r="I133">
        <f t="shared" si="143"/>
        <v>0.99</v>
      </c>
      <c r="J133">
        <f t="shared" si="144"/>
        <v>-4.3648054024500883E-3</v>
      </c>
      <c r="K133">
        <f t="shared" si="145"/>
        <v>98.999999999999915</v>
      </c>
      <c r="L133">
        <f t="shared" si="146"/>
        <v>1.9956351945975495</v>
      </c>
      <c r="M133">
        <v>0.01</v>
      </c>
      <c r="N133">
        <f t="shared" si="147"/>
        <v>-2</v>
      </c>
      <c r="O133">
        <f t="shared" si="148"/>
        <v>1.0101010101010102E-2</v>
      </c>
      <c r="P133">
        <f t="shared" si="149"/>
        <v>-1.9956351945975499</v>
      </c>
      <c r="Q133">
        <f t="shared" si="150"/>
        <v>98.989898989898904</v>
      </c>
      <c r="R133">
        <f t="shared" si="151"/>
        <v>1.9955908810949445</v>
      </c>
      <c r="U133">
        <f t="shared" si="152"/>
        <v>-1.9956351945975499</v>
      </c>
      <c r="Y133">
        <f t="shared" si="153"/>
        <v>-2</v>
      </c>
      <c r="Z133">
        <f t="shared" si="154"/>
        <v>0.02</v>
      </c>
      <c r="AA133">
        <f t="shared" si="155"/>
        <v>-1.6989700043360187</v>
      </c>
      <c r="AC133" t="s">
        <v>71</v>
      </c>
      <c r="AE133" t="s">
        <v>10</v>
      </c>
      <c r="AF133">
        <v>253.15</v>
      </c>
      <c r="AG133">
        <f>1/AF133</f>
        <v>3.9502271380604387E-3</v>
      </c>
      <c r="AH133">
        <v>0.02</v>
      </c>
      <c r="AI133">
        <f>LOG10(AH133)</f>
        <v>-1.6989700043360187</v>
      </c>
      <c r="AL133" t="s">
        <v>29</v>
      </c>
      <c r="AM133" t="s">
        <v>16</v>
      </c>
      <c r="AW133">
        <f>10.14^3</f>
        <v>1042.5907440000001</v>
      </c>
      <c r="AX133">
        <f t="shared" ref="AX133:AX140" si="179">AW133*10^-30</f>
        <v>1.0425907439999999E-27</v>
      </c>
      <c r="AY133">
        <f t="shared" ref="AY133:AY140" si="180">LOG10(AX133)</f>
        <v>-26.981886135008047</v>
      </c>
      <c r="AZ133">
        <v>6</v>
      </c>
      <c r="BA133">
        <f>LOG10(AZ133)</f>
        <v>0.77815125038364363</v>
      </c>
      <c r="BB133">
        <f>6/359.9</f>
        <v>1.6671297582661851E-2</v>
      </c>
      <c r="BC133">
        <f t="shared" ref="BC133:BC140" si="181">LOG10(BB133)</f>
        <v>-1.7780305962692675</v>
      </c>
      <c r="BE133">
        <v>823</v>
      </c>
      <c r="BF133">
        <f>1/BE133</f>
        <v>1.215066828675577E-3</v>
      </c>
      <c r="BG133">
        <f>60*60*24*14</f>
        <v>1209600</v>
      </c>
      <c r="BH133">
        <f>LOG(BG133)</f>
        <v>6.0826417781571314</v>
      </c>
      <c r="BI133" s="1">
        <v>4.4999999999999999E-4</v>
      </c>
      <c r="BJ133">
        <f>LOG10(BI133)</f>
        <v>-3.3467874862246565</v>
      </c>
      <c r="BV133">
        <v>1.2021522025835918E-7</v>
      </c>
      <c r="BW133" s="1">
        <f t="shared" ref="BW133:BW140" si="182">LOG10(BV133)</f>
        <v>-6.920040543516679</v>
      </c>
    </row>
    <row r="134" spans="1:82" ht="16.5" customHeight="1" x14ac:dyDescent="0.25">
      <c r="A134" s="2" t="s">
        <v>68</v>
      </c>
      <c r="B134" t="s">
        <v>69</v>
      </c>
      <c r="C134" t="s">
        <v>71</v>
      </c>
      <c r="D134" t="s">
        <v>70</v>
      </c>
      <c r="E134">
        <v>0.01</v>
      </c>
      <c r="F134">
        <f t="shared" si="140"/>
        <v>-2</v>
      </c>
      <c r="G134">
        <f t="shared" si="141"/>
        <v>1.0101010101010102E-2</v>
      </c>
      <c r="H134">
        <f t="shared" si="142"/>
        <v>-1.9956351945975499</v>
      </c>
      <c r="I134">
        <f t="shared" si="143"/>
        <v>0.99</v>
      </c>
      <c r="J134">
        <f t="shared" si="144"/>
        <v>-4.3648054024500883E-3</v>
      </c>
      <c r="K134">
        <f t="shared" si="145"/>
        <v>98.999999999999915</v>
      </c>
      <c r="L134">
        <f t="shared" si="146"/>
        <v>1.9956351945975495</v>
      </c>
      <c r="M134">
        <v>0.01</v>
      </c>
      <c r="N134">
        <f t="shared" si="147"/>
        <v>-2</v>
      </c>
      <c r="O134">
        <f t="shared" si="148"/>
        <v>1.0101010101010102E-2</v>
      </c>
      <c r="P134">
        <f t="shared" si="149"/>
        <v>-1.9956351945975499</v>
      </c>
      <c r="Q134">
        <f t="shared" si="150"/>
        <v>98.989898989898904</v>
      </c>
      <c r="R134">
        <f t="shared" si="151"/>
        <v>1.9955908810949445</v>
      </c>
      <c r="U134">
        <f t="shared" si="152"/>
        <v>-1.9956351945975499</v>
      </c>
      <c r="Y134">
        <f t="shared" si="153"/>
        <v>-2</v>
      </c>
      <c r="Z134">
        <f t="shared" si="154"/>
        <v>0.02</v>
      </c>
      <c r="AA134">
        <f t="shared" si="155"/>
        <v>-1.6989700043360187</v>
      </c>
      <c r="AC134" t="s">
        <v>71</v>
      </c>
      <c r="AE134" t="s">
        <v>10</v>
      </c>
      <c r="AF134">
        <v>263.14999999999998</v>
      </c>
      <c r="AG134">
        <f t="shared" ref="AG134:AG140" si="183">1/AF134</f>
        <v>3.800114003420103E-3</v>
      </c>
      <c r="AH134">
        <v>0.02</v>
      </c>
      <c r="AI134">
        <f t="shared" ref="AI134:AI140" si="184">LOG10(AH134)</f>
        <v>-1.6989700043360187</v>
      </c>
      <c r="AL134" t="s">
        <v>29</v>
      </c>
      <c r="AM134" t="s">
        <v>16</v>
      </c>
      <c r="AW134">
        <f t="shared" ref="AW134:AW140" si="185">10.14^3</f>
        <v>1042.5907440000001</v>
      </c>
      <c r="AX134">
        <f t="shared" si="179"/>
        <v>1.0425907439999999E-27</v>
      </c>
      <c r="AY134">
        <f t="shared" si="180"/>
        <v>-26.981886135008047</v>
      </c>
      <c r="AZ134">
        <v>6</v>
      </c>
      <c r="BA134">
        <f t="shared" ref="BA134:BA140" si="186">LOG10(AZ134)</f>
        <v>0.77815125038364363</v>
      </c>
      <c r="BB134">
        <f t="shared" ref="BB134:BB140" si="187">6/359.9</f>
        <v>1.6671297582661851E-2</v>
      </c>
      <c r="BC134">
        <f t="shared" si="181"/>
        <v>-1.7780305962692675</v>
      </c>
      <c r="BE134">
        <v>823</v>
      </c>
      <c r="BF134">
        <f t="shared" ref="BF134:BF140" si="188">1/BE134</f>
        <v>1.215066828675577E-3</v>
      </c>
      <c r="BG134">
        <f t="shared" ref="BG134:BG140" si="189">60*60*24*14</f>
        <v>1209600</v>
      </c>
      <c r="BH134">
        <f t="shared" ref="BH134:BH140" si="190">LOG(BG134)</f>
        <v>6.0826417781571314</v>
      </c>
      <c r="BI134" s="1">
        <v>4.4999999999999999E-4</v>
      </c>
      <c r="BJ134">
        <f t="shared" ref="BJ134:BJ140" si="191">LOG10(BI134)</f>
        <v>-3.3467874862246565</v>
      </c>
      <c r="BV134">
        <v>2.5737691997284401E-7</v>
      </c>
      <c r="BW134" s="1">
        <f t="shared" si="182"/>
        <v>-6.5894304006245141</v>
      </c>
    </row>
    <row r="135" spans="1:82" ht="16.5" customHeight="1" x14ac:dyDescent="0.25">
      <c r="A135" s="2" t="s">
        <v>68</v>
      </c>
      <c r="B135" t="s">
        <v>69</v>
      </c>
      <c r="C135" t="s">
        <v>71</v>
      </c>
      <c r="D135" t="s">
        <v>70</v>
      </c>
      <c r="E135">
        <v>0.01</v>
      </c>
      <c r="F135">
        <f t="shared" si="140"/>
        <v>-2</v>
      </c>
      <c r="G135">
        <f t="shared" si="141"/>
        <v>1.0101010101010102E-2</v>
      </c>
      <c r="H135">
        <f t="shared" si="142"/>
        <v>-1.9956351945975499</v>
      </c>
      <c r="I135">
        <f t="shared" si="143"/>
        <v>0.99</v>
      </c>
      <c r="J135">
        <f t="shared" si="144"/>
        <v>-4.3648054024500883E-3</v>
      </c>
      <c r="K135">
        <f t="shared" si="145"/>
        <v>98.999999999999915</v>
      </c>
      <c r="L135">
        <f t="shared" si="146"/>
        <v>1.9956351945975495</v>
      </c>
      <c r="M135">
        <v>0.01</v>
      </c>
      <c r="N135">
        <f t="shared" si="147"/>
        <v>-2</v>
      </c>
      <c r="O135">
        <f t="shared" si="148"/>
        <v>1.0101010101010102E-2</v>
      </c>
      <c r="P135">
        <f t="shared" si="149"/>
        <v>-1.9956351945975499</v>
      </c>
      <c r="Q135">
        <f t="shared" si="150"/>
        <v>98.989898989898904</v>
      </c>
      <c r="R135">
        <f t="shared" si="151"/>
        <v>1.9955908810949445</v>
      </c>
      <c r="U135">
        <f t="shared" si="152"/>
        <v>-1.9956351945975499</v>
      </c>
      <c r="Y135">
        <f t="shared" si="153"/>
        <v>-2</v>
      </c>
      <c r="Z135">
        <f t="shared" si="154"/>
        <v>0.02</v>
      </c>
      <c r="AA135">
        <f t="shared" si="155"/>
        <v>-1.6989700043360187</v>
      </c>
      <c r="AC135" t="s">
        <v>71</v>
      </c>
      <c r="AE135" t="s">
        <v>10</v>
      </c>
      <c r="AF135">
        <v>273.14999999999998</v>
      </c>
      <c r="AG135">
        <f t="shared" si="183"/>
        <v>3.6609921288669233E-3</v>
      </c>
      <c r="AH135">
        <v>0.02</v>
      </c>
      <c r="AI135">
        <f t="shared" si="184"/>
        <v>-1.6989700043360187</v>
      </c>
      <c r="AL135" t="s">
        <v>29</v>
      </c>
      <c r="AM135" t="s">
        <v>16</v>
      </c>
      <c r="AW135">
        <f t="shared" si="185"/>
        <v>1042.5907440000001</v>
      </c>
      <c r="AX135">
        <f t="shared" si="179"/>
        <v>1.0425907439999999E-27</v>
      </c>
      <c r="AY135">
        <f t="shared" si="180"/>
        <v>-26.981886135008047</v>
      </c>
      <c r="AZ135">
        <v>6</v>
      </c>
      <c r="BA135">
        <f t="shared" si="186"/>
        <v>0.77815125038364363</v>
      </c>
      <c r="BB135">
        <f t="shared" si="187"/>
        <v>1.6671297582661851E-2</v>
      </c>
      <c r="BC135">
        <f t="shared" si="181"/>
        <v>-1.7780305962692675</v>
      </c>
      <c r="BE135">
        <v>823</v>
      </c>
      <c r="BF135">
        <f t="shared" si="188"/>
        <v>1.215066828675577E-3</v>
      </c>
      <c r="BG135">
        <f t="shared" si="189"/>
        <v>1209600</v>
      </c>
      <c r="BH135">
        <f t="shared" si="190"/>
        <v>6.0826417781571314</v>
      </c>
      <c r="BI135" s="1">
        <v>4.4999999999999999E-4</v>
      </c>
      <c r="BJ135">
        <f t="shared" si="191"/>
        <v>-3.3467874862246565</v>
      </c>
      <c r="BV135">
        <v>4.2976766216041725E-7</v>
      </c>
      <c r="BW135" s="1">
        <f t="shared" si="182"/>
        <v>-6.3667662660750306</v>
      </c>
    </row>
    <row r="136" spans="1:82" ht="16.5" customHeight="1" x14ac:dyDescent="0.25">
      <c r="A136" s="2" t="s">
        <v>68</v>
      </c>
      <c r="B136" t="s">
        <v>69</v>
      </c>
      <c r="C136" t="s">
        <v>71</v>
      </c>
      <c r="D136" t="s">
        <v>70</v>
      </c>
      <c r="E136">
        <v>0.01</v>
      </c>
      <c r="F136">
        <f t="shared" si="140"/>
        <v>-2</v>
      </c>
      <c r="G136">
        <f t="shared" si="141"/>
        <v>1.0101010101010102E-2</v>
      </c>
      <c r="H136">
        <f t="shared" si="142"/>
        <v>-1.9956351945975499</v>
      </c>
      <c r="I136">
        <f t="shared" si="143"/>
        <v>0.99</v>
      </c>
      <c r="J136">
        <f t="shared" si="144"/>
        <v>-4.3648054024500883E-3</v>
      </c>
      <c r="K136">
        <f t="shared" si="145"/>
        <v>98.999999999999915</v>
      </c>
      <c r="L136">
        <f t="shared" si="146"/>
        <v>1.9956351945975495</v>
      </c>
      <c r="M136">
        <v>0.01</v>
      </c>
      <c r="N136">
        <f t="shared" si="147"/>
        <v>-2</v>
      </c>
      <c r="O136">
        <f t="shared" si="148"/>
        <v>1.0101010101010102E-2</v>
      </c>
      <c r="P136">
        <f t="shared" si="149"/>
        <v>-1.9956351945975499</v>
      </c>
      <c r="Q136">
        <f t="shared" si="150"/>
        <v>98.989898989898904</v>
      </c>
      <c r="R136">
        <f t="shared" si="151"/>
        <v>1.9955908810949445</v>
      </c>
      <c r="U136">
        <f t="shared" si="152"/>
        <v>-1.9956351945975499</v>
      </c>
      <c r="Y136">
        <f t="shared" si="153"/>
        <v>-2</v>
      </c>
      <c r="Z136">
        <f t="shared" si="154"/>
        <v>0.02</v>
      </c>
      <c r="AA136">
        <f t="shared" si="155"/>
        <v>-1.6989700043360187</v>
      </c>
      <c r="AC136" t="s">
        <v>71</v>
      </c>
      <c r="AE136" t="s">
        <v>10</v>
      </c>
      <c r="AF136">
        <v>283.14999999999998</v>
      </c>
      <c r="AG136">
        <f t="shared" si="183"/>
        <v>3.5316969803990822E-3</v>
      </c>
      <c r="AH136">
        <v>0.02</v>
      </c>
      <c r="AI136">
        <f t="shared" si="184"/>
        <v>-1.6989700043360187</v>
      </c>
      <c r="AL136" t="s">
        <v>29</v>
      </c>
      <c r="AM136" t="s">
        <v>16</v>
      </c>
      <c r="AW136">
        <f t="shared" si="185"/>
        <v>1042.5907440000001</v>
      </c>
      <c r="AX136">
        <f t="shared" si="179"/>
        <v>1.0425907439999999E-27</v>
      </c>
      <c r="AY136">
        <f t="shared" si="180"/>
        <v>-26.981886135008047</v>
      </c>
      <c r="AZ136">
        <v>6</v>
      </c>
      <c r="BA136">
        <f t="shared" si="186"/>
        <v>0.77815125038364363</v>
      </c>
      <c r="BB136">
        <f t="shared" si="187"/>
        <v>1.6671297582661851E-2</v>
      </c>
      <c r="BC136">
        <f t="shared" si="181"/>
        <v>-1.7780305962692675</v>
      </c>
      <c r="BE136">
        <v>823</v>
      </c>
      <c r="BF136">
        <f t="shared" si="188"/>
        <v>1.215066828675577E-3</v>
      </c>
      <c r="BG136">
        <f t="shared" si="189"/>
        <v>1209600</v>
      </c>
      <c r="BH136">
        <f t="shared" si="190"/>
        <v>6.0826417781571314</v>
      </c>
      <c r="BI136" s="1">
        <v>4.4999999999999999E-4</v>
      </c>
      <c r="BJ136">
        <f t="shared" si="191"/>
        <v>-3.3467874862246565</v>
      </c>
      <c r="BV136">
        <v>7.5543145106007947E-7</v>
      </c>
      <c r="BW136" s="1">
        <f t="shared" si="182"/>
        <v>-6.1218049380450257</v>
      </c>
    </row>
    <row r="137" spans="1:82" ht="16.5" customHeight="1" x14ac:dyDescent="0.25">
      <c r="A137" s="2" t="s">
        <v>68</v>
      </c>
      <c r="B137" t="s">
        <v>69</v>
      </c>
      <c r="C137" t="s">
        <v>71</v>
      </c>
      <c r="D137" t="s">
        <v>70</v>
      </c>
      <c r="E137">
        <v>0.01</v>
      </c>
      <c r="F137">
        <f t="shared" si="140"/>
        <v>-2</v>
      </c>
      <c r="G137">
        <f t="shared" ref="G137:G140" si="192">E137/(1-E137)</f>
        <v>1.0101010101010102E-2</v>
      </c>
      <c r="H137">
        <f t="shared" si="142"/>
        <v>-1.9956351945975499</v>
      </c>
      <c r="I137">
        <f t="shared" ref="I137:I140" si="193">1-E137</f>
        <v>0.99</v>
      </c>
      <c r="J137">
        <f t="shared" si="144"/>
        <v>-4.3648054024500883E-3</v>
      </c>
      <c r="K137">
        <f t="shared" ref="K137:K140" si="194">I137/(1-I137)</f>
        <v>98.999999999999915</v>
      </c>
      <c r="L137">
        <f t="shared" si="146"/>
        <v>1.9956351945975495</v>
      </c>
      <c r="M137">
        <v>0.01</v>
      </c>
      <c r="N137">
        <f t="shared" si="147"/>
        <v>-2</v>
      </c>
      <c r="O137">
        <f t="shared" ref="O137:O140" si="195">M137/(1-M137)</f>
        <v>1.0101010101010102E-2</v>
      </c>
      <c r="P137">
        <f t="shared" si="149"/>
        <v>-1.9956351945975499</v>
      </c>
      <c r="Q137">
        <f t="shared" si="150"/>
        <v>98.989898989898904</v>
      </c>
      <c r="R137">
        <f t="shared" si="151"/>
        <v>1.9955908810949445</v>
      </c>
      <c r="U137">
        <f t="shared" ref="U137:U140" si="196">LOG10(G137)</f>
        <v>-1.9956351945975499</v>
      </c>
      <c r="Y137">
        <f t="shared" ref="Y137:Y140" si="197">LOG10(E137)</f>
        <v>-2</v>
      </c>
      <c r="Z137">
        <f t="shared" ref="Z137:Z140" si="198">AH137-E137+0.01</f>
        <v>0.02</v>
      </c>
      <c r="AA137">
        <f t="shared" si="155"/>
        <v>-1.6989700043360187</v>
      </c>
      <c r="AC137" t="s">
        <v>71</v>
      </c>
      <c r="AE137" t="s">
        <v>10</v>
      </c>
      <c r="AF137">
        <v>293.14999999999998</v>
      </c>
      <c r="AG137">
        <f t="shared" si="183"/>
        <v>3.4112229234180458E-3</v>
      </c>
      <c r="AH137">
        <v>0.02</v>
      </c>
      <c r="AI137">
        <f t="shared" si="184"/>
        <v>-1.6989700043360187</v>
      </c>
      <c r="AL137" t="s">
        <v>29</v>
      </c>
      <c r="AM137" t="s">
        <v>16</v>
      </c>
      <c r="AW137">
        <f t="shared" si="185"/>
        <v>1042.5907440000001</v>
      </c>
      <c r="AX137">
        <f t="shared" si="179"/>
        <v>1.0425907439999999E-27</v>
      </c>
      <c r="AY137">
        <f t="shared" si="180"/>
        <v>-26.981886135008047</v>
      </c>
      <c r="AZ137">
        <v>6</v>
      </c>
      <c r="BA137">
        <f t="shared" si="186"/>
        <v>0.77815125038364363</v>
      </c>
      <c r="BB137">
        <f t="shared" si="187"/>
        <v>1.6671297582661851E-2</v>
      </c>
      <c r="BC137">
        <f t="shared" si="181"/>
        <v>-1.7780305962692675</v>
      </c>
      <c r="BE137">
        <v>823</v>
      </c>
      <c r="BF137">
        <f t="shared" si="188"/>
        <v>1.215066828675577E-3</v>
      </c>
      <c r="BG137">
        <f t="shared" si="189"/>
        <v>1209600</v>
      </c>
      <c r="BH137">
        <f t="shared" si="190"/>
        <v>6.0826417781571314</v>
      </c>
      <c r="BI137" s="1">
        <v>4.4999999999999999E-4</v>
      </c>
      <c r="BJ137">
        <f t="shared" si="191"/>
        <v>-3.3467874862246565</v>
      </c>
      <c r="BV137">
        <v>1.3976973528220598E-6</v>
      </c>
      <c r="BW137" s="1">
        <f t="shared" si="182"/>
        <v>-5.8545868573661801</v>
      </c>
    </row>
    <row r="138" spans="1:82" ht="16.5" customHeight="1" x14ac:dyDescent="0.25">
      <c r="A138" s="2" t="s">
        <v>68</v>
      </c>
      <c r="B138" t="s">
        <v>69</v>
      </c>
      <c r="C138" t="s">
        <v>71</v>
      </c>
      <c r="D138" t="s">
        <v>70</v>
      </c>
      <c r="E138">
        <v>0.01</v>
      </c>
      <c r="F138">
        <f t="shared" ref="F138:F140" si="199">LOG10(E138)</f>
        <v>-2</v>
      </c>
      <c r="G138">
        <f t="shared" si="192"/>
        <v>1.0101010101010102E-2</v>
      </c>
      <c r="H138">
        <f t="shared" ref="H138:H140" si="200">LOG10(G138)</f>
        <v>-1.9956351945975499</v>
      </c>
      <c r="I138">
        <f t="shared" si="193"/>
        <v>0.99</v>
      </c>
      <c r="J138">
        <f t="shared" ref="J138:J140" si="201">LOG10(I138)</f>
        <v>-4.3648054024500883E-3</v>
      </c>
      <c r="K138">
        <f t="shared" si="194"/>
        <v>98.999999999999915</v>
      </c>
      <c r="L138">
        <f t="shared" ref="L138:L140" si="202">LOG10(K138)</f>
        <v>1.9956351945975495</v>
      </c>
      <c r="M138">
        <v>0.01</v>
      </c>
      <c r="N138">
        <f t="shared" ref="N138:N140" si="203">LOG10(M138)</f>
        <v>-2</v>
      </c>
      <c r="O138">
        <f t="shared" si="195"/>
        <v>1.0101010101010102E-2</v>
      </c>
      <c r="P138">
        <f t="shared" ref="P138:P140" si="204">LOG10(O138)</f>
        <v>-1.9956351945975499</v>
      </c>
      <c r="Q138">
        <f t="shared" ref="Q138:Q140" si="205">ABS(G138-K138)</f>
        <v>98.989898989898904</v>
      </c>
      <c r="R138">
        <f t="shared" ref="R138:R140" si="206">LOG10(Q138)</f>
        <v>1.9955908810949445</v>
      </c>
      <c r="U138">
        <f t="shared" si="196"/>
        <v>-1.9956351945975499</v>
      </c>
      <c r="Y138">
        <f t="shared" si="197"/>
        <v>-2</v>
      </c>
      <c r="Z138">
        <f t="shared" si="198"/>
        <v>0.02</v>
      </c>
      <c r="AA138">
        <f t="shared" ref="AA138:AA140" si="207">LOG10(Z138)</f>
        <v>-1.6989700043360187</v>
      </c>
      <c r="AC138" t="s">
        <v>71</v>
      </c>
      <c r="AE138" t="s">
        <v>10</v>
      </c>
      <c r="AF138">
        <v>303.14999999999998</v>
      </c>
      <c r="AG138">
        <f t="shared" si="183"/>
        <v>3.298697014679202E-3</v>
      </c>
      <c r="AH138">
        <v>0.02</v>
      </c>
      <c r="AI138">
        <f t="shared" si="184"/>
        <v>-1.6989700043360187</v>
      </c>
      <c r="AL138" t="s">
        <v>29</v>
      </c>
      <c r="AM138" t="s">
        <v>16</v>
      </c>
      <c r="AW138">
        <f t="shared" si="185"/>
        <v>1042.5907440000001</v>
      </c>
      <c r="AX138">
        <f t="shared" si="179"/>
        <v>1.0425907439999999E-27</v>
      </c>
      <c r="AY138">
        <f t="shared" si="180"/>
        <v>-26.981886135008047</v>
      </c>
      <c r="AZ138">
        <v>6</v>
      </c>
      <c r="BA138">
        <f t="shared" si="186"/>
        <v>0.77815125038364363</v>
      </c>
      <c r="BB138">
        <f t="shared" si="187"/>
        <v>1.6671297582661851E-2</v>
      </c>
      <c r="BC138">
        <f t="shared" si="181"/>
        <v>-1.7780305962692675</v>
      </c>
      <c r="BE138">
        <v>823</v>
      </c>
      <c r="BF138">
        <f t="shared" si="188"/>
        <v>1.215066828675577E-3</v>
      </c>
      <c r="BG138">
        <f t="shared" si="189"/>
        <v>1209600</v>
      </c>
      <c r="BH138">
        <f t="shared" si="190"/>
        <v>6.0826417781571314</v>
      </c>
      <c r="BI138" s="1">
        <v>4.4999999999999999E-4</v>
      </c>
      <c r="BJ138">
        <f t="shared" si="191"/>
        <v>-3.3467874862246565</v>
      </c>
      <c r="BV138">
        <v>2.3426501363765434E-6</v>
      </c>
      <c r="BW138" s="1">
        <f t="shared" si="182"/>
        <v>-5.6302925663695609</v>
      </c>
    </row>
    <row r="139" spans="1:82" ht="16.5" customHeight="1" x14ac:dyDescent="0.25">
      <c r="A139" s="2" t="s">
        <v>68</v>
      </c>
      <c r="B139" t="s">
        <v>69</v>
      </c>
      <c r="C139" t="s">
        <v>71</v>
      </c>
      <c r="D139" t="s">
        <v>70</v>
      </c>
      <c r="E139">
        <v>0.01</v>
      </c>
      <c r="F139">
        <f t="shared" si="199"/>
        <v>-2</v>
      </c>
      <c r="G139">
        <f t="shared" si="192"/>
        <v>1.0101010101010102E-2</v>
      </c>
      <c r="H139">
        <f t="shared" si="200"/>
        <v>-1.9956351945975499</v>
      </c>
      <c r="I139">
        <f t="shared" si="193"/>
        <v>0.99</v>
      </c>
      <c r="J139">
        <f t="shared" si="201"/>
        <v>-4.3648054024500883E-3</v>
      </c>
      <c r="K139">
        <f t="shared" si="194"/>
        <v>98.999999999999915</v>
      </c>
      <c r="L139">
        <f t="shared" si="202"/>
        <v>1.9956351945975495</v>
      </c>
      <c r="M139">
        <v>0.01</v>
      </c>
      <c r="N139">
        <f t="shared" si="203"/>
        <v>-2</v>
      </c>
      <c r="O139">
        <f t="shared" si="195"/>
        <v>1.0101010101010102E-2</v>
      </c>
      <c r="P139">
        <f t="shared" si="204"/>
        <v>-1.9956351945975499</v>
      </c>
      <c r="Q139">
        <f t="shared" si="205"/>
        <v>98.989898989898904</v>
      </c>
      <c r="R139">
        <f t="shared" si="206"/>
        <v>1.9955908810949445</v>
      </c>
      <c r="U139">
        <f t="shared" si="196"/>
        <v>-1.9956351945975499</v>
      </c>
      <c r="Y139">
        <f t="shared" si="197"/>
        <v>-2</v>
      </c>
      <c r="Z139">
        <f t="shared" si="198"/>
        <v>0.02</v>
      </c>
      <c r="AA139">
        <f t="shared" si="207"/>
        <v>-1.6989700043360187</v>
      </c>
      <c r="AC139" t="s">
        <v>71</v>
      </c>
      <c r="AE139" t="s">
        <v>10</v>
      </c>
      <c r="AF139">
        <v>313.14999999999998</v>
      </c>
      <c r="AG139">
        <f t="shared" si="183"/>
        <v>3.1933578157432542E-3</v>
      </c>
      <c r="AH139">
        <v>0.02</v>
      </c>
      <c r="AI139">
        <f t="shared" si="184"/>
        <v>-1.6989700043360187</v>
      </c>
      <c r="AL139" t="s">
        <v>29</v>
      </c>
      <c r="AM139" t="s">
        <v>16</v>
      </c>
      <c r="AW139">
        <f t="shared" si="185"/>
        <v>1042.5907440000001</v>
      </c>
      <c r="AX139">
        <f t="shared" si="179"/>
        <v>1.0425907439999999E-27</v>
      </c>
      <c r="AY139">
        <f t="shared" si="180"/>
        <v>-26.981886135008047</v>
      </c>
      <c r="AZ139">
        <v>6</v>
      </c>
      <c r="BA139">
        <f t="shared" si="186"/>
        <v>0.77815125038364363</v>
      </c>
      <c r="BB139">
        <f t="shared" si="187"/>
        <v>1.6671297582661851E-2</v>
      </c>
      <c r="BC139">
        <f t="shared" si="181"/>
        <v>-1.7780305962692675</v>
      </c>
      <c r="BE139">
        <v>823</v>
      </c>
      <c r="BF139">
        <f t="shared" si="188"/>
        <v>1.215066828675577E-3</v>
      </c>
      <c r="BG139">
        <f t="shared" si="189"/>
        <v>1209600</v>
      </c>
      <c r="BH139">
        <f t="shared" si="190"/>
        <v>6.0826417781571314</v>
      </c>
      <c r="BI139" s="1">
        <v>4.4999999999999999E-4</v>
      </c>
      <c r="BJ139">
        <f t="shared" si="191"/>
        <v>-3.3467874862246565</v>
      </c>
      <c r="BV139">
        <v>3.3832211173802021E-6</v>
      </c>
      <c r="BW139" s="1">
        <f t="shared" si="182"/>
        <v>-5.4706696170746012</v>
      </c>
    </row>
    <row r="140" spans="1:82" ht="16.5" customHeight="1" x14ac:dyDescent="0.25">
      <c r="A140" s="2" t="s">
        <v>68</v>
      </c>
      <c r="B140" t="s">
        <v>69</v>
      </c>
      <c r="C140" t="s">
        <v>71</v>
      </c>
      <c r="D140" t="s">
        <v>70</v>
      </c>
      <c r="E140">
        <v>0.01</v>
      </c>
      <c r="F140">
        <f t="shared" si="199"/>
        <v>-2</v>
      </c>
      <c r="G140">
        <f t="shared" si="192"/>
        <v>1.0101010101010102E-2</v>
      </c>
      <c r="H140">
        <f t="shared" si="200"/>
        <v>-1.9956351945975499</v>
      </c>
      <c r="I140">
        <f t="shared" si="193"/>
        <v>0.99</v>
      </c>
      <c r="J140">
        <f t="shared" si="201"/>
        <v>-4.3648054024500883E-3</v>
      </c>
      <c r="K140">
        <f t="shared" si="194"/>
        <v>98.999999999999915</v>
      </c>
      <c r="L140">
        <f t="shared" si="202"/>
        <v>1.9956351945975495</v>
      </c>
      <c r="M140">
        <v>0.01</v>
      </c>
      <c r="N140">
        <f t="shared" si="203"/>
        <v>-2</v>
      </c>
      <c r="O140">
        <f t="shared" si="195"/>
        <v>1.0101010101010102E-2</v>
      </c>
      <c r="P140">
        <f t="shared" si="204"/>
        <v>-1.9956351945975499</v>
      </c>
      <c r="Q140">
        <f t="shared" si="205"/>
        <v>98.989898989898904</v>
      </c>
      <c r="R140">
        <f t="shared" si="206"/>
        <v>1.9955908810949445</v>
      </c>
      <c r="U140">
        <f t="shared" si="196"/>
        <v>-1.9956351945975499</v>
      </c>
      <c r="Y140">
        <f t="shared" si="197"/>
        <v>-2</v>
      </c>
      <c r="Z140">
        <f t="shared" si="198"/>
        <v>0.02</v>
      </c>
      <c r="AA140">
        <f t="shared" si="207"/>
        <v>-1.6989700043360187</v>
      </c>
      <c r="AC140" t="s">
        <v>71</v>
      </c>
      <c r="AE140" t="s">
        <v>10</v>
      </c>
      <c r="AF140">
        <v>323.14999999999998</v>
      </c>
      <c r="AG140">
        <f t="shared" si="183"/>
        <v>3.0945381401825778E-3</v>
      </c>
      <c r="AH140">
        <v>0.02</v>
      </c>
      <c r="AI140">
        <f t="shared" si="184"/>
        <v>-1.6989700043360187</v>
      </c>
      <c r="AL140" t="s">
        <v>29</v>
      </c>
      <c r="AM140" t="s">
        <v>16</v>
      </c>
      <c r="AW140">
        <f t="shared" si="185"/>
        <v>1042.5907440000001</v>
      </c>
      <c r="AX140">
        <f t="shared" si="179"/>
        <v>1.0425907439999999E-27</v>
      </c>
      <c r="AY140">
        <f t="shared" si="180"/>
        <v>-26.981886135008047</v>
      </c>
      <c r="AZ140">
        <v>6</v>
      </c>
      <c r="BA140">
        <f t="shared" si="186"/>
        <v>0.77815125038364363</v>
      </c>
      <c r="BB140">
        <f t="shared" si="187"/>
        <v>1.6671297582661851E-2</v>
      </c>
      <c r="BC140">
        <f t="shared" si="181"/>
        <v>-1.7780305962692675</v>
      </c>
      <c r="BE140">
        <v>823</v>
      </c>
      <c r="BF140">
        <f t="shared" si="188"/>
        <v>1.215066828675577E-3</v>
      </c>
      <c r="BG140">
        <f t="shared" si="189"/>
        <v>1209600</v>
      </c>
      <c r="BH140">
        <f t="shared" si="190"/>
        <v>6.0826417781571314</v>
      </c>
      <c r="BI140" s="1">
        <v>4.4999999999999999E-4</v>
      </c>
      <c r="BJ140">
        <f t="shared" si="191"/>
        <v>-3.3467874862246565</v>
      </c>
      <c r="BV140">
        <v>5.6825151695154175E-6</v>
      </c>
      <c r="BW140" s="1">
        <f t="shared" si="182"/>
        <v>-5.2454593962491778</v>
      </c>
    </row>
    <row r="141" spans="1:82" ht="16.5" customHeight="1" x14ac:dyDescent="0.25">
      <c r="A141" s="2" t="s">
        <v>75</v>
      </c>
      <c r="B141" t="s">
        <v>76</v>
      </c>
      <c r="C141" t="s">
        <v>78</v>
      </c>
      <c r="D141" t="s">
        <v>77</v>
      </c>
      <c r="E141">
        <f>3/11</f>
        <v>0.27272727272727271</v>
      </c>
      <c r="F141">
        <f t="shared" ref="F141:F154" si="208">LOG10(E141)</f>
        <v>-0.56427143043856265</v>
      </c>
      <c r="G141">
        <f t="shared" ref="G141:G153" si="209">E141/(1-E141)</f>
        <v>0.37499999999999994</v>
      </c>
      <c r="H141">
        <f t="shared" ref="H141:H154" si="210">LOG10(G141)</f>
        <v>-0.42596873227228121</v>
      </c>
      <c r="I141">
        <f t="shared" ref="I141:I146" si="211">1-E141</f>
        <v>0.72727272727272729</v>
      </c>
      <c r="J141">
        <f t="shared" ref="J141:J154" si="212">LOG10(I141)</f>
        <v>-0.13830269816628143</v>
      </c>
      <c r="K141">
        <f t="shared" ref="K141:K153" si="213">I141/(1-I141)</f>
        <v>2.666666666666667</v>
      </c>
      <c r="L141">
        <f t="shared" ref="L141:L154" si="214">LOG10(K141)</f>
        <v>0.42596873227228121</v>
      </c>
      <c r="M141">
        <v>0.01</v>
      </c>
      <c r="N141">
        <f t="shared" ref="N141:N154" si="215">LOG10(M141)</f>
        <v>-2</v>
      </c>
      <c r="O141">
        <f t="shared" ref="O141:O153" si="216">M141/(1-M141)</f>
        <v>1.0101010101010102E-2</v>
      </c>
      <c r="P141">
        <f t="shared" ref="P141:P154" si="217">LOG10(O141)</f>
        <v>-1.9956351945975499</v>
      </c>
      <c r="Q141">
        <f t="shared" ref="Q141:Q154" si="218">ABS(G141-K141)</f>
        <v>2.291666666666667</v>
      </c>
      <c r="R141">
        <f t="shared" ref="R141:R154" si="219">LOG10(Q141)</f>
        <v>0.36015144778263786</v>
      </c>
      <c r="U141">
        <f t="shared" ref="U141:U153" si="220">LOG10(G141)</f>
        <v>-0.42596873227228121</v>
      </c>
      <c r="Y141">
        <f t="shared" ref="Y141:Y153" si="221">LOG10(E141)</f>
        <v>-0.56427143043856265</v>
      </c>
      <c r="Z141">
        <f t="shared" ref="Z141:Z153" si="222">AH141-E141+0.01</f>
        <v>0.10627272727272728</v>
      </c>
      <c r="AA141">
        <f t="shared" ref="AA141:AA154" si="223">LOG10(Z141)</f>
        <v>-0.97357817399638491</v>
      </c>
      <c r="AF141">
        <f>1000/3.4</f>
        <v>294.11764705882354</v>
      </c>
      <c r="AG141">
        <f t="shared" ref="AG141:AG150" si="224">1/AF141</f>
        <v>3.3999999999999998E-3</v>
      </c>
      <c r="AH141">
        <v>0.36899999999999999</v>
      </c>
      <c r="AI141">
        <f t="shared" ref="AI141:AI150" si="225">LOG10(AH141)</f>
        <v>-0.43297363384093962</v>
      </c>
      <c r="AL141" t="s">
        <v>29</v>
      </c>
      <c r="AM141" t="s">
        <v>16</v>
      </c>
      <c r="AW141">
        <f>9.96^3</f>
        <v>988.04793600000016</v>
      </c>
      <c r="AX141">
        <f t="shared" ref="AX141:AX149" si="226">AW141*10^-30</f>
        <v>9.8804793600000016E-28</v>
      </c>
      <c r="AY141">
        <f t="shared" ref="AY141:AY149" si="227">LOG10(AX141)</f>
        <v>-27.005221984728905</v>
      </c>
      <c r="AZ141">
        <v>6</v>
      </c>
      <c r="BA141">
        <f t="shared" ref="BA141:BA155" si="228">LOG10(AZ141)</f>
        <v>0.77815125038364363</v>
      </c>
      <c r="BB141">
        <f>6/312.86</f>
        <v>1.9177907051077157E-2</v>
      </c>
      <c r="BC141">
        <f t="shared" ref="BC141:BC149" si="229">LOG10(BB141)</f>
        <v>-1.7171987905837598</v>
      </c>
      <c r="BE141">
        <v>773</v>
      </c>
      <c r="BF141">
        <f t="shared" ref="BF141:BF150" si="230">1/BE141</f>
        <v>1.29366106080207E-3</v>
      </c>
      <c r="BG141">
        <f>12*60*60</f>
        <v>43200</v>
      </c>
      <c r="BH141">
        <f t="shared" ref="BH141:BH150" si="231">LOG(BG141)</f>
        <v>4.6354837468149119</v>
      </c>
      <c r="BV141">
        <f>10^-2.56</f>
        <v>2.7542287033381651E-3</v>
      </c>
      <c r="BW141" s="1">
        <f t="shared" ref="BW141:BW149" si="232">LOG10(BV141)</f>
        <v>-2.56</v>
      </c>
    </row>
    <row r="142" spans="1:82" x14ac:dyDescent="0.25">
      <c r="A142" s="2" t="s">
        <v>75</v>
      </c>
      <c r="B142" t="s">
        <v>76</v>
      </c>
      <c r="C142" t="s">
        <v>78</v>
      </c>
      <c r="D142" t="s">
        <v>77</v>
      </c>
      <c r="E142">
        <f t="shared" ref="E142:E152" si="233">3/11</f>
        <v>0.27272727272727271</v>
      </c>
      <c r="F142">
        <f t="shared" si="208"/>
        <v>-0.56427143043856265</v>
      </c>
      <c r="G142">
        <f t="shared" si="209"/>
        <v>0.37499999999999994</v>
      </c>
      <c r="H142">
        <f t="shared" si="210"/>
        <v>-0.42596873227228121</v>
      </c>
      <c r="I142">
        <f t="shared" si="211"/>
        <v>0.72727272727272729</v>
      </c>
      <c r="J142">
        <f t="shared" si="212"/>
        <v>-0.13830269816628143</v>
      </c>
      <c r="K142">
        <f t="shared" si="213"/>
        <v>2.666666666666667</v>
      </c>
      <c r="L142">
        <f t="shared" si="214"/>
        <v>0.42596873227228121</v>
      </c>
      <c r="M142">
        <v>0.01</v>
      </c>
      <c r="N142">
        <f t="shared" si="215"/>
        <v>-2</v>
      </c>
      <c r="O142">
        <f t="shared" si="216"/>
        <v>1.0101010101010102E-2</v>
      </c>
      <c r="P142">
        <f t="shared" si="217"/>
        <v>-1.9956351945975499</v>
      </c>
      <c r="Q142">
        <f t="shared" si="218"/>
        <v>2.291666666666667</v>
      </c>
      <c r="R142">
        <f t="shared" si="219"/>
        <v>0.36015144778263786</v>
      </c>
      <c r="U142">
        <f t="shared" si="220"/>
        <v>-0.42596873227228121</v>
      </c>
      <c r="Y142">
        <f t="shared" si="221"/>
        <v>-0.56427143043856265</v>
      </c>
      <c r="Z142">
        <f t="shared" si="222"/>
        <v>0.10627272727272728</v>
      </c>
      <c r="AA142">
        <f t="shared" si="223"/>
        <v>-0.97357817399638491</v>
      </c>
      <c r="AF142">
        <f>1000/3.2</f>
        <v>312.5</v>
      </c>
      <c r="AG142">
        <f t="shared" si="224"/>
        <v>3.2000000000000002E-3</v>
      </c>
      <c r="AH142">
        <v>0.36899999999999999</v>
      </c>
      <c r="AI142">
        <f t="shared" si="225"/>
        <v>-0.43297363384093962</v>
      </c>
      <c r="AL142" t="s">
        <v>29</v>
      </c>
      <c r="AM142" t="s">
        <v>16</v>
      </c>
      <c r="AW142">
        <f t="shared" ref="AW142:AW146" si="234">9.96^3</f>
        <v>988.04793600000016</v>
      </c>
      <c r="AX142">
        <f t="shared" si="226"/>
        <v>9.8804793600000016E-28</v>
      </c>
      <c r="AY142">
        <f t="shared" si="227"/>
        <v>-27.005221984728905</v>
      </c>
      <c r="AZ142">
        <v>6</v>
      </c>
      <c r="BA142">
        <f t="shared" si="228"/>
        <v>0.77815125038364363</v>
      </c>
      <c r="BB142">
        <f t="shared" ref="BB142:BB146" si="235">6/312.86</f>
        <v>1.9177907051077157E-2</v>
      </c>
      <c r="BC142">
        <f t="shared" si="229"/>
        <v>-1.7171987905837598</v>
      </c>
      <c r="BE142">
        <v>773</v>
      </c>
      <c r="BF142">
        <f t="shared" si="230"/>
        <v>1.29366106080207E-3</v>
      </c>
      <c r="BG142">
        <f t="shared" ref="BG142:BG164" si="236">12*60*60</f>
        <v>43200</v>
      </c>
      <c r="BH142">
        <f t="shared" si="231"/>
        <v>4.6354837468149119</v>
      </c>
      <c r="BV142">
        <f>10^-2.26</f>
        <v>5.4954087385762473E-3</v>
      </c>
      <c r="BW142" s="1">
        <f t="shared" si="232"/>
        <v>-2.2599999999999998</v>
      </c>
    </row>
    <row r="143" spans="1:82" x14ac:dyDescent="0.25">
      <c r="A143" s="2" t="s">
        <v>75</v>
      </c>
      <c r="B143" t="s">
        <v>76</v>
      </c>
      <c r="C143" t="s">
        <v>78</v>
      </c>
      <c r="D143" t="s">
        <v>77</v>
      </c>
      <c r="E143">
        <f t="shared" si="233"/>
        <v>0.27272727272727271</v>
      </c>
      <c r="F143">
        <f t="shared" si="208"/>
        <v>-0.56427143043856265</v>
      </c>
      <c r="G143">
        <f t="shared" si="209"/>
        <v>0.37499999999999994</v>
      </c>
      <c r="H143">
        <f t="shared" si="210"/>
        <v>-0.42596873227228121</v>
      </c>
      <c r="I143">
        <f t="shared" si="211"/>
        <v>0.72727272727272729</v>
      </c>
      <c r="J143">
        <f t="shared" si="212"/>
        <v>-0.13830269816628143</v>
      </c>
      <c r="K143">
        <f t="shared" si="213"/>
        <v>2.666666666666667</v>
      </c>
      <c r="L143">
        <f t="shared" si="214"/>
        <v>0.42596873227228121</v>
      </c>
      <c r="M143">
        <v>0.01</v>
      </c>
      <c r="N143">
        <f t="shared" si="215"/>
        <v>-2</v>
      </c>
      <c r="O143">
        <f t="shared" si="216"/>
        <v>1.0101010101010102E-2</v>
      </c>
      <c r="P143">
        <f t="shared" si="217"/>
        <v>-1.9956351945975499</v>
      </c>
      <c r="Q143">
        <f t="shared" si="218"/>
        <v>2.291666666666667</v>
      </c>
      <c r="R143">
        <f t="shared" si="219"/>
        <v>0.36015144778263786</v>
      </c>
      <c r="U143">
        <f t="shared" si="220"/>
        <v>-0.42596873227228121</v>
      </c>
      <c r="Y143">
        <f t="shared" si="221"/>
        <v>-0.56427143043856265</v>
      </c>
      <c r="Z143">
        <f t="shared" si="222"/>
        <v>0.10627272727272728</v>
      </c>
      <c r="AA143">
        <f t="shared" si="223"/>
        <v>-0.97357817399638491</v>
      </c>
      <c r="AF143">
        <f>1000/3</f>
        <v>333.33333333333331</v>
      </c>
      <c r="AG143">
        <f t="shared" si="224"/>
        <v>3.0000000000000001E-3</v>
      </c>
      <c r="AH143">
        <v>0.36899999999999999</v>
      </c>
      <c r="AI143">
        <f t="shared" si="225"/>
        <v>-0.43297363384093962</v>
      </c>
      <c r="AL143" t="s">
        <v>29</v>
      </c>
      <c r="AM143" t="s">
        <v>16</v>
      </c>
      <c r="AW143">
        <f t="shared" si="234"/>
        <v>988.04793600000016</v>
      </c>
      <c r="AX143">
        <f t="shared" si="226"/>
        <v>9.8804793600000016E-28</v>
      </c>
      <c r="AY143">
        <f t="shared" si="227"/>
        <v>-27.005221984728905</v>
      </c>
      <c r="AZ143">
        <v>6</v>
      </c>
      <c r="BA143">
        <f t="shared" si="228"/>
        <v>0.77815125038364363</v>
      </c>
      <c r="BB143">
        <f t="shared" si="235"/>
        <v>1.9177907051077157E-2</v>
      </c>
      <c r="BC143">
        <f t="shared" si="229"/>
        <v>-1.7171987905837598</v>
      </c>
      <c r="BE143">
        <v>773</v>
      </c>
      <c r="BF143">
        <f t="shared" si="230"/>
        <v>1.29366106080207E-3</v>
      </c>
      <c r="BG143">
        <f t="shared" si="236"/>
        <v>43200</v>
      </c>
      <c r="BH143">
        <f t="shared" si="231"/>
        <v>4.6354837468149119</v>
      </c>
      <c r="BV143">
        <f>10^-2.02</f>
        <v>9.5499258602143571E-3</v>
      </c>
      <c r="BW143" s="1">
        <f t="shared" si="232"/>
        <v>-2.02</v>
      </c>
    </row>
    <row r="144" spans="1:82" x14ac:dyDescent="0.25">
      <c r="A144" s="2" t="s">
        <v>75</v>
      </c>
      <c r="B144" t="s">
        <v>76</v>
      </c>
      <c r="C144" t="s">
        <v>78</v>
      </c>
      <c r="D144" t="s">
        <v>77</v>
      </c>
      <c r="E144">
        <f t="shared" si="233"/>
        <v>0.27272727272727271</v>
      </c>
      <c r="F144">
        <f t="shared" si="208"/>
        <v>-0.56427143043856265</v>
      </c>
      <c r="G144">
        <f t="shared" si="209"/>
        <v>0.37499999999999994</v>
      </c>
      <c r="H144">
        <f t="shared" si="210"/>
        <v>-0.42596873227228121</v>
      </c>
      <c r="I144">
        <f t="shared" si="211"/>
        <v>0.72727272727272729</v>
      </c>
      <c r="J144">
        <f t="shared" si="212"/>
        <v>-0.13830269816628143</v>
      </c>
      <c r="K144">
        <f t="shared" si="213"/>
        <v>2.666666666666667</v>
      </c>
      <c r="L144">
        <f t="shared" si="214"/>
        <v>0.42596873227228121</v>
      </c>
      <c r="M144">
        <v>0.01</v>
      </c>
      <c r="N144">
        <f t="shared" si="215"/>
        <v>-2</v>
      </c>
      <c r="O144">
        <f t="shared" si="216"/>
        <v>1.0101010101010102E-2</v>
      </c>
      <c r="P144">
        <f t="shared" si="217"/>
        <v>-1.9956351945975499</v>
      </c>
      <c r="Q144">
        <f t="shared" si="218"/>
        <v>2.291666666666667</v>
      </c>
      <c r="R144">
        <f t="shared" si="219"/>
        <v>0.36015144778263786</v>
      </c>
      <c r="U144">
        <f t="shared" si="220"/>
        <v>-0.42596873227228121</v>
      </c>
      <c r="Y144">
        <f t="shared" si="221"/>
        <v>-0.56427143043856265</v>
      </c>
      <c r="Z144">
        <f t="shared" si="222"/>
        <v>0.10627272727272728</v>
      </c>
      <c r="AA144">
        <f t="shared" si="223"/>
        <v>-0.97357817399638491</v>
      </c>
      <c r="AF144">
        <f>1000/2.82</f>
        <v>354.6099290780142</v>
      </c>
      <c r="AG144">
        <f t="shared" si="224"/>
        <v>2.82E-3</v>
      </c>
      <c r="AH144">
        <v>0.36899999999999999</v>
      </c>
      <c r="AI144">
        <f t="shared" si="225"/>
        <v>-0.43297363384093962</v>
      </c>
      <c r="AL144" t="s">
        <v>29</v>
      </c>
      <c r="AM144" t="s">
        <v>16</v>
      </c>
      <c r="AW144">
        <f t="shared" si="234"/>
        <v>988.04793600000016</v>
      </c>
      <c r="AX144">
        <f t="shared" si="226"/>
        <v>9.8804793600000016E-28</v>
      </c>
      <c r="AY144">
        <f t="shared" si="227"/>
        <v>-27.005221984728905</v>
      </c>
      <c r="AZ144">
        <v>6</v>
      </c>
      <c r="BA144">
        <f t="shared" si="228"/>
        <v>0.77815125038364363</v>
      </c>
      <c r="BB144">
        <f t="shared" si="235"/>
        <v>1.9177907051077157E-2</v>
      </c>
      <c r="BC144">
        <f t="shared" si="229"/>
        <v>-1.7171987905837598</v>
      </c>
      <c r="BE144">
        <v>773</v>
      </c>
      <c r="BF144">
        <f t="shared" si="230"/>
        <v>1.29366106080207E-3</v>
      </c>
      <c r="BG144">
        <f t="shared" si="236"/>
        <v>43200</v>
      </c>
      <c r="BH144">
        <f t="shared" si="231"/>
        <v>4.6354837468149119</v>
      </c>
      <c r="BV144">
        <f>10^-1.85</f>
        <v>1.4125375446227528E-2</v>
      </c>
      <c r="BW144" s="1">
        <f t="shared" si="232"/>
        <v>-1.8500000000000005</v>
      </c>
    </row>
    <row r="145" spans="1:75" x14ac:dyDescent="0.25">
      <c r="A145" s="2" t="s">
        <v>75</v>
      </c>
      <c r="B145" t="s">
        <v>76</v>
      </c>
      <c r="C145" t="s">
        <v>78</v>
      </c>
      <c r="D145" t="s">
        <v>77</v>
      </c>
      <c r="E145">
        <f t="shared" si="233"/>
        <v>0.27272727272727271</v>
      </c>
      <c r="F145">
        <f t="shared" si="208"/>
        <v>-0.56427143043856265</v>
      </c>
      <c r="G145">
        <f t="shared" si="209"/>
        <v>0.37499999999999994</v>
      </c>
      <c r="H145">
        <f t="shared" si="210"/>
        <v>-0.42596873227228121</v>
      </c>
      <c r="I145">
        <f t="shared" si="211"/>
        <v>0.72727272727272729</v>
      </c>
      <c r="J145">
        <f t="shared" si="212"/>
        <v>-0.13830269816628143</v>
      </c>
      <c r="K145">
        <f t="shared" si="213"/>
        <v>2.666666666666667</v>
      </c>
      <c r="L145">
        <f t="shared" si="214"/>
        <v>0.42596873227228121</v>
      </c>
      <c r="M145">
        <v>0.01</v>
      </c>
      <c r="N145">
        <f t="shared" si="215"/>
        <v>-2</v>
      </c>
      <c r="O145">
        <f t="shared" si="216"/>
        <v>1.0101010101010102E-2</v>
      </c>
      <c r="P145">
        <f t="shared" si="217"/>
        <v>-1.9956351945975499</v>
      </c>
      <c r="Q145">
        <f t="shared" si="218"/>
        <v>2.291666666666667</v>
      </c>
      <c r="R145">
        <f t="shared" si="219"/>
        <v>0.36015144778263786</v>
      </c>
      <c r="U145">
        <f t="shared" si="220"/>
        <v>-0.42596873227228121</v>
      </c>
      <c r="Y145">
        <f t="shared" si="221"/>
        <v>-0.56427143043856265</v>
      </c>
      <c r="Z145">
        <f t="shared" si="222"/>
        <v>0.10627272727272728</v>
      </c>
      <c r="AA145">
        <f t="shared" si="223"/>
        <v>-0.97357817399638491</v>
      </c>
      <c r="AF145">
        <f>1000/2.67</f>
        <v>374.53183520599254</v>
      </c>
      <c r="AG145">
        <f t="shared" si="224"/>
        <v>2.6699999999999996E-3</v>
      </c>
      <c r="AH145">
        <v>0.36899999999999999</v>
      </c>
      <c r="AI145">
        <f t="shared" si="225"/>
        <v>-0.43297363384093962</v>
      </c>
      <c r="AL145" t="s">
        <v>29</v>
      </c>
      <c r="AM145" t="s">
        <v>16</v>
      </c>
      <c r="AW145">
        <f t="shared" si="234"/>
        <v>988.04793600000016</v>
      </c>
      <c r="AX145">
        <f t="shared" si="226"/>
        <v>9.8804793600000016E-28</v>
      </c>
      <c r="AY145">
        <f t="shared" si="227"/>
        <v>-27.005221984728905</v>
      </c>
      <c r="AZ145">
        <v>6</v>
      </c>
      <c r="BA145">
        <f t="shared" si="228"/>
        <v>0.77815125038364363</v>
      </c>
      <c r="BB145">
        <f t="shared" si="235"/>
        <v>1.9177907051077157E-2</v>
      </c>
      <c r="BC145">
        <f t="shared" si="229"/>
        <v>-1.7171987905837598</v>
      </c>
      <c r="BE145">
        <v>773</v>
      </c>
      <c r="BF145">
        <f t="shared" si="230"/>
        <v>1.29366106080207E-3</v>
      </c>
      <c r="BG145">
        <f t="shared" si="236"/>
        <v>43200</v>
      </c>
      <c r="BH145">
        <f t="shared" si="231"/>
        <v>4.6354837468149119</v>
      </c>
      <c r="BV145">
        <f>10^-1.69</f>
        <v>2.0417379446695288E-2</v>
      </c>
      <c r="BW145" s="1">
        <f t="shared" si="232"/>
        <v>-1.6900000000000002</v>
      </c>
    </row>
    <row r="146" spans="1:75" x14ac:dyDescent="0.25">
      <c r="A146" s="2" t="s">
        <v>75</v>
      </c>
      <c r="B146" t="s">
        <v>76</v>
      </c>
      <c r="C146" t="s">
        <v>78</v>
      </c>
      <c r="D146" t="s">
        <v>77</v>
      </c>
      <c r="E146">
        <f t="shared" si="233"/>
        <v>0.27272727272727271</v>
      </c>
      <c r="F146">
        <f t="shared" si="208"/>
        <v>-0.56427143043856265</v>
      </c>
      <c r="G146">
        <f t="shared" si="209"/>
        <v>0.37499999999999994</v>
      </c>
      <c r="H146">
        <f t="shared" si="210"/>
        <v>-0.42596873227228121</v>
      </c>
      <c r="I146">
        <f t="shared" si="211"/>
        <v>0.72727272727272729</v>
      </c>
      <c r="J146">
        <f t="shared" si="212"/>
        <v>-0.13830269816628143</v>
      </c>
      <c r="K146">
        <f t="shared" si="213"/>
        <v>2.666666666666667</v>
      </c>
      <c r="L146">
        <f t="shared" si="214"/>
        <v>0.42596873227228121</v>
      </c>
      <c r="M146">
        <v>0.01</v>
      </c>
      <c r="N146">
        <f t="shared" si="215"/>
        <v>-2</v>
      </c>
      <c r="O146">
        <f t="shared" si="216"/>
        <v>1.0101010101010102E-2</v>
      </c>
      <c r="P146">
        <f t="shared" si="217"/>
        <v>-1.9956351945975499</v>
      </c>
      <c r="Q146">
        <f t="shared" si="218"/>
        <v>2.291666666666667</v>
      </c>
      <c r="R146">
        <f t="shared" si="219"/>
        <v>0.36015144778263786</v>
      </c>
      <c r="U146">
        <f t="shared" si="220"/>
        <v>-0.42596873227228121</v>
      </c>
      <c r="Y146">
        <f t="shared" si="221"/>
        <v>-0.56427143043856265</v>
      </c>
      <c r="Z146">
        <f t="shared" si="222"/>
        <v>0.10627272727272728</v>
      </c>
      <c r="AA146">
        <f t="shared" si="223"/>
        <v>-0.97357817399638491</v>
      </c>
      <c r="AF146">
        <f>1000/2.53</f>
        <v>395.25691699604744</v>
      </c>
      <c r="AG146">
        <f t="shared" si="224"/>
        <v>2.5300000000000001E-3</v>
      </c>
      <c r="AH146">
        <v>0.36899999999999999</v>
      </c>
      <c r="AI146">
        <f t="shared" si="225"/>
        <v>-0.43297363384093962</v>
      </c>
      <c r="AL146" t="s">
        <v>29</v>
      </c>
      <c r="AM146" t="s">
        <v>16</v>
      </c>
      <c r="AW146">
        <f t="shared" si="234"/>
        <v>988.04793600000016</v>
      </c>
      <c r="AX146">
        <f t="shared" si="226"/>
        <v>9.8804793600000016E-28</v>
      </c>
      <c r="AY146">
        <f t="shared" si="227"/>
        <v>-27.005221984728905</v>
      </c>
      <c r="AZ146">
        <v>6</v>
      </c>
      <c r="BA146">
        <f t="shared" si="228"/>
        <v>0.77815125038364363</v>
      </c>
      <c r="BB146">
        <f t="shared" si="235"/>
        <v>1.9177907051077157E-2</v>
      </c>
      <c r="BC146">
        <f t="shared" si="229"/>
        <v>-1.7171987905837598</v>
      </c>
      <c r="BE146">
        <v>773</v>
      </c>
      <c r="BF146">
        <f t="shared" si="230"/>
        <v>1.29366106080207E-3</v>
      </c>
      <c r="BG146">
        <f t="shared" si="236"/>
        <v>43200</v>
      </c>
      <c r="BH146">
        <f t="shared" si="231"/>
        <v>4.6354837468149119</v>
      </c>
      <c r="BV146">
        <f>10^-1.57</f>
        <v>2.6915348039269142E-2</v>
      </c>
      <c r="BW146" s="1">
        <f t="shared" si="232"/>
        <v>-1.5700000000000003</v>
      </c>
    </row>
    <row r="147" spans="1:75" x14ac:dyDescent="0.25">
      <c r="A147" s="2" t="s">
        <v>75</v>
      </c>
      <c r="B147" t="s">
        <v>76</v>
      </c>
      <c r="C147" t="s">
        <v>79</v>
      </c>
      <c r="D147" t="s">
        <v>77</v>
      </c>
      <c r="E147">
        <f t="shared" si="233"/>
        <v>0.27272727272727271</v>
      </c>
      <c r="F147">
        <f t="shared" si="208"/>
        <v>-0.56427143043856265</v>
      </c>
      <c r="G147">
        <f t="shared" si="209"/>
        <v>0.37499999999999994</v>
      </c>
      <c r="H147">
        <f t="shared" si="210"/>
        <v>-0.42596873227228121</v>
      </c>
      <c r="I147">
        <f>7/8</f>
        <v>0.875</v>
      </c>
      <c r="J147">
        <f t="shared" si="212"/>
        <v>-5.7991946977686754E-2</v>
      </c>
      <c r="K147">
        <f t="shared" si="213"/>
        <v>7</v>
      </c>
      <c r="L147">
        <f t="shared" si="214"/>
        <v>0.84509804001425681</v>
      </c>
      <c r="M147">
        <v>0.01</v>
      </c>
      <c r="N147">
        <f t="shared" si="215"/>
        <v>-2</v>
      </c>
      <c r="O147">
        <f t="shared" si="216"/>
        <v>1.0101010101010102E-2</v>
      </c>
      <c r="P147">
        <f t="shared" si="217"/>
        <v>-1.9956351945975499</v>
      </c>
      <c r="Q147">
        <f t="shared" si="218"/>
        <v>6.625</v>
      </c>
      <c r="R147">
        <f t="shared" si="219"/>
        <v>0.82118588260884551</v>
      </c>
      <c r="U147">
        <f t="shared" si="220"/>
        <v>-0.42596873227228121</v>
      </c>
      <c r="Y147">
        <f t="shared" si="221"/>
        <v>-0.56427143043856265</v>
      </c>
      <c r="Z147">
        <f t="shared" si="222"/>
        <v>0.13627272727272732</v>
      </c>
      <c r="AA147">
        <f t="shared" si="223"/>
        <v>-0.86559105230994537</v>
      </c>
      <c r="AF147">
        <f>1000/3.4</f>
        <v>294.11764705882354</v>
      </c>
      <c r="AG147">
        <f t="shared" si="224"/>
        <v>3.3999999999999998E-3</v>
      </c>
      <c r="AH147">
        <v>0.39900000000000002</v>
      </c>
      <c r="AI147">
        <f t="shared" si="225"/>
        <v>-0.39902710431325172</v>
      </c>
      <c r="AL147" t="s">
        <v>29</v>
      </c>
      <c r="AM147" t="s">
        <v>16</v>
      </c>
      <c r="AW147">
        <f>9.975^3</f>
        <v>992.51873437500001</v>
      </c>
      <c r="AX147">
        <f t="shared" si="226"/>
        <v>9.9251873437499999E-28</v>
      </c>
      <c r="AY147">
        <f t="shared" si="227"/>
        <v>-27.003261286923642</v>
      </c>
      <c r="AZ147">
        <v>5.7</v>
      </c>
      <c r="BA147">
        <f t="shared" si="228"/>
        <v>0.75587485567249146</v>
      </c>
      <c r="BB147">
        <f>5.7/325.13</f>
        <v>1.7531448958877989E-2</v>
      </c>
      <c r="BC147">
        <f t="shared" si="229"/>
        <v>-1.7561821883648479</v>
      </c>
      <c r="BE147">
        <v>773</v>
      </c>
      <c r="BF147">
        <f t="shared" si="230"/>
        <v>1.29366106080207E-3</v>
      </c>
      <c r="BG147">
        <f t="shared" si="236"/>
        <v>43200</v>
      </c>
      <c r="BH147">
        <f t="shared" si="231"/>
        <v>4.6354837468149119</v>
      </c>
      <c r="BV147">
        <f>10^-2.21</f>
        <v>6.1659500186148197E-3</v>
      </c>
      <c r="BW147" s="1">
        <f t="shared" si="232"/>
        <v>-2.21</v>
      </c>
    </row>
    <row r="148" spans="1:75" x14ac:dyDescent="0.25">
      <c r="A148" s="2" t="s">
        <v>75</v>
      </c>
      <c r="B148" t="s">
        <v>76</v>
      </c>
      <c r="C148" t="s">
        <v>79</v>
      </c>
      <c r="D148" t="s">
        <v>77</v>
      </c>
      <c r="E148">
        <f t="shared" si="233"/>
        <v>0.27272727272727271</v>
      </c>
      <c r="F148">
        <f t="shared" si="208"/>
        <v>-0.56427143043856265</v>
      </c>
      <c r="G148">
        <f t="shared" si="209"/>
        <v>0.37499999999999994</v>
      </c>
      <c r="H148">
        <f t="shared" si="210"/>
        <v>-0.42596873227228121</v>
      </c>
      <c r="I148">
        <f t="shared" ref="I148:I152" si="237">7/8</f>
        <v>0.875</v>
      </c>
      <c r="J148">
        <f t="shared" si="212"/>
        <v>-5.7991946977686754E-2</v>
      </c>
      <c r="K148">
        <f t="shared" si="213"/>
        <v>7</v>
      </c>
      <c r="L148">
        <f t="shared" si="214"/>
        <v>0.84509804001425681</v>
      </c>
      <c r="M148">
        <v>0.01</v>
      </c>
      <c r="N148">
        <f t="shared" si="215"/>
        <v>-2</v>
      </c>
      <c r="O148">
        <f t="shared" si="216"/>
        <v>1.0101010101010102E-2</v>
      </c>
      <c r="P148">
        <f t="shared" si="217"/>
        <v>-1.9956351945975499</v>
      </c>
      <c r="Q148">
        <f t="shared" si="218"/>
        <v>6.625</v>
      </c>
      <c r="R148">
        <f t="shared" si="219"/>
        <v>0.82118588260884551</v>
      </c>
      <c r="U148">
        <f t="shared" si="220"/>
        <v>-0.42596873227228121</v>
      </c>
      <c r="Y148">
        <f t="shared" si="221"/>
        <v>-0.56427143043856265</v>
      </c>
      <c r="Z148">
        <f t="shared" si="222"/>
        <v>0.13627272727272732</v>
      </c>
      <c r="AA148">
        <f t="shared" si="223"/>
        <v>-0.86559105230994537</v>
      </c>
      <c r="AF148">
        <f>1000/3.2</f>
        <v>312.5</v>
      </c>
      <c r="AG148">
        <f t="shared" si="224"/>
        <v>3.2000000000000002E-3</v>
      </c>
      <c r="AH148">
        <v>0.39900000000000002</v>
      </c>
      <c r="AI148">
        <f t="shared" si="225"/>
        <v>-0.39902710431325172</v>
      </c>
      <c r="AL148" t="s">
        <v>29</v>
      </c>
      <c r="AM148" t="s">
        <v>16</v>
      </c>
      <c r="AW148">
        <f t="shared" ref="AW148:AW152" si="238">9.975^3</f>
        <v>992.51873437500001</v>
      </c>
      <c r="AX148">
        <f t="shared" si="226"/>
        <v>9.9251873437499999E-28</v>
      </c>
      <c r="AY148">
        <f t="shared" si="227"/>
        <v>-27.003261286923642</v>
      </c>
      <c r="AZ148">
        <v>5.7</v>
      </c>
      <c r="BA148">
        <f t="shared" si="228"/>
        <v>0.75587485567249146</v>
      </c>
      <c r="BB148">
        <f t="shared" ref="BB148:BB152" si="239">5.7/325.13</f>
        <v>1.7531448958877989E-2</v>
      </c>
      <c r="BC148">
        <f t="shared" si="229"/>
        <v>-1.7561821883648479</v>
      </c>
      <c r="BE148">
        <v>773</v>
      </c>
      <c r="BF148">
        <f t="shared" si="230"/>
        <v>1.29366106080207E-3</v>
      </c>
      <c r="BG148">
        <f t="shared" si="236"/>
        <v>43200</v>
      </c>
      <c r="BH148">
        <f t="shared" si="231"/>
        <v>4.6354837468149119</v>
      </c>
      <c r="BV148">
        <f>10^-2</f>
        <v>0.01</v>
      </c>
      <c r="BW148" s="1">
        <f t="shared" si="232"/>
        <v>-2</v>
      </c>
    </row>
    <row r="149" spans="1:75" x14ac:dyDescent="0.25">
      <c r="A149" s="2" t="s">
        <v>75</v>
      </c>
      <c r="B149" t="s">
        <v>76</v>
      </c>
      <c r="C149" t="s">
        <v>79</v>
      </c>
      <c r="D149" t="s">
        <v>77</v>
      </c>
      <c r="E149">
        <f t="shared" si="233"/>
        <v>0.27272727272727271</v>
      </c>
      <c r="F149">
        <f t="shared" si="208"/>
        <v>-0.56427143043856265</v>
      </c>
      <c r="G149">
        <f t="shared" si="209"/>
        <v>0.37499999999999994</v>
      </c>
      <c r="H149">
        <f t="shared" si="210"/>
        <v>-0.42596873227228121</v>
      </c>
      <c r="I149">
        <f t="shared" si="237"/>
        <v>0.875</v>
      </c>
      <c r="J149">
        <f t="shared" si="212"/>
        <v>-5.7991946977686754E-2</v>
      </c>
      <c r="K149">
        <f t="shared" si="213"/>
        <v>7</v>
      </c>
      <c r="L149">
        <f t="shared" si="214"/>
        <v>0.84509804001425681</v>
      </c>
      <c r="M149">
        <v>0.01</v>
      </c>
      <c r="N149">
        <f t="shared" si="215"/>
        <v>-2</v>
      </c>
      <c r="O149">
        <f t="shared" si="216"/>
        <v>1.0101010101010102E-2</v>
      </c>
      <c r="P149">
        <f t="shared" si="217"/>
        <v>-1.9956351945975499</v>
      </c>
      <c r="Q149">
        <f t="shared" si="218"/>
        <v>6.625</v>
      </c>
      <c r="R149">
        <f t="shared" si="219"/>
        <v>0.82118588260884551</v>
      </c>
      <c r="U149">
        <f t="shared" si="220"/>
        <v>-0.42596873227228121</v>
      </c>
      <c r="Y149">
        <f t="shared" si="221"/>
        <v>-0.56427143043856265</v>
      </c>
      <c r="Z149">
        <f t="shared" si="222"/>
        <v>0.13627272727272732</v>
      </c>
      <c r="AA149">
        <f t="shared" si="223"/>
        <v>-0.86559105230994537</v>
      </c>
      <c r="AF149">
        <f>1000/3</f>
        <v>333.33333333333331</v>
      </c>
      <c r="AG149">
        <f t="shared" si="224"/>
        <v>3.0000000000000001E-3</v>
      </c>
      <c r="AH149">
        <v>0.39900000000000002</v>
      </c>
      <c r="AI149">
        <f t="shared" si="225"/>
        <v>-0.39902710431325172</v>
      </c>
      <c r="AL149" t="s">
        <v>29</v>
      </c>
      <c r="AM149" t="s">
        <v>16</v>
      </c>
      <c r="AW149">
        <f t="shared" si="238"/>
        <v>992.51873437500001</v>
      </c>
      <c r="AX149">
        <f t="shared" si="226"/>
        <v>9.9251873437499999E-28</v>
      </c>
      <c r="AY149">
        <f t="shared" si="227"/>
        <v>-27.003261286923642</v>
      </c>
      <c r="AZ149">
        <v>5.7</v>
      </c>
      <c r="BA149">
        <f t="shared" si="228"/>
        <v>0.75587485567249146</v>
      </c>
      <c r="BB149">
        <f t="shared" si="239"/>
        <v>1.7531448958877989E-2</v>
      </c>
      <c r="BC149">
        <f t="shared" si="229"/>
        <v>-1.7561821883648479</v>
      </c>
      <c r="BE149">
        <v>773</v>
      </c>
      <c r="BF149">
        <f t="shared" si="230"/>
        <v>1.29366106080207E-3</v>
      </c>
      <c r="BG149">
        <f t="shared" si="236"/>
        <v>43200</v>
      </c>
      <c r="BH149">
        <f t="shared" si="231"/>
        <v>4.6354837468149119</v>
      </c>
      <c r="BV149">
        <f>10^-1.8</f>
        <v>1.5848931924611124E-2</v>
      </c>
      <c r="BW149" s="1">
        <f t="shared" si="232"/>
        <v>-1.8000000000000003</v>
      </c>
    </row>
    <row r="150" spans="1:75" x14ac:dyDescent="0.25">
      <c r="A150" s="2" t="s">
        <v>75</v>
      </c>
      <c r="B150" t="s">
        <v>76</v>
      </c>
      <c r="C150" t="s">
        <v>79</v>
      </c>
      <c r="D150" t="s">
        <v>77</v>
      </c>
      <c r="E150">
        <f t="shared" si="233"/>
        <v>0.27272727272727271</v>
      </c>
      <c r="F150">
        <f t="shared" si="208"/>
        <v>-0.56427143043856265</v>
      </c>
      <c r="G150">
        <f t="shared" si="209"/>
        <v>0.37499999999999994</v>
      </c>
      <c r="H150">
        <f t="shared" si="210"/>
        <v>-0.42596873227228121</v>
      </c>
      <c r="I150">
        <f t="shared" si="237"/>
        <v>0.875</v>
      </c>
      <c r="J150">
        <f t="shared" si="212"/>
        <v>-5.7991946977686754E-2</v>
      </c>
      <c r="K150">
        <f t="shared" si="213"/>
        <v>7</v>
      </c>
      <c r="L150">
        <f t="shared" si="214"/>
        <v>0.84509804001425681</v>
      </c>
      <c r="M150">
        <v>0.01</v>
      </c>
      <c r="N150">
        <f t="shared" si="215"/>
        <v>-2</v>
      </c>
      <c r="O150">
        <f t="shared" si="216"/>
        <v>1.0101010101010102E-2</v>
      </c>
      <c r="P150">
        <f t="shared" si="217"/>
        <v>-1.9956351945975499</v>
      </c>
      <c r="Q150">
        <f t="shared" si="218"/>
        <v>6.625</v>
      </c>
      <c r="R150">
        <f t="shared" si="219"/>
        <v>0.82118588260884551</v>
      </c>
      <c r="U150">
        <f t="shared" si="220"/>
        <v>-0.42596873227228121</v>
      </c>
      <c r="Y150">
        <f t="shared" si="221"/>
        <v>-0.56427143043856265</v>
      </c>
      <c r="Z150">
        <f t="shared" si="222"/>
        <v>0.13627272727272732</v>
      </c>
      <c r="AA150">
        <f t="shared" si="223"/>
        <v>-0.86559105230994537</v>
      </c>
      <c r="AF150">
        <f>1000/2.82</f>
        <v>354.6099290780142</v>
      </c>
      <c r="AG150">
        <f t="shared" si="224"/>
        <v>2.82E-3</v>
      </c>
      <c r="AH150">
        <v>0.39900000000000002</v>
      </c>
      <c r="AI150">
        <f t="shared" si="225"/>
        <v>-0.39902710431325172</v>
      </c>
      <c r="AL150" t="s">
        <v>29</v>
      </c>
      <c r="AM150" t="s">
        <v>16</v>
      </c>
      <c r="AW150">
        <f t="shared" si="238"/>
        <v>992.51873437500001</v>
      </c>
      <c r="AX150">
        <f t="shared" ref="AX150:AX164" si="240">AW150*10^-30</f>
        <v>9.9251873437499999E-28</v>
      </c>
      <c r="AY150">
        <f t="shared" ref="AY150:AY164" si="241">LOG10(AX150)</f>
        <v>-27.003261286923642</v>
      </c>
      <c r="AZ150">
        <v>5.7</v>
      </c>
      <c r="BA150">
        <f t="shared" si="228"/>
        <v>0.75587485567249146</v>
      </c>
      <c r="BB150">
        <f t="shared" si="239"/>
        <v>1.7531448958877989E-2</v>
      </c>
      <c r="BC150">
        <f t="shared" ref="BC150:BC176" si="242">LOG10(BB150)</f>
        <v>-1.7561821883648479</v>
      </c>
      <c r="BE150">
        <v>773</v>
      </c>
      <c r="BF150">
        <f t="shared" si="230"/>
        <v>1.29366106080207E-3</v>
      </c>
      <c r="BG150">
        <f t="shared" si="236"/>
        <v>43200</v>
      </c>
      <c r="BH150">
        <f t="shared" si="231"/>
        <v>4.6354837468149119</v>
      </c>
      <c r="BV150">
        <f>10^-1.65</f>
        <v>2.2387211385683389E-2</v>
      </c>
      <c r="BW150" s="1">
        <f t="shared" ref="BW150:BW176" si="243">LOG10(BV150)</f>
        <v>-1.6500000000000001</v>
      </c>
    </row>
    <row r="151" spans="1:75" x14ac:dyDescent="0.25">
      <c r="A151" s="2" t="s">
        <v>75</v>
      </c>
      <c r="B151" t="s">
        <v>76</v>
      </c>
      <c r="C151" t="s">
        <v>79</v>
      </c>
      <c r="D151" t="s">
        <v>77</v>
      </c>
      <c r="E151">
        <f t="shared" si="233"/>
        <v>0.27272727272727271</v>
      </c>
      <c r="F151">
        <f t="shared" si="208"/>
        <v>-0.56427143043856265</v>
      </c>
      <c r="G151">
        <f t="shared" si="209"/>
        <v>0.37499999999999994</v>
      </c>
      <c r="H151">
        <f t="shared" si="210"/>
        <v>-0.42596873227228121</v>
      </c>
      <c r="I151">
        <f t="shared" si="237"/>
        <v>0.875</v>
      </c>
      <c r="J151">
        <f t="shared" si="212"/>
        <v>-5.7991946977686754E-2</v>
      </c>
      <c r="K151">
        <f t="shared" si="213"/>
        <v>7</v>
      </c>
      <c r="L151">
        <f t="shared" si="214"/>
        <v>0.84509804001425681</v>
      </c>
      <c r="M151">
        <v>0.01</v>
      </c>
      <c r="N151">
        <f t="shared" si="215"/>
        <v>-2</v>
      </c>
      <c r="O151">
        <f t="shared" si="216"/>
        <v>1.0101010101010102E-2</v>
      </c>
      <c r="P151">
        <f t="shared" si="217"/>
        <v>-1.9956351945975499</v>
      </c>
      <c r="Q151">
        <f t="shared" si="218"/>
        <v>6.625</v>
      </c>
      <c r="R151">
        <f t="shared" si="219"/>
        <v>0.82118588260884551</v>
      </c>
      <c r="U151">
        <f t="shared" si="220"/>
        <v>-0.42596873227228121</v>
      </c>
      <c r="Y151">
        <f t="shared" si="221"/>
        <v>-0.56427143043856265</v>
      </c>
      <c r="Z151">
        <f t="shared" si="222"/>
        <v>0.13627272727272732</v>
      </c>
      <c r="AA151">
        <f t="shared" si="223"/>
        <v>-0.86559105230994537</v>
      </c>
      <c r="AF151">
        <f>1000/2.67</f>
        <v>374.53183520599254</v>
      </c>
      <c r="AG151">
        <f t="shared" ref="AG151:AG176" si="244">1/AF151</f>
        <v>2.6699999999999996E-3</v>
      </c>
      <c r="AH151">
        <v>0.39900000000000002</v>
      </c>
      <c r="AI151">
        <f t="shared" ref="AI151:AI176" si="245">LOG10(AH151)</f>
        <v>-0.39902710431325172</v>
      </c>
      <c r="AL151" t="s">
        <v>29</v>
      </c>
      <c r="AM151" t="s">
        <v>16</v>
      </c>
      <c r="AW151">
        <f t="shared" si="238"/>
        <v>992.51873437500001</v>
      </c>
      <c r="AX151">
        <f t="shared" si="240"/>
        <v>9.9251873437499999E-28</v>
      </c>
      <c r="AY151">
        <f t="shared" si="241"/>
        <v>-27.003261286923642</v>
      </c>
      <c r="AZ151">
        <v>5.7</v>
      </c>
      <c r="BA151">
        <f t="shared" si="228"/>
        <v>0.75587485567249146</v>
      </c>
      <c r="BB151">
        <f t="shared" si="239"/>
        <v>1.7531448958877989E-2</v>
      </c>
      <c r="BC151">
        <f t="shared" si="242"/>
        <v>-1.7561821883648479</v>
      </c>
      <c r="BE151">
        <v>773</v>
      </c>
      <c r="BF151">
        <f t="shared" ref="BF151:BF176" si="246">1/BE151</f>
        <v>1.29366106080207E-3</v>
      </c>
      <c r="BG151">
        <f t="shared" si="236"/>
        <v>43200</v>
      </c>
      <c r="BH151">
        <f t="shared" ref="BH151:BH164" si="247">LOG(BG151)</f>
        <v>4.6354837468149119</v>
      </c>
      <c r="BV151">
        <f>10^-1.51</f>
        <v>3.0902954325135901E-2</v>
      </c>
      <c r="BW151" s="1">
        <f t="shared" si="243"/>
        <v>-1.51</v>
      </c>
    </row>
    <row r="152" spans="1:75" x14ac:dyDescent="0.25">
      <c r="A152" s="2" t="s">
        <v>75</v>
      </c>
      <c r="B152" t="s">
        <v>76</v>
      </c>
      <c r="C152" t="s">
        <v>79</v>
      </c>
      <c r="D152" t="s">
        <v>77</v>
      </c>
      <c r="E152">
        <f t="shared" si="233"/>
        <v>0.27272727272727271</v>
      </c>
      <c r="F152">
        <f t="shared" si="208"/>
        <v>-0.56427143043856265</v>
      </c>
      <c r="G152">
        <f t="shared" si="209"/>
        <v>0.37499999999999994</v>
      </c>
      <c r="H152">
        <f t="shared" si="210"/>
        <v>-0.42596873227228121</v>
      </c>
      <c r="I152">
        <f t="shared" si="237"/>
        <v>0.875</v>
      </c>
      <c r="J152">
        <f t="shared" si="212"/>
        <v>-5.7991946977686754E-2</v>
      </c>
      <c r="K152">
        <f t="shared" si="213"/>
        <v>7</v>
      </c>
      <c r="L152">
        <f t="shared" si="214"/>
        <v>0.84509804001425681</v>
      </c>
      <c r="M152">
        <v>0.01</v>
      </c>
      <c r="N152">
        <f t="shared" si="215"/>
        <v>-2</v>
      </c>
      <c r="O152">
        <f t="shared" si="216"/>
        <v>1.0101010101010102E-2</v>
      </c>
      <c r="P152">
        <f t="shared" si="217"/>
        <v>-1.9956351945975499</v>
      </c>
      <c r="Q152">
        <f t="shared" si="218"/>
        <v>6.625</v>
      </c>
      <c r="R152">
        <f t="shared" si="219"/>
        <v>0.82118588260884551</v>
      </c>
      <c r="U152">
        <f t="shared" si="220"/>
        <v>-0.42596873227228121</v>
      </c>
      <c r="Y152">
        <f t="shared" si="221"/>
        <v>-0.56427143043856265</v>
      </c>
      <c r="Z152">
        <f t="shared" si="222"/>
        <v>0.13627272727272732</v>
      </c>
      <c r="AA152">
        <f t="shared" si="223"/>
        <v>-0.86559105230994537</v>
      </c>
      <c r="AF152">
        <f>1000/2.53</f>
        <v>395.25691699604744</v>
      </c>
      <c r="AG152">
        <f t="shared" si="244"/>
        <v>2.5300000000000001E-3</v>
      </c>
      <c r="AH152">
        <v>0.39900000000000002</v>
      </c>
      <c r="AI152">
        <f t="shared" si="245"/>
        <v>-0.39902710431325172</v>
      </c>
      <c r="AL152" t="s">
        <v>29</v>
      </c>
      <c r="AM152" t="s">
        <v>16</v>
      </c>
      <c r="AW152">
        <f t="shared" si="238"/>
        <v>992.51873437500001</v>
      </c>
      <c r="AX152">
        <f t="shared" si="240"/>
        <v>9.9251873437499999E-28</v>
      </c>
      <c r="AY152">
        <f t="shared" si="241"/>
        <v>-27.003261286923642</v>
      </c>
      <c r="AZ152">
        <v>5.7</v>
      </c>
      <c r="BA152">
        <f t="shared" si="228"/>
        <v>0.75587485567249146</v>
      </c>
      <c r="BB152">
        <f t="shared" si="239"/>
        <v>1.7531448958877989E-2</v>
      </c>
      <c r="BC152">
        <f t="shared" si="242"/>
        <v>-1.7561821883648479</v>
      </c>
      <c r="BE152">
        <v>773</v>
      </c>
      <c r="BF152">
        <f t="shared" si="246"/>
        <v>1.29366106080207E-3</v>
      </c>
      <c r="BG152">
        <f t="shared" si="236"/>
        <v>43200</v>
      </c>
      <c r="BH152">
        <f t="shared" si="247"/>
        <v>4.6354837468149119</v>
      </c>
      <c r="BV152">
        <f>10^-1.42</f>
        <v>3.801893963205611E-2</v>
      </c>
      <c r="BW152" s="1">
        <f t="shared" si="243"/>
        <v>-1.4200000000000002</v>
      </c>
    </row>
    <row r="153" spans="1:75" x14ac:dyDescent="0.25">
      <c r="A153" s="2" t="s">
        <v>75</v>
      </c>
      <c r="B153" t="s">
        <v>76</v>
      </c>
      <c r="C153" t="s">
        <v>80</v>
      </c>
      <c r="D153" t="s">
        <v>77</v>
      </c>
      <c r="E153">
        <v>0.5</v>
      </c>
      <c r="F153">
        <f t="shared" si="208"/>
        <v>-0.3010299956639812</v>
      </c>
      <c r="G153">
        <f t="shared" si="209"/>
        <v>1</v>
      </c>
      <c r="H153">
        <f t="shared" si="210"/>
        <v>0</v>
      </c>
      <c r="I153">
        <v>0.99</v>
      </c>
      <c r="J153">
        <f t="shared" si="212"/>
        <v>-4.3648054024500883E-3</v>
      </c>
      <c r="K153">
        <f t="shared" si="213"/>
        <v>98.999999999999915</v>
      </c>
      <c r="L153">
        <f t="shared" si="214"/>
        <v>1.9956351945975495</v>
      </c>
      <c r="M153">
        <v>0.01</v>
      </c>
      <c r="N153">
        <f t="shared" si="215"/>
        <v>-2</v>
      </c>
      <c r="O153">
        <f t="shared" si="216"/>
        <v>1.0101010101010102E-2</v>
      </c>
      <c r="P153">
        <f t="shared" si="217"/>
        <v>-1.9956351945975499</v>
      </c>
      <c r="Q153">
        <f t="shared" si="218"/>
        <v>97.999999999999915</v>
      </c>
      <c r="R153">
        <f t="shared" si="219"/>
        <v>1.9912260756924944</v>
      </c>
      <c r="U153">
        <f t="shared" si="220"/>
        <v>0</v>
      </c>
      <c r="Y153">
        <f t="shared" si="221"/>
        <v>-0.3010299956639812</v>
      </c>
      <c r="Z153">
        <f t="shared" si="222"/>
        <v>9.4999999999999959E-2</v>
      </c>
      <c r="AA153">
        <f t="shared" si="223"/>
        <v>-1.0222763947111524</v>
      </c>
      <c r="AF153">
        <f>1000/3.4</f>
        <v>294.11764705882354</v>
      </c>
      <c r="AG153">
        <f t="shared" si="244"/>
        <v>3.3999999999999998E-3</v>
      </c>
      <c r="AH153">
        <v>0.58499999999999996</v>
      </c>
      <c r="AI153">
        <f t="shared" si="245"/>
        <v>-0.23284413391781958</v>
      </c>
      <c r="AL153" t="s">
        <v>29</v>
      </c>
      <c r="AM153" t="s">
        <v>16</v>
      </c>
      <c r="AW153">
        <f>9.985^3</f>
        <v>995.50674662499978</v>
      </c>
      <c r="AX153">
        <f t="shared" si="240"/>
        <v>9.9550674662499971E-28</v>
      </c>
      <c r="AY153">
        <f t="shared" si="241"/>
        <v>-27.001955792379835</v>
      </c>
      <c r="AZ153">
        <v>5.5</v>
      </c>
      <c r="BA153">
        <f t="shared" si="228"/>
        <v>0.74036268949424389</v>
      </c>
      <c r="BB153">
        <f>5.5/333.31</f>
        <v>1.6501155080855659E-2</v>
      </c>
      <c r="BC153">
        <f t="shared" si="242"/>
        <v>-1.7824856541082894</v>
      </c>
      <c r="BE153">
        <v>773</v>
      </c>
      <c r="BF153">
        <f t="shared" si="246"/>
        <v>1.29366106080207E-3</v>
      </c>
      <c r="BG153">
        <f t="shared" si="236"/>
        <v>43200</v>
      </c>
      <c r="BH153">
        <f t="shared" si="247"/>
        <v>4.6354837468149119</v>
      </c>
      <c r="BV153">
        <f>10^-2.03</f>
        <v>9.3325430079699099E-3</v>
      </c>
      <c r="BW153" s="1">
        <f t="shared" si="243"/>
        <v>-2.0299999999999998</v>
      </c>
    </row>
    <row r="154" spans="1:75" x14ac:dyDescent="0.25">
      <c r="A154" s="2" t="s">
        <v>75</v>
      </c>
      <c r="B154" t="s">
        <v>76</v>
      </c>
      <c r="C154" t="s">
        <v>80</v>
      </c>
      <c r="D154" t="s">
        <v>77</v>
      </c>
      <c r="E154">
        <v>0.5</v>
      </c>
      <c r="F154">
        <f t="shared" si="208"/>
        <v>-0.3010299956639812</v>
      </c>
      <c r="G154">
        <f t="shared" ref="G154:G176" si="248">E154/(1-E154)</f>
        <v>1</v>
      </c>
      <c r="H154">
        <f t="shared" si="210"/>
        <v>0</v>
      </c>
      <c r="I154">
        <v>0.99</v>
      </c>
      <c r="J154">
        <f t="shared" si="212"/>
        <v>-4.3648054024500883E-3</v>
      </c>
      <c r="K154">
        <f t="shared" ref="K154:K176" si="249">I154/(1-I154)</f>
        <v>98.999999999999915</v>
      </c>
      <c r="L154">
        <f t="shared" si="214"/>
        <v>1.9956351945975495</v>
      </c>
      <c r="M154">
        <v>0.01</v>
      </c>
      <c r="N154">
        <f t="shared" si="215"/>
        <v>-2</v>
      </c>
      <c r="O154">
        <f t="shared" ref="O154:O176" si="250">M154/(1-M154)</f>
        <v>1.0101010101010102E-2</v>
      </c>
      <c r="P154">
        <f t="shared" si="217"/>
        <v>-1.9956351945975499</v>
      </c>
      <c r="Q154">
        <f t="shared" si="218"/>
        <v>97.999999999999915</v>
      </c>
      <c r="R154">
        <f t="shared" si="219"/>
        <v>1.9912260756924944</v>
      </c>
      <c r="U154">
        <f t="shared" ref="U154:U176" si="251">LOG10(G154)</f>
        <v>0</v>
      </c>
      <c r="Y154">
        <f t="shared" ref="Y154:Y176" si="252">LOG10(E154)</f>
        <v>-0.3010299956639812</v>
      </c>
      <c r="Z154">
        <f t="shared" ref="Z154:Z164" si="253">AH154-E154+0.01</f>
        <v>9.4999999999999959E-2</v>
      </c>
      <c r="AA154">
        <f t="shared" si="223"/>
        <v>-1.0222763947111524</v>
      </c>
      <c r="AF154">
        <f>1000/3.2</f>
        <v>312.5</v>
      </c>
      <c r="AG154">
        <f t="shared" si="244"/>
        <v>3.2000000000000002E-3</v>
      </c>
      <c r="AH154">
        <v>0.58499999999999996</v>
      </c>
      <c r="AI154">
        <f t="shared" si="245"/>
        <v>-0.23284413391781958</v>
      </c>
      <c r="AL154" t="s">
        <v>29</v>
      </c>
      <c r="AM154" t="s">
        <v>16</v>
      </c>
      <c r="AW154">
        <f t="shared" ref="AW154:AW158" si="254">9.985^3</f>
        <v>995.50674662499978</v>
      </c>
      <c r="AX154">
        <f t="shared" si="240"/>
        <v>9.9550674662499971E-28</v>
      </c>
      <c r="AY154">
        <f t="shared" si="241"/>
        <v>-27.001955792379835</v>
      </c>
      <c r="AZ154">
        <v>5.5</v>
      </c>
      <c r="BA154">
        <f t="shared" si="228"/>
        <v>0.74036268949424389</v>
      </c>
      <c r="BB154">
        <f t="shared" ref="BB154:BB158" si="255">5.5/333.31</f>
        <v>1.6501155080855659E-2</v>
      </c>
      <c r="BC154">
        <f t="shared" si="242"/>
        <v>-1.7824856541082894</v>
      </c>
      <c r="BE154">
        <v>773</v>
      </c>
      <c r="BF154">
        <f t="shared" si="246"/>
        <v>1.29366106080207E-3</v>
      </c>
      <c r="BG154">
        <f t="shared" si="236"/>
        <v>43200</v>
      </c>
      <c r="BH154">
        <f t="shared" si="247"/>
        <v>4.6354837468149119</v>
      </c>
      <c r="BV154">
        <f>10^-1.87</f>
        <v>1.3489628825916524E-2</v>
      </c>
      <c r="BW154" s="1">
        <f t="shared" si="243"/>
        <v>-1.8700000000000003</v>
      </c>
    </row>
    <row r="155" spans="1:75" x14ac:dyDescent="0.25">
      <c r="A155" s="2" t="s">
        <v>75</v>
      </c>
      <c r="B155" t="s">
        <v>76</v>
      </c>
      <c r="C155" t="s">
        <v>80</v>
      </c>
      <c r="D155" t="s">
        <v>77</v>
      </c>
      <c r="E155">
        <v>0.5</v>
      </c>
      <c r="F155">
        <f t="shared" ref="F155:F176" si="256">LOG10(E155)</f>
        <v>-0.3010299956639812</v>
      </c>
      <c r="G155">
        <f t="shared" si="248"/>
        <v>1</v>
      </c>
      <c r="H155">
        <f t="shared" ref="H155:H176" si="257">LOG10(G155)</f>
        <v>0</v>
      </c>
      <c r="I155">
        <v>0.99</v>
      </c>
      <c r="J155">
        <f t="shared" ref="J155:J176" si="258">LOG10(I155)</f>
        <v>-4.3648054024500883E-3</v>
      </c>
      <c r="K155">
        <f t="shared" si="249"/>
        <v>98.999999999999915</v>
      </c>
      <c r="L155">
        <f t="shared" ref="L155:L176" si="259">LOG10(K155)</f>
        <v>1.9956351945975495</v>
      </c>
      <c r="M155">
        <v>0.01</v>
      </c>
      <c r="N155">
        <f t="shared" ref="N155:N176" si="260">LOG10(M155)</f>
        <v>-2</v>
      </c>
      <c r="O155">
        <f t="shared" si="250"/>
        <v>1.0101010101010102E-2</v>
      </c>
      <c r="P155">
        <f t="shared" ref="P155:P176" si="261">LOG10(O155)</f>
        <v>-1.9956351945975499</v>
      </c>
      <c r="Q155">
        <f t="shared" ref="Q155:Q164" si="262">ABS(G155-K155)</f>
        <v>97.999999999999915</v>
      </c>
      <c r="R155">
        <f t="shared" ref="R155:R176" si="263">LOG10(Q155)</f>
        <v>1.9912260756924944</v>
      </c>
      <c r="U155">
        <f t="shared" si="251"/>
        <v>0</v>
      </c>
      <c r="Y155">
        <f t="shared" si="252"/>
        <v>-0.3010299956639812</v>
      </c>
      <c r="Z155">
        <f t="shared" si="253"/>
        <v>9.4999999999999959E-2</v>
      </c>
      <c r="AA155">
        <f t="shared" ref="AA155:AA176" si="264">LOG10(Z155)</f>
        <v>-1.0222763947111524</v>
      </c>
      <c r="AF155">
        <f>1000/3</f>
        <v>333.33333333333331</v>
      </c>
      <c r="AG155">
        <f t="shared" si="244"/>
        <v>3.0000000000000001E-3</v>
      </c>
      <c r="AH155">
        <v>0.58499999999999996</v>
      </c>
      <c r="AI155">
        <f t="shared" si="245"/>
        <v>-0.23284413391781958</v>
      </c>
      <c r="AL155" t="s">
        <v>29</v>
      </c>
      <c r="AM155" t="s">
        <v>16</v>
      </c>
      <c r="AW155">
        <f t="shared" si="254"/>
        <v>995.50674662499978</v>
      </c>
      <c r="AX155">
        <f t="shared" si="240"/>
        <v>9.9550674662499971E-28</v>
      </c>
      <c r="AY155">
        <f t="shared" si="241"/>
        <v>-27.001955792379835</v>
      </c>
      <c r="AZ155">
        <v>5.5</v>
      </c>
      <c r="BA155">
        <f t="shared" si="228"/>
        <v>0.74036268949424389</v>
      </c>
      <c r="BB155">
        <f t="shared" si="255"/>
        <v>1.6501155080855659E-2</v>
      </c>
      <c r="BC155">
        <f t="shared" si="242"/>
        <v>-1.7824856541082894</v>
      </c>
      <c r="BE155">
        <v>773</v>
      </c>
      <c r="BF155">
        <f t="shared" si="246"/>
        <v>1.29366106080207E-3</v>
      </c>
      <c r="BG155">
        <f t="shared" si="236"/>
        <v>43200</v>
      </c>
      <c r="BH155">
        <f t="shared" si="247"/>
        <v>4.6354837468149119</v>
      </c>
      <c r="BV155">
        <f>10^-1.69</f>
        <v>2.0417379446695288E-2</v>
      </c>
      <c r="BW155" s="1">
        <f t="shared" si="243"/>
        <v>-1.6900000000000002</v>
      </c>
    </row>
    <row r="156" spans="1:75" x14ac:dyDescent="0.25">
      <c r="A156" s="2" t="s">
        <v>75</v>
      </c>
      <c r="B156" t="s">
        <v>76</v>
      </c>
      <c r="C156" t="s">
        <v>80</v>
      </c>
      <c r="D156" t="s">
        <v>77</v>
      </c>
      <c r="E156">
        <v>0.5</v>
      </c>
      <c r="F156">
        <f t="shared" si="256"/>
        <v>-0.3010299956639812</v>
      </c>
      <c r="G156">
        <f t="shared" si="248"/>
        <v>1</v>
      </c>
      <c r="H156">
        <f t="shared" si="257"/>
        <v>0</v>
      </c>
      <c r="I156">
        <v>0.99</v>
      </c>
      <c r="J156">
        <f t="shared" si="258"/>
        <v>-4.3648054024500883E-3</v>
      </c>
      <c r="K156">
        <f t="shared" si="249"/>
        <v>98.999999999999915</v>
      </c>
      <c r="L156">
        <f t="shared" si="259"/>
        <v>1.9956351945975495</v>
      </c>
      <c r="M156">
        <v>0.01</v>
      </c>
      <c r="N156">
        <f t="shared" si="260"/>
        <v>-2</v>
      </c>
      <c r="O156">
        <f t="shared" si="250"/>
        <v>1.0101010101010102E-2</v>
      </c>
      <c r="P156">
        <f t="shared" si="261"/>
        <v>-1.9956351945975499</v>
      </c>
      <c r="Q156">
        <f t="shared" si="262"/>
        <v>97.999999999999915</v>
      </c>
      <c r="R156">
        <f t="shared" si="263"/>
        <v>1.9912260756924944</v>
      </c>
      <c r="U156">
        <f t="shared" si="251"/>
        <v>0</v>
      </c>
      <c r="Y156">
        <f t="shared" si="252"/>
        <v>-0.3010299956639812</v>
      </c>
      <c r="Z156">
        <f t="shared" si="253"/>
        <v>9.4999999999999959E-2</v>
      </c>
      <c r="AA156">
        <f t="shared" si="264"/>
        <v>-1.0222763947111524</v>
      </c>
      <c r="AF156">
        <f>1000/2.82</f>
        <v>354.6099290780142</v>
      </c>
      <c r="AG156">
        <f t="shared" si="244"/>
        <v>2.82E-3</v>
      </c>
      <c r="AH156">
        <v>0.58499999999999996</v>
      </c>
      <c r="AI156">
        <f t="shared" si="245"/>
        <v>-0.23284413391781958</v>
      </c>
      <c r="AL156" t="s">
        <v>29</v>
      </c>
      <c r="AM156" t="s">
        <v>16</v>
      </c>
      <c r="AW156">
        <f t="shared" si="254"/>
        <v>995.50674662499978</v>
      </c>
      <c r="AX156">
        <f t="shared" si="240"/>
        <v>9.9550674662499971E-28</v>
      </c>
      <c r="AY156">
        <f t="shared" si="241"/>
        <v>-27.001955792379835</v>
      </c>
      <c r="AZ156">
        <v>5.5</v>
      </c>
      <c r="BA156">
        <f t="shared" ref="BA156:BA176" si="265">LOG10(AZ156)</f>
        <v>0.74036268949424389</v>
      </c>
      <c r="BB156">
        <f t="shared" si="255"/>
        <v>1.6501155080855659E-2</v>
      </c>
      <c r="BC156">
        <f t="shared" si="242"/>
        <v>-1.7824856541082894</v>
      </c>
      <c r="BE156">
        <v>773</v>
      </c>
      <c r="BF156">
        <f t="shared" si="246"/>
        <v>1.29366106080207E-3</v>
      </c>
      <c r="BG156">
        <f t="shared" si="236"/>
        <v>43200</v>
      </c>
      <c r="BH156">
        <f t="shared" si="247"/>
        <v>4.6354837468149119</v>
      </c>
      <c r="BV156">
        <f>10^-1.5</f>
        <v>3.1622776601683784E-2</v>
      </c>
      <c r="BW156" s="1">
        <f t="shared" si="243"/>
        <v>-1.5000000000000002</v>
      </c>
    </row>
    <row r="157" spans="1:75" x14ac:dyDescent="0.25">
      <c r="A157" s="2" t="s">
        <v>75</v>
      </c>
      <c r="B157" t="s">
        <v>76</v>
      </c>
      <c r="C157" t="s">
        <v>80</v>
      </c>
      <c r="D157" t="s">
        <v>77</v>
      </c>
      <c r="E157">
        <v>0.5</v>
      </c>
      <c r="F157">
        <f t="shared" si="256"/>
        <v>-0.3010299956639812</v>
      </c>
      <c r="G157">
        <f t="shared" si="248"/>
        <v>1</v>
      </c>
      <c r="H157">
        <f t="shared" si="257"/>
        <v>0</v>
      </c>
      <c r="I157">
        <v>0.99</v>
      </c>
      <c r="J157">
        <f t="shared" si="258"/>
        <v>-4.3648054024500883E-3</v>
      </c>
      <c r="K157">
        <f t="shared" si="249"/>
        <v>98.999999999999915</v>
      </c>
      <c r="L157">
        <f t="shared" si="259"/>
        <v>1.9956351945975495</v>
      </c>
      <c r="M157">
        <v>0.01</v>
      </c>
      <c r="N157">
        <f t="shared" si="260"/>
        <v>-2</v>
      </c>
      <c r="O157">
        <f t="shared" si="250"/>
        <v>1.0101010101010102E-2</v>
      </c>
      <c r="P157">
        <f t="shared" si="261"/>
        <v>-1.9956351945975499</v>
      </c>
      <c r="Q157">
        <f t="shared" si="262"/>
        <v>97.999999999999915</v>
      </c>
      <c r="R157">
        <f t="shared" si="263"/>
        <v>1.9912260756924944</v>
      </c>
      <c r="U157">
        <f t="shared" si="251"/>
        <v>0</v>
      </c>
      <c r="Y157">
        <f t="shared" si="252"/>
        <v>-0.3010299956639812</v>
      </c>
      <c r="Z157">
        <f t="shared" si="253"/>
        <v>9.4999999999999959E-2</v>
      </c>
      <c r="AA157">
        <f t="shared" si="264"/>
        <v>-1.0222763947111524</v>
      </c>
      <c r="AF157">
        <f>1000/2.67</f>
        <v>374.53183520599254</v>
      </c>
      <c r="AG157">
        <f t="shared" si="244"/>
        <v>2.6699999999999996E-3</v>
      </c>
      <c r="AH157">
        <v>0.58499999999999996</v>
      </c>
      <c r="AI157">
        <f t="shared" si="245"/>
        <v>-0.23284413391781958</v>
      </c>
      <c r="AL157" t="s">
        <v>29</v>
      </c>
      <c r="AM157" t="s">
        <v>16</v>
      </c>
      <c r="AW157">
        <f t="shared" si="254"/>
        <v>995.50674662499978</v>
      </c>
      <c r="AX157">
        <f t="shared" si="240"/>
        <v>9.9550674662499971E-28</v>
      </c>
      <c r="AY157">
        <f t="shared" si="241"/>
        <v>-27.001955792379835</v>
      </c>
      <c r="AZ157">
        <v>5.5</v>
      </c>
      <c r="BA157">
        <f t="shared" si="265"/>
        <v>0.74036268949424389</v>
      </c>
      <c r="BB157">
        <f t="shared" si="255"/>
        <v>1.6501155080855659E-2</v>
      </c>
      <c r="BC157">
        <f t="shared" si="242"/>
        <v>-1.7824856541082894</v>
      </c>
      <c r="BE157">
        <v>773</v>
      </c>
      <c r="BF157">
        <f t="shared" si="246"/>
        <v>1.29366106080207E-3</v>
      </c>
      <c r="BG157">
        <f t="shared" si="236"/>
        <v>43200</v>
      </c>
      <c r="BH157">
        <f t="shared" si="247"/>
        <v>4.6354837468149119</v>
      </c>
      <c r="BV157">
        <f>10^-1.35</f>
        <v>4.4668359215096293E-2</v>
      </c>
      <c r="BW157" s="1">
        <f t="shared" si="243"/>
        <v>-1.35</v>
      </c>
    </row>
    <row r="158" spans="1:75" x14ac:dyDescent="0.25">
      <c r="A158" s="2" t="s">
        <v>75</v>
      </c>
      <c r="B158" t="s">
        <v>76</v>
      </c>
      <c r="C158" t="s">
        <v>80</v>
      </c>
      <c r="D158" t="s">
        <v>77</v>
      </c>
      <c r="E158">
        <v>0.5</v>
      </c>
      <c r="F158">
        <f t="shared" si="256"/>
        <v>-0.3010299956639812</v>
      </c>
      <c r="G158">
        <f t="shared" si="248"/>
        <v>1</v>
      </c>
      <c r="H158">
        <f t="shared" si="257"/>
        <v>0</v>
      </c>
      <c r="I158">
        <v>0.99</v>
      </c>
      <c r="J158">
        <f t="shared" si="258"/>
        <v>-4.3648054024500883E-3</v>
      </c>
      <c r="K158">
        <f t="shared" si="249"/>
        <v>98.999999999999915</v>
      </c>
      <c r="L158">
        <f t="shared" si="259"/>
        <v>1.9956351945975495</v>
      </c>
      <c r="M158">
        <v>0.01</v>
      </c>
      <c r="N158">
        <f t="shared" si="260"/>
        <v>-2</v>
      </c>
      <c r="O158">
        <f t="shared" si="250"/>
        <v>1.0101010101010102E-2</v>
      </c>
      <c r="P158">
        <f t="shared" si="261"/>
        <v>-1.9956351945975499</v>
      </c>
      <c r="Q158">
        <f t="shared" si="262"/>
        <v>97.999999999999915</v>
      </c>
      <c r="R158">
        <f t="shared" si="263"/>
        <v>1.9912260756924944</v>
      </c>
      <c r="U158">
        <f t="shared" si="251"/>
        <v>0</v>
      </c>
      <c r="Y158">
        <f t="shared" si="252"/>
        <v>-0.3010299956639812</v>
      </c>
      <c r="Z158">
        <f t="shared" si="253"/>
        <v>9.4999999999999959E-2</v>
      </c>
      <c r="AA158">
        <f t="shared" si="264"/>
        <v>-1.0222763947111524</v>
      </c>
      <c r="AF158">
        <f>1000/2.53</f>
        <v>395.25691699604744</v>
      </c>
      <c r="AG158">
        <f t="shared" si="244"/>
        <v>2.5300000000000001E-3</v>
      </c>
      <c r="AH158">
        <v>0.58499999999999996</v>
      </c>
      <c r="AI158">
        <f t="shared" si="245"/>
        <v>-0.23284413391781958</v>
      </c>
      <c r="AL158" t="s">
        <v>29</v>
      </c>
      <c r="AM158" t="s">
        <v>16</v>
      </c>
      <c r="AW158">
        <f t="shared" si="254"/>
        <v>995.50674662499978</v>
      </c>
      <c r="AX158">
        <f t="shared" si="240"/>
        <v>9.9550674662499971E-28</v>
      </c>
      <c r="AY158">
        <f t="shared" si="241"/>
        <v>-27.001955792379835</v>
      </c>
      <c r="AZ158">
        <v>5.5</v>
      </c>
      <c r="BA158">
        <f t="shared" si="265"/>
        <v>0.74036268949424389</v>
      </c>
      <c r="BB158">
        <f t="shared" si="255"/>
        <v>1.6501155080855659E-2</v>
      </c>
      <c r="BC158">
        <f t="shared" si="242"/>
        <v>-1.7824856541082894</v>
      </c>
      <c r="BE158">
        <v>773</v>
      </c>
      <c r="BF158">
        <f t="shared" si="246"/>
        <v>1.29366106080207E-3</v>
      </c>
      <c r="BG158">
        <f t="shared" si="236"/>
        <v>43200</v>
      </c>
      <c r="BH158">
        <f t="shared" si="247"/>
        <v>4.6354837468149119</v>
      </c>
      <c r="BV158">
        <f>10^-1.22</f>
        <v>6.0255958607435746E-2</v>
      </c>
      <c r="BW158" s="1">
        <f t="shared" si="243"/>
        <v>-1.2200000000000002</v>
      </c>
    </row>
    <row r="159" spans="1:75" x14ac:dyDescent="0.25">
      <c r="A159" s="2" t="s">
        <v>75</v>
      </c>
      <c r="B159" t="s">
        <v>76</v>
      </c>
      <c r="C159" t="s">
        <v>81</v>
      </c>
      <c r="D159" t="s">
        <v>77</v>
      </c>
      <c r="E159">
        <v>0.71399999999999997</v>
      </c>
      <c r="F159">
        <f t="shared" si="256"/>
        <v>-0.14630178822382564</v>
      </c>
      <c r="G159">
        <f t="shared" si="248"/>
        <v>2.4965034965034962</v>
      </c>
      <c r="H159">
        <f t="shared" si="257"/>
        <v>0.39733217864713133</v>
      </c>
      <c r="I159">
        <v>0.99</v>
      </c>
      <c r="J159">
        <f t="shared" si="258"/>
        <v>-4.3648054024500883E-3</v>
      </c>
      <c r="K159">
        <f t="shared" si="249"/>
        <v>98.999999999999915</v>
      </c>
      <c r="L159">
        <f t="shared" si="259"/>
        <v>1.9956351945975495</v>
      </c>
      <c r="M159">
        <v>0.01</v>
      </c>
      <c r="N159">
        <f t="shared" si="260"/>
        <v>-2</v>
      </c>
      <c r="O159">
        <f t="shared" si="250"/>
        <v>1.0101010101010102E-2</v>
      </c>
      <c r="P159">
        <f t="shared" si="261"/>
        <v>-1.9956351945975499</v>
      </c>
      <c r="Q159">
        <f t="shared" si="262"/>
        <v>96.503496503496422</v>
      </c>
      <c r="R159">
        <f t="shared" si="263"/>
        <v>1.9845430489361744</v>
      </c>
      <c r="U159">
        <f t="shared" si="251"/>
        <v>0.39733217864713133</v>
      </c>
      <c r="Y159">
        <f t="shared" si="252"/>
        <v>-0.14630178822382564</v>
      </c>
      <c r="Z159">
        <f t="shared" si="253"/>
        <v>0.01</v>
      </c>
      <c r="AA159">
        <f t="shared" si="264"/>
        <v>-2</v>
      </c>
      <c r="AF159">
        <f>1000/3.4</f>
        <v>294.11764705882354</v>
      </c>
      <c r="AG159">
        <f t="shared" si="244"/>
        <v>3.3999999999999998E-3</v>
      </c>
      <c r="AH159">
        <v>0.71399999999999997</v>
      </c>
      <c r="AI159">
        <f t="shared" si="245"/>
        <v>-0.14630178822382564</v>
      </c>
      <c r="AL159" t="s">
        <v>29</v>
      </c>
      <c r="AM159" t="s">
        <v>16</v>
      </c>
      <c r="AW159">
        <f>9.995^3</f>
        <v>998.50074987499977</v>
      </c>
      <c r="AX159">
        <f t="shared" si="240"/>
        <v>9.985007498749996E-28</v>
      </c>
      <c r="AY159">
        <f t="shared" si="241"/>
        <v>-27.000651604637593</v>
      </c>
      <c r="AZ159">
        <v>5.3</v>
      </c>
      <c r="BA159">
        <f t="shared" si="265"/>
        <v>0.72427586960078905</v>
      </c>
      <c r="BB159">
        <f>5.3/341.48</f>
        <v>1.5520674710085509E-2</v>
      </c>
      <c r="BC159">
        <f t="shared" si="242"/>
        <v>-1.8090894031488467</v>
      </c>
      <c r="BE159">
        <v>773</v>
      </c>
      <c r="BF159">
        <f t="shared" si="246"/>
        <v>1.29366106080207E-3</v>
      </c>
      <c r="BG159">
        <f t="shared" si="236"/>
        <v>43200</v>
      </c>
      <c r="BH159">
        <f t="shared" si="247"/>
        <v>4.6354837468149119</v>
      </c>
      <c r="BV159">
        <f>10^-2.02</f>
        <v>9.5499258602143571E-3</v>
      </c>
      <c r="BW159" s="1">
        <f t="shared" si="243"/>
        <v>-2.02</v>
      </c>
    </row>
    <row r="160" spans="1:75" x14ac:dyDescent="0.25">
      <c r="A160" s="2" t="s">
        <v>75</v>
      </c>
      <c r="B160" t="s">
        <v>76</v>
      </c>
      <c r="C160" t="s">
        <v>81</v>
      </c>
      <c r="D160" t="s">
        <v>77</v>
      </c>
      <c r="E160">
        <v>0.71399999999999997</v>
      </c>
      <c r="F160">
        <f t="shared" si="256"/>
        <v>-0.14630178822382564</v>
      </c>
      <c r="G160">
        <f t="shared" si="248"/>
        <v>2.4965034965034962</v>
      </c>
      <c r="H160">
        <f t="shared" si="257"/>
        <v>0.39733217864713133</v>
      </c>
      <c r="I160">
        <v>0.99</v>
      </c>
      <c r="J160">
        <f t="shared" si="258"/>
        <v>-4.3648054024500883E-3</v>
      </c>
      <c r="K160">
        <f t="shared" si="249"/>
        <v>98.999999999999915</v>
      </c>
      <c r="L160">
        <f t="shared" si="259"/>
        <v>1.9956351945975495</v>
      </c>
      <c r="M160">
        <v>0.01</v>
      </c>
      <c r="N160">
        <f t="shared" si="260"/>
        <v>-2</v>
      </c>
      <c r="O160">
        <f t="shared" si="250"/>
        <v>1.0101010101010102E-2</v>
      </c>
      <c r="P160">
        <f t="shared" si="261"/>
        <v>-1.9956351945975499</v>
      </c>
      <c r="Q160">
        <f t="shared" si="262"/>
        <v>96.503496503496422</v>
      </c>
      <c r="R160">
        <f t="shared" si="263"/>
        <v>1.9845430489361744</v>
      </c>
      <c r="U160">
        <f t="shared" si="251"/>
        <v>0.39733217864713133</v>
      </c>
      <c r="Y160">
        <f t="shared" si="252"/>
        <v>-0.14630178822382564</v>
      </c>
      <c r="Z160">
        <f t="shared" si="253"/>
        <v>0.01</v>
      </c>
      <c r="AA160">
        <f t="shared" si="264"/>
        <v>-2</v>
      </c>
      <c r="AF160">
        <f>1000/3.2</f>
        <v>312.5</v>
      </c>
      <c r="AG160">
        <f t="shared" si="244"/>
        <v>3.2000000000000002E-3</v>
      </c>
      <c r="AH160">
        <v>0.71399999999999997</v>
      </c>
      <c r="AI160">
        <f t="shared" si="245"/>
        <v>-0.14630178822382564</v>
      </c>
      <c r="AL160" t="s">
        <v>29</v>
      </c>
      <c r="AM160" t="s">
        <v>16</v>
      </c>
      <c r="AW160">
        <f t="shared" ref="AW160:AW164" si="266">9.995^3</f>
        <v>998.50074987499977</v>
      </c>
      <c r="AX160">
        <f t="shared" si="240"/>
        <v>9.985007498749996E-28</v>
      </c>
      <c r="AY160">
        <f t="shared" si="241"/>
        <v>-27.000651604637593</v>
      </c>
      <c r="AZ160">
        <v>5.3</v>
      </c>
      <c r="BA160">
        <f t="shared" si="265"/>
        <v>0.72427586960078905</v>
      </c>
      <c r="BB160">
        <f t="shared" ref="BB160:BB164" si="267">5.3/341.48</f>
        <v>1.5520674710085509E-2</v>
      </c>
      <c r="BC160">
        <f t="shared" si="242"/>
        <v>-1.8090894031488467</v>
      </c>
      <c r="BE160">
        <v>773</v>
      </c>
      <c r="BF160">
        <f t="shared" si="246"/>
        <v>1.29366106080207E-3</v>
      </c>
      <c r="BG160">
        <f t="shared" si="236"/>
        <v>43200</v>
      </c>
      <c r="BH160">
        <f t="shared" si="247"/>
        <v>4.6354837468149119</v>
      </c>
      <c r="BV160">
        <f>10^-1.84</f>
        <v>1.4454397707459272E-2</v>
      </c>
      <c r="BW160" s="1">
        <f t="shared" si="243"/>
        <v>-1.84</v>
      </c>
    </row>
    <row r="161" spans="1:75" x14ac:dyDescent="0.25">
      <c r="A161" s="2" t="s">
        <v>75</v>
      </c>
      <c r="B161" t="s">
        <v>76</v>
      </c>
      <c r="C161" t="s">
        <v>81</v>
      </c>
      <c r="D161" t="s">
        <v>77</v>
      </c>
      <c r="E161">
        <v>0.71399999999999997</v>
      </c>
      <c r="F161">
        <f t="shared" si="256"/>
        <v>-0.14630178822382564</v>
      </c>
      <c r="G161">
        <f t="shared" si="248"/>
        <v>2.4965034965034962</v>
      </c>
      <c r="H161">
        <f t="shared" si="257"/>
        <v>0.39733217864713133</v>
      </c>
      <c r="I161">
        <v>0.99</v>
      </c>
      <c r="J161">
        <f t="shared" si="258"/>
        <v>-4.3648054024500883E-3</v>
      </c>
      <c r="K161">
        <f t="shared" si="249"/>
        <v>98.999999999999915</v>
      </c>
      <c r="L161">
        <f t="shared" si="259"/>
        <v>1.9956351945975495</v>
      </c>
      <c r="M161">
        <v>0.01</v>
      </c>
      <c r="N161">
        <f t="shared" si="260"/>
        <v>-2</v>
      </c>
      <c r="O161">
        <f t="shared" si="250"/>
        <v>1.0101010101010102E-2</v>
      </c>
      <c r="P161">
        <f t="shared" si="261"/>
        <v>-1.9956351945975499</v>
      </c>
      <c r="Q161">
        <f t="shared" si="262"/>
        <v>96.503496503496422</v>
      </c>
      <c r="R161">
        <f t="shared" si="263"/>
        <v>1.9845430489361744</v>
      </c>
      <c r="U161">
        <f t="shared" si="251"/>
        <v>0.39733217864713133</v>
      </c>
      <c r="Y161">
        <f t="shared" si="252"/>
        <v>-0.14630178822382564</v>
      </c>
      <c r="Z161">
        <f t="shared" si="253"/>
        <v>0.01</v>
      </c>
      <c r="AA161">
        <f t="shared" si="264"/>
        <v>-2</v>
      </c>
      <c r="AF161">
        <f>1000/3</f>
        <v>333.33333333333331</v>
      </c>
      <c r="AG161">
        <f t="shared" si="244"/>
        <v>3.0000000000000001E-3</v>
      </c>
      <c r="AH161">
        <v>0.71399999999999997</v>
      </c>
      <c r="AI161">
        <f t="shared" si="245"/>
        <v>-0.14630178822382564</v>
      </c>
      <c r="AL161" t="s">
        <v>29</v>
      </c>
      <c r="AM161" t="s">
        <v>16</v>
      </c>
      <c r="AW161">
        <f t="shared" si="266"/>
        <v>998.50074987499977</v>
      </c>
      <c r="AX161">
        <f t="shared" si="240"/>
        <v>9.985007498749996E-28</v>
      </c>
      <c r="AY161">
        <f t="shared" si="241"/>
        <v>-27.000651604637593</v>
      </c>
      <c r="AZ161">
        <v>5.3</v>
      </c>
      <c r="BA161">
        <f t="shared" si="265"/>
        <v>0.72427586960078905</v>
      </c>
      <c r="BB161">
        <f t="shared" si="267"/>
        <v>1.5520674710085509E-2</v>
      </c>
      <c r="BC161">
        <f t="shared" si="242"/>
        <v>-1.8090894031488467</v>
      </c>
      <c r="BE161">
        <v>773</v>
      </c>
      <c r="BF161">
        <f t="shared" si="246"/>
        <v>1.29366106080207E-3</v>
      </c>
      <c r="BG161">
        <f t="shared" si="236"/>
        <v>43200</v>
      </c>
      <c r="BH161">
        <f t="shared" si="247"/>
        <v>4.6354837468149119</v>
      </c>
      <c r="BV161">
        <f>10^-1.68</f>
        <v>2.0892961308540386E-2</v>
      </c>
      <c r="BW161" s="1">
        <f t="shared" si="243"/>
        <v>-1.6800000000000002</v>
      </c>
    </row>
    <row r="162" spans="1:75" x14ac:dyDescent="0.25">
      <c r="A162" s="2" t="s">
        <v>75</v>
      </c>
      <c r="B162" t="s">
        <v>76</v>
      </c>
      <c r="C162" t="s">
        <v>81</v>
      </c>
      <c r="D162" t="s">
        <v>77</v>
      </c>
      <c r="E162">
        <v>0.71399999999999997</v>
      </c>
      <c r="F162">
        <f t="shared" si="256"/>
        <v>-0.14630178822382564</v>
      </c>
      <c r="G162">
        <f t="shared" si="248"/>
        <v>2.4965034965034962</v>
      </c>
      <c r="H162">
        <f t="shared" si="257"/>
        <v>0.39733217864713133</v>
      </c>
      <c r="I162">
        <v>0.99</v>
      </c>
      <c r="J162">
        <f t="shared" si="258"/>
        <v>-4.3648054024500883E-3</v>
      </c>
      <c r="K162">
        <f t="shared" si="249"/>
        <v>98.999999999999915</v>
      </c>
      <c r="L162">
        <f t="shared" si="259"/>
        <v>1.9956351945975495</v>
      </c>
      <c r="M162">
        <v>0.01</v>
      </c>
      <c r="N162">
        <f t="shared" si="260"/>
        <v>-2</v>
      </c>
      <c r="O162">
        <f t="shared" si="250"/>
        <v>1.0101010101010102E-2</v>
      </c>
      <c r="P162">
        <f t="shared" si="261"/>
        <v>-1.9956351945975499</v>
      </c>
      <c r="Q162">
        <f t="shared" si="262"/>
        <v>96.503496503496422</v>
      </c>
      <c r="R162">
        <f t="shared" si="263"/>
        <v>1.9845430489361744</v>
      </c>
      <c r="U162">
        <f t="shared" si="251"/>
        <v>0.39733217864713133</v>
      </c>
      <c r="Y162">
        <f t="shared" si="252"/>
        <v>-0.14630178822382564</v>
      </c>
      <c r="Z162">
        <f t="shared" si="253"/>
        <v>0.01</v>
      </c>
      <c r="AA162">
        <f t="shared" si="264"/>
        <v>-2</v>
      </c>
      <c r="AF162">
        <f>1000/2.82</f>
        <v>354.6099290780142</v>
      </c>
      <c r="AG162">
        <f t="shared" si="244"/>
        <v>2.82E-3</v>
      </c>
      <c r="AH162">
        <v>0.71399999999999997</v>
      </c>
      <c r="AI162">
        <f t="shared" si="245"/>
        <v>-0.14630178822382564</v>
      </c>
      <c r="AL162" t="s">
        <v>29</v>
      </c>
      <c r="AM162" t="s">
        <v>16</v>
      </c>
      <c r="AW162">
        <f t="shared" si="266"/>
        <v>998.50074987499977</v>
      </c>
      <c r="AX162">
        <f t="shared" si="240"/>
        <v>9.985007498749996E-28</v>
      </c>
      <c r="AY162">
        <f t="shared" si="241"/>
        <v>-27.000651604637593</v>
      </c>
      <c r="AZ162">
        <v>5.3</v>
      </c>
      <c r="BA162">
        <f t="shared" si="265"/>
        <v>0.72427586960078905</v>
      </c>
      <c r="BB162">
        <f t="shared" si="267"/>
        <v>1.5520674710085509E-2</v>
      </c>
      <c r="BC162">
        <f t="shared" si="242"/>
        <v>-1.8090894031488467</v>
      </c>
      <c r="BE162">
        <v>773</v>
      </c>
      <c r="BF162">
        <f t="shared" si="246"/>
        <v>1.29366106080207E-3</v>
      </c>
      <c r="BG162">
        <f t="shared" si="236"/>
        <v>43200</v>
      </c>
      <c r="BH162">
        <f t="shared" si="247"/>
        <v>4.6354837468149119</v>
      </c>
      <c r="BV162">
        <f>10^-1.52</f>
        <v>3.0199517204020147E-2</v>
      </c>
      <c r="BW162" s="1">
        <f t="shared" si="243"/>
        <v>-1.5200000000000002</v>
      </c>
    </row>
    <row r="163" spans="1:75" x14ac:dyDescent="0.25">
      <c r="A163" s="2" t="s">
        <v>75</v>
      </c>
      <c r="B163" t="s">
        <v>76</v>
      </c>
      <c r="C163" t="s">
        <v>81</v>
      </c>
      <c r="D163" t="s">
        <v>77</v>
      </c>
      <c r="E163">
        <v>0.71399999999999997</v>
      </c>
      <c r="F163">
        <f t="shared" si="256"/>
        <v>-0.14630178822382564</v>
      </c>
      <c r="G163">
        <f t="shared" si="248"/>
        <v>2.4965034965034962</v>
      </c>
      <c r="H163">
        <f t="shared" si="257"/>
        <v>0.39733217864713133</v>
      </c>
      <c r="I163">
        <v>0.99</v>
      </c>
      <c r="J163">
        <f t="shared" si="258"/>
        <v>-4.3648054024500883E-3</v>
      </c>
      <c r="K163">
        <f t="shared" si="249"/>
        <v>98.999999999999915</v>
      </c>
      <c r="L163">
        <f t="shared" si="259"/>
        <v>1.9956351945975495</v>
      </c>
      <c r="M163">
        <v>0.01</v>
      </c>
      <c r="N163">
        <f t="shared" si="260"/>
        <v>-2</v>
      </c>
      <c r="O163">
        <f t="shared" si="250"/>
        <v>1.0101010101010102E-2</v>
      </c>
      <c r="P163">
        <f t="shared" si="261"/>
        <v>-1.9956351945975499</v>
      </c>
      <c r="Q163">
        <f t="shared" si="262"/>
        <v>96.503496503496422</v>
      </c>
      <c r="R163">
        <f t="shared" si="263"/>
        <v>1.9845430489361744</v>
      </c>
      <c r="U163">
        <f t="shared" si="251"/>
        <v>0.39733217864713133</v>
      </c>
      <c r="Y163">
        <f t="shared" si="252"/>
        <v>-0.14630178822382564</v>
      </c>
      <c r="Z163">
        <f t="shared" si="253"/>
        <v>0.01</v>
      </c>
      <c r="AA163">
        <f t="shared" si="264"/>
        <v>-2</v>
      </c>
      <c r="AF163">
        <f>1000/2.67</f>
        <v>374.53183520599254</v>
      </c>
      <c r="AG163">
        <f t="shared" si="244"/>
        <v>2.6699999999999996E-3</v>
      </c>
      <c r="AH163">
        <v>0.71399999999999997</v>
      </c>
      <c r="AI163">
        <f t="shared" si="245"/>
        <v>-0.14630178822382564</v>
      </c>
      <c r="AL163" t="s">
        <v>29</v>
      </c>
      <c r="AM163" t="s">
        <v>16</v>
      </c>
      <c r="AW163">
        <f t="shared" si="266"/>
        <v>998.50074987499977</v>
      </c>
      <c r="AX163">
        <f t="shared" si="240"/>
        <v>9.985007498749996E-28</v>
      </c>
      <c r="AY163">
        <f t="shared" si="241"/>
        <v>-27.000651604637593</v>
      </c>
      <c r="AZ163">
        <v>5.3</v>
      </c>
      <c r="BA163">
        <f t="shared" si="265"/>
        <v>0.72427586960078905</v>
      </c>
      <c r="BB163">
        <f t="shared" si="267"/>
        <v>1.5520674710085509E-2</v>
      </c>
      <c r="BC163">
        <f t="shared" si="242"/>
        <v>-1.8090894031488467</v>
      </c>
      <c r="BE163">
        <v>773</v>
      </c>
      <c r="BF163">
        <f t="shared" si="246"/>
        <v>1.29366106080207E-3</v>
      </c>
      <c r="BG163">
        <f t="shared" si="236"/>
        <v>43200</v>
      </c>
      <c r="BH163">
        <f t="shared" si="247"/>
        <v>4.6354837468149119</v>
      </c>
      <c r="BV163">
        <f>10^-1.39</f>
        <v>4.0738027780411273E-2</v>
      </c>
      <c r="BW163" s="1">
        <f t="shared" si="243"/>
        <v>-1.39</v>
      </c>
    </row>
    <row r="164" spans="1:75" x14ac:dyDescent="0.25">
      <c r="A164" s="2" t="s">
        <v>75</v>
      </c>
      <c r="B164" t="s">
        <v>76</v>
      </c>
      <c r="C164" t="s">
        <v>81</v>
      </c>
      <c r="D164" t="s">
        <v>77</v>
      </c>
      <c r="E164">
        <v>0.71399999999999997</v>
      </c>
      <c r="F164">
        <f t="shared" si="256"/>
        <v>-0.14630178822382564</v>
      </c>
      <c r="G164">
        <f t="shared" si="248"/>
        <v>2.4965034965034962</v>
      </c>
      <c r="H164">
        <f t="shared" si="257"/>
        <v>0.39733217864713133</v>
      </c>
      <c r="I164">
        <v>0.99</v>
      </c>
      <c r="J164">
        <f t="shared" si="258"/>
        <v>-4.3648054024500883E-3</v>
      </c>
      <c r="K164">
        <f t="shared" si="249"/>
        <v>98.999999999999915</v>
      </c>
      <c r="L164">
        <f t="shared" si="259"/>
        <v>1.9956351945975495</v>
      </c>
      <c r="M164">
        <v>0.01</v>
      </c>
      <c r="N164">
        <f t="shared" si="260"/>
        <v>-2</v>
      </c>
      <c r="O164">
        <f t="shared" si="250"/>
        <v>1.0101010101010102E-2</v>
      </c>
      <c r="P164">
        <f t="shared" si="261"/>
        <v>-1.9956351945975499</v>
      </c>
      <c r="Q164">
        <f t="shared" si="262"/>
        <v>96.503496503496422</v>
      </c>
      <c r="R164">
        <f t="shared" si="263"/>
        <v>1.9845430489361744</v>
      </c>
      <c r="U164">
        <f t="shared" si="251"/>
        <v>0.39733217864713133</v>
      </c>
      <c r="Y164">
        <f t="shared" si="252"/>
        <v>-0.14630178822382564</v>
      </c>
      <c r="Z164">
        <f t="shared" si="253"/>
        <v>0.01</v>
      </c>
      <c r="AA164">
        <f t="shared" si="264"/>
        <v>-2</v>
      </c>
      <c r="AF164">
        <f>1000/2.53</f>
        <v>395.25691699604744</v>
      </c>
      <c r="AG164">
        <f t="shared" si="244"/>
        <v>2.5300000000000001E-3</v>
      </c>
      <c r="AH164">
        <v>0.71399999999999997</v>
      </c>
      <c r="AI164">
        <f t="shared" si="245"/>
        <v>-0.14630178822382564</v>
      </c>
      <c r="AL164" t="s">
        <v>29</v>
      </c>
      <c r="AM164" t="s">
        <v>16</v>
      </c>
      <c r="AW164">
        <f t="shared" si="266"/>
        <v>998.50074987499977</v>
      </c>
      <c r="AX164">
        <f t="shared" si="240"/>
        <v>9.985007498749996E-28</v>
      </c>
      <c r="AY164">
        <f t="shared" si="241"/>
        <v>-27.000651604637593</v>
      </c>
      <c r="AZ164">
        <v>5.3</v>
      </c>
      <c r="BA164">
        <f t="shared" si="265"/>
        <v>0.72427586960078905</v>
      </c>
      <c r="BB164">
        <f t="shared" si="267"/>
        <v>1.5520674710085509E-2</v>
      </c>
      <c r="BC164">
        <f t="shared" si="242"/>
        <v>-1.8090894031488467</v>
      </c>
      <c r="BE164">
        <v>773</v>
      </c>
      <c r="BF164">
        <f t="shared" si="246"/>
        <v>1.29366106080207E-3</v>
      </c>
      <c r="BG164">
        <f t="shared" si="236"/>
        <v>43200</v>
      </c>
      <c r="BH164">
        <f t="shared" si="247"/>
        <v>4.6354837468149119</v>
      </c>
      <c r="BV164">
        <f>10^-1.23</f>
        <v>5.8884365535558883E-2</v>
      </c>
      <c r="BW164" s="1">
        <f t="shared" si="243"/>
        <v>-1.2300000000000002</v>
      </c>
    </row>
    <row r="165" spans="1:75" x14ac:dyDescent="0.25">
      <c r="A165" s="2" t="s">
        <v>82</v>
      </c>
      <c r="B165" t="s">
        <v>83</v>
      </c>
      <c r="C165" t="s">
        <v>84</v>
      </c>
      <c r="E165">
        <v>0.01</v>
      </c>
      <c r="F165">
        <f t="shared" si="256"/>
        <v>-2</v>
      </c>
      <c r="G165">
        <f t="shared" si="248"/>
        <v>1.0101010101010102E-2</v>
      </c>
      <c r="H165">
        <f t="shared" si="257"/>
        <v>-1.9956351945975499</v>
      </c>
      <c r="I165">
        <v>0.01</v>
      </c>
      <c r="J165">
        <f t="shared" si="258"/>
        <v>-2</v>
      </c>
      <c r="K165">
        <f t="shared" si="249"/>
        <v>1.0101010101010102E-2</v>
      </c>
      <c r="L165">
        <f t="shared" si="259"/>
        <v>-1.9956351945975499</v>
      </c>
      <c r="M165">
        <v>0.01</v>
      </c>
      <c r="N165">
        <f t="shared" si="260"/>
        <v>-2</v>
      </c>
      <c r="O165">
        <f t="shared" si="250"/>
        <v>1.0101010101010102E-2</v>
      </c>
      <c r="P165">
        <f t="shared" si="261"/>
        <v>-1.9956351945975499</v>
      </c>
      <c r="Q165">
        <v>0.01</v>
      </c>
      <c r="R165">
        <f t="shared" si="263"/>
        <v>-2</v>
      </c>
      <c r="U165">
        <f t="shared" si="251"/>
        <v>-1.9956351945975499</v>
      </c>
      <c r="Y165">
        <f t="shared" si="252"/>
        <v>-2</v>
      </c>
      <c r="Z165">
        <v>0.01</v>
      </c>
      <c r="AA165">
        <f t="shared" si="264"/>
        <v>-2</v>
      </c>
      <c r="AC165" t="s">
        <v>84</v>
      </c>
      <c r="AE165" t="s">
        <v>10</v>
      </c>
      <c r="AF165">
        <f>1000/3.15</f>
        <v>317.46031746031747</v>
      </c>
      <c r="AG165">
        <f t="shared" si="244"/>
        <v>3.15E-3</v>
      </c>
      <c r="AH165">
        <v>1</v>
      </c>
      <c r="AI165">
        <f t="shared" si="245"/>
        <v>0</v>
      </c>
      <c r="AL165" t="s">
        <v>29</v>
      </c>
      <c r="AM165" t="s">
        <v>16</v>
      </c>
      <c r="AR165" s="1">
        <v>370000000</v>
      </c>
      <c r="AS165">
        <f>LOG10(AR165)</f>
        <v>8.568201724066995</v>
      </c>
      <c r="AZ165">
        <v>7</v>
      </c>
      <c r="BA165">
        <f t="shared" si="265"/>
        <v>0.84509804001425681</v>
      </c>
      <c r="BB165">
        <f>AZ165/271.97</f>
        <v>2.5738132882303193E-2</v>
      </c>
      <c r="BC165">
        <f t="shared" si="242"/>
        <v>-1.5894229612515161</v>
      </c>
      <c r="BE165">
        <v>523</v>
      </c>
      <c r="BF165">
        <f t="shared" si="246"/>
        <v>1.9120458891013384E-3</v>
      </c>
      <c r="BV165">
        <f>0.0015</f>
        <v>1.5E-3</v>
      </c>
      <c r="BW165">
        <f t="shared" si="243"/>
        <v>-2.8239087409443187</v>
      </c>
    </row>
    <row r="166" spans="1:75" x14ac:dyDescent="0.25">
      <c r="A166" s="2" t="s">
        <v>82</v>
      </c>
      <c r="B166" t="s">
        <v>83</v>
      </c>
      <c r="C166" t="s">
        <v>84</v>
      </c>
      <c r="E166">
        <v>0.01</v>
      </c>
      <c r="F166">
        <f t="shared" si="256"/>
        <v>-2</v>
      </c>
      <c r="G166">
        <f t="shared" si="248"/>
        <v>1.0101010101010102E-2</v>
      </c>
      <c r="H166">
        <f t="shared" si="257"/>
        <v>-1.9956351945975499</v>
      </c>
      <c r="I166">
        <v>0.01</v>
      </c>
      <c r="J166">
        <f t="shared" si="258"/>
        <v>-2</v>
      </c>
      <c r="K166">
        <f t="shared" si="249"/>
        <v>1.0101010101010102E-2</v>
      </c>
      <c r="L166">
        <f t="shared" si="259"/>
        <v>-1.9956351945975499</v>
      </c>
      <c r="M166">
        <v>0.01</v>
      </c>
      <c r="N166">
        <f t="shared" si="260"/>
        <v>-2</v>
      </c>
      <c r="O166">
        <f t="shared" si="250"/>
        <v>1.0101010101010102E-2</v>
      </c>
      <c r="P166">
        <f t="shared" si="261"/>
        <v>-1.9956351945975499</v>
      </c>
      <c r="Q166">
        <v>0.01</v>
      </c>
      <c r="R166">
        <f t="shared" si="263"/>
        <v>-2</v>
      </c>
      <c r="U166">
        <f t="shared" si="251"/>
        <v>-1.9956351945975499</v>
      </c>
      <c r="Y166">
        <f t="shared" si="252"/>
        <v>-2</v>
      </c>
      <c r="Z166">
        <v>0.01</v>
      </c>
      <c r="AA166">
        <f t="shared" si="264"/>
        <v>-2</v>
      </c>
      <c r="AC166" t="s">
        <v>85</v>
      </c>
      <c r="AE166" t="s">
        <v>10</v>
      </c>
      <c r="AF166">
        <f>1000/3.05</f>
        <v>327.86885245901641</v>
      </c>
      <c r="AG166">
        <f t="shared" si="244"/>
        <v>3.0499999999999998E-3</v>
      </c>
      <c r="AH166">
        <v>1</v>
      </c>
      <c r="AI166">
        <f t="shared" si="245"/>
        <v>0</v>
      </c>
      <c r="AL166" t="s">
        <v>29</v>
      </c>
      <c r="AM166" t="s">
        <v>16</v>
      </c>
      <c r="AR166" s="1">
        <v>370000000</v>
      </c>
      <c r="AS166">
        <f t="shared" ref="AS166:AS176" si="268">LOG10(AR166)</f>
        <v>8.568201724066995</v>
      </c>
      <c r="AZ166">
        <v>7</v>
      </c>
      <c r="BA166">
        <f t="shared" si="265"/>
        <v>0.84509804001425681</v>
      </c>
      <c r="BB166">
        <f t="shared" ref="BB166:BB176" si="269">AZ166/271.97</f>
        <v>2.5738132882303193E-2</v>
      </c>
      <c r="BC166">
        <f t="shared" si="242"/>
        <v>-1.5894229612515161</v>
      </c>
      <c r="BE166">
        <v>523</v>
      </c>
      <c r="BF166">
        <f t="shared" si="246"/>
        <v>1.9120458891013384E-3</v>
      </c>
      <c r="BV166">
        <f>2*10^-3</f>
        <v>2E-3</v>
      </c>
      <c r="BW166">
        <f t="shared" si="243"/>
        <v>-2.6989700043360187</v>
      </c>
    </row>
    <row r="167" spans="1:75" x14ac:dyDescent="0.25">
      <c r="A167" s="2" t="s">
        <v>82</v>
      </c>
      <c r="B167" t="s">
        <v>83</v>
      </c>
      <c r="C167" t="s">
        <v>84</v>
      </c>
      <c r="E167">
        <v>0.01</v>
      </c>
      <c r="F167">
        <f t="shared" si="256"/>
        <v>-2</v>
      </c>
      <c r="G167">
        <f t="shared" si="248"/>
        <v>1.0101010101010102E-2</v>
      </c>
      <c r="H167">
        <f t="shared" si="257"/>
        <v>-1.9956351945975499</v>
      </c>
      <c r="I167">
        <v>0.01</v>
      </c>
      <c r="J167">
        <f t="shared" si="258"/>
        <v>-2</v>
      </c>
      <c r="K167">
        <f t="shared" si="249"/>
        <v>1.0101010101010102E-2</v>
      </c>
      <c r="L167">
        <f t="shared" si="259"/>
        <v>-1.9956351945975499</v>
      </c>
      <c r="M167">
        <v>0.01</v>
      </c>
      <c r="N167">
        <f t="shared" si="260"/>
        <v>-2</v>
      </c>
      <c r="O167">
        <f t="shared" si="250"/>
        <v>1.0101010101010102E-2</v>
      </c>
      <c r="P167">
        <f t="shared" si="261"/>
        <v>-1.9956351945975499</v>
      </c>
      <c r="Q167">
        <v>0.01</v>
      </c>
      <c r="R167">
        <f t="shared" si="263"/>
        <v>-2</v>
      </c>
      <c r="U167">
        <f t="shared" si="251"/>
        <v>-1.9956351945975499</v>
      </c>
      <c r="Y167">
        <f t="shared" si="252"/>
        <v>-2</v>
      </c>
      <c r="Z167">
        <v>0.01</v>
      </c>
      <c r="AA167">
        <f t="shared" si="264"/>
        <v>-2</v>
      </c>
      <c r="AC167" t="s">
        <v>86</v>
      </c>
      <c r="AE167" t="s">
        <v>10</v>
      </c>
      <c r="AF167">
        <f>1000/2.87</f>
        <v>348.43205574912889</v>
      </c>
      <c r="AG167">
        <f t="shared" si="244"/>
        <v>2.8700000000000002E-3</v>
      </c>
      <c r="AH167">
        <v>1</v>
      </c>
      <c r="AI167">
        <f t="shared" si="245"/>
        <v>0</v>
      </c>
      <c r="AL167" t="s">
        <v>29</v>
      </c>
      <c r="AM167" t="s">
        <v>16</v>
      </c>
      <c r="AR167" s="1">
        <v>370000000</v>
      </c>
      <c r="AS167">
        <f t="shared" si="268"/>
        <v>8.568201724066995</v>
      </c>
      <c r="AZ167">
        <v>7</v>
      </c>
      <c r="BA167">
        <f t="shared" si="265"/>
        <v>0.84509804001425681</v>
      </c>
      <c r="BB167">
        <f t="shared" si="269"/>
        <v>2.5738132882303193E-2</v>
      </c>
      <c r="BC167">
        <f t="shared" si="242"/>
        <v>-1.5894229612515161</v>
      </c>
      <c r="BE167">
        <v>523</v>
      </c>
      <c r="BF167">
        <f t="shared" si="246"/>
        <v>1.9120458891013384E-3</v>
      </c>
      <c r="BV167">
        <f>3*10^-3</f>
        <v>3.0000000000000001E-3</v>
      </c>
      <c r="BW167">
        <f t="shared" si="243"/>
        <v>-2.5228787452803374</v>
      </c>
    </row>
    <row r="168" spans="1:75" x14ac:dyDescent="0.25">
      <c r="A168" s="2" t="s">
        <v>82</v>
      </c>
      <c r="B168" t="s">
        <v>83</v>
      </c>
      <c r="C168" t="s">
        <v>84</v>
      </c>
      <c r="E168">
        <v>0.01</v>
      </c>
      <c r="F168">
        <f t="shared" si="256"/>
        <v>-2</v>
      </c>
      <c r="G168">
        <f t="shared" si="248"/>
        <v>1.0101010101010102E-2</v>
      </c>
      <c r="H168">
        <f t="shared" si="257"/>
        <v>-1.9956351945975499</v>
      </c>
      <c r="I168">
        <v>0.01</v>
      </c>
      <c r="J168">
        <f t="shared" si="258"/>
        <v>-2</v>
      </c>
      <c r="K168">
        <f t="shared" si="249"/>
        <v>1.0101010101010102E-2</v>
      </c>
      <c r="L168">
        <f t="shared" si="259"/>
        <v>-1.9956351945975499</v>
      </c>
      <c r="M168">
        <v>0.01</v>
      </c>
      <c r="N168">
        <f t="shared" si="260"/>
        <v>-2</v>
      </c>
      <c r="O168">
        <f t="shared" si="250"/>
        <v>1.0101010101010102E-2</v>
      </c>
      <c r="P168">
        <f t="shared" si="261"/>
        <v>-1.9956351945975499</v>
      </c>
      <c r="Q168">
        <v>0.01</v>
      </c>
      <c r="R168">
        <f t="shared" si="263"/>
        <v>-2</v>
      </c>
      <c r="U168">
        <f t="shared" si="251"/>
        <v>-1.9956351945975499</v>
      </c>
      <c r="Y168">
        <f t="shared" si="252"/>
        <v>-2</v>
      </c>
      <c r="Z168">
        <v>0.01</v>
      </c>
      <c r="AA168">
        <f t="shared" si="264"/>
        <v>-2</v>
      </c>
      <c r="AC168" t="s">
        <v>87</v>
      </c>
      <c r="AE168" t="s">
        <v>10</v>
      </c>
      <c r="AF168">
        <f>1000/2.71</f>
        <v>369.00369003690037</v>
      </c>
      <c r="AG168">
        <f t="shared" si="244"/>
        <v>2.7100000000000002E-3</v>
      </c>
      <c r="AH168">
        <v>1</v>
      </c>
      <c r="AI168">
        <f t="shared" si="245"/>
        <v>0</v>
      </c>
      <c r="AL168" t="s">
        <v>29</v>
      </c>
      <c r="AM168" t="s">
        <v>16</v>
      </c>
      <c r="AR168" s="1">
        <v>370000000</v>
      </c>
      <c r="AS168">
        <f t="shared" si="268"/>
        <v>8.568201724066995</v>
      </c>
      <c r="AZ168">
        <v>7</v>
      </c>
      <c r="BA168">
        <f t="shared" si="265"/>
        <v>0.84509804001425681</v>
      </c>
      <c r="BB168">
        <f t="shared" si="269"/>
        <v>2.5738132882303193E-2</v>
      </c>
      <c r="BC168">
        <f t="shared" si="242"/>
        <v>-1.5894229612515161</v>
      </c>
      <c r="BE168">
        <v>523</v>
      </c>
      <c r="BF168">
        <f t="shared" si="246"/>
        <v>1.9120458891013384E-3</v>
      </c>
      <c r="BV168">
        <f>6*10^-3</f>
        <v>6.0000000000000001E-3</v>
      </c>
      <c r="BW168">
        <f t="shared" si="243"/>
        <v>-2.2218487496163561</v>
      </c>
    </row>
    <row r="169" spans="1:75" x14ac:dyDescent="0.25">
      <c r="A169" s="2" t="s">
        <v>82</v>
      </c>
      <c r="B169" t="s">
        <v>83</v>
      </c>
      <c r="C169" t="s">
        <v>84</v>
      </c>
      <c r="E169">
        <v>0.01</v>
      </c>
      <c r="F169">
        <f t="shared" si="256"/>
        <v>-2</v>
      </c>
      <c r="G169">
        <f t="shared" si="248"/>
        <v>1.0101010101010102E-2</v>
      </c>
      <c r="H169">
        <f t="shared" si="257"/>
        <v>-1.9956351945975499</v>
      </c>
      <c r="I169">
        <v>0.01</v>
      </c>
      <c r="J169">
        <f t="shared" si="258"/>
        <v>-2</v>
      </c>
      <c r="K169">
        <f t="shared" si="249"/>
        <v>1.0101010101010102E-2</v>
      </c>
      <c r="L169">
        <f t="shared" si="259"/>
        <v>-1.9956351945975499</v>
      </c>
      <c r="M169">
        <v>0.01</v>
      </c>
      <c r="N169">
        <f t="shared" si="260"/>
        <v>-2</v>
      </c>
      <c r="O169">
        <f t="shared" si="250"/>
        <v>1.0101010101010102E-2</v>
      </c>
      <c r="P169">
        <f t="shared" si="261"/>
        <v>-1.9956351945975499</v>
      </c>
      <c r="Q169">
        <v>0.01</v>
      </c>
      <c r="R169">
        <f t="shared" si="263"/>
        <v>-2</v>
      </c>
      <c r="U169">
        <f t="shared" si="251"/>
        <v>-1.9956351945975499</v>
      </c>
      <c r="Y169">
        <f t="shared" si="252"/>
        <v>-2</v>
      </c>
      <c r="Z169">
        <v>0.01</v>
      </c>
      <c r="AA169">
        <f t="shared" si="264"/>
        <v>-2</v>
      </c>
      <c r="AC169" t="s">
        <v>88</v>
      </c>
      <c r="AE169" t="s">
        <v>10</v>
      </c>
      <c r="AF169">
        <f>1000/2.57</f>
        <v>389.10505836575879</v>
      </c>
      <c r="AG169">
        <f t="shared" si="244"/>
        <v>2.5699999999999998E-3</v>
      </c>
      <c r="AH169">
        <v>1</v>
      </c>
      <c r="AI169">
        <f t="shared" si="245"/>
        <v>0</v>
      </c>
      <c r="AL169" t="s">
        <v>29</v>
      </c>
      <c r="AM169" t="s">
        <v>16</v>
      </c>
      <c r="AR169" s="1">
        <v>370000000</v>
      </c>
      <c r="AS169">
        <f t="shared" si="268"/>
        <v>8.568201724066995</v>
      </c>
      <c r="AZ169">
        <v>7</v>
      </c>
      <c r="BA169">
        <f t="shared" si="265"/>
        <v>0.84509804001425681</v>
      </c>
      <c r="BB169">
        <f t="shared" si="269"/>
        <v>2.5738132882303193E-2</v>
      </c>
      <c r="BC169">
        <f t="shared" si="242"/>
        <v>-1.5894229612515161</v>
      </c>
      <c r="BE169">
        <v>523</v>
      </c>
      <c r="BF169">
        <f t="shared" si="246"/>
        <v>1.9120458891013384E-3</v>
      </c>
      <c r="BV169">
        <f>8*10^-3</f>
        <v>8.0000000000000002E-3</v>
      </c>
      <c r="BW169">
        <f t="shared" si="243"/>
        <v>-2.0969100130080562</v>
      </c>
    </row>
    <row r="170" spans="1:75" x14ac:dyDescent="0.25">
      <c r="A170" s="2" t="s">
        <v>82</v>
      </c>
      <c r="B170" t="s">
        <v>83</v>
      </c>
      <c r="C170" t="s">
        <v>84</v>
      </c>
      <c r="E170">
        <v>0.01</v>
      </c>
      <c r="F170">
        <f t="shared" si="256"/>
        <v>-2</v>
      </c>
      <c r="G170">
        <f t="shared" si="248"/>
        <v>1.0101010101010102E-2</v>
      </c>
      <c r="H170">
        <f t="shared" si="257"/>
        <v>-1.9956351945975499</v>
      </c>
      <c r="I170">
        <v>0.01</v>
      </c>
      <c r="J170">
        <f t="shared" si="258"/>
        <v>-2</v>
      </c>
      <c r="K170">
        <f t="shared" si="249"/>
        <v>1.0101010101010102E-2</v>
      </c>
      <c r="L170">
        <f t="shared" si="259"/>
        <v>-1.9956351945975499</v>
      </c>
      <c r="M170">
        <v>0.01</v>
      </c>
      <c r="N170">
        <f t="shared" si="260"/>
        <v>-2</v>
      </c>
      <c r="O170">
        <f t="shared" si="250"/>
        <v>1.0101010101010102E-2</v>
      </c>
      <c r="P170">
        <f t="shared" si="261"/>
        <v>-1.9956351945975499</v>
      </c>
      <c r="Q170">
        <v>0.01</v>
      </c>
      <c r="R170">
        <f t="shared" si="263"/>
        <v>-2</v>
      </c>
      <c r="U170">
        <f t="shared" si="251"/>
        <v>-1.9956351945975499</v>
      </c>
      <c r="Y170">
        <f t="shared" si="252"/>
        <v>-2</v>
      </c>
      <c r="Z170">
        <v>0.01</v>
      </c>
      <c r="AA170">
        <f t="shared" si="264"/>
        <v>-2</v>
      </c>
      <c r="AC170" t="s">
        <v>89</v>
      </c>
      <c r="AE170" t="s">
        <v>10</v>
      </c>
      <c r="AF170">
        <f>1000/2.45</f>
        <v>408.16326530612241</v>
      </c>
      <c r="AG170">
        <f t="shared" si="244"/>
        <v>2.4500000000000004E-3</v>
      </c>
      <c r="AH170">
        <v>1</v>
      </c>
      <c r="AI170">
        <f t="shared" si="245"/>
        <v>0</v>
      </c>
      <c r="AL170" t="s">
        <v>29</v>
      </c>
      <c r="AM170" t="s">
        <v>16</v>
      </c>
      <c r="AR170" s="1">
        <v>370000000</v>
      </c>
      <c r="AS170">
        <f t="shared" si="268"/>
        <v>8.568201724066995</v>
      </c>
      <c r="AZ170">
        <v>7</v>
      </c>
      <c r="BA170">
        <f t="shared" si="265"/>
        <v>0.84509804001425681</v>
      </c>
      <c r="BB170">
        <f t="shared" si="269"/>
        <v>2.5738132882303193E-2</v>
      </c>
      <c r="BC170">
        <f t="shared" si="242"/>
        <v>-1.5894229612515161</v>
      </c>
      <c r="BE170">
        <v>523</v>
      </c>
      <c r="BF170">
        <f t="shared" si="246"/>
        <v>1.9120458891013384E-3</v>
      </c>
      <c r="BV170">
        <f>11*10^-3</f>
        <v>1.0999999999999999E-2</v>
      </c>
      <c r="BW170">
        <f t="shared" si="243"/>
        <v>-1.9586073148417751</v>
      </c>
    </row>
    <row r="171" spans="1:75" x14ac:dyDescent="0.25">
      <c r="A171" s="2" t="s">
        <v>82</v>
      </c>
      <c r="B171" t="s">
        <v>83</v>
      </c>
      <c r="C171" t="s">
        <v>84</v>
      </c>
      <c r="E171">
        <v>0.01</v>
      </c>
      <c r="F171">
        <f t="shared" si="256"/>
        <v>-2</v>
      </c>
      <c r="G171">
        <f t="shared" si="248"/>
        <v>1.0101010101010102E-2</v>
      </c>
      <c r="H171">
        <f t="shared" si="257"/>
        <v>-1.9956351945975499</v>
      </c>
      <c r="I171">
        <v>0.01</v>
      </c>
      <c r="J171">
        <f t="shared" si="258"/>
        <v>-2</v>
      </c>
      <c r="K171">
        <f t="shared" si="249"/>
        <v>1.0101010101010102E-2</v>
      </c>
      <c r="L171">
        <f t="shared" si="259"/>
        <v>-1.9956351945975499</v>
      </c>
      <c r="M171">
        <v>0.01</v>
      </c>
      <c r="N171">
        <f t="shared" si="260"/>
        <v>-2</v>
      </c>
      <c r="O171">
        <f t="shared" si="250"/>
        <v>1.0101010101010102E-2</v>
      </c>
      <c r="P171">
        <f t="shared" si="261"/>
        <v>-1.9956351945975499</v>
      </c>
      <c r="Q171">
        <v>0.01</v>
      </c>
      <c r="R171">
        <f t="shared" si="263"/>
        <v>-2</v>
      </c>
      <c r="U171">
        <f t="shared" si="251"/>
        <v>-1.9956351945975499</v>
      </c>
      <c r="Y171">
        <f t="shared" si="252"/>
        <v>-2</v>
      </c>
      <c r="Z171">
        <v>0.01</v>
      </c>
      <c r="AA171">
        <f t="shared" si="264"/>
        <v>-2</v>
      </c>
      <c r="AC171" t="s">
        <v>90</v>
      </c>
      <c r="AE171" t="s">
        <v>10</v>
      </c>
      <c r="AF171">
        <f>1000/2.325</f>
        <v>430.10752688172039</v>
      </c>
      <c r="AG171">
        <f t="shared" si="244"/>
        <v>2.3250000000000002E-3</v>
      </c>
      <c r="AH171">
        <v>1</v>
      </c>
      <c r="AI171">
        <f t="shared" si="245"/>
        <v>0</v>
      </c>
      <c r="AL171" t="s">
        <v>29</v>
      </c>
      <c r="AM171" t="s">
        <v>16</v>
      </c>
      <c r="AR171" s="1">
        <v>370000000</v>
      </c>
      <c r="AS171">
        <f t="shared" si="268"/>
        <v>8.568201724066995</v>
      </c>
      <c r="AZ171">
        <v>7</v>
      </c>
      <c r="BA171">
        <f t="shared" si="265"/>
        <v>0.84509804001425681</v>
      </c>
      <c r="BB171">
        <f t="shared" si="269"/>
        <v>2.5738132882303193E-2</v>
      </c>
      <c r="BC171">
        <f t="shared" si="242"/>
        <v>-1.5894229612515161</v>
      </c>
      <c r="BE171">
        <v>523</v>
      </c>
      <c r="BF171">
        <f t="shared" si="246"/>
        <v>1.9120458891013384E-3</v>
      </c>
      <c r="BV171">
        <f>15*10^-3</f>
        <v>1.4999999999999999E-2</v>
      </c>
      <c r="BW171">
        <f t="shared" si="243"/>
        <v>-1.8239087409443189</v>
      </c>
    </row>
    <row r="172" spans="1:75" x14ac:dyDescent="0.25">
      <c r="A172" s="2" t="s">
        <v>82</v>
      </c>
      <c r="B172" t="s">
        <v>83</v>
      </c>
      <c r="C172" t="s">
        <v>84</v>
      </c>
      <c r="E172">
        <v>0.01</v>
      </c>
      <c r="F172">
        <f t="shared" si="256"/>
        <v>-2</v>
      </c>
      <c r="G172">
        <f t="shared" si="248"/>
        <v>1.0101010101010102E-2</v>
      </c>
      <c r="H172">
        <f t="shared" si="257"/>
        <v>-1.9956351945975499</v>
      </c>
      <c r="I172">
        <v>0.01</v>
      </c>
      <c r="J172">
        <f t="shared" si="258"/>
        <v>-2</v>
      </c>
      <c r="K172">
        <f t="shared" si="249"/>
        <v>1.0101010101010102E-2</v>
      </c>
      <c r="L172">
        <f t="shared" si="259"/>
        <v>-1.9956351945975499</v>
      </c>
      <c r="M172">
        <v>0.01</v>
      </c>
      <c r="N172">
        <f t="shared" si="260"/>
        <v>-2</v>
      </c>
      <c r="O172">
        <f t="shared" si="250"/>
        <v>1.0101010101010102E-2</v>
      </c>
      <c r="P172">
        <f t="shared" si="261"/>
        <v>-1.9956351945975499</v>
      </c>
      <c r="Q172">
        <v>0.01</v>
      </c>
      <c r="R172">
        <f t="shared" si="263"/>
        <v>-2</v>
      </c>
      <c r="U172">
        <f t="shared" si="251"/>
        <v>-1.9956351945975499</v>
      </c>
      <c r="Y172">
        <f t="shared" si="252"/>
        <v>-2</v>
      </c>
      <c r="Z172">
        <v>0.01</v>
      </c>
      <c r="AA172">
        <f t="shared" si="264"/>
        <v>-2</v>
      </c>
      <c r="AC172" t="s">
        <v>91</v>
      </c>
      <c r="AE172" t="s">
        <v>10</v>
      </c>
      <c r="AF172">
        <f>1000/2.21</f>
        <v>452.48868778280541</v>
      </c>
      <c r="AG172">
        <f t="shared" si="244"/>
        <v>2.2100000000000002E-3</v>
      </c>
      <c r="AH172">
        <v>1</v>
      </c>
      <c r="AI172">
        <f t="shared" si="245"/>
        <v>0</v>
      </c>
      <c r="AL172" t="s">
        <v>29</v>
      </c>
      <c r="AM172" t="s">
        <v>16</v>
      </c>
      <c r="AR172" s="1">
        <v>370000000</v>
      </c>
      <c r="AS172">
        <f t="shared" si="268"/>
        <v>8.568201724066995</v>
      </c>
      <c r="AZ172">
        <v>7</v>
      </c>
      <c r="BA172">
        <f t="shared" si="265"/>
        <v>0.84509804001425681</v>
      </c>
      <c r="BB172">
        <f t="shared" si="269"/>
        <v>2.5738132882303193E-2</v>
      </c>
      <c r="BC172">
        <f t="shared" si="242"/>
        <v>-1.5894229612515161</v>
      </c>
      <c r="BE172">
        <v>523</v>
      </c>
      <c r="BF172">
        <f t="shared" si="246"/>
        <v>1.9120458891013384E-3</v>
      </c>
      <c r="BV172">
        <f>20*10^-3</f>
        <v>0.02</v>
      </c>
      <c r="BW172">
        <f t="shared" si="243"/>
        <v>-1.6989700043360187</v>
      </c>
    </row>
    <row r="173" spans="1:75" x14ac:dyDescent="0.25">
      <c r="A173" s="2" t="s">
        <v>82</v>
      </c>
      <c r="B173" t="s">
        <v>83</v>
      </c>
      <c r="C173" t="s">
        <v>84</v>
      </c>
      <c r="E173">
        <v>0.01</v>
      </c>
      <c r="F173">
        <f t="shared" si="256"/>
        <v>-2</v>
      </c>
      <c r="G173">
        <f t="shared" si="248"/>
        <v>1.0101010101010102E-2</v>
      </c>
      <c r="H173">
        <f t="shared" si="257"/>
        <v>-1.9956351945975499</v>
      </c>
      <c r="I173">
        <v>0.01</v>
      </c>
      <c r="J173">
        <f t="shared" si="258"/>
        <v>-2</v>
      </c>
      <c r="K173">
        <f t="shared" si="249"/>
        <v>1.0101010101010102E-2</v>
      </c>
      <c r="L173">
        <f t="shared" si="259"/>
        <v>-1.9956351945975499</v>
      </c>
      <c r="M173">
        <v>0.01</v>
      </c>
      <c r="N173">
        <f t="shared" si="260"/>
        <v>-2</v>
      </c>
      <c r="O173">
        <f t="shared" si="250"/>
        <v>1.0101010101010102E-2</v>
      </c>
      <c r="P173">
        <f t="shared" si="261"/>
        <v>-1.9956351945975499</v>
      </c>
      <c r="Q173">
        <v>0.01</v>
      </c>
      <c r="R173">
        <f t="shared" si="263"/>
        <v>-2</v>
      </c>
      <c r="U173">
        <f t="shared" si="251"/>
        <v>-1.9956351945975499</v>
      </c>
      <c r="Y173">
        <f t="shared" si="252"/>
        <v>-2</v>
      </c>
      <c r="Z173">
        <v>0.01</v>
      </c>
      <c r="AA173">
        <f t="shared" si="264"/>
        <v>-2</v>
      </c>
      <c r="AC173" t="s">
        <v>92</v>
      </c>
      <c r="AE173" t="s">
        <v>10</v>
      </c>
      <c r="AF173">
        <f>1000/2.11</f>
        <v>473.93364928909955</v>
      </c>
      <c r="AG173">
        <f t="shared" si="244"/>
        <v>2.1099999999999999E-3</v>
      </c>
      <c r="AH173">
        <v>1</v>
      </c>
      <c r="AI173">
        <f t="shared" si="245"/>
        <v>0</v>
      </c>
      <c r="AL173" t="s">
        <v>29</v>
      </c>
      <c r="AM173" t="s">
        <v>16</v>
      </c>
      <c r="AR173" s="1">
        <v>370000000</v>
      </c>
      <c r="AS173">
        <f t="shared" si="268"/>
        <v>8.568201724066995</v>
      </c>
      <c r="AZ173">
        <v>7</v>
      </c>
      <c r="BA173">
        <f t="shared" si="265"/>
        <v>0.84509804001425681</v>
      </c>
      <c r="BB173">
        <f t="shared" si="269"/>
        <v>2.5738132882303193E-2</v>
      </c>
      <c r="BC173">
        <f t="shared" si="242"/>
        <v>-1.5894229612515161</v>
      </c>
      <c r="BE173">
        <v>523</v>
      </c>
      <c r="BF173">
        <f t="shared" si="246"/>
        <v>1.9120458891013384E-3</v>
      </c>
      <c r="BV173">
        <f>25*10^-3</f>
        <v>2.5000000000000001E-2</v>
      </c>
      <c r="BW173">
        <f t="shared" si="243"/>
        <v>-1.6020599913279623</v>
      </c>
    </row>
    <row r="174" spans="1:75" x14ac:dyDescent="0.25">
      <c r="A174" s="2" t="s">
        <v>82</v>
      </c>
      <c r="B174" t="s">
        <v>83</v>
      </c>
      <c r="C174" t="s">
        <v>84</v>
      </c>
      <c r="E174">
        <v>0.01</v>
      </c>
      <c r="F174">
        <f t="shared" si="256"/>
        <v>-2</v>
      </c>
      <c r="G174">
        <f t="shared" si="248"/>
        <v>1.0101010101010102E-2</v>
      </c>
      <c r="H174">
        <f t="shared" si="257"/>
        <v>-1.9956351945975499</v>
      </c>
      <c r="I174">
        <v>0.01</v>
      </c>
      <c r="J174">
        <f t="shared" si="258"/>
        <v>-2</v>
      </c>
      <c r="K174">
        <f t="shared" si="249"/>
        <v>1.0101010101010102E-2</v>
      </c>
      <c r="L174">
        <f t="shared" si="259"/>
        <v>-1.9956351945975499</v>
      </c>
      <c r="M174">
        <v>0.01</v>
      </c>
      <c r="N174">
        <f t="shared" si="260"/>
        <v>-2</v>
      </c>
      <c r="O174">
        <f t="shared" si="250"/>
        <v>1.0101010101010102E-2</v>
      </c>
      <c r="P174">
        <f t="shared" si="261"/>
        <v>-1.9956351945975499</v>
      </c>
      <c r="Q174">
        <v>0.01</v>
      </c>
      <c r="R174">
        <f t="shared" si="263"/>
        <v>-2</v>
      </c>
      <c r="U174">
        <f t="shared" si="251"/>
        <v>-1.9956351945975499</v>
      </c>
      <c r="Y174">
        <f t="shared" si="252"/>
        <v>-2</v>
      </c>
      <c r="Z174">
        <v>0.01</v>
      </c>
      <c r="AA174">
        <f t="shared" si="264"/>
        <v>-2</v>
      </c>
      <c r="AC174" t="s">
        <v>93</v>
      </c>
      <c r="AE174" t="s">
        <v>10</v>
      </c>
      <c r="AF174">
        <f>1000/2.02</f>
        <v>495.04950495049502</v>
      </c>
      <c r="AG174">
        <f t="shared" si="244"/>
        <v>2.0200000000000001E-3</v>
      </c>
      <c r="AH174">
        <v>1</v>
      </c>
      <c r="AI174">
        <f t="shared" si="245"/>
        <v>0</v>
      </c>
      <c r="AL174" t="s">
        <v>29</v>
      </c>
      <c r="AM174" t="s">
        <v>16</v>
      </c>
      <c r="AR174" s="1">
        <v>370000000</v>
      </c>
      <c r="AS174">
        <f t="shared" si="268"/>
        <v>8.568201724066995</v>
      </c>
      <c r="AZ174">
        <v>7</v>
      </c>
      <c r="BA174">
        <f t="shared" si="265"/>
        <v>0.84509804001425681</v>
      </c>
      <c r="BB174">
        <f t="shared" si="269"/>
        <v>2.5738132882303193E-2</v>
      </c>
      <c r="BC174">
        <f t="shared" si="242"/>
        <v>-1.5894229612515161</v>
      </c>
      <c r="BE174">
        <v>523</v>
      </c>
      <c r="BF174">
        <f t="shared" si="246"/>
        <v>1.9120458891013384E-3</v>
      </c>
      <c r="BV174">
        <f>31*10^-3</f>
        <v>3.1E-2</v>
      </c>
      <c r="BW174">
        <f t="shared" si="243"/>
        <v>-1.5086383061657274</v>
      </c>
    </row>
    <row r="175" spans="1:75" x14ac:dyDescent="0.25">
      <c r="A175" s="2" t="s">
        <v>82</v>
      </c>
      <c r="B175" t="s">
        <v>83</v>
      </c>
      <c r="C175" t="s">
        <v>84</v>
      </c>
      <c r="E175">
        <v>0.01</v>
      </c>
      <c r="F175">
        <f t="shared" si="256"/>
        <v>-2</v>
      </c>
      <c r="G175">
        <f t="shared" si="248"/>
        <v>1.0101010101010102E-2</v>
      </c>
      <c r="H175">
        <f t="shared" si="257"/>
        <v>-1.9956351945975499</v>
      </c>
      <c r="I175">
        <v>0.01</v>
      </c>
      <c r="J175">
        <f t="shared" si="258"/>
        <v>-2</v>
      </c>
      <c r="K175">
        <f t="shared" si="249"/>
        <v>1.0101010101010102E-2</v>
      </c>
      <c r="L175">
        <f t="shared" si="259"/>
        <v>-1.9956351945975499</v>
      </c>
      <c r="M175">
        <v>0.01</v>
      </c>
      <c r="N175">
        <f t="shared" si="260"/>
        <v>-2</v>
      </c>
      <c r="O175">
        <f t="shared" si="250"/>
        <v>1.0101010101010102E-2</v>
      </c>
      <c r="P175">
        <f t="shared" si="261"/>
        <v>-1.9956351945975499</v>
      </c>
      <c r="Q175">
        <v>0.01</v>
      </c>
      <c r="R175">
        <f t="shared" si="263"/>
        <v>-2</v>
      </c>
      <c r="U175">
        <f t="shared" si="251"/>
        <v>-1.9956351945975499</v>
      </c>
      <c r="Y175">
        <f t="shared" si="252"/>
        <v>-2</v>
      </c>
      <c r="Z175">
        <v>0.01</v>
      </c>
      <c r="AA175">
        <f t="shared" si="264"/>
        <v>-2</v>
      </c>
      <c r="AC175" t="s">
        <v>94</v>
      </c>
      <c r="AE175" t="s">
        <v>10</v>
      </c>
      <c r="AF175">
        <f>1000/1.94</f>
        <v>515.46391752577324</v>
      </c>
      <c r="AG175">
        <f t="shared" si="244"/>
        <v>1.9399999999999999E-3</v>
      </c>
      <c r="AH175">
        <v>1</v>
      </c>
      <c r="AI175">
        <f t="shared" si="245"/>
        <v>0</v>
      </c>
      <c r="AL175" t="s">
        <v>29</v>
      </c>
      <c r="AM175" t="s">
        <v>16</v>
      </c>
      <c r="AR175" s="1">
        <v>370000000</v>
      </c>
      <c r="AS175">
        <f t="shared" si="268"/>
        <v>8.568201724066995</v>
      </c>
      <c r="AZ175">
        <v>7</v>
      </c>
      <c r="BA175">
        <f t="shared" si="265"/>
        <v>0.84509804001425681</v>
      </c>
      <c r="BB175">
        <f t="shared" si="269"/>
        <v>2.5738132882303193E-2</v>
      </c>
      <c r="BC175">
        <f t="shared" si="242"/>
        <v>-1.5894229612515161</v>
      </c>
      <c r="BE175">
        <v>523</v>
      </c>
      <c r="BF175">
        <f t="shared" si="246"/>
        <v>1.9120458891013384E-3</v>
      </c>
      <c r="BV175">
        <f>45*10^-3</f>
        <v>4.4999999999999998E-2</v>
      </c>
      <c r="BW175">
        <f t="shared" si="243"/>
        <v>-1.3467874862246563</v>
      </c>
    </row>
    <row r="176" spans="1:75" x14ac:dyDescent="0.25">
      <c r="A176" s="2" t="s">
        <v>82</v>
      </c>
      <c r="B176" t="s">
        <v>83</v>
      </c>
      <c r="C176" t="s">
        <v>84</v>
      </c>
      <c r="E176">
        <v>0.01</v>
      </c>
      <c r="F176">
        <f t="shared" si="256"/>
        <v>-2</v>
      </c>
      <c r="G176">
        <f t="shared" si="248"/>
        <v>1.0101010101010102E-2</v>
      </c>
      <c r="H176">
        <f t="shared" si="257"/>
        <v>-1.9956351945975499</v>
      </c>
      <c r="I176">
        <v>0.01</v>
      </c>
      <c r="J176">
        <f t="shared" si="258"/>
        <v>-2</v>
      </c>
      <c r="K176">
        <f t="shared" si="249"/>
        <v>1.0101010101010102E-2</v>
      </c>
      <c r="L176">
        <f t="shared" si="259"/>
        <v>-1.9956351945975499</v>
      </c>
      <c r="M176">
        <v>0.01</v>
      </c>
      <c r="N176">
        <f t="shared" si="260"/>
        <v>-2</v>
      </c>
      <c r="O176">
        <f t="shared" si="250"/>
        <v>1.0101010101010102E-2</v>
      </c>
      <c r="P176">
        <f t="shared" si="261"/>
        <v>-1.9956351945975499</v>
      </c>
      <c r="Q176">
        <v>0.01</v>
      </c>
      <c r="R176">
        <f t="shared" si="263"/>
        <v>-2</v>
      </c>
      <c r="U176">
        <f t="shared" si="251"/>
        <v>-1.9956351945975499</v>
      </c>
      <c r="Y176">
        <f t="shared" si="252"/>
        <v>-2</v>
      </c>
      <c r="Z176">
        <v>0.01</v>
      </c>
      <c r="AA176">
        <f t="shared" si="264"/>
        <v>-2</v>
      </c>
      <c r="AC176" t="s">
        <v>95</v>
      </c>
      <c r="AE176" t="s">
        <v>10</v>
      </c>
      <c r="AF176">
        <f>1000/1.91</f>
        <v>523.56020942408384</v>
      </c>
      <c r="AG176">
        <f t="shared" si="244"/>
        <v>1.9099999999999998E-3</v>
      </c>
      <c r="AH176">
        <v>1</v>
      </c>
      <c r="AI176">
        <f t="shared" si="245"/>
        <v>0</v>
      </c>
      <c r="AL176" t="s">
        <v>29</v>
      </c>
      <c r="AM176" t="s">
        <v>16</v>
      </c>
      <c r="AR176" s="1">
        <v>370000000</v>
      </c>
      <c r="AS176">
        <f t="shared" si="268"/>
        <v>8.568201724066995</v>
      </c>
      <c r="AZ176">
        <v>7</v>
      </c>
      <c r="BA176">
        <f t="shared" si="265"/>
        <v>0.84509804001425681</v>
      </c>
      <c r="BB176">
        <f t="shared" si="269"/>
        <v>2.5738132882303193E-2</v>
      </c>
      <c r="BC176">
        <f t="shared" si="242"/>
        <v>-1.5894229612515161</v>
      </c>
      <c r="BE176">
        <v>523</v>
      </c>
      <c r="BF176">
        <f t="shared" si="246"/>
        <v>1.9120458891013384E-3</v>
      </c>
      <c r="BV176">
        <f>56*10^-3</f>
        <v>5.6000000000000001E-2</v>
      </c>
      <c r="BW176">
        <f t="shared" si="243"/>
        <v>-1.2518119729937995</v>
      </c>
    </row>
    <row r="177" spans="1:1" x14ac:dyDescent="0.25">
      <c r="A177" s="2"/>
    </row>
    <row r="178" spans="1:1" x14ac:dyDescent="0.25">
      <c r="A178" s="2"/>
    </row>
    <row r="179" spans="1:1" x14ac:dyDescent="0.25">
      <c r="A179" s="2"/>
    </row>
    <row r="180" spans="1:1" x14ac:dyDescent="0.25">
      <c r="A180" s="2"/>
    </row>
    <row r="181" spans="1:1" x14ac:dyDescent="0.25">
      <c r="A181" s="2"/>
    </row>
    <row r="182" spans="1:1" x14ac:dyDescent="0.25">
      <c r="A182" s="2"/>
    </row>
    <row r="183" spans="1:1" x14ac:dyDescent="0.25">
      <c r="A183" s="2"/>
    </row>
    <row r="184" spans="1:1" x14ac:dyDescent="0.25">
      <c r="A184" s="2"/>
    </row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customFormat="1" x14ac:dyDescent="0.25"/>
    <row r="290" customFormat="1" x14ac:dyDescent="0.25"/>
    <row r="291" customFormat="1" x14ac:dyDescent="0.25"/>
    <row r="292" customFormat="1" x14ac:dyDescent="0.25"/>
    <row r="293" customFormat="1" x14ac:dyDescent="0.25"/>
    <row r="294" customFormat="1" x14ac:dyDescent="0.25"/>
    <row r="295" customFormat="1" x14ac:dyDescent="0.25"/>
    <row r="296" customFormat="1" x14ac:dyDescent="0.25"/>
    <row r="297" customFormat="1" x14ac:dyDescent="0.25"/>
    <row r="298" customFormat="1" x14ac:dyDescent="0.25"/>
    <row r="299" customFormat="1" x14ac:dyDescent="0.25"/>
    <row r="300" customFormat="1" x14ac:dyDescent="0.25"/>
    <row r="301" customFormat="1" x14ac:dyDescent="0.25"/>
    <row r="302" customFormat="1" x14ac:dyDescent="0.25"/>
    <row r="303" customFormat="1" x14ac:dyDescent="0.25"/>
    <row r="304" customFormat="1" x14ac:dyDescent="0.25"/>
    <row r="305" customFormat="1" x14ac:dyDescent="0.25"/>
    <row r="306" customFormat="1" x14ac:dyDescent="0.25"/>
    <row r="307" customFormat="1" x14ac:dyDescent="0.25"/>
    <row r="308" customFormat="1" x14ac:dyDescent="0.25"/>
    <row r="309" customFormat="1" x14ac:dyDescent="0.25"/>
    <row r="310" customFormat="1" x14ac:dyDescent="0.25"/>
    <row r="311" customFormat="1" x14ac:dyDescent="0.25"/>
    <row r="312" customFormat="1" x14ac:dyDescent="0.25"/>
    <row r="313" customFormat="1" x14ac:dyDescent="0.25"/>
    <row r="314" customFormat="1" x14ac:dyDescent="0.25"/>
    <row r="315" customFormat="1" x14ac:dyDescent="0.25"/>
    <row r="316" customFormat="1" x14ac:dyDescent="0.25"/>
    <row r="317" customFormat="1" x14ac:dyDescent="0.25"/>
    <row r="318" customFormat="1" x14ac:dyDescent="0.25"/>
    <row r="319" customFormat="1" x14ac:dyDescent="0.25"/>
    <row r="320" customFormat="1" x14ac:dyDescent="0.25"/>
    <row r="321" customFormat="1" x14ac:dyDescent="0.25"/>
    <row r="322" customFormat="1" x14ac:dyDescent="0.25"/>
    <row r="323" customFormat="1" x14ac:dyDescent="0.25"/>
    <row r="324" customFormat="1" x14ac:dyDescent="0.25"/>
    <row r="325" customFormat="1" x14ac:dyDescent="0.25"/>
    <row r="326" customFormat="1" x14ac:dyDescent="0.25"/>
    <row r="327" customFormat="1" x14ac:dyDescent="0.25"/>
    <row r="328" customFormat="1" x14ac:dyDescent="0.25"/>
    <row r="329" customFormat="1" x14ac:dyDescent="0.25"/>
    <row r="330" customFormat="1" x14ac:dyDescent="0.25"/>
    <row r="331" customFormat="1" x14ac:dyDescent="0.25"/>
    <row r="332" customFormat="1" x14ac:dyDescent="0.25"/>
    <row r="333" customFormat="1" x14ac:dyDescent="0.25"/>
    <row r="334" customFormat="1" x14ac:dyDescent="0.25"/>
    <row r="335" customFormat="1" x14ac:dyDescent="0.25"/>
    <row r="336" customFormat="1" x14ac:dyDescent="0.25"/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  <row r="427" customFormat="1" x14ac:dyDescent="0.25"/>
    <row r="428" customFormat="1" x14ac:dyDescent="0.25"/>
    <row r="429" customFormat="1" x14ac:dyDescent="0.25"/>
    <row r="430" customFormat="1" x14ac:dyDescent="0.25"/>
    <row r="431" customFormat="1" x14ac:dyDescent="0.25"/>
    <row r="432" customFormat="1" x14ac:dyDescent="0.25"/>
    <row r="433" customFormat="1" x14ac:dyDescent="0.25"/>
    <row r="434" customFormat="1" x14ac:dyDescent="0.25"/>
    <row r="435" customFormat="1" x14ac:dyDescent="0.25"/>
    <row r="436" customFormat="1" x14ac:dyDescent="0.25"/>
    <row r="437" customFormat="1" x14ac:dyDescent="0.25"/>
    <row r="438" customFormat="1" x14ac:dyDescent="0.25"/>
    <row r="439" customFormat="1" x14ac:dyDescent="0.25"/>
    <row r="440" customFormat="1" x14ac:dyDescent="0.25"/>
    <row r="441" customFormat="1" x14ac:dyDescent="0.25"/>
    <row r="442" customFormat="1" x14ac:dyDescent="0.25"/>
    <row r="443" customFormat="1" x14ac:dyDescent="0.25"/>
    <row r="444" customFormat="1" x14ac:dyDescent="0.25"/>
    <row r="445" customFormat="1" x14ac:dyDescent="0.25"/>
    <row r="446" customFormat="1" x14ac:dyDescent="0.25"/>
    <row r="447" customFormat="1" x14ac:dyDescent="0.25"/>
    <row r="448" customFormat="1" x14ac:dyDescent="0.25"/>
    <row r="449" customFormat="1" x14ac:dyDescent="0.25"/>
    <row r="450" customFormat="1" x14ac:dyDescent="0.25"/>
    <row r="451" customFormat="1" x14ac:dyDescent="0.25"/>
    <row r="452" customFormat="1" x14ac:dyDescent="0.25"/>
    <row r="453" customFormat="1" x14ac:dyDescent="0.25"/>
    <row r="454" customFormat="1" x14ac:dyDescent="0.25"/>
    <row r="455" customFormat="1" x14ac:dyDescent="0.25"/>
    <row r="456" customFormat="1" x14ac:dyDescent="0.25"/>
    <row r="457" customFormat="1" x14ac:dyDescent="0.25"/>
    <row r="458" customFormat="1" x14ac:dyDescent="0.25"/>
    <row r="459" customFormat="1" x14ac:dyDescent="0.25"/>
    <row r="460" customFormat="1" x14ac:dyDescent="0.25"/>
    <row r="461" customFormat="1" x14ac:dyDescent="0.25"/>
    <row r="462" customFormat="1" x14ac:dyDescent="0.25"/>
    <row r="463" customFormat="1" x14ac:dyDescent="0.25"/>
    <row r="464" customFormat="1" x14ac:dyDescent="0.25"/>
    <row r="465" customFormat="1" x14ac:dyDescent="0.25"/>
    <row r="466" customFormat="1" x14ac:dyDescent="0.25"/>
    <row r="467" customFormat="1" x14ac:dyDescent="0.25"/>
    <row r="468" customFormat="1" x14ac:dyDescent="0.25"/>
    <row r="469" customFormat="1" x14ac:dyDescent="0.25"/>
    <row r="470" customFormat="1" x14ac:dyDescent="0.25"/>
    <row r="471" customFormat="1" x14ac:dyDescent="0.25"/>
    <row r="472" customFormat="1" x14ac:dyDescent="0.25"/>
    <row r="473" customFormat="1" x14ac:dyDescent="0.25"/>
    <row r="474" customFormat="1" x14ac:dyDescent="0.25"/>
    <row r="475" customFormat="1" x14ac:dyDescent="0.25"/>
    <row r="476" customFormat="1" x14ac:dyDescent="0.25"/>
    <row r="477" customFormat="1" x14ac:dyDescent="0.25"/>
    <row r="478" customFormat="1" x14ac:dyDescent="0.25"/>
    <row r="479" customFormat="1" x14ac:dyDescent="0.25"/>
    <row r="480" customFormat="1" x14ac:dyDescent="0.25"/>
    <row r="486" customFormat="1" x14ac:dyDescent="0.25"/>
    <row r="487" customFormat="1" x14ac:dyDescent="0.25"/>
    <row r="488" customFormat="1" x14ac:dyDescent="0.25"/>
    <row r="489" customFormat="1" x14ac:dyDescent="0.25"/>
    <row r="490" customFormat="1" x14ac:dyDescent="0.25"/>
    <row r="491" customFormat="1" x14ac:dyDescent="0.25"/>
    <row r="492" customFormat="1" x14ac:dyDescent="0.25"/>
    <row r="493" customFormat="1" x14ac:dyDescent="0.25"/>
    <row r="494" customFormat="1" x14ac:dyDescent="0.25"/>
    <row r="1048245" spans="16384:16384" x14ac:dyDescent="0.25">
      <c r="XFD1048245" t="e" cm="1">
        <f t="array" ref="XFD1048245">solver_pre</f>
        <v>#NAME?</v>
      </c>
    </row>
    <row r="1048246" spans="16384:16384" x14ac:dyDescent="0.25">
      <c r="XFD1048246" t="e" cm="1">
        <f t="array" ref="XFD1048246">solver_scl</f>
        <v>#NAME?</v>
      </c>
    </row>
    <row r="1048247" spans="16384:16384" x14ac:dyDescent="0.25">
      <c r="XFD1048247" t="e" cm="1">
        <f t="array" ref="XFD1048247">solver_rlx</f>
        <v>#NAME?</v>
      </c>
    </row>
    <row r="1048248" spans="16384:16384" x14ac:dyDescent="0.25">
      <c r="XFD1048248" t="e" cm="1">
        <f t="array" ref="XFD1048248">solver_tol</f>
        <v>#NAME?</v>
      </c>
    </row>
    <row r="1048249" spans="16384:16384" x14ac:dyDescent="0.25">
      <c r="XFD1048249" t="e" cm="1">
        <f t="array" ref="XFD1048249">solver_cvg</f>
        <v>#NAME?</v>
      </c>
    </row>
    <row r="1048250" spans="16384:16384" x14ac:dyDescent="0.25">
      <c r="XFD1048250" t="e" cm="1">
        <f t="array" ref="XFD1048250">AREAS(solver_adj1)</f>
        <v>#NAME?</v>
      </c>
    </row>
    <row r="1048251" spans="16384:16384" x14ac:dyDescent="0.25">
      <c r="XFD1048251" t="e" cm="1">
        <f t="array" ref="XFD1048251">solver_ssz</f>
        <v>#NAME?</v>
      </c>
    </row>
    <row r="1048252" spans="16384:16384" x14ac:dyDescent="0.25">
      <c r="XFD1048252" t="e" cm="1">
        <f t="array" ref="XFD1048252">solver_rsd</f>
        <v>#NAME?</v>
      </c>
    </row>
    <row r="1048253" spans="16384:16384" x14ac:dyDescent="0.25">
      <c r="XFD1048253" t="e" cm="1">
        <f t="array" ref="XFD1048253">solver_mrt</f>
        <v>#NAME?</v>
      </c>
    </row>
    <row r="1048254" spans="16384:16384" x14ac:dyDescent="0.25">
      <c r="XFD1048254" t="e" cm="1">
        <f t="array" ref="XFD1048254">solver_mni</f>
        <v>#NAME?</v>
      </c>
    </row>
    <row r="1048255" spans="16384:16384" x14ac:dyDescent="0.25">
      <c r="XFD1048255" t="e" cm="1">
        <f t="array" ref="XFD1048255">solver_rbv</f>
        <v>#NAME?</v>
      </c>
    </row>
    <row r="1048256" spans="16384:16384" x14ac:dyDescent="0.25">
      <c r="XFD1048256" t="e" cm="1">
        <f t="array" ref="XFD1048256">solver_neg</f>
        <v>#NAME?</v>
      </c>
    </row>
    <row r="1048257" spans="16384:16384" x14ac:dyDescent="0.25">
      <c r="XFD1048257" t="e" cm="1">
        <f t="array" ref="XFD1048257">solver_ntr</f>
        <v>#NAME?</v>
      </c>
    </row>
    <row r="1048258" spans="16384:16384" x14ac:dyDescent="0.25">
      <c r="XFD1048258" t="e" cm="1">
        <f t="array" ref="XFD1048258">solver_acc</f>
        <v>#NAME?</v>
      </c>
    </row>
    <row r="1048259" spans="16384:16384" x14ac:dyDescent="0.25">
      <c r="XFD1048259" t="e" cm="1">
        <f t="array" ref="XFD1048259">solver_res</f>
        <v>#NAME?</v>
      </c>
    </row>
    <row r="1048260" spans="16384:16384" x14ac:dyDescent="0.25">
      <c r="XFD1048260" t="e" cm="1">
        <f t="array" ref="XFD1048260">solver_ars</f>
        <v>#NAME?</v>
      </c>
    </row>
    <row r="1048261" spans="16384:16384" x14ac:dyDescent="0.25">
      <c r="XFD1048261" t="e" cm="1">
        <f t="array" ref="XFD1048261">solver_sta</f>
        <v>#NAME?</v>
      </c>
    </row>
    <row r="1048262" spans="16384:16384" x14ac:dyDescent="0.25">
      <c r="XFD1048262" t="e" cm="1">
        <f t="array" ref="XFD1048262">solver_met</f>
        <v>#NAME?</v>
      </c>
    </row>
    <row r="1048263" spans="16384:16384" x14ac:dyDescent="0.25">
      <c r="XFD1048263" t="e" cm="1">
        <f t="array" ref="XFD1048263">solver_soc</f>
        <v>#NAME?</v>
      </c>
    </row>
    <row r="1048264" spans="16384:16384" x14ac:dyDescent="0.25">
      <c r="XFD1048264" t="e" cm="1">
        <f t="array" ref="XFD1048264">solver_lpt</f>
        <v>#NAME?</v>
      </c>
    </row>
    <row r="1048265" spans="16384:16384" x14ac:dyDescent="0.25">
      <c r="XFD1048265" t="e" cm="1">
        <f t="array" ref="XFD1048265">solver_lpp</f>
        <v>#NAME?</v>
      </c>
    </row>
    <row r="1048266" spans="16384:16384" x14ac:dyDescent="0.25">
      <c r="XFD1048266" t="e" cm="1">
        <f t="array" ref="XFD1048266">solver_gap</f>
        <v>#NAME?</v>
      </c>
    </row>
    <row r="1048267" spans="16384:16384" x14ac:dyDescent="0.25">
      <c r="XFD1048267" t="e" cm="1">
        <f t="array" ref="XFD1048267">solver_ips</f>
        <v>#NAME?</v>
      </c>
    </row>
    <row r="1048268" spans="16384:16384" x14ac:dyDescent="0.25">
      <c r="XFD1048268" t="e" cm="1">
        <f t="array" ref="XFD1048268">solver_fea</f>
        <v>#NAME?</v>
      </c>
    </row>
    <row r="1048269" spans="16384:16384" x14ac:dyDescent="0.25">
      <c r="XFD1048269" t="e" cm="1">
        <f t="array" ref="XFD1048269">solver_ipi</f>
        <v>#NAME?</v>
      </c>
    </row>
    <row r="1048270" spans="16384:16384" x14ac:dyDescent="0.25">
      <c r="XFD1048270" t="e" cm="1">
        <f t="array" ref="XFD1048270">solver_ipd</f>
        <v>#NAME?</v>
      </c>
    </row>
    <row r="1048273" customFormat="1" x14ac:dyDescent="0.25"/>
    <row r="1048274" customFormat="1" x14ac:dyDescent="0.25"/>
    <row r="1048275" customFormat="1" x14ac:dyDescent="0.25"/>
    <row r="1048276" customFormat="1" x14ac:dyDescent="0.25"/>
    <row r="1048277" customFormat="1" x14ac:dyDescent="0.25"/>
    <row r="1048278" customFormat="1" x14ac:dyDescent="0.25"/>
    <row r="1048279" customFormat="1" x14ac:dyDescent="0.25"/>
    <row r="1048280" customFormat="1" x14ac:dyDescent="0.25"/>
    <row r="1048281" customFormat="1" x14ac:dyDescent="0.25"/>
    <row r="1048282" customFormat="1" x14ac:dyDescent="0.25"/>
    <row r="1048283" customFormat="1" x14ac:dyDescent="0.25"/>
    <row r="1048284" customFormat="1" x14ac:dyDescent="0.25"/>
    <row r="1048285" customFormat="1" x14ac:dyDescent="0.25"/>
    <row r="1048286" customFormat="1" x14ac:dyDescent="0.25"/>
    <row r="1048287" customFormat="1" x14ac:dyDescent="0.25"/>
    <row r="1048288" customFormat="1" x14ac:dyDescent="0.25"/>
    <row r="1048289" customFormat="1" x14ac:dyDescent="0.25"/>
    <row r="1048290" customFormat="1" x14ac:dyDescent="0.25"/>
    <row r="1048291" customFormat="1" x14ac:dyDescent="0.25"/>
    <row r="1048292" customFormat="1" x14ac:dyDescent="0.25"/>
    <row r="1048293" customFormat="1" x14ac:dyDescent="0.25"/>
    <row r="1048294" customFormat="1" x14ac:dyDescent="0.25"/>
    <row r="1048295" customFormat="1" x14ac:dyDescent="0.25"/>
    <row r="1048296" customFormat="1" x14ac:dyDescent="0.25"/>
    <row r="1048297" customFormat="1" x14ac:dyDescent="0.25"/>
    <row r="1048298" customFormat="1" x14ac:dyDescent="0.25"/>
    <row r="1048299" customFormat="1" x14ac:dyDescent="0.25"/>
    <row r="1048300" customFormat="1" x14ac:dyDescent="0.25"/>
    <row r="1048301" customFormat="1" x14ac:dyDescent="0.25"/>
    <row r="1048302" customFormat="1" x14ac:dyDescent="0.25"/>
    <row r="1048303" customFormat="1" x14ac:dyDescent="0.25"/>
    <row r="1048304" customFormat="1" x14ac:dyDescent="0.25"/>
    <row r="1048305" customFormat="1" x14ac:dyDescent="0.25"/>
    <row r="1048306" customFormat="1" x14ac:dyDescent="0.25"/>
    <row r="1048307" customFormat="1" x14ac:dyDescent="0.25"/>
    <row r="1048308" customFormat="1" x14ac:dyDescent="0.25"/>
    <row r="1048309" customFormat="1" x14ac:dyDescent="0.25"/>
    <row r="1048312" customFormat="1" x14ac:dyDescent="0.25"/>
    <row r="1048313" customFormat="1" x14ac:dyDescent="0.25"/>
    <row r="1048314" customFormat="1" x14ac:dyDescent="0.25"/>
    <row r="1048315" customFormat="1" x14ac:dyDescent="0.25"/>
    <row r="1048316" customFormat="1" x14ac:dyDescent="0.25"/>
    <row r="1048317" customFormat="1" x14ac:dyDescent="0.25"/>
    <row r="1048318" customFormat="1" x14ac:dyDescent="0.25"/>
    <row r="1048319" customFormat="1" x14ac:dyDescent="0.25"/>
    <row r="1048320" customFormat="1" x14ac:dyDescent="0.25"/>
    <row r="1048321" customFormat="1" x14ac:dyDescent="0.25"/>
    <row r="1048322" customFormat="1" x14ac:dyDescent="0.25"/>
    <row r="1048323" customFormat="1" x14ac:dyDescent="0.25"/>
    <row r="1048324" customFormat="1" x14ac:dyDescent="0.25"/>
    <row r="1048325" customFormat="1" x14ac:dyDescent="0.25"/>
    <row r="1048326" customFormat="1" x14ac:dyDescent="0.25"/>
    <row r="1048327" customFormat="1" x14ac:dyDescent="0.25"/>
    <row r="1048328" customFormat="1" x14ac:dyDescent="0.25"/>
    <row r="1048329" customFormat="1" x14ac:dyDescent="0.25"/>
    <row r="1048330" customFormat="1" x14ac:dyDescent="0.25"/>
    <row r="1048331" customFormat="1" x14ac:dyDescent="0.25"/>
    <row r="1048332" customFormat="1" x14ac:dyDescent="0.25"/>
    <row r="1048333" customFormat="1" x14ac:dyDescent="0.25"/>
    <row r="1048334" customFormat="1" x14ac:dyDescent="0.25"/>
    <row r="1048335" customFormat="1" x14ac:dyDescent="0.25"/>
    <row r="1048336" customFormat="1" x14ac:dyDescent="0.25"/>
    <row r="1048337" customFormat="1" x14ac:dyDescent="0.25"/>
    <row r="1048338" customFormat="1" x14ac:dyDescent="0.25"/>
    <row r="1048339" customFormat="1" x14ac:dyDescent="0.25"/>
    <row r="1048340" customFormat="1" x14ac:dyDescent="0.25"/>
    <row r="1048341" customFormat="1" x14ac:dyDescent="0.25"/>
    <row r="1048342" customFormat="1" x14ac:dyDescent="0.25"/>
    <row r="1048343" customFormat="1" x14ac:dyDescent="0.25"/>
    <row r="1048344" customFormat="1" x14ac:dyDescent="0.25"/>
    <row r="1048345" customFormat="1" x14ac:dyDescent="0.25"/>
    <row r="1048346" customFormat="1" x14ac:dyDescent="0.25"/>
    <row r="1048347" customFormat="1" x14ac:dyDescent="0.25"/>
    <row r="1048348" customFormat="1" x14ac:dyDescent="0.25"/>
    <row r="1048349" customFormat="1" x14ac:dyDescent="0.25"/>
    <row r="1048350" customFormat="1" x14ac:dyDescent="0.25"/>
    <row r="1048351" customFormat="1" x14ac:dyDescent="0.25"/>
    <row r="1048352" customFormat="1" x14ac:dyDescent="0.25"/>
    <row r="1048353" customFormat="1" x14ac:dyDescent="0.25"/>
    <row r="1048354" customFormat="1" x14ac:dyDescent="0.25"/>
    <row r="1048355" customFormat="1" x14ac:dyDescent="0.25"/>
    <row r="1048356" customFormat="1" x14ac:dyDescent="0.25"/>
    <row r="1048357" customFormat="1" x14ac:dyDescent="0.25"/>
    <row r="1048358" customFormat="1" x14ac:dyDescent="0.25"/>
    <row r="1048359" customFormat="1" x14ac:dyDescent="0.25"/>
    <row r="1048360" customFormat="1" x14ac:dyDescent="0.25"/>
    <row r="1048361" customFormat="1" x14ac:dyDescent="0.25"/>
    <row r="1048362" customFormat="1" x14ac:dyDescent="0.25"/>
    <row r="1048363" customFormat="1" x14ac:dyDescent="0.25"/>
    <row r="1048364" customFormat="1" x14ac:dyDescent="0.25"/>
    <row r="1048365" customFormat="1" x14ac:dyDescent="0.25"/>
    <row r="1048366" customFormat="1" x14ac:dyDescent="0.25"/>
    <row r="1048367" customFormat="1" x14ac:dyDescent="0.25"/>
    <row r="1048368" customFormat="1" x14ac:dyDescent="0.25"/>
    <row r="1048369" customFormat="1" x14ac:dyDescent="0.25"/>
    <row r="1048370" customFormat="1" x14ac:dyDescent="0.25"/>
    <row r="1048371" customFormat="1" x14ac:dyDescent="0.25"/>
    <row r="1048372" customFormat="1" x14ac:dyDescent="0.25"/>
    <row r="1048373" customFormat="1" x14ac:dyDescent="0.25"/>
    <row r="1048374" customFormat="1" x14ac:dyDescent="0.25"/>
    <row r="1048375" customFormat="1" x14ac:dyDescent="0.25"/>
    <row r="1048376" customFormat="1" x14ac:dyDescent="0.25"/>
    <row r="1048377" customFormat="1" x14ac:dyDescent="0.25"/>
    <row r="1048378" customFormat="1" x14ac:dyDescent="0.25"/>
    <row r="1048379" customFormat="1" x14ac:dyDescent="0.25"/>
    <row r="1048380" customFormat="1" x14ac:dyDescent="0.25"/>
    <row r="1048381" customFormat="1" x14ac:dyDescent="0.25"/>
    <row r="1048382" customFormat="1" x14ac:dyDescent="0.25"/>
    <row r="1048383" customFormat="1" x14ac:dyDescent="0.25"/>
    <row r="1048384" customFormat="1" x14ac:dyDescent="0.25"/>
    <row r="1048385" customFormat="1" x14ac:dyDescent="0.25"/>
    <row r="1048386" customFormat="1" x14ac:dyDescent="0.25"/>
    <row r="1048387" customFormat="1" x14ac:dyDescent="0.25"/>
    <row r="1048388" customFormat="1" x14ac:dyDescent="0.25"/>
    <row r="1048389" customFormat="1" x14ac:dyDescent="0.25"/>
    <row r="1048390" customFormat="1" x14ac:dyDescent="0.25"/>
    <row r="1048391" customFormat="1" x14ac:dyDescent="0.25"/>
    <row r="1048392" customFormat="1" x14ac:dyDescent="0.25"/>
    <row r="1048393" customFormat="1" x14ac:dyDescent="0.25"/>
    <row r="1048394" customFormat="1" x14ac:dyDescent="0.25"/>
    <row r="1048395" customFormat="1" x14ac:dyDescent="0.25"/>
    <row r="1048396" customFormat="1" x14ac:dyDescent="0.25"/>
    <row r="1048397" customFormat="1" x14ac:dyDescent="0.25"/>
    <row r="1048398" customFormat="1" x14ac:dyDescent="0.25"/>
    <row r="1048399" customFormat="1" x14ac:dyDescent="0.25"/>
    <row r="1048400" customFormat="1" x14ac:dyDescent="0.25"/>
    <row r="1048401" customFormat="1" x14ac:dyDescent="0.25"/>
    <row r="1048402" customFormat="1" x14ac:dyDescent="0.25"/>
    <row r="1048403" customFormat="1" x14ac:dyDescent="0.25"/>
    <row r="1048404" customFormat="1" x14ac:dyDescent="0.25"/>
    <row r="1048405" customFormat="1" x14ac:dyDescent="0.25"/>
    <row r="1048406" customFormat="1" x14ac:dyDescent="0.25"/>
    <row r="1048407" customFormat="1" x14ac:dyDescent="0.25"/>
    <row r="1048408" customFormat="1" x14ac:dyDescent="0.25"/>
    <row r="1048409" customFormat="1" x14ac:dyDescent="0.25"/>
    <row r="1048410" customFormat="1" x14ac:dyDescent="0.25"/>
    <row r="1048411" customFormat="1" x14ac:dyDescent="0.25"/>
    <row r="1048412" customFormat="1" x14ac:dyDescent="0.25"/>
    <row r="1048413" customFormat="1" x14ac:dyDescent="0.25"/>
    <row r="1048414" customFormat="1" x14ac:dyDescent="0.25"/>
    <row r="1048415" customFormat="1" x14ac:dyDescent="0.25"/>
    <row r="1048416" customFormat="1" x14ac:dyDescent="0.25"/>
    <row r="1048417" customFormat="1" x14ac:dyDescent="0.25"/>
    <row r="1048418" customFormat="1" x14ac:dyDescent="0.25"/>
    <row r="1048419" customFormat="1" x14ac:dyDescent="0.25"/>
    <row r="1048420" customFormat="1" x14ac:dyDescent="0.25"/>
    <row r="1048421" customFormat="1" x14ac:dyDescent="0.25"/>
    <row r="1048422" customFormat="1" x14ac:dyDescent="0.25"/>
    <row r="1048423" customFormat="1" x14ac:dyDescent="0.25"/>
    <row r="1048424" customFormat="1" x14ac:dyDescent="0.25"/>
    <row r="1048425" customFormat="1" x14ac:dyDescent="0.25"/>
    <row r="1048426" customFormat="1" x14ac:dyDescent="0.25"/>
    <row r="1048427" customFormat="1" x14ac:dyDescent="0.25"/>
    <row r="1048428" customFormat="1" x14ac:dyDescent="0.25"/>
    <row r="1048429" customFormat="1" x14ac:dyDescent="0.25"/>
    <row r="1048430" customFormat="1" x14ac:dyDescent="0.25"/>
    <row r="1048431" customFormat="1" x14ac:dyDescent="0.25"/>
    <row r="1048432" customFormat="1" x14ac:dyDescent="0.25"/>
    <row r="1048433" customFormat="1" x14ac:dyDescent="0.25"/>
    <row r="1048434" customFormat="1" x14ac:dyDescent="0.25"/>
    <row r="1048435" customFormat="1" x14ac:dyDescent="0.25"/>
    <row r="1048436" customFormat="1" x14ac:dyDescent="0.25"/>
    <row r="1048437" customFormat="1" x14ac:dyDescent="0.25"/>
    <row r="1048438" customFormat="1" x14ac:dyDescent="0.25"/>
    <row r="1048439" customFormat="1" x14ac:dyDescent="0.25"/>
    <row r="1048440" customFormat="1" x14ac:dyDescent="0.25"/>
    <row r="1048441" customFormat="1" x14ac:dyDescent="0.25"/>
    <row r="1048442" customFormat="1" x14ac:dyDescent="0.25"/>
    <row r="1048443" customFormat="1" x14ac:dyDescent="0.25"/>
    <row r="1048444" customFormat="1" x14ac:dyDescent="0.25"/>
    <row r="1048445" customFormat="1" x14ac:dyDescent="0.25"/>
    <row r="1048446" customFormat="1" x14ac:dyDescent="0.25"/>
    <row r="1048447" customFormat="1" x14ac:dyDescent="0.25"/>
    <row r="1048448" customFormat="1" x14ac:dyDescent="0.25"/>
    <row r="1048449" customFormat="1" x14ac:dyDescent="0.25"/>
    <row r="1048450" customFormat="1" x14ac:dyDescent="0.25"/>
    <row r="1048451" customFormat="1" x14ac:dyDescent="0.25"/>
    <row r="1048452" customFormat="1" x14ac:dyDescent="0.25"/>
    <row r="1048453" customFormat="1" x14ac:dyDescent="0.25"/>
    <row r="1048454" customFormat="1" x14ac:dyDescent="0.25"/>
    <row r="1048455" customFormat="1" x14ac:dyDescent="0.25"/>
    <row r="1048456" customFormat="1" x14ac:dyDescent="0.25"/>
    <row r="1048457" customFormat="1" x14ac:dyDescent="0.25"/>
    <row r="1048458" customFormat="1" x14ac:dyDescent="0.25"/>
    <row r="1048459" customFormat="1" x14ac:dyDescent="0.25"/>
    <row r="1048460" customFormat="1" x14ac:dyDescent="0.25"/>
    <row r="1048461" customFormat="1" x14ac:dyDescent="0.25"/>
    <row r="1048462" customFormat="1" x14ac:dyDescent="0.25"/>
    <row r="1048463" customFormat="1" x14ac:dyDescent="0.25"/>
    <row r="1048464" customFormat="1" x14ac:dyDescent="0.25"/>
    <row r="1048465" customFormat="1" x14ac:dyDescent="0.25"/>
    <row r="1048466" customFormat="1" x14ac:dyDescent="0.25"/>
    <row r="1048467" customFormat="1" x14ac:dyDescent="0.25"/>
    <row r="1048468" customFormat="1" x14ac:dyDescent="0.25"/>
    <row r="1048469" customFormat="1" x14ac:dyDescent="0.25"/>
    <row r="1048470" customFormat="1" x14ac:dyDescent="0.25"/>
    <row r="1048471" customFormat="1" x14ac:dyDescent="0.25"/>
    <row r="1048472" customFormat="1" x14ac:dyDescent="0.25"/>
    <row r="1048473" customFormat="1" x14ac:dyDescent="0.25"/>
    <row r="1048474" customFormat="1" x14ac:dyDescent="0.25"/>
    <row r="1048475" customFormat="1" x14ac:dyDescent="0.25"/>
    <row r="1048476" customFormat="1" x14ac:dyDescent="0.25"/>
    <row r="1048477" customFormat="1" x14ac:dyDescent="0.25"/>
    <row r="1048478" customFormat="1" x14ac:dyDescent="0.25"/>
    <row r="1048479" customFormat="1" x14ac:dyDescent="0.25"/>
    <row r="1048480" customFormat="1" x14ac:dyDescent="0.25"/>
    <row r="1048481" customFormat="1" x14ac:dyDescent="0.25"/>
    <row r="1048482" customFormat="1" x14ac:dyDescent="0.25"/>
    <row r="1048483" customFormat="1" x14ac:dyDescent="0.25"/>
    <row r="1048484" customFormat="1" x14ac:dyDescent="0.25"/>
    <row r="1048485" customFormat="1" x14ac:dyDescent="0.25"/>
    <row r="1048486" customFormat="1" x14ac:dyDescent="0.25"/>
    <row r="1048487" customFormat="1" x14ac:dyDescent="0.25"/>
    <row r="1048488" customFormat="1" x14ac:dyDescent="0.25"/>
    <row r="1048489" customFormat="1" x14ac:dyDescent="0.25"/>
    <row r="1048490" customFormat="1" x14ac:dyDescent="0.25"/>
    <row r="1048491" customFormat="1" x14ac:dyDescent="0.25"/>
    <row r="1048492" customFormat="1" x14ac:dyDescent="0.25"/>
    <row r="1048493" customFormat="1" x14ac:dyDescent="0.25"/>
    <row r="1048494" customFormat="1" x14ac:dyDescent="0.25"/>
    <row r="1048495" customFormat="1" x14ac:dyDescent="0.25"/>
    <row r="1048496" customFormat="1" x14ac:dyDescent="0.25"/>
    <row r="1048497" customFormat="1" x14ac:dyDescent="0.25"/>
    <row r="1048498" customFormat="1" x14ac:dyDescent="0.25"/>
    <row r="1048499" customFormat="1" x14ac:dyDescent="0.25"/>
    <row r="1048500" customFormat="1" x14ac:dyDescent="0.25"/>
    <row r="1048501" customFormat="1" x14ac:dyDescent="0.25"/>
    <row r="1048502" customFormat="1" x14ac:dyDescent="0.25"/>
    <row r="1048503" customFormat="1" x14ac:dyDescent="0.25"/>
    <row r="1048504" customFormat="1" x14ac:dyDescent="0.25"/>
    <row r="1048505" customFormat="1" x14ac:dyDescent="0.25"/>
    <row r="1048506" customFormat="1" x14ac:dyDescent="0.25"/>
    <row r="1048507" customFormat="1" x14ac:dyDescent="0.25"/>
    <row r="1048508" customFormat="1" x14ac:dyDescent="0.25"/>
    <row r="1048509" customFormat="1" x14ac:dyDescent="0.25"/>
    <row r="1048510" customFormat="1" x14ac:dyDescent="0.25"/>
    <row r="1048511" customFormat="1" x14ac:dyDescent="0.25"/>
    <row r="1048512" customFormat="1" x14ac:dyDescent="0.25"/>
    <row r="1048513" customFormat="1" x14ac:dyDescent="0.25"/>
    <row r="1048514" customFormat="1" x14ac:dyDescent="0.25"/>
    <row r="1048515" customFormat="1" x14ac:dyDescent="0.25"/>
    <row r="1048516" customFormat="1" x14ac:dyDescent="0.25"/>
    <row r="1048517" customFormat="1" x14ac:dyDescent="0.25"/>
    <row r="1048518" customFormat="1" x14ac:dyDescent="0.25"/>
    <row r="1048519" customFormat="1" x14ac:dyDescent="0.25"/>
    <row r="1048520" customFormat="1" x14ac:dyDescent="0.25"/>
    <row r="1048521" customFormat="1" x14ac:dyDescent="0.25"/>
    <row r="1048522" customFormat="1" x14ac:dyDescent="0.25"/>
    <row r="1048523" customFormat="1" x14ac:dyDescent="0.25"/>
    <row r="1048524" customFormat="1" x14ac:dyDescent="0.25"/>
    <row r="1048525" customFormat="1" x14ac:dyDescent="0.25"/>
    <row r="1048526" customFormat="1" x14ac:dyDescent="0.25"/>
    <row r="1048527" customFormat="1" x14ac:dyDescent="0.25"/>
    <row r="1048528" customFormat="1" x14ac:dyDescent="0.25"/>
    <row r="1048529" customFormat="1" x14ac:dyDescent="0.25"/>
    <row r="1048530" customFormat="1" x14ac:dyDescent="0.25"/>
    <row r="1048531" customFormat="1" x14ac:dyDescent="0.25"/>
    <row r="1048532" customFormat="1" x14ac:dyDescent="0.25"/>
    <row r="1048533" customFormat="1" x14ac:dyDescent="0.25"/>
    <row r="1048534" customFormat="1" x14ac:dyDescent="0.25"/>
    <row r="1048535" customFormat="1" x14ac:dyDescent="0.25"/>
    <row r="1048536" customFormat="1" x14ac:dyDescent="0.25"/>
    <row r="1048537" customFormat="1" x14ac:dyDescent="0.25"/>
    <row r="1048538" customFormat="1" x14ac:dyDescent="0.25"/>
    <row r="1048539" customFormat="1" x14ac:dyDescent="0.25"/>
    <row r="1048540" customFormat="1" x14ac:dyDescent="0.25"/>
    <row r="1048541" customFormat="1" x14ac:dyDescent="0.25"/>
    <row r="1048542" customFormat="1" x14ac:dyDescent="0.25"/>
    <row r="1048543" customFormat="1" x14ac:dyDescent="0.25"/>
    <row r="1048544" customFormat="1" x14ac:dyDescent="0.25"/>
    <row r="1048545" customFormat="1" x14ac:dyDescent="0.25"/>
    <row r="1048546" customFormat="1" x14ac:dyDescent="0.25"/>
    <row r="1048547" customFormat="1" x14ac:dyDescent="0.25"/>
    <row r="1048548" customFormat="1" x14ac:dyDescent="0.25"/>
    <row r="1048549" customFormat="1" x14ac:dyDescent="0.25"/>
    <row r="1048550" customFormat="1" x14ac:dyDescent="0.25"/>
    <row r="1048551" customFormat="1" x14ac:dyDescent="0.25"/>
    <row r="1048552" customFormat="1" x14ac:dyDescent="0.25"/>
    <row r="1048553" customFormat="1" x14ac:dyDescent="0.25"/>
    <row r="1048554" customFormat="1" x14ac:dyDescent="0.25"/>
    <row r="1048555" customFormat="1" x14ac:dyDescent="0.25"/>
    <row r="1048556" customFormat="1" x14ac:dyDescent="0.25"/>
    <row r="1048557" customFormat="1" x14ac:dyDescent="0.25"/>
    <row r="1048558" customFormat="1" x14ac:dyDescent="0.25"/>
    <row r="1048559" customFormat="1" x14ac:dyDescent="0.25"/>
    <row r="1048560" customFormat="1" x14ac:dyDescent="0.25"/>
    <row r="1048561" customFormat="1" x14ac:dyDescent="0.25"/>
    <row r="1048562" customFormat="1" x14ac:dyDescent="0.25"/>
    <row r="1048563" customFormat="1" x14ac:dyDescent="0.25"/>
    <row r="1048564" customFormat="1" x14ac:dyDescent="0.25"/>
    <row r="1048565" customFormat="1" x14ac:dyDescent="0.25"/>
    <row r="1048566" customFormat="1" x14ac:dyDescent="0.25"/>
    <row r="1048567" customFormat="1" x14ac:dyDescent="0.25"/>
    <row r="1048568" customFormat="1" x14ac:dyDescent="0.25"/>
    <row r="1048569" customFormat="1" x14ac:dyDescent="0.25"/>
    <row r="1048570" customFormat="1" x14ac:dyDescent="0.25"/>
    <row r="1048571" customFormat="1" x14ac:dyDescent="0.25"/>
    <row r="1048572" customFormat="1" x14ac:dyDescent="0.25"/>
    <row r="1048573" customFormat="1" x14ac:dyDescent="0.25"/>
    <row r="1048574" customFormat="1" x14ac:dyDescent="0.25"/>
    <row r="1048575" customFormat="1" x14ac:dyDescent="0.25"/>
  </sheetData>
  <phoneticPr fontId="2" type="noConversion"/>
  <pageMargins left="0.7" right="0.7" top="0.75" bottom="0.75" header="0.3" footer="0.3"/>
  <pageSetup paperSize="9" orientation="portrait" r:id="rId1"/>
  <extLst>
    <ext xmlns:x15="http://schemas.microsoft.com/office/spreadsheetml/2010/11/main" uri="{F7C9EE02-42E1-4005-9D12-6889AFFD525C}">
      <x15:webExtensions xmlns:xm="http://schemas.microsoft.com/office/excel/2006/main">
        <x15:webExtension appRef="{0891F6D2-825E-4233-986F-770C8AE71655}">
          <xm:f>Sheet1!1:1048576</xm:f>
        </x15:webExtension>
        <x15:webExtension appRef="{ADF08518-BC4C-4230-A75C-25AD98DD23DF}">
          <xm:f>Sheet1!XFD1048245:XFD1048270</xm:f>
        </x15:webExtension>
        <x15:webExtension appRef="{4578FECB-B30F-4E43-93EA-B4FC85801656}">
          <xm:f>Sheet1!#REF!</xm:f>
        </x15:webExtension>
        <x15:webExtension appRef="{26667A83-DC5F-4C3C-BD65-1438B5B176C1}">
          <xm:f>Sheet1!#REF!</xm:f>
        </x15:webExtension>
      </x15:webExtens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1ed5a0d-41d5-4a08-881d-a1e4960445b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690BD145823343AC98DEE53577DB7B" ma:contentTypeVersion="13" ma:contentTypeDescription="Create a new document." ma:contentTypeScope="" ma:versionID="b3ddec748d0d703b3bfc8def899fd1df">
  <xsd:schema xmlns:xsd="http://www.w3.org/2001/XMLSchema" xmlns:xs="http://www.w3.org/2001/XMLSchema" xmlns:p="http://schemas.microsoft.com/office/2006/metadata/properties" xmlns:ns3="11ed5a0d-41d5-4a08-881d-a1e4960445b9" xmlns:ns4="a7353423-1525-4abe-824a-6d92be46fa9e" targetNamespace="http://schemas.microsoft.com/office/2006/metadata/properties" ma:root="true" ma:fieldsID="f9573daf077380083ad9ffa55956d5fa" ns3:_="" ns4:_="">
    <xsd:import namespace="11ed5a0d-41d5-4a08-881d-a1e4960445b9"/>
    <xsd:import namespace="a7353423-1525-4abe-824a-6d92be46fa9e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ed5a0d-41d5-4a08-881d-a1e4960445b9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353423-1525-4abe-824a-6d92be46fa9e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B244590-99F1-47D6-9135-A90BEB9EAC62}">
  <ds:schemaRefs>
    <ds:schemaRef ds:uri="http://purl.org/dc/elements/1.1/"/>
    <ds:schemaRef ds:uri="http://schemas.microsoft.com/office/infopath/2007/PartnerControls"/>
    <ds:schemaRef ds:uri="http://purl.org/dc/terms/"/>
    <ds:schemaRef ds:uri="11ed5a0d-41d5-4a08-881d-a1e4960445b9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a7353423-1525-4abe-824a-6d92be46fa9e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5E0B4F8-5143-48FC-AFEA-61ECBFEA13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ed5a0d-41d5-4a08-881d-a1e4960445b9"/>
    <ds:schemaRef ds:uri="a7353423-1525-4abe-824a-6d92be46fa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3C2805B-7AD9-47B9-9920-4E1704FB0A9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INL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 Maia</dc:creator>
  <cp:lastModifiedBy>Rui Maia</cp:lastModifiedBy>
  <dcterms:created xsi:type="dcterms:W3CDTF">2024-03-26T13:17:46Z</dcterms:created>
  <dcterms:modified xsi:type="dcterms:W3CDTF">2025-10-29T15:31:03Z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0x01010005690BD145823343AC98DEE53577DB7B</vt:lpwstr>
  </property>
</Properties>
</file>