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dksa-my.sharepoint.com/personal/hsmohammed_iau_edu_sa/Documents/Documents/IMOGI/Talanta/"/>
    </mc:Choice>
  </mc:AlternateContent>
  <xr:revisionPtr revIDLastSave="2" documentId="8_{15DEEA7B-28F5-4256-B426-7C36B2A23762}" xr6:coauthVersionLast="47" xr6:coauthVersionMax="47" xr10:uidLastSave="{CB96E8DC-E763-4E1F-9D51-58E2408BB7EC}"/>
  <workbookProtection workbookAlgorithmName="SHA-512" workbookHashValue="UUAs4vFO/BzdbRQyQ8kYGPPtHvSVv+azUx1VFN+Zpem/Mld3Dhmp6lM2YH7+eXy2YjyZS7xMDj4x0dHScGLEEg==" workbookSaltValue="Q3fs3LuOB188JnlkatoXIw==" workbookSpinCount="100000" lockStructure="1"/>
  <bookViews>
    <workbookView xWindow="-108" yWindow="-108" windowWidth="23256" windowHeight="12576" xr2:uid="{00000000-000D-0000-FFFF-FFFF00000000}"/>
  </bookViews>
  <sheets>
    <sheet name="IMOG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7" i="3"/>
  <c r="O14" i="3"/>
  <c r="N14" i="3"/>
  <c r="M14" i="3"/>
  <c r="O12" i="3"/>
  <c r="N12" i="3"/>
  <c r="M12" i="3"/>
  <c r="O7" i="3"/>
  <c r="O8" i="3"/>
  <c r="N8" i="3"/>
  <c r="G8" i="3"/>
  <c r="N7" i="3"/>
  <c r="M7" i="3"/>
  <c r="G14" i="3" l="1"/>
  <c r="G13" i="3"/>
  <c r="G12" i="3"/>
  <c r="G11" i="3"/>
  <c r="G10" i="3"/>
  <c r="G6" i="3"/>
  <c r="G5" i="3"/>
  <c r="O13" i="3"/>
  <c r="N13" i="3"/>
  <c r="M13" i="3"/>
  <c r="O11" i="3"/>
  <c r="N11" i="3"/>
  <c r="M11" i="3"/>
  <c r="O10" i="3"/>
  <c r="N10" i="3"/>
  <c r="M10" i="3"/>
  <c r="O9" i="3"/>
  <c r="N9" i="3"/>
  <c r="M9" i="3"/>
  <c r="M5" i="3"/>
  <c r="O5" i="3"/>
  <c r="N5" i="3"/>
  <c r="O6" i="3"/>
  <c r="N6" i="3"/>
  <c r="M6" i="3"/>
  <c r="M8" i="3"/>
  <c r="V14" i="3" l="1"/>
  <c r="V13" i="3"/>
  <c r="V12" i="3"/>
  <c r="V11" i="3"/>
  <c r="V9" i="3"/>
  <c r="V8" i="3"/>
  <c r="V7" i="3"/>
  <c r="V6" i="3"/>
  <c r="V5" i="3"/>
  <c r="F17" i="3"/>
  <c r="F21" i="3" l="1"/>
  <c r="V10" i="3"/>
  <c r="F20" i="3"/>
  <c r="F22" i="3"/>
  <c r="G15" i="3"/>
  <c r="G16" i="3" s="1"/>
  <c r="Y12" i="3" l="1"/>
  <c r="J8" i="3"/>
  <c r="T16" i="3"/>
  <c r="T15" i="3"/>
</calcChain>
</file>

<file path=xl/sharedStrings.xml><?xml version="1.0" encoding="utf-8"?>
<sst xmlns="http://schemas.openxmlformats.org/spreadsheetml/2006/main" count="96" uniqueCount="84">
  <si>
    <t>Score</t>
  </si>
  <si>
    <t>Uses completely new reagents, nanomaterials, or selective probes (e.g., graphene, nanostructures, NADES, carbon dots, MIPs, etc.</t>
  </si>
  <si>
    <t>Partially automated (some manual steps remain)</t>
  </si>
  <si>
    <t xml:space="preserve">Fully automated workflow with minimal human intervention (e.g. robotic systems, online analyses etc.) </t>
  </si>
  <si>
    <t>Entirely manual (e.g. classical liquid-liquid extraction, manual SPE)</t>
  </si>
  <si>
    <t>Conventional large-scale system</t>
  </si>
  <si>
    <t>Partially miniaturized, e.g. SPME, MEPS, DLLME for sample preparation, and/or compact or benchtop instruments e.g., compact GC or benchtop mass spectrometers etc.</t>
  </si>
  <si>
    <t>Fully integrates AI, ML, or advanced digital analytics for prediction, optimization, data interpretation, or automated decision-making. Examples: AI-assisted modeling, predictive algorithms, big data analytics, blockchain-enabled traceability, or software with adaptive learning.</t>
  </si>
  <si>
    <t>Uses digital or computational tools in a modified, enhanced, or extended way for limited tasks such as calibration, trend detection, or data visualization. Examples: using chemometric models or improved statistical software.</t>
  </si>
  <si>
    <t>Uses standard or routine data processing or software without digital enhancement. Conventional tools applied in a typical manner (e.g., basic Excel statistics or manual data handling).</t>
  </si>
  <si>
    <t>Designed for easy upgrade and integration (e.g. modular microfluidic device with API-ready control system)</t>
  </si>
  <si>
    <t>Adaptable with some modifications (e.g. analytical platform with partial scripting or remote access capability)</t>
  </si>
  <si>
    <t>Not adaptable, requires redesign (e.g. manual titration setup with no electronic interface)</t>
  </si>
  <si>
    <t>Fully miniaturized, uses lab-on-a-chip, sensors, microfluidics, or portable miniaturized system</t>
  </si>
  <si>
    <t>Routine normal application; applies an established method without significant change (e.g., standard ELISA).</t>
  </si>
  <si>
    <t>Modifies an existing method in a meaningful way; extends method to new contexts (e.g., improved microfluidic assay for better throughput, modified SPE sorbent).</t>
  </si>
  <si>
    <t>Entirely new approach, principle, technology, or theoretical framework; investigates previously unexplored analytes or matrices; investigates previously unexplored analytes or matrices</t>
  </si>
  <si>
    <t>Adapts known reagents or materials in a slightly innovative way (e.g., modified SPE sorbent).</t>
  </si>
  <si>
    <t xml:space="preserve">Uses conventional materials or reagents (e.g. standard antibodies or common solvents like methanol, acetonitrile, etc.) </t>
  </si>
  <si>
    <t>Uses a second field to support or enhance the method, but core analysis remains conventional (e.g.,  incorporating chemometrics to improve chromatographic interpretation; using engineering expertise for automated sampling)</t>
  </si>
  <si>
    <t>Stays within a single field with no meaningful integration (e.g., routine GC/HPLC, standard extraction procedure)</t>
  </si>
  <si>
    <t>Fully remote or cloud-controllable; users can operate, monitor, and analyze data from any location in real time.</t>
  </si>
  <si>
    <t>Limited remote access or partial features; some data or control functions are available remotely, but key operations require on-site intervention (e.g., semi-automated GC system with web monitoring).</t>
  </si>
  <si>
    <t>On-site manual operation only; no digital or network connectivity for remote control or monitoring (e.g. Standalone spectrophotometer or manual titration system without internet or wireless capability)</t>
  </si>
  <si>
    <t>Method applies all relevant green and white chemistry principles; systematically uses metrics/indexes (AGREE, AGREEprep, MoGAPI, BAGI, RAPI) to assess performance</t>
  </si>
  <si>
    <t>Method applies few principles; metrics/indexes may be used inconsistently (only 1 0r 2).</t>
  </si>
  <si>
    <t>Method does not apply any green or white chemistry principle; metrics/indexes not used.</t>
  </si>
  <si>
    <t>Moderate improvement in speed/ reproducibility, or throughput</t>
  </si>
  <si>
    <t>Substantially faster, more reproducible and higher throughput than conventional methods</t>
  </si>
  <si>
    <t>Questions</t>
  </si>
  <si>
    <t>Fully integrates two or more fields to create new capabilities or innovative approaches leading to genuine cross-field advancement. (e.g.,  Chemistry + Microfluidics → lab-on-a-chip systems; Biology + Materials Science → biosensors using nanomaterials; Analytical Chemistry + AI → predictive or adaptive data analysis)</t>
  </si>
  <si>
    <t>Response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</si>
  <si>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</si>
  <si>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</si>
  <si>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</si>
  <si>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</si>
  <si>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</si>
  <si>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</si>
  <si>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</si>
  <si>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</si>
  <si>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</si>
  <si>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</si>
  <si>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 xml:space="preserve">Fully,Partially,Conventional  </t>
  </si>
  <si>
    <t xml:space="preserve">Fully , Partially , Entirely </t>
  </si>
  <si>
    <t>Fully, Limited, manual</t>
  </si>
  <si>
    <t>Fully integrates,Uses digital, Uses standard</t>
  </si>
  <si>
    <t>Designed,Adaptable,Not</t>
  </si>
  <si>
    <t>New,Existing,Routine</t>
  </si>
  <si>
    <t>new reagents,known reagents,conventional</t>
  </si>
  <si>
    <t>score 0-2</t>
  </si>
  <si>
    <t>Count</t>
  </si>
  <si>
    <t>Full (2)</t>
  </si>
  <si>
    <t>Partial (1)</t>
  </si>
  <si>
    <t>None (0)</t>
  </si>
  <si>
    <t>Fully integrates AI or advanced digital analytics,Uses digital or computational tools in a modified or extended way,Uses standard or routine data processing or software without digital enhancement</t>
  </si>
  <si>
    <t>Entirely new approach, principle, technology, or theoretical framework,Modifies an existing method in a meaningful way or extends method to new contexts,Routine normal application or applies an established method without significant change</t>
  </si>
  <si>
    <t>Uses completely new reagents, nanomaterials, or selective probes, Adapts known reagents or materials in a slightly innovative way,Uses conventional materials or reagents</t>
  </si>
  <si>
    <t>Comparable or worse performance/no significant gains</t>
  </si>
  <si>
    <t>Substantially faster, more reproducible and higher throughput than conventional methods,Moderate improvement in speed/ reproducibility, or throughput,Comparable or worse performance</t>
  </si>
  <si>
    <t>Fully integrates two or more fields to create new capabilities or innovative approaches leading to genuine cross-field advancement,Uses a second field to support or enhance the method, but core analysis remains conventional,Stays within a single field with no meaningful integration</t>
  </si>
  <si>
    <t>Considers all analytical chemistry principles, metrics or indexes, Applies few analytical chemistry principles, metrics or indexes,Does not apply any chemistry principles, metrics or indexes</t>
  </si>
  <si>
    <t>IMOGI (Innovative Method Orange Gradient Index)</t>
  </si>
  <si>
    <t>How adaptable or scalable is the method for future AI, automation integration or application to new analytes or matrices?</t>
  </si>
  <si>
    <t>To what extent is the analytical process automated, including sample preparation, instrumental analysis, and data processing?"</t>
  </si>
  <si>
    <t>To what extent is the analytical system miniaturized or based on micro-scale or nano-scale technology?</t>
  </si>
  <si>
    <t>To what extent does the method employ advanced instrumentation for sample preparation or analysis?</t>
  </si>
  <si>
    <t>To what extent does the method utilize advanced digital tools, data analytics, or artificial intelligence (AI/ML) for analysis, optimization, or interpretation?</t>
  </si>
  <si>
    <t>To what extent does the method introduce a novel concept, principle, or mechanism?</t>
  </si>
  <si>
    <t>To what extent does the method utilize novel reagents, materials, or probes?</t>
  </si>
  <si>
    <t>To what extent does the method improve efficiency, throughput, or overall performance compared to existing methods?</t>
  </si>
  <si>
    <t>To what extent does the method integrate knowledge from multiple scientific fields or foster interdisciplinary collaboration?</t>
  </si>
  <si>
    <t>To what extent does the analytical method consider the principles of green and white analytical chemistry and incorporate recognized evaluation metrics or indexes (e.g. AGREE, AGREEprep, MoGAPI, BAGI, RAPI)?</t>
  </si>
  <si>
    <t>Fully miniaturized</t>
  </si>
  <si>
    <t>Designed for easy upgrade and integration</t>
  </si>
  <si>
    <t>Uses completely new reagents/nanomaterials/selective probes</t>
  </si>
  <si>
    <t>Fully intergrates two or more fields to create new capabilities or innovative approaches leading to genuine advancement</t>
  </si>
  <si>
    <t>Fully advanced technologies utilized (e.g. MS/MS)</t>
  </si>
  <si>
    <t>Fully integrates AI or advanced digital analytics</t>
  </si>
  <si>
    <t>Entirely new approach/principle/technology</t>
  </si>
  <si>
    <t>Substantially faster/more senstive/higher throughput than conventional methods</t>
  </si>
  <si>
    <t>Considers all principles/many metrics are used</t>
  </si>
  <si>
    <t>fdsd</t>
  </si>
  <si>
    <t>v</t>
  </si>
  <si>
    <t>Fully automated with minimal human intervension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</si>
</sst>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Arial Unicode MS"/>
    </font>
    <font>
      <b/>
      <sz val="18"/>
      <color theme="9" tint="-0.249977111117893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b/>
      <sz val="3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4F81BD"/>
      <color rgb="FF2AF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502440750452E-2"/>
          <c:y val="0.1139190180010337"/>
          <c:w val="0.86997648490538704"/>
          <c:h val="0.84281858704506218"/>
        </c:manualLayout>
      </c:layout>
      <c:doughnut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18-4AAA-B35D-013F606B29F1}"/>
              </c:ext>
            </c:extLst>
          </c:dPt>
          <c:dPt>
            <c:idx val="1"/>
            <c:bubble3D val="0"/>
            <c:explosion val="2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18-4AAA-B35D-013F606B29F1}"/>
              </c:ext>
            </c:extLst>
          </c:dPt>
          <c:val>
            <c:numRef>
              <c:f>IMOGI!$M$5:$O$5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8-4AAA-B35D-013F606B29F1}"/>
            </c:ext>
          </c:extLst>
        </c:ser>
        <c:ser>
          <c:idx val="1"/>
          <c:order val="1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C18-4AAA-B35D-013F606B29F1}"/>
              </c:ext>
            </c:extLst>
          </c:dPt>
          <c:val>
            <c:numRef>
              <c:f>IMOGI!$M$6:$O$6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8-4AAA-B35D-013F606B29F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C18-4AAA-B35D-013F606B29F1}"/>
              </c:ext>
            </c:extLst>
          </c:dPt>
          <c:val>
            <c:numRef>
              <c:f>IMOGI!$M$7:$O$7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18-4AAA-B35D-013F606B29F1}"/>
            </c:ext>
          </c:extLst>
        </c:ser>
        <c:ser>
          <c:idx val="3"/>
          <c:order val="3"/>
          <c:spPr>
            <a:solidFill>
              <a:schemeClr val="accent6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350-4DEB-AA2F-77433682E0FC}"/>
              </c:ext>
            </c:extLst>
          </c:dPt>
          <c:val>
            <c:numRef>
              <c:f>IMOGI!$M$8:$O$8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18-4AAA-B35D-013F606B29F1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C18-4AAA-B35D-013F606B29F1}"/>
              </c:ext>
            </c:extLst>
          </c:dPt>
          <c:val>
            <c:numRef>
              <c:f>IMOGI!$M$9:$O$9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18-4AAA-B35D-013F606B29F1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C18-4AAA-B35D-013F606B29F1}"/>
              </c:ext>
            </c:extLst>
          </c:dPt>
          <c:val>
            <c:numRef>
              <c:f>IMOGI!$M$10:$O$10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C18-4AAA-B35D-013F606B29F1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C18-4AAA-B35D-013F606B29F1}"/>
              </c:ext>
            </c:extLst>
          </c:dPt>
          <c:val>
            <c:numRef>
              <c:f>IMOGI!$M$11:$O$11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C18-4AAA-B35D-013F606B29F1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C18-4AAA-B35D-013F606B29F1}"/>
              </c:ext>
            </c:extLst>
          </c:dPt>
          <c:val>
            <c:numRef>
              <c:f>IMOGI!$M$12:$O$12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C18-4AAA-B35D-013F606B29F1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C18-4AAA-B35D-013F606B29F1}"/>
              </c:ext>
            </c:extLst>
          </c:dPt>
          <c:val>
            <c:numRef>
              <c:f>IMOGI!$M$13:$O$13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C18-4AAA-B35D-013F606B29F1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C18-4AAA-B35D-013F606B29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C18-4AAA-B35D-013F606B29F1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C18-4AAA-B35D-013F606B29F1}"/>
              </c:ext>
            </c:extLst>
          </c:dPt>
          <c:val>
            <c:numRef>
              <c:f>IMOGI!$M$14:$O$14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C18-4AAA-B35D-013F606B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3"/>
        <c:holeSize val="2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253999</xdr:colOff>
      <xdr:row>2</xdr:row>
      <xdr:rowOff>131097</xdr:rowOff>
    </xdr:from>
    <xdr:to>
      <xdr:col>12</xdr:col>
      <xdr:colOff>213029</xdr:colOff>
      <xdr:row>11</xdr:row>
      <xdr:rowOff>409680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6FE545-8253-5C74-37E9-9876D6AE8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3897-AB25-4BE4-9297-F3093ADDBD08}">
  <sheetPr codeName="Sheet3"/>
  <dimension ref="D1:AL24"/>
  <sheetViews>
    <sheetView showGridLines="0" tabSelected="1" topLeftCell="C1" zoomScale="93" workbookViewId="0">
      <selection activeCell="F15" sqref="F15"/>
    </sheetView>
  </sheetViews>
  <sheetFormatPr defaultRowHeight="15.6"/>
  <cols>
    <col min="4" max="4" width="8.88671875" style="22"/>
    <col min="5" max="5" width="42" style="12" customWidth="1"/>
    <col min="6" max="6" width="82.33203125" style="11" customWidth="1"/>
    <col min="7" max="7" width="12.5546875" style="36" customWidth="1"/>
    <col min="8" max="12" width="12.5546875" style="6" customWidth="1"/>
    <col min="13" max="19" width="12.5546875" style="25" customWidth="1"/>
    <col min="20" max="20" width="6.44140625" style="2" customWidth="1"/>
    <col min="21" max="21" width="22" style="27" customWidth="1"/>
    <col min="22" max="22" width="15.33203125" style="27" customWidth="1"/>
    <col min="23" max="23" width="29.6640625" style="2" customWidth="1"/>
    <col min="24" max="24" width="20.44140625" style="2" customWidth="1"/>
    <col min="25" max="25" width="32.21875" style="2" customWidth="1"/>
    <col min="26" max="26" width="23.44140625" style="2" customWidth="1"/>
    <col min="27" max="27" width="15.6640625" style="2" customWidth="1"/>
    <col min="28" max="28" width="17.109375" style="2" customWidth="1"/>
    <col min="29" max="29" width="13.5546875" style="2" customWidth="1"/>
    <col min="30" max="30" width="18.88671875" style="2" customWidth="1"/>
    <col min="31" max="31" width="16.5546875" style="2" customWidth="1"/>
    <col min="32" max="32" width="16.109375" style="2" customWidth="1"/>
    <col min="33" max="36" width="8.88671875" style="2"/>
  </cols>
  <sheetData>
    <row r="1" spans="4:38" ht="15.6" customHeight="1">
      <c r="E1" s="39" t="s">
        <v>61</v>
      </c>
      <c r="F1" s="40"/>
      <c r="G1" s="36" t="s">
        <v>82</v>
      </c>
    </row>
    <row r="2" spans="4:38" ht="15.6" customHeight="1">
      <c r="E2" s="40"/>
      <c r="F2" s="40"/>
    </row>
    <row r="4" spans="4:38">
      <c r="E4" s="9" t="s">
        <v>29</v>
      </c>
      <c r="F4" s="20" t="s">
        <v>31</v>
      </c>
      <c r="G4" s="37" t="s">
        <v>0</v>
      </c>
      <c r="H4" s="7"/>
      <c r="I4" s="7"/>
      <c r="J4" s="7"/>
      <c r="K4" s="7"/>
      <c r="L4" s="7"/>
      <c r="M4" s="26"/>
      <c r="N4" s="26"/>
      <c r="O4" s="26"/>
      <c r="P4" s="26"/>
      <c r="Q4" s="26"/>
      <c r="R4" s="26"/>
      <c r="S4" s="26"/>
      <c r="U4" s="28" t="s">
        <v>29</v>
      </c>
      <c r="V4" s="27" t="s">
        <v>49</v>
      </c>
      <c r="W4" s="2" t="s">
        <v>32</v>
      </c>
      <c r="X4" s="2" t="s">
        <v>33</v>
      </c>
      <c r="Y4" s="2" t="s">
        <v>34</v>
      </c>
      <c r="Z4" s="2" t="s">
        <v>35</v>
      </c>
      <c r="AA4" s="2" t="s">
        <v>36</v>
      </c>
      <c r="AB4" s="2" t="s">
        <v>37</v>
      </c>
      <c r="AC4" s="2" t="s">
        <v>38</v>
      </c>
      <c r="AD4" s="2" t="s">
        <v>39</v>
      </c>
      <c r="AE4" s="2" t="s">
        <v>40</v>
      </c>
      <c r="AF4" s="2" t="s">
        <v>41</v>
      </c>
    </row>
    <row r="5" spans="4:38" ht="58.8" customHeight="1">
      <c r="D5" s="22">
        <v>1</v>
      </c>
      <c r="E5" s="10" t="s">
        <v>63</v>
      </c>
      <c r="F5" s="21" t="s">
        <v>83</v>
      </c>
      <c r="G5" s="38">
        <f>IF(ISNUMBER(SEARCH("Fully",F5)),2,IF(ISNUMBER(SEARCH("Partially",F5)),1,IF(ISNUMBER(SEARCH("Entirely",F5)),0,"No Match")))</f>
        <v>2</v>
      </c>
      <c r="H5" s="8"/>
      <c r="I5" s="8"/>
      <c r="J5" s="8"/>
      <c r="K5" s="8"/>
      <c r="L5" s="8"/>
      <c r="M5" s="27">
        <f>IF(F5="Fully automated with minimal human intervension",1,0)</f>
        <v>1</v>
      </c>
      <c r="N5" s="27">
        <f>IF(F5="Partially automated",1,0)</f>
        <v>0</v>
      </c>
      <c r="O5" s="27">
        <f>IF(F5="Entirely manual",1,0)</f>
        <v>0</v>
      </c>
      <c r="P5" s="27"/>
      <c r="Q5" s="27"/>
      <c r="R5" s="27"/>
      <c r="S5" s="27"/>
      <c r="U5" s="29" t="s">
        <v>32</v>
      </c>
      <c r="V5" s="27">
        <f t="shared" ref="V5:V14" si="0">G5</f>
        <v>2</v>
      </c>
      <c r="W5" s="3" t="s">
        <v>3</v>
      </c>
      <c r="X5" s="3" t="s">
        <v>13</v>
      </c>
      <c r="Y5" s="3" t="s">
        <v>21</v>
      </c>
      <c r="Z5" s="3" t="s">
        <v>7</v>
      </c>
      <c r="AA5" s="3" t="s">
        <v>10</v>
      </c>
      <c r="AB5" s="3" t="s">
        <v>16</v>
      </c>
      <c r="AC5" s="3" t="s">
        <v>1</v>
      </c>
      <c r="AD5" s="3" t="s">
        <v>28</v>
      </c>
      <c r="AE5" s="5" t="s">
        <v>30</v>
      </c>
      <c r="AF5" s="3" t="s">
        <v>24</v>
      </c>
      <c r="AG5" s="30"/>
      <c r="AH5" s="31"/>
      <c r="AI5" s="30"/>
      <c r="AJ5" s="30"/>
      <c r="AK5" s="1"/>
      <c r="AL5" s="1"/>
    </row>
    <row r="6" spans="4:38" ht="52.8" customHeight="1">
      <c r="D6" s="22">
        <v>2</v>
      </c>
      <c r="E6" s="10" t="s">
        <v>64</v>
      </c>
      <c r="F6" s="21" t="s">
        <v>72</v>
      </c>
      <c r="G6" s="36">
        <f>IF(ISNUMBER(SEARCH("Fully",F6)),2,IF(ISNUMBER(SEARCH("Partially",F6)),1,IF(ISNUMBER(SEARCH("Conventional",F6)),0,"No Match")))</f>
        <v>2</v>
      </c>
      <c r="M6" s="27">
        <f>IF(F6="Fully miniaturized",1,0)</f>
        <v>1</v>
      </c>
      <c r="N6" s="27">
        <f>IF(F6="Partially miniaturized",1,0)</f>
        <v>0</v>
      </c>
      <c r="O6" s="27">
        <f>IF(F6="Conventional large-scale system",1,0)</f>
        <v>0</v>
      </c>
      <c r="P6" s="27"/>
      <c r="Q6" s="27"/>
      <c r="R6" s="27"/>
      <c r="S6" s="27"/>
      <c r="U6" s="29" t="s">
        <v>33</v>
      </c>
      <c r="V6" s="27">
        <f t="shared" si="0"/>
        <v>2</v>
      </c>
      <c r="W6" s="3" t="s">
        <v>2</v>
      </c>
      <c r="X6" s="3" t="s">
        <v>6</v>
      </c>
      <c r="Y6" s="3" t="s">
        <v>22</v>
      </c>
      <c r="Z6" s="3" t="s">
        <v>8</v>
      </c>
      <c r="AA6" s="3" t="s">
        <v>11</v>
      </c>
      <c r="AB6" s="3" t="s">
        <v>15</v>
      </c>
      <c r="AC6" s="3" t="s">
        <v>17</v>
      </c>
      <c r="AD6" s="3" t="s">
        <v>27</v>
      </c>
      <c r="AE6" s="5" t="s">
        <v>19</v>
      </c>
      <c r="AF6" s="3" t="s">
        <v>25</v>
      </c>
      <c r="AG6" s="30"/>
      <c r="AH6" s="30"/>
      <c r="AI6" s="30"/>
      <c r="AJ6" s="30"/>
      <c r="AK6" s="1"/>
      <c r="AL6" s="1"/>
    </row>
    <row r="7" spans="4:38" ht="57" customHeight="1">
      <c r="D7" s="22">
        <v>3</v>
      </c>
      <c r="E7" s="10" t="s">
        <v>65</v>
      </c>
      <c r="F7" s="21" t="s">
        <v>76</v>
      </c>
      <c r="G7" s="36">
        <f>IF(ISNUMBER(SEARCH("Fully advanced",F7)),2,IF(ISNUMBER(SEARCH("Partially",F7)),1,IF(ISNUMBER(SEARCH("Only",F7)),0,"No Match")))</f>
        <v>2</v>
      </c>
      <c r="M7" s="27">
        <f>IF(F7="Fully advanced technologies utilized (e.g. MS/MS)",1,0)</f>
        <v>1</v>
      </c>
      <c r="N7" s="27">
        <f>IF(F7="Partially advanced technologies (e.g. UHPLC)",1,0)</f>
        <v>0</v>
      </c>
      <c r="O7" s="27">
        <f>IF(F7="Only conventional technologies (e.g. standard HPLC-UV)",1,0)</f>
        <v>0</v>
      </c>
      <c r="P7" s="27"/>
      <c r="Q7" s="27"/>
      <c r="R7" s="27"/>
      <c r="S7" s="27"/>
      <c r="U7" s="29" t="s">
        <v>34</v>
      </c>
      <c r="V7" s="27">
        <f t="shared" si="0"/>
        <v>2</v>
      </c>
      <c r="W7" s="3" t="s">
        <v>4</v>
      </c>
      <c r="X7" s="3" t="s">
        <v>5</v>
      </c>
      <c r="Y7" s="3" t="s">
        <v>23</v>
      </c>
      <c r="Z7" s="3" t="s">
        <v>9</v>
      </c>
      <c r="AA7" s="3" t="s">
        <v>12</v>
      </c>
      <c r="AB7" s="3" t="s">
        <v>14</v>
      </c>
      <c r="AC7" s="3" t="s">
        <v>18</v>
      </c>
      <c r="AD7" s="3" t="s">
        <v>57</v>
      </c>
      <c r="AE7" s="5" t="s">
        <v>20</v>
      </c>
      <c r="AF7" s="3" t="s">
        <v>26</v>
      </c>
      <c r="AG7" s="30"/>
      <c r="AH7" s="30"/>
      <c r="AI7" s="30"/>
      <c r="AJ7" s="30"/>
      <c r="AK7" s="1"/>
      <c r="AL7" s="1"/>
    </row>
    <row r="8" spans="4:38" ht="69.599999999999994" customHeight="1">
      <c r="D8" s="22">
        <v>4</v>
      </c>
      <c r="E8" s="10" t="s">
        <v>66</v>
      </c>
      <c r="F8" s="21" t="s">
        <v>77</v>
      </c>
      <c r="G8" s="36">
        <f>IF(ISNUMBER(SEARCH("Fully",F8)),2,IF(ISNUMBER(SEARCH("computational",F8)),1,IF(ISNUMBER(SEARCH("standard",F8)),0,"No Match")))</f>
        <v>2</v>
      </c>
      <c r="J8" s="24">
        <f>G16</f>
        <v>100</v>
      </c>
      <c r="M8" s="27">
        <f>IF(F8="Fully integrates AI or advanced digital analytics",1,0)</f>
        <v>1</v>
      </c>
      <c r="N8" s="27">
        <f>IF(F8="Uses computational tools in a limited way",1,0)</f>
        <v>0</v>
      </c>
      <c r="O8" s="27">
        <f>IF(F8="Uses standard or routine data processing or software",1,0)</f>
        <v>0</v>
      </c>
      <c r="P8" s="27"/>
      <c r="Q8" s="27"/>
      <c r="R8" s="27"/>
      <c r="S8" s="27"/>
      <c r="U8" s="29" t="s">
        <v>35</v>
      </c>
      <c r="V8" s="27">
        <f t="shared" si="0"/>
        <v>2</v>
      </c>
    </row>
    <row r="9" spans="4:38" ht="58.2" customHeight="1">
      <c r="D9" s="22">
        <v>5</v>
      </c>
      <c r="E9" s="10" t="s">
        <v>62</v>
      </c>
      <c r="F9" s="21" t="s">
        <v>73</v>
      </c>
      <c r="G9" s="36">
        <f>IF(ISNUMBER(SEARCH("Designed for easy upgrade and integration",F9)),2,IF(ISNUMBER(SEARCH("Adaptable with some modifications",F9)),1,IF(ISNUMBER(SEARCH("Not adaptable and requires redesign",F9)),0,"No Match")))</f>
        <v>2</v>
      </c>
      <c r="M9" s="27">
        <f>IF(F9="Designed for easy upgrade and integration",1,0)</f>
        <v>1</v>
      </c>
      <c r="N9" s="27">
        <f>IF(F9="Adaptable with some modifications",1,0)</f>
        <v>0</v>
      </c>
      <c r="O9" s="32">
        <f>IF(F9="Not adaptable and requires redesign",1,0)</f>
        <v>0</v>
      </c>
      <c r="P9" s="32"/>
      <c r="Q9" s="32"/>
      <c r="S9" s="32"/>
      <c r="U9" s="29" t="s">
        <v>36</v>
      </c>
      <c r="V9" s="27">
        <f t="shared" si="0"/>
        <v>2</v>
      </c>
      <c r="W9" s="3" t="s">
        <v>43</v>
      </c>
      <c r="X9" s="3" t="s">
        <v>42</v>
      </c>
      <c r="Y9" s="4" t="s">
        <v>44</v>
      </c>
      <c r="Z9" s="4" t="s">
        <v>45</v>
      </c>
      <c r="AA9" s="4" t="s">
        <v>46</v>
      </c>
      <c r="AB9" s="3" t="s">
        <v>47</v>
      </c>
      <c r="AC9" s="3" t="s">
        <v>48</v>
      </c>
    </row>
    <row r="10" spans="4:38" ht="40.799999999999997" customHeight="1">
      <c r="D10" s="22">
        <v>6</v>
      </c>
      <c r="E10" s="10" t="s">
        <v>67</v>
      </c>
      <c r="F10" s="21" t="s">
        <v>78</v>
      </c>
      <c r="G10" s="36">
        <f>IF(ISNUMBER(SEARCH("Entirely",F10)),2,IF(ISNUMBER(SEARCH("existing",F10)),1,IF(ISNUMBER(SEARCH("Routine",F10)),0,"No Match")))</f>
        <v>2</v>
      </c>
      <c r="M10" s="27">
        <f>IF(F10="Entirely new approach/principle/technology",1,0)</f>
        <v>1</v>
      </c>
      <c r="N10" s="27">
        <f>IF(F10="Modifies an existing method in a meaningful way or extends method to new contexts",1,0)</f>
        <v>0</v>
      </c>
      <c r="O10" s="27">
        <f>IF(F10="Routine application and applies an established method without significant change",1,0)</f>
        <v>0</v>
      </c>
      <c r="P10" s="27"/>
      <c r="Q10" s="27"/>
      <c r="S10" s="27"/>
      <c r="U10" s="29" t="s">
        <v>37</v>
      </c>
      <c r="V10" s="27">
        <f t="shared" si="0"/>
        <v>2</v>
      </c>
      <c r="W10" s="3"/>
      <c r="X10" s="3"/>
    </row>
    <row r="11" spans="4:38" ht="36" customHeight="1">
      <c r="D11" s="22">
        <v>7</v>
      </c>
      <c r="E11" s="10" t="s">
        <v>68</v>
      </c>
      <c r="F11" s="21" t="s">
        <v>74</v>
      </c>
      <c r="G11" s="36">
        <f>IF(ISNUMBER(SEARCH("completely",F11)),2,IF(ISNUMBER(SEARCH("known",F11)),1,IF(ISNUMBER(SEARCH("conventional",F11)),0,"No Match")))</f>
        <v>2</v>
      </c>
      <c r="M11" s="27">
        <f>IF(F11="Uses completely new reagents/nanomaterials/selective probes",1,0)</f>
        <v>1</v>
      </c>
      <c r="N11" s="27">
        <f>IF(F11="Adapts known reagents or materials in a slightly innovative way",1,0)</f>
        <v>0</v>
      </c>
      <c r="O11" s="27">
        <f>IF(F11="Uses conventional materials or reagents",1,0)</f>
        <v>0</v>
      </c>
      <c r="P11" s="27"/>
      <c r="Q11" s="27"/>
      <c r="R11" s="27"/>
      <c r="S11" s="27"/>
      <c r="U11" s="29" t="s">
        <v>38</v>
      </c>
      <c r="V11" s="27">
        <f t="shared" si="0"/>
        <v>2</v>
      </c>
      <c r="W11" s="3"/>
      <c r="X11" s="3"/>
      <c r="Z11" s="2" t="s">
        <v>54</v>
      </c>
    </row>
    <row r="12" spans="4:38" ht="64.8" customHeight="1">
      <c r="D12" s="22">
        <v>8</v>
      </c>
      <c r="E12" s="10" t="s">
        <v>69</v>
      </c>
      <c r="F12" s="21" t="s">
        <v>79</v>
      </c>
      <c r="G12" s="36">
        <f>IF(ISNUMBER(SEARCH("faster",F12)),2,IF(ISNUMBER(SEARCH("Moderate",F12)),1,IF(ISNUMBER(SEARCH("Comparable",F12)),0,"No Match")))</f>
        <v>2</v>
      </c>
      <c r="M12" s="27">
        <f>IF(F12="Substantially faster/more senstive/higher throughput than conventional methods",1,0)</f>
        <v>1</v>
      </c>
      <c r="N12" s="27">
        <f>IF(F12="Moderate improvement in method performance (speed/senstivity/throughput)",1,0)</f>
        <v>0</v>
      </c>
      <c r="O12" s="27">
        <f>IF(F12="Comparable or worse performance",1,0)</f>
        <v>0</v>
      </c>
      <c r="P12" s="27"/>
      <c r="Q12" s="27"/>
      <c r="R12" s="27"/>
      <c r="S12" s="27"/>
      <c r="U12" s="29" t="s">
        <v>39</v>
      </c>
      <c r="V12" s="27">
        <f t="shared" si="0"/>
        <v>2</v>
      </c>
      <c r="W12" s="3"/>
      <c r="Y12" s="33">
        <f>G16</f>
        <v>100</v>
      </c>
      <c r="Z12" s="2" t="s">
        <v>55</v>
      </c>
    </row>
    <row r="13" spans="4:38" ht="60.6" customHeight="1">
      <c r="D13" s="22">
        <v>9</v>
      </c>
      <c r="E13" s="10" t="s">
        <v>70</v>
      </c>
      <c r="F13" s="23" t="s">
        <v>75</v>
      </c>
      <c r="G13" s="36">
        <f>IF(ISNUMBER(SEARCH("Fully",F13)),2,IF(ISNUMBER(SEARCH("second",F13)),1,IF(ISNUMBER(SEARCH("Stays",F13)),0,"No Match")))</f>
        <v>2</v>
      </c>
      <c r="M13" s="27">
        <f>IF(F13="Fully intergrates two or more fields to create new capabilities or innovative approaches leading to genuine advancement",1,0)</f>
        <v>1</v>
      </c>
      <c r="N13" s="27">
        <f>IF(F13="Uses a second field to enhance the method but core analysis remains conventional",1,0)</f>
        <v>0</v>
      </c>
      <c r="O13" s="27">
        <f>IF(F13="Stays within a single field whith no integration",1,0)</f>
        <v>0</v>
      </c>
      <c r="P13" s="27"/>
      <c r="Q13" s="27"/>
      <c r="R13" s="27"/>
      <c r="S13" s="27"/>
      <c r="U13" s="29" t="s">
        <v>40</v>
      </c>
      <c r="V13" s="27">
        <f t="shared" si="0"/>
        <v>2</v>
      </c>
      <c r="Z13" s="2" t="s">
        <v>56</v>
      </c>
    </row>
    <row r="14" spans="4:38" ht="99" customHeight="1">
      <c r="D14" s="22">
        <v>10</v>
      </c>
      <c r="E14" s="10" t="s">
        <v>71</v>
      </c>
      <c r="F14" s="21" t="s">
        <v>80</v>
      </c>
      <c r="G14" s="38">
        <f>IF(ISNUMBER(SEARCH("all",F14)),2,IF(ISNUMBER(SEARCH("few",F14)),1,IF(ISNUMBER(SEARCH("not",F14)),0,"No Match")))</f>
        <v>2</v>
      </c>
      <c r="H14" s="8"/>
      <c r="I14" s="8"/>
      <c r="J14" s="8"/>
      <c r="K14" s="8"/>
      <c r="L14" s="8"/>
      <c r="M14" s="27">
        <f>IF(F14="Considers all principles/many metrics are used",1,0)</f>
        <v>1</v>
      </c>
      <c r="N14" s="27">
        <f>IF(F14="Considers few principles/only one or two metrics are used",1,0)</f>
        <v>0</v>
      </c>
      <c r="O14" s="27">
        <f>IF(F14="Does not consider any principles/no metrics are used",1,0)</f>
        <v>0</v>
      </c>
      <c r="P14" s="27"/>
      <c r="Q14" s="27"/>
      <c r="R14" s="27"/>
      <c r="S14" s="27"/>
      <c r="T14" s="34"/>
      <c r="U14" s="35" t="s">
        <v>41</v>
      </c>
      <c r="V14" s="32">
        <f t="shared" si="0"/>
        <v>2</v>
      </c>
      <c r="Z14" s="2" t="s">
        <v>58</v>
      </c>
    </row>
    <row r="15" spans="4:38">
      <c r="G15" s="36">
        <f>SUM(G5:G14)</f>
        <v>20</v>
      </c>
      <c r="T15" s="34">
        <f>G16</f>
        <v>100</v>
      </c>
      <c r="U15" s="32"/>
      <c r="V15" s="32"/>
      <c r="Z15" s="2" t="s">
        <v>59</v>
      </c>
    </row>
    <row r="16" spans="4:38">
      <c r="G16" s="36">
        <f>G15/20*100</f>
        <v>100</v>
      </c>
      <c r="T16" s="34">
        <f>100-G16</f>
        <v>0</v>
      </c>
      <c r="U16" s="32"/>
      <c r="V16" s="32"/>
      <c r="Z16" s="2" t="s">
        <v>60</v>
      </c>
    </row>
    <row r="17" spans="5:22">
      <c r="F17" s="13" t="str">
        <f>IF(B4="Substantially faster",2,IF(B4="Moderate improvement",1,IF(B4="Comparable or worse",0,"")))</f>
        <v/>
      </c>
      <c r="G17" s="36" t="s">
        <v>81</v>
      </c>
      <c r="T17" s="34"/>
      <c r="U17" s="32"/>
      <c r="V17" s="32"/>
    </row>
    <row r="18" spans="5:22">
      <c r="E18" s="14"/>
      <c r="F18" s="15"/>
    </row>
    <row r="19" spans="5:22">
      <c r="E19" s="16" t="s">
        <v>0</v>
      </c>
      <c r="F19" s="17" t="s">
        <v>50</v>
      </c>
    </row>
    <row r="20" spans="5:22">
      <c r="E20" s="18" t="s">
        <v>51</v>
      </c>
      <c r="F20" s="19">
        <f>COUNTIF(G5:G14,2)</f>
        <v>10</v>
      </c>
    </row>
    <row r="21" spans="5:22">
      <c r="E21" s="18" t="s">
        <v>52</v>
      </c>
      <c r="F21" s="19">
        <f>COUNTIF(G5:G14,1)</f>
        <v>0</v>
      </c>
    </row>
    <row r="22" spans="5:22">
      <c r="E22" s="18" t="s">
        <v>53</v>
      </c>
      <c r="F22" s="19">
        <f>COUNTIF(G5:G14,0)</f>
        <v>0</v>
      </c>
    </row>
    <row r="23" spans="5:22">
      <c r="E23" s="14"/>
      <c r="F23" s="15"/>
    </row>
    <row r="24" spans="5:22">
      <c r="E24" s="14"/>
      <c r="F24" s="15"/>
    </row>
  </sheetData>
  <sheetProtection algorithmName="SHA-512" hashValue="ezBjbGjWON4MA8lrjkwXw11u1pvVDGk+W9jKdxbXQK8fLqar1nRnHdLQ3MGy1gDc95i3KZy8jGEwJcsFcBPAvA==" saltValue="asiV8QR9gp+53iIkSzIpzQ==" spinCount="100000" sheet="1" objects="1" scenarios="1"/>
  <mergeCells count="1">
    <mergeCell ref="E1:F2"/>
  </mergeCells>
  <conditionalFormatting sqref="F5">
    <cfRule type="expression" dxfId="3" priority="1">
      <formula>"F=0"</formula>
    </cfRule>
    <cfRule type="expression" dxfId="2" priority="2">
      <formula>"F=1"</formula>
    </cfRule>
    <cfRule type="expression" dxfId="1" priority="3">
      <formula>"F=2"</formula>
    </cfRule>
  </conditionalFormatting>
  <conditionalFormatting sqref="G5:S6 G7:I7 K7:S7 G8:S8 G9:Q10 S9:S10 G11:S12 G13:I13 K13:S13 G14:S14">
    <cfRule type="expression" dxfId="0" priority="4">
      <formula>"G=2"</formula>
    </cfRule>
  </conditionalFormatting>
  <dataValidations count="10">
    <dataValidation type="list" allowBlank="1" showInputMessage="1" showErrorMessage="1" errorTitle="Invalid Entry" error="Please select from the dropdown list only" sqref="F5" xr:uid="{ABBBADEB-7512-4FFE-AFB5-72D26CD70F6F}">
      <formula1>"Fully automated with minimal human intervension,Partially automated,Entirely manual"</formula1>
    </dataValidation>
    <dataValidation type="list" allowBlank="1" showInputMessage="1" showErrorMessage="1" sqref="F6" xr:uid="{07C131CE-D804-433C-9799-5A71C5811A42}">
      <formula1>"Fully miniaturized,Partially miniaturized,Conventional large-scale system"</formula1>
    </dataValidation>
    <dataValidation type="list" allowBlank="1" showInputMessage="1" showErrorMessage="1" sqref="F7" xr:uid="{8F860630-7195-4CB3-BD3B-D6A462C47104}">
      <formula1>"Fully advanced technologies utilized (e.g. MS/MS),Partially advanced technologies (e.g. UHPLC),Only conventional technologies (e.g. standard HPLC-UV)"</formula1>
    </dataValidation>
    <dataValidation type="list" allowBlank="1" showInputMessage="1" showErrorMessage="1" sqref="F8" xr:uid="{BF42CEEB-0553-451C-AAE2-33DE7074564F}">
      <formula1>"Fully integrates AI or advanced digital analytics,Uses computational tools in a limited way,Uses standard or routine data processing or software"</formula1>
    </dataValidation>
    <dataValidation type="list" allowBlank="1" showInputMessage="1" showErrorMessage="1" sqref="F9" xr:uid="{9557B1F6-BF5E-4DF1-AAF1-CEFBA8646DFD}">
      <formula1>"Designed for easy upgrade and integration,Adaptable with some modifications,Not adaptable and requires redesign"</formula1>
    </dataValidation>
    <dataValidation type="list" allowBlank="1" showInputMessage="1" showErrorMessage="1" sqref="F10" xr:uid="{0625F410-0E7A-4B93-B474-25329E25BF05}">
      <formula1>"Entirely new approach/principle/technology,Modifies an existing method in a meaningful way or extends method to new contexts,Routine application and applies an established method without significant change"</formula1>
    </dataValidation>
    <dataValidation type="list" allowBlank="1" showInputMessage="1" showErrorMessage="1" sqref="F11" xr:uid="{CE8BD39D-1F6F-483B-AF34-5C9C3C3EDAE3}">
      <formula1>"Uses completely new reagents/nanomaterials/selective probes,Adapts known reagents or materials in a slightly innovative way,Uses conventional materials or reagents"</formula1>
    </dataValidation>
    <dataValidation type="list" allowBlank="1" showInputMessage="1" showErrorMessage="1" sqref="F12" xr:uid="{D00E09D0-53C0-42A7-9985-55AF17F952CC}">
      <formula1>"Substantially faster/more senstive/higher throughput than conventional methods,Moderate improvement in method performance (speed/senstivity/throughput),Comparable or worse performance"</formula1>
    </dataValidation>
    <dataValidation type="list" allowBlank="1" showInputMessage="1" showErrorMessage="1" sqref="F13" xr:uid="{9B65CC49-4AE5-4E7F-B614-4AB7CFB00065}">
      <formula1>"Fully intergrates two or more fields to create new capabilities or innovative approaches leading to genuine advancement,Uses a second field to enhance the method but core analysis remains conventional,Stays within a single field whith no integration"</formula1>
    </dataValidation>
    <dataValidation type="list" allowBlank="1" showInputMessage="1" showErrorMessage="1" sqref="F14" xr:uid="{23B401B3-23F9-4456-BE90-0F814349AC2D}">
      <formula1>"Considers all principles/many metrics are used,Considers few principles/only one or two metrics are used,Does not consider any principles/no metrics are used"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IMOGI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Heba Shaaban</dc:creator>
  <cp:lastModifiedBy>Heba shaban Mohammed</cp:lastModifiedBy>
  <dcterms:created xsi:type="dcterms:W3CDTF">2025-10-08T15:29:51Z</dcterms:created>
  <dcterms:modified xsi:type="dcterms:W3CDTF">2026-02-23T13:28:14Z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96578f-6ae1-40cd-93dd-1a3b7a6ede66_Enabled">
    <vt:lpwstr>true</vt:lpwstr>
  </property>
  <property fmtid="{D5CDD505-2E9C-101B-9397-08002B2CF9AE}" pid="3" name="MSIP_Label_b196578f-6ae1-40cd-93dd-1a3b7a6ede66_SetDate">
    <vt:lpwstr>2025-12-21T06:44:29Z</vt:lpwstr>
  </property>
  <property fmtid="{D5CDD505-2E9C-101B-9397-08002B2CF9AE}" pid="4" name="MSIP_Label_b196578f-6ae1-40cd-93dd-1a3b7a6ede66_Method">
    <vt:lpwstr>Standard</vt:lpwstr>
  </property>
  <property fmtid="{D5CDD505-2E9C-101B-9397-08002B2CF9AE}" pid="5" name="MSIP_Label_b196578f-6ae1-40cd-93dd-1a3b7a6ede66_Name">
    <vt:lpwstr>Public - عام</vt:lpwstr>
  </property>
  <property fmtid="{D5CDD505-2E9C-101B-9397-08002B2CF9AE}" pid="6" name="MSIP_Label_b196578f-6ae1-40cd-93dd-1a3b7a6ede66_SiteId">
    <vt:lpwstr>2c86bbfc-8d04-41ff-a83a-942f075e0f60</vt:lpwstr>
  </property>
  <property fmtid="{D5CDD505-2E9C-101B-9397-08002B2CF9AE}" pid="7" name="MSIP_Label_b196578f-6ae1-40cd-93dd-1a3b7a6ede66_ActionId">
    <vt:lpwstr>5373e781-3da6-4287-b36c-37650d694aff</vt:lpwstr>
  </property>
  <property fmtid="{D5CDD505-2E9C-101B-9397-08002B2CF9AE}" pid="8" name="MSIP_Label_b196578f-6ae1-40cd-93dd-1a3b7a6ede66_ContentBits">
    <vt:lpwstr>0</vt:lpwstr>
  </property>
  <property fmtid="{D5CDD505-2E9C-101B-9397-08002B2CF9AE}" pid="9" name="MSIP_Label_b196578f-6ae1-40cd-93dd-1a3b7a6ede66_Tag">
    <vt:lpwstr>10, 3, 0, 1</vt:lpwstr>
  </property>
</Properties>
</file>