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https://d.docs.live.net/e42c3cf71cea7dd5/Escritorio/Germination/Experiments/"/>
    </mc:Choice>
  </mc:AlternateContent>
  <xr:revisionPtr revIDLastSave="2528" documentId="8_{CDE231A5-83AD-4BE6-9EA9-02CB79CC4152}" xr6:coauthVersionLast="47" xr6:coauthVersionMax="47" xr10:uidLastSave="{C5AEEE31-55B3-4A9D-9320-B1CBC4E746CF}"/>
  <bookViews>
    <workbookView xWindow="-108" yWindow="-108" windowWidth="23256" windowHeight="12456" activeTab="4" xr2:uid="{4A24284B-EBAA-421C-AB4E-B27F47B2FFF6}"/>
  </bookViews>
  <sheets>
    <sheet name="Resumen" sheetId="5" r:id="rId1"/>
    <sheet name="Tomato " sheetId="1" r:id="rId2"/>
    <sheet name="Cempasuchil " sheetId="2" r:id="rId3"/>
    <sheet name="Carnation " sheetId="3" r:id="rId4"/>
    <sheet name="Alfalfa " sheetId="4"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7" i="5" l="1"/>
  <c r="T33" i="5"/>
  <c r="P33" i="5"/>
  <c r="K31" i="4"/>
  <c r="K30" i="4"/>
  <c r="K29" i="4"/>
  <c r="K28" i="4"/>
  <c r="K27" i="4"/>
  <c r="K26" i="4"/>
  <c r="K25" i="4"/>
  <c r="K24" i="4"/>
  <c r="K23" i="4"/>
  <c r="K6" i="4"/>
  <c r="K7" i="4"/>
  <c r="K8" i="4"/>
  <c r="K9" i="4"/>
  <c r="K10" i="4"/>
  <c r="K11" i="4"/>
  <c r="K12" i="4"/>
  <c r="K13" i="4"/>
  <c r="K5" i="4"/>
  <c r="K31" i="2"/>
  <c r="K30" i="2"/>
  <c r="K29" i="2"/>
  <c r="K28" i="2"/>
  <c r="K27" i="2"/>
  <c r="K26" i="2"/>
  <c r="K25" i="2"/>
  <c r="K24" i="2"/>
  <c r="K23" i="2"/>
  <c r="K6" i="2"/>
  <c r="K7" i="2"/>
  <c r="K8" i="2"/>
  <c r="K9" i="2"/>
  <c r="K10" i="2"/>
  <c r="K11" i="2"/>
  <c r="K12" i="2"/>
  <c r="K13" i="2"/>
  <c r="K5" i="2"/>
  <c r="K31" i="1" l="1"/>
  <c r="K30" i="1"/>
  <c r="K29" i="1"/>
  <c r="K28" i="1"/>
  <c r="K27" i="1"/>
  <c r="P10" i="5" s="1"/>
  <c r="K26" i="1"/>
  <c r="K25" i="1"/>
  <c r="K24" i="1"/>
  <c r="K23" i="1"/>
  <c r="P9" i="5"/>
  <c r="K6" i="1"/>
  <c r="K7" i="1"/>
  <c r="K8" i="1"/>
  <c r="K9" i="1"/>
  <c r="K10" i="1"/>
  <c r="K11" i="1"/>
  <c r="K12" i="1"/>
  <c r="K13" i="1"/>
  <c r="K5" i="1"/>
  <c r="N5" i="4"/>
  <c r="N14" i="4"/>
  <c r="N19" i="4" l="1"/>
  <c r="N18" i="4"/>
  <c r="N17" i="4"/>
  <c r="T27" i="5"/>
  <c r="S28" i="5"/>
  <c r="S27" i="5"/>
  <c r="S26" i="5"/>
  <c r="S25" i="5"/>
  <c r="S33" i="5"/>
  <c r="S32" i="5"/>
  <c r="S31" i="5"/>
  <c r="S30" i="5"/>
  <c r="R26" i="5"/>
  <c r="Q26" i="5"/>
  <c r="Q28" i="5"/>
  <c r="Q27" i="5"/>
  <c r="Q25" i="5"/>
  <c r="Q33" i="5"/>
  <c r="Q32" i="5"/>
  <c r="Q31" i="5"/>
  <c r="Q30" i="5"/>
  <c r="P25" i="5"/>
  <c r="S17" i="5"/>
  <c r="S16" i="5"/>
  <c r="S15" i="5"/>
  <c r="S14" i="5"/>
  <c r="S13" i="5"/>
  <c r="S11" i="5"/>
  <c r="S10" i="5"/>
  <c r="S9" i="5"/>
  <c r="S8" i="5"/>
  <c r="S7" i="5"/>
  <c r="J13" i="2"/>
  <c r="Q14" i="5" s="1"/>
  <c r="Q11" i="5"/>
  <c r="Q10" i="5"/>
  <c r="Q9" i="5"/>
  <c r="Q7" i="5"/>
  <c r="Q17" i="5"/>
  <c r="Q16" i="5"/>
  <c r="Q15" i="5"/>
  <c r="Q13" i="5"/>
  <c r="P11" i="5"/>
  <c r="P8" i="5"/>
  <c r="P17" i="5"/>
  <c r="P16" i="5"/>
  <c r="P15" i="5"/>
  <c r="P14" i="5"/>
  <c r="P13" i="5"/>
  <c r="N37" i="4"/>
  <c r="N36" i="4"/>
  <c r="N35" i="4"/>
  <c r="N34" i="4"/>
  <c r="N33" i="4"/>
  <c r="N32" i="4"/>
  <c r="N28" i="4"/>
  <c r="N27" i="4"/>
  <c r="N26" i="4"/>
  <c r="N25" i="4"/>
  <c r="N24" i="4"/>
  <c r="N23" i="4"/>
  <c r="N16" i="4"/>
  <c r="N15" i="4"/>
  <c r="N10" i="4"/>
  <c r="N9" i="4"/>
  <c r="N8" i="4"/>
  <c r="N7" i="4"/>
  <c r="N6" i="4"/>
  <c r="N39" i="3"/>
  <c r="N38" i="3"/>
  <c r="N37" i="3"/>
  <c r="N36" i="3"/>
  <c r="N35" i="3"/>
  <c r="N34" i="3"/>
  <c r="T25" i="5" s="1"/>
  <c r="N30" i="3"/>
  <c r="N29" i="3"/>
  <c r="N28" i="3"/>
  <c r="T26" i="5" s="1"/>
  <c r="N27" i="3"/>
  <c r="N26" i="3"/>
  <c r="R30" i="5" s="1"/>
  <c r="N25" i="3"/>
  <c r="R25" i="5" s="1"/>
  <c r="N10" i="3"/>
  <c r="N9" i="3"/>
  <c r="N8" i="3"/>
  <c r="R28" i="5" s="1"/>
  <c r="N19" i="3"/>
  <c r="N18" i="3"/>
  <c r="N17" i="3"/>
  <c r="N16" i="3"/>
  <c r="N15" i="3"/>
  <c r="N14" i="3"/>
  <c r="N7" i="3"/>
  <c r="N6" i="3"/>
  <c r="N5" i="3"/>
  <c r="R27" i="5" s="1"/>
  <c r="N28" i="2"/>
  <c r="N27" i="2"/>
  <c r="N26" i="2"/>
  <c r="N37" i="2"/>
  <c r="N36" i="2"/>
  <c r="N35" i="2"/>
  <c r="N34" i="2"/>
  <c r="N33" i="2"/>
  <c r="N32" i="2"/>
  <c r="N25" i="2"/>
  <c r="N24" i="2"/>
  <c r="N23" i="2"/>
  <c r="N19" i="2"/>
  <c r="N18" i="2"/>
  <c r="N17" i="2"/>
  <c r="N16" i="2"/>
  <c r="N15" i="2"/>
  <c r="N14" i="2"/>
  <c r="N13" i="2"/>
  <c r="N12" i="2"/>
  <c r="N11" i="2"/>
  <c r="N7" i="2"/>
  <c r="N6" i="2"/>
  <c r="N5" i="2"/>
  <c r="N37" i="1"/>
  <c r="N36" i="1"/>
  <c r="N35" i="1"/>
  <c r="N34" i="1"/>
  <c r="N33" i="1"/>
  <c r="N32" i="1"/>
  <c r="P30" i="5"/>
  <c r="N26" i="1"/>
  <c r="N23" i="1"/>
  <c r="P32" i="5" s="1"/>
  <c r="N28" i="1"/>
  <c r="N27" i="1"/>
  <c r="N25" i="1"/>
  <c r="N24" i="1"/>
  <c r="P27" i="5"/>
  <c r="N19" i="1"/>
  <c r="N18" i="1"/>
  <c r="N17" i="1"/>
  <c r="N16" i="1"/>
  <c r="N15" i="1"/>
  <c r="N14" i="1"/>
  <c r="N13" i="1"/>
  <c r="N12" i="1"/>
  <c r="N11" i="1"/>
  <c r="P26" i="5" s="1"/>
  <c r="N7" i="1"/>
  <c r="N6" i="1"/>
  <c r="N5" i="1"/>
  <c r="F35" i="5"/>
  <c r="F34" i="5"/>
  <c r="F33" i="5"/>
  <c r="F32" i="5"/>
  <c r="F31" i="5"/>
  <c r="F29" i="5"/>
  <c r="F28" i="5"/>
  <c r="F27" i="5"/>
  <c r="F26" i="5"/>
  <c r="F25" i="5"/>
  <c r="E35" i="5"/>
  <c r="E34" i="5"/>
  <c r="E33" i="5"/>
  <c r="E32" i="5"/>
  <c r="E31" i="5"/>
  <c r="E29" i="5"/>
  <c r="E28" i="5"/>
  <c r="E27" i="5"/>
  <c r="E26" i="5"/>
  <c r="E25" i="5"/>
  <c r="D35" i="5"/>
  <c r="D34" i="5"/>
  <c r="D33" i="5"/>
  <c r="D32" i="5"/>
  <c r="D31" i="5"/>
  <c r="D29" i="5"/>
  <c r="D28" i="5"/>
  <c r="D27" i="5"/>
  <c r="D26" i="5"/>
  <c r="D25" i="5"/>
  <c r="C35" i="5"/>
  <c r="C34" i="5"/>
  <c r="C33" i="5"/>
  <c r="C32" i="5"/>
  <c r="C29" i="5"/>
  <c r="C28" i="5"/>
  <c r="C27" i="5"/>
  <c r="C26" i="5"/>
  <c r="C25" i="5"/>
  <c r="E14" i="5"/>
  <c r="E8" i="5"/>
  <c r="C17" i="5"/>
  <c r="C16" i="5"/>
  <c r="C15" i="5"/>
  <c r="C14" i="5"/>
  <c r="C13" i="5"/>
  <c r="C7" i="5"/>
  <c r="F17" i="5"/>
  <c r="F16" i="5"/>
  <c r="F15" i="5"/>
  <c r="F14" i="5"/>
  <c r="F13" i="5"/>
  <c r="F11" i="5"/>
  <c r="F10" i="5"/>
  <c r="F9" i="5"/>
  <c r="F8" i="5"/>
  <c r="F7" i="5"/>
  <c r="E17" i="5"/>
  <c r="E16" i="5"/>
  <c r="E15" i="5"/>
  <c r="E13" i="5"/>
  <c r="E11" i="5"/>
  <c r="E10" i="5"/>
  <c r="E9" i="5"/>
  <c r="E7" i="5"/>
  <c r="D17" i="5"/>
  <c r="D16" i="5"/>
  <c r="D15" i="5"/>
  <c r="D14" i="5"/>
  <c r="D13" i="5"/>
  <c r="D11" i="5"/>
  <c r="D10" i="5"/>
  <c r="D9" i="5"/>
  <c r="D8" i="5"/>
  <c r="D7" i="5"/>
  <c r="C10" i="5"/>
  <c r="C11" i="5"/>
  <c r="C9" i="5"/>
  <c r="C8" i="5"/>
  <c r="T30" i="5" l="1"/>
  <c r="R31" i="5"/>
  <c r="T31" i="5"/>
  <c r="R32" i="5"/>
  <c r="T32" i="5"/>
  <c r="R33" i="5"/>
  <c r="T28" i="5"/>
  <c r="P28" i="5"/>
  <c r="Q8" i="5"/>
  <c r="P31" i="5"/>
  <c r="J31" i="4"/>
  <c r="J30" i="4"/>
  <c r="J29" i="4"/>
  <c r="J28" i="4"/>
  <c r="J27" i="4"/>
  <c r="J26" i="4"/>
  <c r="J25" i="4"/>
  <c r="J24" i="4"/>
  <c r="J23" i="4"/>
  <c r="I31" i="4"/>
  <c r="I30" i="4"/>
  <c r="I29" i="4"/>
  <c r="I28" i="4"/>
  <c r="I26" i="4"/>
  <c r="I27" i="4"/>
  <c r="I25" i="4"/>
  <c r="I24" i="4"/>
  <c r="I23" i="4"/>
  <c r="J33" i="3"/>
  <c r="K33" i="3" s="1"/>
  <c r="J32" i="3"/>
  <c r="K32" i="3" s="1"/>
  <c r="J31" i="3"/>
  <c r="K31" i="3" s="1"/>
  <c r="J30" i="3"/>
  <c r="K30" i="3" s="1"/>
  <c r="J29" i="3"/>
  <c r="K29" i="3" s="1"/>
  <c r="J28" i="3"/>
  <c r="K28" i="3" s="1"/>
  <c r="J27" i="3"/>
  <c r="K27" i="3" s="1"/>
  <c r="J26" i="3"/>
  <c r="K26" i="3" s="1"/>
  <c r="J25" i="3"/>
  <c r="K25" i="3" s="1"/>
  <c r="I33" i="3"/>
  <c r="I32" i="3"/>
  <c r="I31" i="3"/>
  <c r="I30" i="3"/>
  <c r="I29" i="3"/>
  <c r="I28" i="3"/>
  <c r="I27" i="3"/>
  <c r="I26" i="3"/>
  <c r="I25" i="3"/>
  <c r="J11" i="4"/>
  <c r="J10" i="4"/>
  <c r="J9" i="4"/>
  <c r="J8" i="4"/>
  <c r="J7" i="4"/>
  <c r="J6" i="4"/>
  <c r="J5" i="4"/>
  <c r="J12" i="4"/>
  <c r="J13" i="4"/>
  <c r="I13" i="4"/>
  <c r="I12" i="4"/>
  <c r="I11" i="4"/>
  <c r="I10" i="4"/>
  <c r="I9" i="4"/>
  <c r="I8" i="4"/>
  <c r="I7" i="4"/>
  <c r="I6" i="4"/>
  <c r="I5" i="4"/>
  <c r="R8" i="5" l="1"/>
  <c r="R14" i="5"/>
  <c r="R7" i="5"/>
  <c r="R13" i="5"/>
  <c r="J31" i="2"/>
  <c r="J30" i="2"/>
  <c r="J29" i="2"/>
  <c r="J28" i="2"/>
  <c r="J27" i="2"/>
  <c r="J26" i="2"/>
  <c r="J25" i="2"/>
  <c r="J24" i="2"/>
  <c r="J23" i="2"/>
  <c r="I31" i="2"/>
  <c r="I30" i="2"/>
  <c r="I29" i="2"/>
  <c r="I28" i="2"/>
  <c r="I27" i="2"/>
  <c r="I26" i="2"/>
  <c r="I25" i="2"/>
  <c r="I24" i="2"/>
  <c r="I23" i="2"/>
  <c r="AE34" i="4"/>
  <c r="R31" i="4" s="1"/>
  <c r="AD34" i="4"/>
  <c r="R30" i="4" s="1"/>
  <c r="AC34" i="4"/>
  <c r="R29" i="4" s="1"/>
  <c r="AB34" i="4"/>
  <c r="R28" i="4" s="1"/>
  <c r="AA34" i="4"/>
  <c r="R27" i="4" s="1"/>
  <c r="Z34" i="4"/>
  <c r="R26" i="4" s="1"/>
  <c r="Y34" i="4"/>
  <c r="R25" i="4" s="1"/>
  <c r="X34" i="4"/>
  <c r="W34" i="4"/>
  <c r="R23" i="4" s="1"/>
  <c r="AE33" i="4"/>
  <c r="Q31" i="4" s="1"/>
  <c r="AD33" i="4"/>
  <c r="Q30" i="4" s="1"/>
  <c r="AC33" i="4"/>
  <c r="Q29" i="4" s="1"/>
  <c r="AB33" i="4"/>
  <c r="Q28" i="4" s="1"/>
  <c r="AA33" i="4"/>
  <c r="Q27" i="4" s="1"/>
  <c r="Z33" i="4"/>
  <c r="Q26" i="4" s="1"/>
  <c r="Y33" i="4"/>
  <c r="X33" i="4"/>
  <c r="Q24" i="4" s="1"/>
  <c r="W33" i="4"/>
  <c r="Q23" i="4" s="1"/>
  <c r="Q25" i="4"/>
  <c r="R24" i="4"/>
  <c r="AE36" i="3" l="1"/>
  <c r="R33" i="3" s="1"/>
  <c r="AD36" i="3"/>
  <c r="R32" i="3" s="1"/>
  <c r="AC36" i="3"/>
  <c r="R31" i="3" s="1"/>
  <c r="AB36" i="3"/>
  <c r="R30" i="3" s="1"/>
  <c r="AA36" i="3"/>
  <c r="Z36" i="3"/>
  <c r="R28" i="3" s="1"/>
  <c r="Y36" i="3"/>
  <c r="R27" i="3" s="1"/>
  <c r="X36" i="3"/>
  <c r="R26" i="3" s="1"/>
  <c r="W36" i="3"/>
  <c r="R25" i="3" s="1"/>
  <c r="AE35" i="3"/>
  <c r="Q33" i="3" s="1"/>
  <c r="AD35" i="3"/>
  <c r="Q32" i="3" s="1"/>
  <c r="AC35" i="3"/>
  <c r="Q31" i="3" s="1"/>
  <c r="AB35" i="3"/>
  <c r="Q30" i="3" s="1"/>
  <c r="AA35" i="3"/>
  <c r="Q29" i="3" s="1"/>
  <c r="Z35" i="3"/>
  <c r="Q28" i="3" s="1"/>
  <c r="Y35" i="3"/>
  <c r="Q27" i="3" s="1"/>
  <c r="X35" i="3"/>
  <c r="Q26" i="3" s="1"/>
  <c r="W35" i="3"/>
  <c r="Q25" i="3" s="1"/>
  <c r="R29" i="3"/>
  <c r="W15" i="3"/>
  <c r="X15" i="3"/>
  <c r="Y15" i="3"/>
  <c r="Z15" i="3"/>
  <c r="W16" i="3"/>
  <c r="X16" i="3"/>
  <c r="Y16" i="3"/>
  <c r="Z16" i="3"/>
  <c r="AE34" i="1"/>
  <c r="AD34" i="1"/>
  <c r="AC34" i="1"/>
  <c r="AB34" i="1"/>
  <c r="AA34" i="1"/>
  <c r="Z34" i="1"/>
  <c r="Y34" i="1"/>
  <c r="X34" i="1"/>
  <c r="W34" i="1"/>
  <c r="AE33" i="1"/>
  <c r="AD33" i="1"/>
  <c r="AC33" i="1"/>
  <c r="AB33" i="1"/>
  <c r="AA33" i="1"/>
  <c r="Z33" i="1"/>
  <c r="Y33" i="1"/>
  <c r="X33" i="1"/>
  <c r="W33" i="1"/>
  <c r="AE34" i="2" l="1"/>
  <c r="R31" i="2" s="1"/>
  <c r="AD34" i="2"/>
  <c r="R30" i="2" s="1"/>
  <c r="AC34" i="2"/>
  <c r="R29" i="2" s="1"/>
  <c r="AB34" i="2"/>
  <c r="R28" i="2" s="1"/>
  <c r="AA34" i="2"/>
  <c r="R27" i="2" s="1"/>
  <c r="Z34" i="2"/>
  <c r="R26" i="2" s="1"/>
  <c r="Y34" i="2"/>
  <c r="R25" i="2" s="1"/>
  <c r="X34" i="2"/>
  <c r="R24" i="2" s="1"/>
  <c r="W34" i="2"/>
  <c r="R23" i="2" s="1"/>
  <c r="AE33" i="2"/>
  <c r="Q31" i="2" s="1"/>
  <c r="AD33" i="2"/>
  <c r="Q30" i="2" s="1"/>
  <c r="AC33" i="2"/>
  <c r="Q29" i="2" s="1"/>
  <c r="AB33" i="2"/>
  <c r="Q28" i="2" s="1"/>
  <c r="AA33" i="2"/>
  <c r="Q27" i="2" s="1"/>
  <c r="Z33" i="2"/>
  <c r="Q26" i="2" s="1"/>
  <c r="Y33" i="2"/>
  <c r="Q25" i="2" s="1"/>
  <c r="X33" i="2"/>
  <c r="Q24" i="2" s="1"/>
  <c r="W33" i="2"/>
  <c r="Q23" i="2" s="1"/>
  <c r="AE16" i="4"/>
  <c r="R13" i="4" s="1"/>
  <c r="AD16" i="4"/>
  <c r="R12" i="4" s="1"/>
  <c r="AC16" i="4"/>
  <c r="R11" i="4" s="1"/>
  <c r="AB16" i="4"/>
  <c r="R10" i="4" s="1"/>
  <c r="AA16" i="4"/>
  <c r="R9" i="4" s="1"/>
  <c r="Z16" i="4"/>
  <c r="R8" i="4" s="1"/>
  <c r="Y16" i="4"/>
  <c r="R7" i="4" s="1"/>
  <c r="X16" i="4"/>
  <c r="R6" i="4" s="1"/>
  <c r="W16" i="4"/>
  <c r="AE15" i="4"/>
  <c r="Q13" i="4" s="1"/>
  <c r="AD15" i="4"/>
  <c r="Q12" i="4" s="1"/>
  <c r="AC15" i="4"/>
  <c r="Q11" i="4" s="1"/>
  <c r="AB15" i="4"/>
  <c r="Q10" i="4" s="1"/>
  <c r="AA15" i="4"/>
  <c r="Q9" i="4" s="1"/>
  <c r="Z15" i="4"/>
  <c r="Q8" i="4" s="1"/>
  <c r="Y15" i="4"/>
  <c r="Q7" i="4" s="1"/>
  <c r="X15" i="4"/>
  <c r="Q6" i="4" s="1"/>
  <c r="W15" i="4"/>
  <c r="Q5" i="4" s="1"/>
  <c r="R5" i="4"/>
  <c r="J13" i="3"/>
  <c r="K13" i="3" s="1"/>
  <c r="J12" i="3"/>
  <c r="K12" i="3" s="1"/>
  <c r="J11" i="3"/>
  <c r="K11" i="3" s="1"/>
  <c r="J10" i="3"/>
  <c r="K10" i="3" s="1"/>
  <c r="J9" i="3"/>
  <c r="K9" i="3" s="1"/>
  <c r="J8" i="3"/>
  <c r="K8" i="3" s="1"/>
  <c r="I5" i="3"/>
  <c r="J7" i="3"/>
  <c r="K7" i="3" s="1"/>
  <c r="J6" i="3"/>
  <c r="K6" i="3" s="1"/>
  <c r="J5" i="3"/>
  <c r="K5" i="3" s="1"/>
  <c r="I13" i="3"/>
  <c r="I12" i="3"/>
  <c r="I11" i="3"/>
  <c r="I10" i="3"/>
  <c r="I9" i="3"/>
  <c r="I8" i="3"/>
  <c r="I7" i="3"/>
  <c r="I6" i="3"/>
  <c r="J31" i="1"/>
  <c r="J30" i="1"/>
  <c r="J29" i="1"/>
  <c r="J28" i="1"/>
  <c r="J27" i="1"/>
  <c r="J26" i="1"/>
  <c r="J25" i="1"/>
  <c r="J24" i="1"/>
  <c r="J23" i="1"/>
  <c r="I31" i="1"/>
  <c r="I30" i="1"/>
  <c r="I29" i="1"/>
  <c r="I28" i="1"/>
  <c r="I27" i="1"/>
  <c r="I26" i="1"/>
  <c r="I25" i="1"/>
  <c r="I24" i="1"/>
  <c r="I23" i="1"/>
  <c r="AE16" i="3"/>
  <c r="R13" i="3" s="1"/>
  <c r="AD16" i="3"/>
  <c r="R12" i="3" s="1"/>
  <c r="AC16" i="3"/>
  <c r="R11" i="3" s="1"/>
  <c r="AB16" i="3"/>
  <c r="R10" i="3" s="1"/>
  <c r="AA16" i="3"/>
  <c r="R9" i="3" s="1"/>
  <c r="R8" i="3"/>
  <c r="R7" i="3"/>
  <c r="R6" i="3"/>
  <c r="R5" i="3"/>
  <c r="AE15" i="3"/>
  <c r="Q13" i="3" s="1"/>
  <c r="AD15" i="3"/>
  <c r="Q12" i="3" s="1"/>
  <c r="AC15" i="3"/>
  <c r="Q11" i="3" s="1"/>
  <c r="AB15" i="3"/>
  <c r="Q10" i="3" s="1"/>
  <c r="AA15" i="3"/>
  <c r="Q9" i="3" s="1"/>
  <c r="Q8" i="3"/>
  <c r="Q7" i="3"/>
  <c r="Q6" i="3"/>
  <c r="Q5" i="3"/>
  <c r="Q23" i="1"/>
  <c r="R23" i="1"/>
  <c r="Q24" i="1"/>
  <c r="R24" i="1"/>
  <c r="Q25" i="1"/>
  <c r="R25" i="1"/>
  <c r="Q26" i="1"/>
  <c r="R26" i="1"/>
  <c r="Q27" i="1"/>
  <c r="R27" i="1"/>
  <c r="Q28" i="1"/>
  <c r="R28" i="1"/>
  <c r="Q29" i="1"/>
  <c r="R29" i="1"/>
  <c r="Q30" i="1"/>
  <c r="R30" i="1"/>
  <c r="Q31" i="1"/>
  <c r="R31" i="1"/>
  <c r="X15" i="2"/>
  <c r="Q6" i="2" s="1"/>
  <c r="AE16" i="2"/>
  <c r="R13" i="2" s="1"/>
  <c r="AD16" i="2"/>
  <c r="R12" i="2" s="1"/>
  <c r="AC16" i="2"/>
  <c r="R11" i="2" s="1"/>
  <c r="AB16" i="2"/>
  <c r="R10" i="2" s="1"/>
  <c r="AA16" i="2"/>
  <c r="R9" i="2" s="1"/>
  <c r="Z16" i="2"/>
  <c r="R8" i="2" s="1"/>
  <c r="Y16" i="2"/>
  <c r="R7" i="2" s="1"/>
  <c r="X16" i="2"/>
  <c r="R6" i="2" s="1"/>
  <c r="W16" i="2"/>
  <c r="R5" i="2" s="1"/>
  <c r="AE15" i="2"/>
  <c r="Q13" i="2" s="1"/>
  <c r="AD15" i="2"/>
  <c r="Q12" i="2" s="1"/>
  <c r="AC15" i="2"/>
  <c r="Q11" i="2" s="1"/>
  <c r="AB15" i="2"/>
  <c r="Q10" i="2" s="1"/>
  <c r="AA15" i="2"/>
  <c r="Q9" i="2" s="1"/>
  <c r="Z15" i="2"/>
  <c r="Q8" i="2" s="1"/>
  <c r="Y15" i="2"/>
  <c r="Q7" i="2" s="1"/>
  <c r="W15" i="2"/>
  <c r="Q5" i="2" s="1"/>
  <c r="AD15" i="1"/>
  <c r="Q12" i="1" s="1"/>
  <c r="AE15" i="1"/>
  <c r="Q13" i="1" s="1"/>
  <c r="AD16" i="1"/>
  <c r="R12" i="1" s="1"/>
  <c r="AE16" i="1"/>
  <c r="R13" i="1" s="1"/>
  <c r="X15" i="1"/>
  <c r="Q6" i="1" s="1"/>
  <c r="Y15" i="1"/>
  <c r="Q7" i="1" s="1"/>
  <c r="Z15" i="1"/>
  <c r="Q8" i="1" s="1"/>
  <c r="AA15" i="1"/>
  <c r="Q9" i="1" s="1"/>
  <c r="AB15" i="1"/>
  <c r="Q10" i="1" s="1"/>
  <c r="AC15" i="1"/>
  <c r="Q11" i="1" s="1"/>
  <c r="X16" i="1"/>
  <c r="R6" i="1" s="1"/>
  <c r="Y16" i="1"/>
  <c r="R7" i="1" s="1"/>
  <c r="Z16" i="1"/>
  <c r="R8" i="1" s="1"/>
  <c r="AA16" i="1"/>
  <c r="R9" i="1" s="1"/>
  <c r="AB16" i="1"/>
  <c r="R10" i="1" s="1"/>
  <c r="AC16" i="1"/>
  <c r="R11" i="1" s="1"/>
  <c r="W16" i="1"/>
  <c r="R5" i="1" s="1"/>
  <c r="W15" i="1"/>
  <c r="R10" i="5" l="1"/>
  <c r="R16" i="5"/>
  <c r="R17" i="5"/>
  <c r="R11" i="5"/>
  <c r="R9" i="5"/>
  <c r="R15" i="5"/>
  <c r="Q5" i="1"/>
  <c r="C31" i="5"/>
  <c r="J12" i="2"/>
  <c r="J11" i="2"/>
  <c r="J10" i="2"/>
  <c r="J9" i="2"/>
  <c r="J8" i="2"/>
  <c r="J7" i="2"/>
  <c r="J6" i="2"/>
  <c r="J5" i="2"/>
  <c r="J8" i="1"/>
  <c r="J10" i="1"/>
  <c r="J11" i="1"/>
  <c r="J7" i="1"/>
  <c r="J12" i="1"/>
  <c r="J5" i="1"/>
  <c r="J9" i="1"/>
  <c r="J6" i="1"/>
  <c r="J13" i="1"/>
</calcChain>
</file>

<file path=xl/sharedStrings.xml><?xml version="1.0" encoding="utf-8"?>
<sst xmlns="http://schemas.openxmlformats.org/spreadsheetml/2006/main" count="1125" uniqueCount="103">
  <si>
    <t>Seedling emergence test</t>
  </si>
  <si>
    <t xml:space="preserve">Petri dish </t>
  </si>
  <si>
    <t xml:space="preserve">Pharm </t>
  </si>
  <si>
    <t xml:space="preserve">Azithromycin </t>
  </si>
  <si>
    <t xml:space="preserve">Control </t>
  </si>
  <si>
    <t xml:space="preserve">Ciprofloxacin </t>
  </si>
  <si>
    <t xml:space="preserve">Initial </t>
  </si>
  <si>
    <t xml:space="preserve">Final </t>
  </si>
  <si>
    <t>No seeds</t>
  </si>
  <si>
    <t xml:space="preserve">Avareage Length (cm) </t>
  </si>
  <si>
    <t>Germinated seeds</t>
  </si>
  <si>
    <t xml:space="preserve">Fungal growth </t>
  </si>
  <si>
    <t xml:space="preserve">Start of germination </t>
  </si>
  <si>
    <t xml:space="preserve">Observations </t>
  </si>
  <si>
    <r>
      <t>m</t>
    </r>
    <r>
      <rPr>
        <vertAlign val="subscript"/>
        <sz val="11"/>
        <color theme="1"/>
        <rFont val="Times New Roman"/>
        <family val="1"/>
      </rPr>
      <t>Initial</t>
    </r>
    <r>
      <rPr>
        <sz val="11"/>
        <color theme="1"/>
        <rFont val="Times New Roman"/>
        <family val="1"/>
      </rPr>
      <t xml:space="preserve"> (mg) </t>
    </r>
  </si>
  <si>
    <r>
      <t>C</t>
    </r>
    <r>
      <rPr>
        <vertAlign val="subscript"/>
        <sz val="11"/>
        <color theme="1"/>
        <rFont val="Times New Roman"/>
        <family val="1"/>
      </rPr>
      <t xml:space="preserve">Initial </t>
    </r>
    <r>
      <rPr>
        <sz val="11"/>
        <color theme="1"/>
        <rFont val="Times New Roman"/>
        <family val="1"/>
      </rPr>
      <t xml:space="preserve"> (mg/L) </t>
    </r>
  </si>
  <si>
    <r>
      <t>C</t>
    </r>
    <r>
      <rPr>
        <vertAlign val="subscript"/>
        <sz val="11"/>
        <color theme="1"/>
        <rFont val="Times New Roman"/>
        <family val="1"/>
      </rPr>
      <t xml:space="preserve">final </t>
    </r>
    <r>
      <rPr>
        <sz val="11"/>
        <color theme="1"/>
        <rFont val="Times New Roman"/>
        <family val="1"/>
      </rPr>
      <t xml:space="preserve"> (mg/L) </t>
    </r>
  </si>
  <si>
    <t xml:space="preserve">Name </t>
  </si>
  <si>
    <t>GER-001</t>
  </si>
  <si>
    <t>GER-002</t>
  </si>
  <si>
    <t>GER-003</t>
  </si>
  <si>
    <t>GER-004</t>
  </si>
  <si>
    <t>GER-005</t>
  </si>
  <si>
    <t>GER-006</t>
  </si>
  <si>
    <t>GER-007</t>
  </si>
  <si>
    <t>GER-008</t>
  </si>
  <si>
    <t>GER-009</t>
  </si>
  <si>
    <t>CNT-001</t>
  </si>
  <si>
    <t>CNT-002</t>
  </si>
  <si>
    <t>CNT-003</t>
  </si>
  <si>
    <t>CNT-004</t>
  </si>
  <si>
    <t>CNT-005</t>
  </si>
  <si>
    <t>CNT-006</t>
  </si>
  <si>
    <t>GER-010</t>
  </si>
  <si>
    <t>GER-011</t>
  </si>
  <si>
    <t>GER-012</t>
  </si>
  <si>
    <t>GER-013</t>
  </si>
  <si>
    <t>GER-014</t>
  </si>
  <si>
    <t>GER-015</t>
  </si>
  <si>
    <t>GER-016</t>
  </si>
  <si>
    <t>GER-017</t>
  </si>
  <si>
    <t>GER-018</t>
  </si>
  <si>
    <t xml:space="preserve">No visible fungal growth </t>
  </si>
  <si>
    <t xml:space="preserve">No pharms </t>
  </si>
  <si>
    <r>
      <t>m</t>
    </r>
    <r>
      <rPr>
        <vertAlign val="subscript"/>
        <sz val="11"/>
        <color theme="1"/>
        <rFont val="Times New Roman"/>
        <family val="1"/>
      </rPr>
      <t>Beake</t>
    </r>
    <r>
      <rPr>
        <sz val="11"/>
        <color theme="1"/>
        <rFont val="Times New Roman"/>
        <family val="1"/>
      </rPr>
      <t xml:space="preserve">r (mg) </t>
    </r>
  </si>
  <si>
    <t>20/012025</t>
  </si>
  <si>
    <t>Minimal fungal growth, some small micelles</t>
  </si>
  <si>
    <t>Minimal fungal growth</t>
  </si>
  <si>
    <t>The filter paper in the Petri dishes apparently adsorb the most of the pharms in the medium</t>
  </si>
  <si>
    <t xml:space="preserve">The seeds need more time for a better percentage of germination, which is problematic for short-term experiments </t>
  </si>
  <si>
    <t>In most cases, the majority of the seeds showed complete germination. However, some issues with fungal growth were observed despite using filtered water. The seeds that failed to germinate were surrounded by fungal.</t>
  </si>
  <si>
    <t xml:space="preserve">Visible fungal growth around one seed </t>
  </si>
  <si>
    <t xml:space="preserve">Some micelles around the seeds that didn't germinate </t>
  </si>
  <si>
    <t>Visible fungal growth</t>
  </si>
  <si>
    <t xml:space="preserve">No. </t>
  </si>
  <si>
    <t>Mean</t>
  </si>
  <si>
    <t xml:space="preserve">Lenght SD (cm) </t>
  </si>
  <si>
    <t>SD</t>
  </si>
  <si>
    <t xml:space="preserve">Oxytetracycline </t>
  </si>
  <si>
    <t xml:space="preserve">Trimethoprim </t>
  </si>
  <si>
    <r>
      <t>m</t>
    </r>
    <r>
      <rPr>
        <vertAlign val="subscript"/>
        <sz val="11"/>
        <color theme="1"/>
        <rFont val="Times New Roman"/>
        <family val="1"/>
      </rPr>
      <t xml:space="preserve">Dry </t>
    </r>
    <r>
      <rPr>
        <sz val="11"/>
        <color theme="1"/>
        <rFont val="Times New Roman"/>
        <family val="1"/>
      </rPr>
      <t xml:space="preserve">(mg) </t>
    </r>
  </si>
  <si>
    <r>
      <t>m</t>
    </r>
    <r>
      <rPr>
        <vertAlign val="subscript"/>
        <sz val="11"/>
        <color theme="1"/>
        <rFont val="Times New Roman"/>
        <family val="1"/>
      </rPr>
      <t>Wet</t>
    </r>
    <r>
      <rPr>
        <sz val="11"/>
        <color theme="1"/>
        <rFont val="Times New Roman"/>
        <family val="1"/>
      </rPr>
      <t xml:space="preserve"> (mg)</t>
    </r>
  </si>
  <si>
    <t xml:space="preserve">As the previuos experiments, the seeds need more timeof expousure in order to reach better end-points </t>
  </si>
  <si>
    <t>GER-019</t>
  </si>
  <si>
    <t>GER-020</t>
  </si>
  <si>
    <t>GER-021</t>
  </si>
  <si>
    <t>GER-022</t>
  </si>
  <si>
    <t>GER-023</t>
  </si>
  <si>
    <t>GER-024</t>
  </si>
  <si>
    <t>Fungal growth around seeds</t>
  </si>
  <si>
    <t xml:space="preserve">In the Petri dishes with TRM the color of the radicals turn on green </t>
  </si>
  <si>
    <t>alrededor de las semillas</t>
  </si>
  <si>
    <t xml:space="preserve">Azitrhomycin </t>
  </si>
  <si>
    <t xml:space="preserve">A little of turbidity in water </t>
  </si>
  <si>
    <t>Some fungal growth around the seeds</t>
  </si>
  <si>
    <t xml:space="preserve">Fungal growth around the seeds, the water was turbid </t>
  </si>
  <si>
    <t xml:space="preserve">There are presence of secondary roots </t>
  </si>
  <si>
    <t>There is cloudy water</t>
  </si>
  <si>
    <t xml:space="preserve">There wasn't presence of secondary roots </t>
  </si>
  <si>
    <t>Poor root growth, fungus in mycelium around the seed</t>
  </si>
  <si>
    <t xml:space="preserve">Presence of a big mycelium </t>
  </si>
  <si>
    <t>The water was cloudy</t>
  </si>
  <si>
    <t xml:space="preserve">No presence of visible fungal grotwh </t>
  </si>
  <si>
    <t xml:space="preserve">Some turbidity in the water </t>
  </si>
  <si>
    <t>Some micelles around the seeds</t>
  </si>
  <si>
    <t xml:space="preserve">% Germition </t>
  </si>
  <si>
    <t>% SD</t>
  </si>
  <si>
    <t xml:space="preserve">Cempasuchil </t>
  </si>
  <si>
    <t>Carnation</t>
  </si>
  <si>
    <t xml:space="preserve">Alfalfa </t>
  </si>
  <si>
    <t>Tomato</t>
  </si>
  <si>
    <t>No pharms</t>
  </si>
  <si>
    <t>Root lenght  (cm)</t>
  </si>
  <si>
    <t xml:space="preserve">SD (cm) </t>
  </si>
  <si>
    <t xml:space="preserve">SD (mg) </t>
  </si>
  <si>
    <r>
      <t>Δ mass (mg)  (m</t>
    </r>
    <r>
      <rPr>
        <vertAlign val="subscript"/>
        <sz val="11"/>
        <color theme="1"/>
        <rFont val="Times New Roman"/>
        <family val="1"/>
      </rPr>
      <t>i</t>
    </r>
    <r>
      <rPr>
        <sz val="11"/>
        <color theme="1"/>
        <rFont val="Times New Roman"/>
        <family val="1"/>
      </rPr>
      <t xml:space="preserve"> - m</t>
    </r>
    <r>
      <rPr>
        <vertAlign val="subscript"/>
        <sz val="11"/>
        <color theme="1"/>
        <rFont val="Times New Roman"/>
        <family val="1"/>
      </rPr>
      <t>fDry</t>
    </r>
    <r>
      <rPr>
        <sz val="11"/>
        <color theme="1"/>
        <rFont val="Times New Roman"/>
        <family val="1"/>
      </rPr>
      <t>)</t>
    </r>
  </si>
  <si>
    <t xml:space="preserve">% Pharm sorption </t>
  </si>
  <si>
    <t xml:space="preserve">No seeds </t>
  </si>
  <si>
    <r>
      <t xml:space="preserve">% Sorption </t>
    </r>
    <r>
      <rPr>
        <sz val="9.35"/>
        <color theme="1"/>
        <rFont val="Times New Roman"/>
        <family val="1"/>
      </rPr>
      <t xml:space="preserve"> (mg) </t>
    </r>
  </si>
  <si>
    <t xml:space="preserve">% Sorption </t>
  </si>
  <si>
    <r>
      <t>m</t>
    </r>
    <r>
      <rPr>
        <vertAlign val="subscript"/>
        <sz val="11"/>
        <color theme="1"/>
        <rFont val="Times New Roman"/>
        <family val="1"/>
      </rPr>
      <t>fDry-mi</t>
    </r>
    <r>
      <rPr>
        <sz val="11"/>
        <color theme="1"/>
        <rFont val="Times New Roman"/>
        <family val="1"/>
      </rPr>
      <t xml:space="preserve"> (mg) </t>
    </r>
  </si>
  <si>
    <r>
      <rPr>
        <sz val="11"/>
        <color theme="1"/>
        <rFont val="Aptos Narrow"/>
        <family val="2"/>
      </rPr>
      <t>Δ</t>
    </r>
    <r>
      <rPr>
        <sz val="9.35"/>
        <color theme="1"/>
        <rFont val="Times New Roman"/>
        <family val="1"/>
      </rPr>
      <t>m (mfinal-minitial)</t>
    </r>
  </si>
  <si>
    <t xml:space="preserve">mfDry-mi (mg)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</si>
</sst>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000"/>
    <numFmt numFmtId="166" formatCode="0.000"/>
  </numFmts>
  <fonts count="9" x14ac:knownFonts="1">
    <font>
      <sz val="11"/>
      <color theme="1"/>
      <name val="Aptos Narrow"/>
      <family val="2"/>
      <scheme val="minor"/>
    </font>
    <font>
      <b/>
      <sz val="11"/>
      <color theme="1"/>
      <name val="Times New Roman"/>
      <family val="1"/>
    </font>
    <font>
      <sz val="11"/>
      <color theme="1"/>
      <name val="Times New Roman"/>
      <family val="1"/>
    </font>
    <font>
      <vertAlign val="subscript"/>
      <sz val="11"/>
      <color theme="1"/>
      <name val="Times New Roman"/>
      <family val="1"/>
    </font>
    <font>
      <sz val="8"/>
      <name val="Aptos Narrow"/>
      <family val="2"/>
      <scheme val="minor"/>
    </font>
    <font>
      <i/>
      <sz val="11"/>
      <color theme="1"/>
      <name val="Times New Roman"/>
      <family val="1"/>
    </font>
    <font>
      <sz val="9.35"/>
      <color theme="1"/>
      <name val="Times New Roman"/>
      <family val="1"/>
    </font>
    <font>
      <sz val="11"/>
      <color theme="1"/>
      <name val="Aptos Narrow"/>
      <family val="2"/>
    </font>
    <font>
      <sz val="11"/>
      <color theme="1"/>
      <name val="Times New Roman"/>
      <family val="2"/>
    </font>
  </fonts>
  <fills count="4">
    <fill>
      <patternFill patternType="none"/>
    </fill>
    <fill>
      <patternFill patternType="gray125"/>
    </fill>
    <fill>
      <patternFill patternType="solid">
        <fgColor theme="0"/>
        <bgColor indexed="64"/>
      </patternFill>
    </fill>
    <fill>
      <patternFill patternType="solid">
        <fgColor theme="2" tint="-9.9978637043366805E-2"/>
        <bgColor indexed="64"/>
      </patternFill>
    </fill>
  </fills>
  <borders count="7">
    <border>
      <left/>
      <right/>
      <top/>
      <bottom/>
      <diagonal/>
    </border>
    <border>
      <left/>
      <right/>
      <top/>
      <bottom style="medium">
        <color indexed="64"/>
      </bottom>
      <diagonal/>
    </border>
    <border>
      <left/>
      <right/>
      <top style="medium">
        <color indexed="64"/>
      </top>
      <bottom style="thin">
        <color indexed="64"/>
      </bottom>
      <diagonal/>
    </border>
    <border>
      <left/>
      <right/>
      <top style="thin">
        <color indexed="64"/>
      </top>
      <bottom/>
      <diagonal/>
    </border>
    <border>
      <left/>
      <right/>
      <top style="medium">
        <color indexed="64"/>
      </top>
      <bottom/>
      <diagonal/>
    </border>
    <border>
      <left/>
      <right/>
      <top/>
      <bottom style="thin">
        <color indexed="64"/>
      </bottom>
      <diagonal/>
    </border>
    <border>
      <left/>
      <right/>
      <top style="medium">
        <color indexed="64"/>
      </top>
      <bottom style="medium">
        <color indexed="64"/>
      </bottom>
      <diagonal/>
    </border>
  </borders>
  <cellStyleXfs count="1">
    <xf numFmtId="0" fontId="0" fillId="0" borderId="0"/>
  </cellStyleXfs>
  <cellXfs count="59">
    <xf numFmtId="0" fontId="0" fillId="0" borderId="0" xfId="0"/>
    <xf numFmtId="0" fontId="2" fillId="2" borderId="0" xfId="0" applyFont="1" applyFill="1"/>
    <xf numFmtId="0" fontId="2" fillId="2" borderId="0" xfId="0" applyFont="1" applyFill="1" applyAlignment="1">
      <alignment horizontal="center"/>
    </xf>
    <xf numFmtId="14" fontId="2" fillId="2" borderId="0" xfId="0" applyNumberFormat="1" applyFont="1" applyFill="1" applyAlignment="1">
      <alignment horizontal="center"/>
    </xf>
    <xf numFmtId="0" fontId="2" fillId="2" borderId="1" xfId="0" applyFont="1" applyFill="1" applyBorder="1"/>
    <xf numFmtId="0" fontId="2" fillId="2" borderId="1" xfId="0" applyFont="1" applyFill="1" applyBorder="1" applyAlignment="1">
      <alignment horizontal="center"/>
    </xf>
    <xf numFmtId="14" fontId="2" fillId="2" borderId="1" xfId="0" applyNumberFormat="1" applyFont="1" applyFill="1" applyBorder="1" applyAlignment="1">
      <alignment horizontal="center"/>
    </xf>
    <xf numFmtId="0" fontId="2" fillId="2" borderId="2" xfId="0" applyFont="1" applyFill="1" applyBorder="1" applyAlignment="1">
      <alignment horizontal="center" vertical="center" wrapText="1"/>
    </xf>
    <xf numFmtId="0" fontId="2" fillId="2" borderId="1" xfId="0" quotePrefix="1" applyFont="1" applyFill="1" applyBorder="1"/>
    <xf numFmtId="164" fontId="2" fillId="2" borderId="0" xfId="0" applyNumberFormat="1" applyFont="1" applyFill="1" applyAlignment="1">
      <alignment horizontal="center"/>
    </xf>
    <xf numFmtId="165" fontId="2" fillId="2" borderId="0" xfId="0" applyNumberFormat="1" applyFont="1" applyFill="1" applyAlignment="1">
      <alignment horizontal="center"/>
    </xf>
    <xf numFmtId="166" fontId="2" fillId="2" borderId="0" xfId="0" applyNumberFormat="1" applyFont="1" applyFill="1" applyAlignment="1">
      <alignment horizontal="center"/>
    </xf>
    <xf numFmtId="165" fontId="2" fillId="2" borderId="1" xfId="0" applyNumberFormat="1" applyFont="1" applyFill="1" applyBorder="1" applyAlignment="1">
      <alignment horizontal="center"/>
    </xf>
    <xf numFmtId="166" fontId="2" fillId="2" borderId="1" xfId="0" applyNumberFormat="1" applyFont="1" applyFill="1" applyBorder="1" applyAlignment="1">
      <alignment horizontal="center"/>
    </xf>
    <xf numFmtId="166" fontId="2" fillId="2" borderId="0" xfId="0" applyNumberFormat="1" applyFont="1" applyFill="1" applyAlignment="1">
      <alignment horizontal="center" vertical="center"/>
    </xf>
    <xf numFmtId="0" fontId="5" fillId="2" borderId="0" xfId="0" applyFont="1" applyFill="1" applyAlignment="1">
      <alignment horizontal="center" vertical="center"/>
    </xf>
    <xf numFmtId="0" fontId="5" fillId="2" borderId="1" xfId="0" applyFont="1" applyFill="1" applyBorder="1"/>
    <xf numFmtId="166" fontId="2" fillId="2" borderId="4" xfId="0" applyNumberFormat="1" applyFont="1" applyFill="1" applyBorder="1" applyAlignment="1">
      <alignment horizontal="center" vertical="center"/>
    </xf>
    <xf numFmtId="166" fontId="2" fillId="2" borderId="1" xfId="0" applyNumberFormat="1" applyFont="1" applyFill="1" applyBorder="1" applyAlignment="1">
      <alignment horizontal="center" vertical="center"/>
    </xf>
    <xf numFmtId="0" fontId="5" fillId="2" borderId="1" xfId="0" applyFont="1" applyFill="1" applyBorder="1" applyAlignment="1">
      <alignment horizontal="center" vertical="center"/>
    </xf>
    <xf numFmtId="0" fontId="5" fillId="2" borderId="5"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0" xfId="0" applyFont="1" applyFill="1" applyAlignment="1">
      <alignment horizontal="center" vertical="center"/>
    </xf>
    <xf numFmtId="0" fontId="2" fillId="2" borderId="1"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3" xfId="0" applyFont="1" applyFill="1" applyBorder="1" applyAlignment="1">
      <alignment horizontal="center" vertical="center"/>
    </xf>
    <xf numFmtId="0" fontId="2" fillId="2" borderId="0" xfId="0" applyFont="1" applyFill="1" applyAlignment="1">
      <alignment horizontal="center" vertical="center" wrapText="1"/>
    </xf>
    <xf numFmtId="0" fontId="5" fillId="2" borderId="4" xfId="0" applyFont="1" applyFill="1" applyBorder="1" applyAlignment="1">
      <alignment horizontal="center"/>
    </xf>
    <xf numFmtId="0" fontId="2" fillId="2" borderId="3" xfId="0" applyFont="1" applyFill="1" applyBorder="1" applyAlignment="1">
      <alignment horizontal="center"/>
    </xf>
    <xf numFmtId="0" fontId="2" fillId="3" borderId="2" xfId="0" applyFont="1" applyFill="1" applyBorder="1" applyAlignment="1">
      <alignment horizontal="center" vertical="center" wrapText="1"/>
    </xf>
    <xf numFmtId="0" fontId="2" fillId="3" borderId="0" xfId="0" applyFont="1" applyFill="1" applyAlignment="1">
      <alignment horizontal="center"/>
    </xf>
    <xf numFmtId="0" fontId="2" fillId="3" borderId="1" xfId="0" applyFont="1" applyFill="1" applyBorder="1" applyAlignment="1">
      <alignment horizontal="center"/>
    </xf>
    <xf numFmtId="0" fontId="2" fillId="2" borderId="3" xfId="0" applyFont="1" applyFill="1" applyBorder="1"/>
    <xf numFmtId="0" fontId="2" fillId="3" borderId="0" xfId="0" applyFont="1" applyFill="1"/>
    <xf numFmtId="0" fontId="2" fillId="3" borderId="3" xfId="0" applyFont="1" applyFill="1" applyBorder="1"/>
    <xf numFmtId="0" fontId="2" fillId="3" borderId="1" xfId="0" applyFont="1" applyFill="1" applyBorder="1"/>
    <xf numFmtId="0" fontId="2" fillId="2" borderId="0" xfId="0" applyFont="1" applyFill="1" applyAlignment="1">
      <alignment vertical="center" wrapText="1"/>
    </xf>
    <xf numFmtId="164" fontId="2" fillId="2" borderId="0" xfId="0" applyNumberFormat="1" applyFont="1" applyFill="1" applyAlignment="1">
      <alignment horizontal="center" vertical="center"/>
    </xf>
    <xf numFmtId="0" fontId="2" fillId="2" borderId="0" xfId="0" applyFont="1" applyFill="1" applyAlignment="1">
      <alignment vertical="center"/>
    </xf>
    <xf numFmtId="0" fontId="2" fillId="2" borderId="0" xfId="0" applyFont="1" applyFill="1" applyAlignment="1">
      <alignment horizontal="right"/>
    </xf>
    <xf numFmtId="164" fontId="2" fillId="2" borderId="1" xfId="0" applyNumberFormat="1" applyFont="1" applyFill="1" applyBorder="1" applyAlignment="1">
      <alignment horizontal="center" vertical="center"/>
    </xf>
    <xf numFmtId="164" fontId="2" fillId="2" borderId="3" xfId="0" applyNumberFormat="1" applyFont="1" applyFill="1" applyBorder="1" applyAlignment="1">
      <alignment horizontal="center" vertical="center"/>
    </xf>
    <xf numFmtId="0" fontId="2" fillId="2" borderId="1" xfId="0" applyFont="1" applyFill="1" applyBorder="1" applyAlignment="1">
      <alignment horizontal="right"/>
    </xf>
    <xf numFmtId="164" fontId="2" fillId="2" borderId="0" xfId="0" quotePrefix="1" applyNumberFormat="1" applyFont="1" applyFill="1" applyAlignment="1">
      <alignment horizontal="center" vertical="center"/>
    </xf>
    <xf numFmtId="164" fontId="2" fillId="2" borderId="1" xfId="0" quotePrefix="1" applyNumberFormat="1" applyFont="1" applyFill="1" applyBorder="1" applyAlignment="1">
      <alignment horizontal="center" vertical="center"/>
    </xf>
    <xf numFmtId="164" fontId="2" fillId="2" borderId="3" xfId="0" quotePrefix="1" applyNumberFormat="1" applyFont="1" applyFill="1" applyBorder="1" applyAlignment="1">
      <alignment horizontal="center" vertical="center"/>
    </xf>
    <xf numFmtId="164" fontId="2" fillId="2" borderId="0" xfId="0" quotePrefix="1" applyNumberFormat="1" applyFont="1" applyFill="1" applyAlignment="1">
      <alignment horizontal="center"/>
    </xf>
    <xf numFmtId="164" fontId="2" fillId="2" borderId="1" xfId="0" quotePrefix="1" applyNumberFormat="1" applyFont="1" applyFill="1" applyBorder="1" applyAlignment="1">
      <alignment horizontal="center"/>
    </xf>
    <xf numFmtId="0" fontId="2" fillId="2" borderId="0" xfId="0" quotePrefix="1" applyFont="1" applyFill="1" applyAlignment="1">
      <alignment horizontal="center" vertical="center"/>
    </xf>
    <xf numFmtId="164" fontId="2" fillId="2" borderId="1" xfId="0" applyNumberFormat="1" applyFont="1" applyFill="1" applyBorder="1" applyAlignment="1">
      <alignment horizontal="center"/>
    </xf>
    <xf numFmtId="0" fontId="8" fillId="2" borderId="0" xfId="0" applyFont="1" applyFill="1"/>
    <xf numFmtId="0" fontId="2" fillId="2" borderId="6"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0" xfId="0" applyFont="1" applyFill="1" applyAlignment="1">
      <alignment horizontal="center" vertical="center" wrapText="1"/>
    </xf>
    <xf numFmtId="0" fontId="2" fillId="2" borderId="1" xfId="0" applyFont="1" applyFill="1" applyBorder="1" applyAlignment="1">
      <alignment horizontal="center" vertical="center" wrapText="1"/>
    </xf>
    <xf numFmtId="0" fontId="1" fillId="0" borderId="0" xfId="0" applyFont="1" applyAlignment="1">
      <alignment horizontal="center" vertical="center"/>
    </xf>
    <xf numFmtId="0" fontId="2" fillId="2" borderId="3" xfId="0" applyFont="1" applyFill="1" applyBorder="1" applyAlignment="1">
      <alignment horizontal="center" vertical="center" wrapText="1"/>
    </xf>
    <xf numFmtId="0" fontId="5" fillId="2" borderId="4" xfId="0" applyFont="1" applyFill="1" applyBorder="1" applyAlignment="1">
      <alignment horizontal="center" vertical="center"/>
    </xf>
    <xf numFmtId="0" fontId="5" fillId="2" borderId="4" xfId="0" applyFont="1" applyFill="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125349956255468"/>
          <c:y val="4.9079754601226995E-2"/>
          <c:w val="0.81815157480314948"/>
          <c:h val="0.78300564853738586"/>
        </c:manualLayout>
      </c:layout>
      <c:barChart>
        <c:barDir val="col"/>
        <c:grouping val="clustered"/>
        <c:varyColors val="0"/>
        <c:ser>
          <c:idx val="0"/>
          <c:order val="0"/>
          <c:tx>
            <c:strRef>
              <c:f>Resumen!$B$7</c:f>
              <c:strCache>
                <c:ptCount val="1"/>
                <c:pt idx="0">
                  <c:v>Azithromycin </c:v>
                </c:pt>
              </c:strCache>
            </c:strRef>
          </c:tx>
          <c:spPr>
            <a:solidFill>
              <a:schemeClr val="accent2">
                <a:alpha val="70000"/>
              </a:schemeClr>
            </a:solidFill>
            <a:ln>
              <a:noFill/>
            </a:ln>
            <a:effectLst/>
          </c:spPr>
          <c:invertIfNegative val="0"/>
          <c:errBars>
            <c:errBarType val="both"/>
            <c:errValType val="cust"/>
            <c:noEndCap val="0"/>
            <c:plus>
              <c:numRef>
                <c:f>Resumen!$C$13:$F$13</c:f>
                <c:numCache>
                  <c:formatCode>General</c:formatCode>
                  <c:ptCount val="4"/>
                  <c:pt idx="0">
                    <c:v>10</c:v>
                  </c:pt>
                  <c:pt idx="1">
                    <c:v>10</c:v>
                  </c:pt>
                  <c:pt idx="2">
                    <c:v>11.547005383792527</c:v>
                  </c:pt>
                  <c:pt idx="3">
                    <c:v>10</c:v>
                  </c:pt>
                </c:numCache>
              </c:numRef>
            </c:plus>
            <c:minus>
              <c:numRef>
                <c:f>Resumen!$C$13:$F$13</c:f>
                <c:numCache>
                  <c:formatCode>General</c:formatCode>
                  <c:ptCount val="4"/>
                  <c:pt idx="0">
                    <c:v>10</c:v>
                  </c:pt>
                  <c:pt idx="1">
                    <c:v>10</c:v>
                  </c:pt>
                  <c:pt idx="2">
                    <c:v>11.547005383792527</c:v>
                  </c:pt>
                  <c:pt idx="3">
                    <c:v>10</c:v>
                  </c:pt>
                </c:numCache>
              </c:numRef>
            </c:minus>
            <c:spPr>
              <a:noFill/>
              <a:ln w="9525">
                <a:solidFill>
                  <a:schemeClr val="tx1">
                    <a:lumMod val="65000"/>
                    <a:lumOff val="35000"/>
                  </a:schemeClr>
                </a:solidFill>
                <a:round/>
              </a:ln>
              <a:effectLst/>
            </c:spPr>
          </c:errBars>
          <c:cat>
            <c:strRef>
              <c:f>Resumen!$C$6:$F$6</c:f>
              <c:strCache>
                <c:ptCount val="4"/>
                <c:pt idx="0">
                  <c:v>Tomato</c:v>
                </c:pt>
                <c:pt idx="1">
                  <c:v>Cempasuchil </c:v>
                </c:pt>
                <c:pt idx="2">
                  <c:v>Carnation</c:v>
                </c:pt>
                <c:pt idx="3">
                  <c:v>Alfalfa </c:v>
                </c:pt>
              </c:strCache>
            </c:strRef>
          </c:cat>
          <c:val>
            <c:numRef>
              <c:f>Resumen!$C$7:$F$7</c:f>
              <c:numCache>
                <c:formatCode>0.0</c:formatCode>
                <c:ptCount val="4"/>
                <c:pt idx="0">
                  <c:v>40</c:v>
                </c:pt>
                <c:pt idx="1">
                  <c:v>90</c:v>
                </c:pt>
                <c:pt idx="2">
                  <c:v>46.666666666666671</c:v>
                </c:pt>
                <c:pt idx="3">
                  <c:v>70</c:v>
                </c:pt>
              </c:numCache>
            </c:numRef>
          </c:val>
          <c:extLst>
            <c:ext xmlns:c16="http://schemas.microsoft.com/office/drawing/2014/chart" uri="{C3380CC4-5D6E-409C-BE32-E72D297353CC}">
              <c16:uniqueId val="{00000000-A3D6-460A-A6BC-2110273BA9A9}"/>
            </c:ext>
          </c:extLst>
        </c:ser>
        <c:ser>
          <c:idx val="1"/>
          <c:order val="1"/>
          <c:tx>
            <c:strRef>
              <c:f>Resumen!$B$8</c:f>
              <c:strCache>
                <c:ptCount val="1"/>
                <c:pt idx="0">
                  <c:v>Ciprofloxacin </c:v>
                </c:pt>
              </c:strCache>
            </c:strRef>
          </c:tx>
          <c:spPr>
            <a:solidFill>
              <a:schemeClr val="accent4">
                <a:alpha val="70000"/>
              </a:schemeClr>
            </a:solidFill>
            <a:ln>
              <a:noFill/>
            </a:ln>
            <a:effectLst/>
          </c:spPr>
          <c:invertIfNegative val="0"/>
          <c:errBars>
            <c:errBarType val="both"/>
            <c:errValType val="cust"/>
            <c:noEndCap val="0"/>
            <c:plus>
              <c:numRef>
                <c:f>Resumen!$C$14:$F$14</c:f>
                <c:numCache>
                  <c:formatCode>General</c:formatCode>
                  <c:ptCount val="4"/>
                  <c:pt idx="0">
                    <c:v>10</c:v>
                  </c:pt>
                  <c:pt idx="1">
                    <c:v>15.275252316519452</c:v>
                  </c:pt>
                  <c:pt idx="2">
                    <c:v>10</c:v>
                  </c:pt>
                  <c:pt idx="3">
                    <c:v>5.7735026918962582</c:v>
                  </c:pt>
                </c:numCache>
              </c:numRef>
            </c:plus>
            <c:minus>
              <c:numRef>
                <c:f>Resumen!$C$14:$F$14</c:f>
                <c:numCache>
                  <c:formatCode>General</c:formatCode>
                  <c:ptCount val="4"/>
                  <c:pt idx="0">
                    <c:v>10</c:v>
                  </c:pt>
                  <c:pt idx="1">
                    <c:v>15.275252316519452</c:v>
                  </c:pt>
                  <c:pt idx="2">
                    <c:v>10</c:v>
                  </c:pt>
                  <c:pt idx="3">
                    <c:v>5.7735026918962582</c:v>
                  </c:pt>
                </c:numCache>
              </c:numRef>
            </c:minus>
            <c:spPr>
              <a:noFill/>
              <a:ln w="9525">
                <a:solidFill>
                  <a:schemeClr val="tx1">
                    <a:lumMod val="65000"/>
                    <a:lumOff val="35000"/>
                  </a:schemeClr>
                </a:solidFill>
                <a:round/>
              </a:ln>
              <a:effectLst/>
            </c:spPr>
          </c:errBars>
          <c:cat>
            <c:strRef>
              <c:f>Resumen!$C$6:$F$6</c:f>
              <c:strCache>
                <c:ptCount val="4"/>
                <c:pt idx="0">
                  <c:v>Tomato</c:v>
                </c:pt>
                <c:pt idx="1">
                  <c:v>Cempasuchil </c:v>
                </c:pt>
                <c:pt idx="2">
                  <c:v>Carnation</c:v>
                </c:pt>
                <c:pt idx="3">
                  <c:v>Alfalfa </c:v>
                </c:pt>
              </c:strCache>
            </c:strRef>
          </c:cat>
          <c:val>
            <c:numRef>
              <c:f>Resumen!$C$8:$F$8</c:f>
              <c:numCache>
                <c:formatCode>0.0</c:formatCode>
                <c:ptCount val="4"/>
                <c:pt idx="0">
                  <c:v>40</c:v>
                </c:pt>
                <c:pt idx="1">
                  <c:v>86.666666666666657</c:v>
                </c:pt>
                <c:pt idx="2">
                  <c:v>80</c:v>
                </c:pt>
                <c:pt idx="3">
                  <c:v>73.333333333333329</c:v>
                </c:pt>
              </c:numCache>
            </c:numRef>
          </c:val>
          <c:extLst>
            <c:ext xmlns:c16="http://schemas.microsoft.com/office/drawing/2014/chart" uri="{C3380CC4-5D6E-409C-BE32-E72D297353CC}">
              <c16:uniqueId val="{00000001-A3D6-460A-A6BC-2110273BA9A9}"/>
            </c:ext>
          </c:extLst>
        </c:ser>
        <c:ser>
          <c:idx val="2"/>
          <c:order val="2"/>
          <c:tx>
            <c:strRef>
              <c:f>Resumen!$B$9</c:f>
              <c:strCache>
                <c:ptCount val="1"/>
                <c:pt idx="0">
                  <c:v>Oxytetracycline </c:v>
                </c:pt>
              </c:strCache>
            </c:strRef>
          </c:tx>
          <c:spPr>
            <a:solidFill>
              <a:schemeClr val="accent6">
                <a:alpha val="70000"/>
              </a:schemeClr>
            </a:solidFill>
            <a:ln>
              <a:noFill/>
            </a:ln>
            <a:effectLst/>
          </c:spPr>
          <c:invertIfNegative val="0"/>
          <c:errBars>
            <c:errBarType val="both"/>
            <c:errValType val="cust"/>
            <c:noEndCap val="0"/>
            <c:plus>
              <c:numRef>
                <c:f>Resumen!$C$15:$F$15</c:f>
                <c:numCache>
                  <c:formatCode>General</c:formatCode>
                  <c:ptCount val="4"/>
                  <c:pt idx="0">
                    <c:v>15.275252316519474</c:v>
                  </c:pt>
                  <c:pt idx="1">
                    <c:v>5.7735026918962573</c:v>
                  </c:pt>
                  <c:pt idx="2">
                    <c:v>10</c:v>
                  </c:pt>
                  <c:pt idx="3">
                    <c:v>0</c:v>
                  </c:pt>
                </c:numCache>
              </c:numRef>
            </c:plus>
            <c:minus>
              <c:numRef>
                <c:f>Resumen!$C$15:$F$15</c:f>
                <c:numCache>
                  <c:formatCode>General</c:formatCode>
                  <c:ptCount val="4"/>
                  <c:pt idx="0">
                    <c:v>15.275252316519474</c:v>
                  </c:pt>
                  <c:pt idx="1">
                    <c:v>5.7735026918962573</c:v>
                  </c:pt>
                  <c:pt idx="2">
                    <c:v>10</c:v>
                  </c:pt>
                  <c:pt idx="3">
                    <c:v>0</c:v>
                  </c:pt>
                </c:numCache>
              </c:numRef>
            </c:minus>
            <c:spPr>
              <a:noFill/>
              <a:ln w="9525">
                <a:solidFill>
                  <a:schemeClr val="tx1">
                    <a:lumMod val="65000"/>
                    <a:lumOff val="35000"/>
                  </a:schemeClr>
                </a:solidFill>
                <a:round/>
              </a:ln>
              <a:effectLst/>
            </c:spPr>
          </c:errBars>
          <c:cat>
            <c:strRef>
              <c:f>Resumen!$C$6:$F$6</c:f>
              <c:strCache>
                <c:ptCount val="4"/>
                <c:pt idx="0">
                  <c:v>Tomato</c:v>
                </c:pt>
                <c:pt idx="1">
                  <c:v>Cempasuchil </c:v>
                </c:pt>
                <c:pt idx="2">
                  <c:v>Carnation</c:v>
                </c:pt>
                <c:pt idx="3">
                  <c:v>Alfalfa </c:v>
                </c:pt>
              </c:strCache>
            </c:strRef>
          </c:cat>
          <c:val>
            <c:numRef>
              <c:f>Resumen!$C$9:$F$9</c:f>
              <c:numCache>
                <c:formatCode>0.0</c:formatCode>
                <c:ptCount val="4"/>
                <c:pt idx="0">
                  <c:v>53.333333333333329</c:v>
                </c:pt>
                <c:pt idx="1">
                  <c:v>86.666666666666657</c:v>
                </c:pt>
                <c:pt idx="2">
                  <c:v>80</c:v>
                </c:pt>
                <c:pt idx="3">
                  <c:v>100</c:v>
                </c:pt>
              </c:numCache>
            </c:numRef>
          </c:val>
          <c:extLst>
            <c:ext xmlns:c16="http://schemas.microsoft.com/office/drawing/2014/chart" uri="{C3380CC4-5D6E-409C-BE32-E72D297353CC}">
              <c16:uniqueId val="{00000002-A3D6-460A-A6BC-2110273BA9A9}"/>
            </c:ext>
          </c:extLst>
        </c:ser>
        <c:ser>
          <c:idx val="3"/>
          <c:order val="3"/>
          <c:tx>
            <c:strRef>
              <c:f>Resumen!$B$10</c:f>
              <c:strCache>
                <c:ptCount val="1"/>
                <c:pt idx="0">
                  <c:v>Trimethoprim </c:v>
                </c:pt>
              </c:strCache>
            </c:strRef>
          </c:tx>
          <c:spPr>
            <a:solidFill>
              <a:schemeClr val="accent2">
                <a:lumMod val="60000"/>
                <a:alpha val="70000"/>
              </a:schemeClr>
            </a:solidFill>
            <a:ln>
              <a:noFill/>
            </a:ln>
            <a:effectLst/>
          </c:spPr>
          <c:invertIfNegative val="0"/>
          <c:errBars>
            <c:errBarType val="both"/>
            <c:errValType val="cust"/>
            <c:noEndCap val="0"/>
            <c:plus>
              <c:numRef>
                <c:f>Resumen!$C$16:$F$16</c:f>
                <c:numCache>
                  <c:formatCode>General</c:formatCode>
                  <c:ptCount val="4"/>
                  <c:pt idx="0">
                    <c:v>20.816659994661336</c:v>
                  </c:pt>
                  <c:pt idx="1">
                    <c:v>5.7735026918962582</c:v>
                  </c:pt>
                  <c:pt idx="2">
                    <c:v>5.7735026918962573</c:v>
                  </c:pt>
                  <c:pt idx="3">
                    <c:v>5.7735026918962573</c:v>
                  </c:pt>
                </c:numCache>
              </c:numRef>
            </c:plus>
            <c:minus>
              <c:numRef>
                <c:f>Resumen!$C$16:$F$16</c:f>
                <c:numCache>
                  <c:formatCode>General</c:formatCode>
                  <c:ptCount val="4"/>
                  <c:pt idx="0">
                    <c:v>20.816659994661336</c:v>
                  </c:pt>
                  <c:pt idx="1">
                    <c:v>5.7735026918962582</c:v>
                  </c:pt>
                  <c:pt idx="2">
                    <c:v>5.7735026918962573</c:v>
                  </c:pt>
                  <c:pt idx="3">
                    <c:v>5.7735026918962573</c:v>
                  </c:pt>
                </c:numCache>
              </c:numRef>
            </c:minus>
            <c:spPr>
              <a:noFill/>
              <a:ln w="9525">
                <a:solidFill>
                  <a:schemeClr val="tx1">
                    <a:lumMod val="65000"/>
                    <a:lumOff val="35000"/>
                  </a:schemeClr>
                </a:solidFill>
                <a:round/>
              </a:ln>
              <a:effectLst/>
            </c:spPr>
          </c:errBars>
          <c:cat>
            <c:strRef>
              <c:f>Resumen!$C$6:$F$6</c:f>
              <c:strCache>
                <c:ptCount val="4"/>
                <c:pt idx="0">
                  <c:v>Tomato</c:v>
                </c:pt>
                <c:pt idx="1">
                  <c:v>Cempasuchil </c:v>
                </c:pt>
                <c:pt idx="2">
                  <c:v>Carnation</c:v>
                </c:pt>
                <c:pt idx="3">
                  <c:v>Alfalfa </c:v>
                </c:pt>
              </c:strCache>
            </c:strRef>
          </c:cat>
          <c:val>
            <c:numRef>
              <c:f>Resumen!$C$10:$F$10</c:f>
              <c:numCache>
                <c:formatCode>0.0</c:formatCode>
                <c:ptCount val="4"/>
                <c:pt idx="0">
                  <c:v>46.666666666666671</c:v>
                </c:pt>
                <c:pt idx="1">
                  <c:v>66.666666666666671</c:v>
                </c:pt>
                <c:pt idx="2">
                  <c:v>83.333333333333343</c:v>
                </c:pt>
                <c:pt idx="3">
                  <c:v>93.333333333333343</c:v>
                </c:pt>
              </c:numCache>
            </c:numRef>
          </c:val>
          <c:extLst>
            <c:ext xmlns:c16="http://schemas.microsoft.com/office/drawing/2014/chart" uri="{C3380CC4-5D6E-409C-BE32-E72D297353CC}">
              <c16:uniqueId val="{00000003-A3D6-460A-A6BC-2110273BA9A9}"/>
            </c:ext>
          </c:extLst>
        </c:ser>
        <c:ser>
          <c:idx val="4"/>
          <c:order val="4"/>
          <c:tx>
            <c:strRef>
              <c:f>Resumen!$B$11</c:f>
              <c:strCache>
                <c:ptCount val="1"/>
                <c:pt idx="0">
                  <c:v>No pharms</c:v>
                </c:pt>
              </c:strCache>
            </c:strRef>
          </c:tx>
          <c:spPr>
            <a:solidFill>
              <a:schemeClr val="accent4">
                <a:lumMod val="60000"/>
                <a:alpha val="70000"/>
              </a:schemeClr>
            </a:solidFill>
            <a:ln>
              <a:noFill/>
            </a:ln>
            <a:effectLst/>
          </c:spPr>
          <c:invertIfNegative val="0"/>
          <c:errBars>
            <c:errBarType val="both"/>
            <c:errValType val="cust"/>
            <c:noEndCap val="0"/>
            <c:plus>
              <c:numRef>
                <c:f>Resumen!$C$17:$F$17</c:f>
                <c:numCache>
                  <c:formatCode>General</c:formatCode>
                  <c:ptCount val="4"/>
                  <c:pt idx="0">
                    <c:v>8.9442719099991592</c:v>
                  </c:pt>
                  <c:pt idx="1">
                    <c:v>11.690451944500104</c:v>
                  </c:pt>
                  <c:pt idx="2">
                    <c:v>14.719601443879734</c:v>
                  </c:pt>
                  <c:pt idx="3">
                    <c:v>8.164965809277259</c:v>
                  </c:pt>
                </c:numCache>
              </c:numRef>
            </c:plus>
            <c:minus>
              <c:numRef>
                <c:f>Resumen!$C$17:$F$17</c:f>
                <c:numCache>
                  <c:formatCode>General</c:formatCode>
                  <c:ptCount val="4"/>
                  <c:pt idx="0">
                    <c:v>8.9442719099991592</c:v>
                  </c:pt>
                  <c:pt idx="1">
                    <c:v>11.690451944500104</c:v>
                  </c:pt>
                  <c:pt idx="2">
                    <c:v>14.719601443879734</c:v>
                  </c:pt>
                  <c:pt idx="3">
                    <c:v>8.164965809277259</c:v>
                  </c:pt>
                </c:numCache>
              </c:numRef>
            </c:minus>
            <c:spPr>
              <a:noFill/>
              <a:ln w="9525">
                <a:solidFill>
                  <a:schemeClr val="tx1">
                    <a:lumMod val="65000"/>
                    <a:lumOff val="35000"/>
                  </a:schemeClr>
                </a:solidFill>
                <a:round/>
              </a:ln>
              <a:effectLst/>
            </c:spPr>
          </c:errBars>
          <c:cat>
            <c:strRef>
              <c:f>Resumen!$C$6:$F$6</c:f>
              <c:strCache>
                <c:ptCount val="4"/>
                <c:pt idx="0">
                  <c:v>Tomato</c:v>
                </c:pt>
                <c:pt idx="1">
                  <c:v>Cempasuchil </c:v>
                </c:pt>
                <c:pt idx="2">
                  <c:v>Carnation</c:v>
                </c:pt>
                <c:pt idx="3">
                  <c:v>Alfalfa </c:v>
                </c:pt>
              </c:strCache>
            </c:strRef>
          </c:cat>
          <c:val>
            <c:numRef>
              <c:f>Resumen!$C$11:$F$11</c:f>
              <c:numCache>
                <c:formatCode>0.0</c:formatCode>
                <c:ptCount val="4"/>
                <c:pt idx="0">
                  <c:v>40</c:v>
                </c:pt>
                <c:pt idx="1">
                  <c:v>78.333333333333329</c:v>
                </c:pt>
                <c:pt idx="2">
                  <c:v>68.333333333333329</c:v>
                </c:pt>
                <c:pt idx="3">
                  <c:v>93.333333333333343</c:v>
                </c:pt>
              </c:numCache>
            </c:numRef>
          </c:val>
          <c:extLst>
            <c:ext xmlns:c16="http://schemas.microsoft.com/office/drawing/2014/chart" uri="{C3380CC4-5D6E-409C-BE32-E72D297353CC}">
              <c16:uniqueId val="{00000006-A3D6-460A-A6BC-2110273BA9A9}"/>
            </c:ext>
          </c:extLst>
        </c:ser>
        <c:dLbls>
          <c:showLegendKey val="0"/>
          <c:showVal val="0"/>
          <c:showCatName val="0"/>
          <c:showSerName val="0"/>
          <c:showPercent val="0"/>
          <c:showBubbleSize val="0"/>
        </c:dLbls>
        <c:gapWidth val="80"/>
        <c:overlap val="25"/>
        <c:axId val="1931283520"/>
        <c:axId val="1931285440"/>
      </c:barChart>
      <c:catAx>
        <c:axId val="1931283520"/>
        <c:scaling>
          <c:orientation val="minMax"/>
        </c:scaling>
        <c:delete val="0"/>
        <c:axPos val="b"/>
        <c:numFmt formatCode="General" sourceLinked="1"/>
        <c:majorTickMark val="none"/>
        <c:minorTickMark val="none"/>
        <c:tickLblPos val="nextTo"/>
        <c:spPr>
          <a:noFill/>
          <a:ln w="1587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cap="none" spc="20" normalizeH="0" baseline="0">
                <a:solidFill>
                  <a:sysClr val="windowText" lastClr="000000"/>
                </a:solidFill>
                <a:latin typeface="Times New Roman" panose="02020603050405020304" pitchFamily="18" charset="0"/>
                <a:ea typeface="+mn-ea"/>
                <a:cs typeface="Times New Roman" panose="02020603050405020304" pitchFamily="18" charset="0"/>
              </a:defRPr>
            </a:pPr>
            <a:endParaRPr lang="es-MX"/>
          </a:p>
        </c:txPr>
        <c:crossAx val="1931285440"/>
        <c:crosses val="autoZero"/>
        <c:auto val="1"/>
        <c:lblAlgn val="ctr"/>
        <c:lblOffset val="100"/>
        <c:noMultiLvlLbl val="0"/>
      </c:catAx>
      <c:valAx>
        <c:axId val="1931285440"/>
        <c:scaling>
          <c:orientation val="minMax"/>
          <c:max val="110"/>
          <c:min val="0"/>
        </c:scaling>
        <c:delete val="0"/>
        <c:axPos val="l"/>
        <c:majorGridlines>
          <c:spPr>
            <a:ln w="9525" cap="flat" cmpd="sng" algn="ctr">
              <a:solidFill>
                <a:schemeClr val="tx1">
                  <a:lumMod val="5000"/>
                  <a:lumOff val="95000"/>
                </a:schemeClr>
              </a:solidFill>
              <a:round/>
            </a:ln>
            <a:effectLst/>
          </c:spPr>
        </c:majorGridlines>
        <c:title>
          <c:tx>
            <c:rich>
              <a:bodyPr rot="-5400000" spcFirstLastPara="1" vertOverflow="ellipsis" vert="horz" wrap="square" anchor="ctr" anchorCtr="1"/>
              <a:lstStyle/>
              <a:p>
                <a:pPr>
                  <a:defRPr sz="900" b="0" i="0" u="none" strike="noStrike" kern="1200" cap="none" baseline="0">
                    <a:solidFill>
                      <a:sysClr val="windowText" lastClr="000000"/>
                    </a:solidFill>
                    <a:latin typeface="Times New Roman" panose="02020603050405020304" pitchFamily="18" charset="0"/>
                    <a:ea typeface="+mn-ea"/>
                    <a:cs typeface="Times New Roman" panose="02020603050405020304" pitchFamily="18" charset="0"/>
                  </a:defRPr>
                </a:pPr>
                <a:r>
                  <a:rPr lang="en-US" cap="none" baseline="0"/>
                  <a:t>% Germination</a:t>
                </a:r>
              </a:p>
            </c:rich>
          </c:tx>
          <c:overlay val="0"/>
          <c:spPr>
            <a:noFill/>
            <a:ln>
              <a:noFill/>
            </a:ln>
            <a:effectLst/>
          </c:spPr>
          <c:txPr>
            <a:bodyPr rot="-5400000" spcFirstLastPara="1" vertOverflow="ellipsis" vert="horz" wrap="square" anchor="ctr" anchorCtr="1"/>
            <a:lstStyle/>
            <a:p>
              <a:pPr>
                <a:defRPr sz="900" b="0" i="0" u="none" strike="noStrike" kern="1200" cap="none" baseline="0">
                  <a:solidFill>
                    <a:sysClr val="windowText" lastClr="000000"/>
                  </a:solidFill>
                  <a:latin typeface="Times New Roman" panose="02020603050405020304" pitchFamily="18" charset="0"/>
                  <a:ea typeface="+mn-ea"/>
                  <a:cs typeface="Times New Roman" panose="02020603050405020304" pitchFamily="18" charset="0"/>
                </a:defRPr>
              </a:pPr>
              <a:endParaRPr lang="es-MX"/>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spc="20" baseline="0">
                <a:solidFill>
                  <a:sysClr val="windowText" lastClr="000000"/>
                </a:solidFill>
                <a:latin typeface="Times New Roman" panose="02020603050405020304" pitchFamily="18" charset="0"/>
                <a:ea typeface="+mn-ea"/>
                <a:cs typeface="Times New Roman" panose="02020603050405020304" pitchFamily="18" charset="0"/>
              </a:defRPr>
            </a:pPr>
            <a:endParaRPr lang="es-MX"/>
          </a:p>
        </c:txPr>
        <c:crossAx val="193128352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lt1"/>
    </a:solidFill>
    <a:ln w="9525" cap="flat" cmpd="sng" algn="ctr">
      <a:solidFill>
        <a:schemeClr val="tx1">
          <a:lumMod val="15000"/>
          <a:lumOff val="85000"/>
        </a:schemeClr>
      </a:solidFill>
      <a:round/>
    </a:ln>
    <a:effectLst/>
  </c:spPr>
  <c:txPr>
    <a:bodyPr/>
    <a:lstStyle/>
    <a:p>
      <a:pPr>
        <a:defRPr>
          <a:solidFill>
            <a:sysClr val="windowText" lastClr="000000"/>
          </a:solidFill>
          <a:latin typeface="Times New Roman" panose="02020603050405020304" pitchFamily="18" charset="0"/>
          <a:cs typeface="Times New Roman" panose="02020603050405020304" pitchFamily="18" charset="0"/>
        </a:defRPr>
      </a:pPr>
      <a:endParaRPr lang="es-MX"/>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472915436082453"/>
          <c:y val="4.9079754601226995E-2"/>
          <c:w val="0.83467623466481644"/>
          <c:h val="0.77481796370545708"/>
        </c:manualLayout>
      </c:layout>
      <c:barChart>
        <c:barDir val="col"/>
        <c:grouping val="clustered"/>
        <c:varyColors val="0"/>
        <c:ser>
          <c:idx val="0"/>
          <c:order val="0"/>
          <c:tx>
            <c:strRef>
              <c:f>Resumen!$B$25</c:f>
              <c:strCache>
                <c:ptCount val="1"/>
                <c:pt idx="0">
                  <c:v>Azithromycin </c:v>
                </c:pt>
              </c:strCache>
            </c:strRef>
          </c:tx>
          <c:spPr>
            <a:solidFill>
              <a:schemeClr val="accent2">
                <a:alpha val="70000"/>
              </a:schemeClr>
            </a:solidFill>
            <a:ln>
              <a:noFill/>
            </a:ln>
            <a:effectLst/>
          </c:spPr>
          <c:invertIfNegative val="0"/>
          <c:errBars>
            <c:errBarType val="both"/>
            <c:errValType val="cust"/>
            <c:noEndCap val="0"/>
            <c:plus>
              <c:numRef>
                <c:f>Resumen!$C$31:$F$31</c:f>
                <c:numCache>
                  <c:formatCode>General</c:formatCode>
                  <c:ptCount val="4"/>
                  <c:pt idx="0">
                    <c:v>0.49772530863977305</c:v>
                  </c:pt>
                  <c:pt idx="1">
                    <c:v>3.4365059430861047</c:v>
                  </c:pt>
                  <c:pt idx="2">
                    <c:v>0.30518637793113451</c:v>
                  </c:pt>
                  <c:pt idx="3">
                    <c:v>2.5766510305692032</c:v>
                  </c:pt>
                </c:numCache>
              </c:numRef>
            </c:plus>
            <c:minus>
              <c:numRef>
                <c:f>Resumen!$C$31:$F$31</c:f>
                <c:numCache>
                  <c:formatCode>General</c:formatCode>
                  <c:ptCount val="4"/>
                  <c:pt idx="0">
                    <c:v>0.49772530863977305</c:v>
                  </c:pt>
                  <c:pt idx="1">
                    <c:v>3.4365059430861047</c:v>
                  </c:pt>
                  <c:pt idx="2">
                    <c:v>0.30518637793113451</c:v>
                  </c:pt>
                  <c:pt idx="3">
                    <c:v>2.5766510305692032</c:v>
                  </c:pt>
                </c:numCache>
              </c:numRef>
            </c:minus>
            <c:spPr>
              <a:noFill/>
              <a:ln w="9525">
                <a:solidFill>
                  <a:schemeClr val="tx1">
                    <a:lumMod val="65000"/>
                    <a:lumOff val="35000"/>
                  </a:schemeClr>
                </a:solidFill>
                <a:round/>
              </a:ln>
              <a:effectLst/>
            </c:spPr>
          </c:errBars>
          <c:cat>
            <c:strRef>
              <c:f>Resumen!$C$6:$F$6</c:f>
              <c:strCache>
                <c:ptCount val="4"/>
                <c:pt idx="0">
                  <c:v>Tomato</c:v>
                </c:pt>
                <c:pt idx="1">
                  <c:v>Cempasuchil </c:v>
                </c:pt>
                <c:pt idx="2">
                  <c:v>Carnation</c:v>
                </c:pt>
                <c:pt idx="3">
                  <c:v>Alfalfa </c:v>
                </c:pt>
              </c:strCache>
            </c:strRef>
          </c:cat>
          <c:val>
            <c:numRef>
              <c:f>Resumen!$C$25:$F$25</c:f>
              <c:numCache>
                <c:formatCode>0.0</c:formatCode>
                <c:ptCount val="4"/>
                <c:pt idx="0">
                  <c:v>0.63283333333333325</c:v>
                </c:pt>
                <c:pt idx="1">
                  <c:v>6.0274074074074067</c:v>
                </c:pt>
                <c:pt idx="2">
                  <c:v>0.47757142857142859</c:v>
                </c:pt>
                <c:pt idx="3">
                  <c:v>2.4726666666666666</c:v>
                </c:pt>
              </c:numCache>
            </c:numRef>
          </c:val>
          <c:extLst>
            <c:ext xmlns:c16="http://schemas.microsoft.com/office/drawing/2014/chart" uri="{C3380CC4-5D6E-409C-BE32-E72D297353CC}">
              <c16:uniqueId val="{00000000-8223-4BE6-B2B4-3AABA0B41B59}"/>
            </c:ext>
          </c:extLst>
        </c:ser>
        <c:ser>
          <c:idx val="1"/>
          <c:order val="1"/>
          <c:tx>
            <c:strRef>
              <c:f>Resumen!$B$26</c:f>
              <c:strCache>
                <c:ptCount val="1"/>
                <c:pt idx="0">
                  <c:v>Ciprofloxacin </c:v>
                </c:pt>
              </c:strCache>
            </c:strRef>
          </c:tx>
          <c:spPr>
            <a:solidFill>
              <a:schemeClr val="accent4">
                <a:alpha val="70000"/>
              </a:schemeClr>
            </a:solidFill>
            <a:ln>
              <a:noFill/>
            </a:ln>
            <a:effectLst/>
          </c:spPr>
          <c:invertIfNegative val="0"/>
          <c:errBars>
            <c:errBarType val="both"/>
            <c:errValType val="cust"/>
            <c:noEndCap val="0"/>
            <c:plus>
              <c:numRef>
                <c:f>Resumen!$C$32:$F$32</c:f>
                <c:numCache>
                  <c:formatCode>General</c:formatCode>
                  <c:ptCount val="4"/>
                  <c:pt idx="0">
                    <c:v>0.32642288754796511</c:v>
                  </c:pt>
                  <c:pt idx="1">
                    <c:v>2.4134842046621818</c:v>
                  </c:pt>
                  <c:pt idx="2">
                    <c:v>0.46272230849896223</c:v>
                  </c:pt>
                  <c:pt idx="3">
                    <c:v>2.8096411889046635</c:v>
                  </c:pt>
                </c:numCache>
              </c:numRef>
            </c:plus>
            <c:minus>
              <c:numRef>
                <c:f>Resumen!$C$32:$F$32</c:f>
                <c:numCache>
                  <c:formatCode>General</c:formatCode>
                  <c:ptCount val="4"/>
                  <c:pt idx="0">
                    <c:v>0.32642288754796511</c:v>
                  </c:pt>
                  <c:pt idx="1">
                    <c:v>2.4134842046621818</c:v>
                  </c:pt>
                  <c:pt idx="2">
                    <c:v>0.46272230849896223</c:v>
                  </c:pt>
                  <c:pt idx="3">
                    <c:v>2.8096411889046635</c:v>
                  </c:pt>
                </c:numCache>
              </c:numRef>
            </c:minus>
            <c:spPr>
              <a:noFill/>
              <a:ln w="9525">
                <a:solidFill>
                  <a:schemeClr val="tx1">
                    <a:lumMod val="65000"/>
                    <a:lumOff val="35000"/>
                  </a:schemeClr>
                </a:solidFill>
                <a:round/>
              </a:ln>
              <a:effectLst/>
            </c:spPr>
          </c:errBars>
          <c:cat>
            <c:strRef>
              <c:f>Resumen!$C$6:$F$6</c:f>
              <c:strCache>
                <c:ptCount val="4"/>
                <c:pt idx="0">
                  <c:v>Tomato</c:v>
                </c:pt>
                <c:pt idx="1">
                  <c:v>Cempasuchil </c:v>
                </c:pt>
                <c:pt idx="2">
                  <c:v>Carnation</c:v>
                </c:pt>
                <c:pt idx="3">
                  <c:v>Alfalfa </c:v>
                </c:pt>
              </c:strCache>
            </c:strRef>
          </c:cat>
          <c:val>
            <c:numRef>
              <c:f>Resumen!$C$26:$F$26</c:f>
              <c:numCache>
                <c:formatCode>0.0</c:formatCode>
                <c:ptCount val="4"/>
                <c:pt idx="0">
                  <c:v>0.54908333333333337</c:v>
                </c:pt>
                <c:pt idx="1">
                  <c:v>3.8063846153846157</c:v>
                </c:pt>
                <c:pt idx="2">
                  <c:v>0.51924999999999999</c:v>
                </c:pt>
                <c:pt idx="3">
                  <c:v>3.4160909090909088</c:v>
                </c:pt>
              </c:numCache>
            </c:numRef>
          </c:val>
          <c:extLst>
            <c:ext xmlns:c16="http://schemas.microsoft.com/office/drawing/2014/chart" uri="{C3380CC4-5D6E-409C-BE32-E72D297353CC}">
              <c16:uniqueId val="{00000001-8223-4BE6-B2B4-3AABA0B41B59}"/>
            </c:ext>
          </c:extLst>
        </c:ser>
        <c:ser>
          <c:idx val="2"/>
          <c:order val="2"/>
          <c:tx>
            <c:strRef>
              <c:f>Resumen!$B$27</c:f>
              <c:strCache>
                <c:ptCount val="1"/>
                <c:pt idx="0">
                  <c:v>Oxytetracycline </c:v>
                </c:pt>
              </c:strCache>
            </c:strRef>
          </c:tx>
          <c:spPr>
            <a:solidFill>
              <a:schemeClr val="accent6">
                <a:alpha val="70000"/>
              </a:schemeClr>
            </a:solidFill>
            <a:ln>
              <a:noFill/>
            </a:ln>
            <a:effectLst/>
          </c:spPr>
          <c:invertIfNegative val="0"/>
          <c:errBars>
            <c:errBarType val="both"/>
            <c:errValType val="cust"/>
            <c:noEndCap val="0"/>
            <c:plus>
              <c:numRef>
                <c:f>Resumen!$C$33:$F$33</c:f>
                <c:numCache>
                  <c:formatCode>General</c:formatCode>
                  <c:ptCount val="4"/>
                  <c:pt idx="0">
                    <c:v>0.30490358448751181</c:v>
                  </c:pt>
                  <c:pt idx="1">
                    <c:v>4.3830132402966111</c:v>
                  </c:pt>
                  <c:pt idx="2">
                    <c:v>0.34134075911615358</c:v>
                  </c:pt>
                  <c:pt idx="3">
                    <c:v>2.2452058001567408</c:v>
                  </c:pt>
                </c:numCache>
              </c:numRef>
            </c:plus>
            <c:minus>
              <c:numRef>
                <c:f>Resumen!$C$33:$F$33</c:f>
                <c:numCache>
                  <c:formatCode>General</c:formatCode>
                  <c:ptCount val="4"/>
                  <c:pt idx="0">
                    <c:v>0.30490358448751181</c:v>
                  </c:pt>
                  <c:pt idx="1">
                    <c:v>4.3830132402966111</c:v>
                  </c:pt>
                  <c:pt idx="2">
                    <c:v>0.34134075911615358</c:v>
                  </c:pt>
                  <c:pt idx="3">
                    <c:v>2.2452058001567408</c:v>
                  </c:pt>
                </c:numCache>
              </c:numRef>
            </c:minus>
            <c:spPr>
              <a:noFill/>
              <a:ln w="9525">
                <a:solidFill>
                  <a:schemeClr val="tx1">
                    <a:lumMod val="65000"/>
                    <a:lumOff val="35000"/>
                  </a:schemeClr>
                </a:solidFill>
                <a:round/>
              </a:ln>
              <a:effectLst/>
            </c:spPr>
          </c:errBars>
          <c:cat>
            <c:strRef>
              <c:f>Resumen!$C$6:$F$6</c:f>
              <c:strCache>
                <c:ptCount val="4"/>
                <c:pt idx="0">
                  <c:v>Tomato</c:v>
                </c:pt>
                <c:pt idx="1">
                  <c:v>Cempasuchil </c:v>
                </c:pt>
                <c:pt idx="2">
                  <c:v>Carnation</c:v>
                </c:pt>
                <c:pt idx="3">
                  <c:v>Alfalfa </c:v>
                </c:pt>
              </c:strCache>
            </c:strRef>
          </c:cat>
          <c:val>
            <c:numRef>
              <c:f>Resumen!$C$27:$F$27</c:f>
              <c:numCache>
                <c:formatCode>0.0</c:formatCode>
                <c:ptCount val="4"/>
                <c:pt idx="0">
                  <c:v>0.54093750000000007</c:v>
                </c:pt>
                <c:pt idx="1">
                  <c:v>7.4097692307692293</c:v>
                </c:pt>
                <c:pt idx="2">
                  <c:v>0.58017391304347832</c:v>
                </c:pt>
                <c:pt idx="3">
                  <c:v>3.9298666666666668</c:v>
                </c:pt>
              </c:numCache>
            </c:numRef>
          </c:val>
          <c:extLst>
            <c:ext xmlns:c16="http://schemas.microsoft.com/office/drawing/2014/chart" uri="{C3380CC4-5D6E-409C-BE32-E72D297353CC}">
              <c16:uniqueId val="{00000002-8223-4BE6-B2B4-3AABA0B41B59}"/>
            </c:ext>
          </c:extLst>
        </c:ser>
        <c:ser>
          <c:idx val="3"/>
          <c:order val="3"/>
          <c:tx>
            <c:strRef>
              <c:f>Resumen!$B$28</c:f>
              <c:strCache>
                <c:ptCount val="1"/>
                <c:pt idx="0">
                  <c:v>Trimethoprim </c:v>
                </c:pt>
              </c:strCache>
            </c:strRef>
          </c:tx>
          <c:spPr>
            <a:solidFill>
              <a:schemeClr val="accent2">
                <a:lumMod val="60000"/>
                <a:alpha val="70000"/>
              </a:schemeClr>
            </a:solidFill>
            <a:ln>
              <a:noFill/>
            </a:ln>
            <a:effectLst/>
          </c:spPr>
          <c:invertIfNegative val="0"/>
          <c:errBars>
            <c:errBarType val="both"/>
            <c:errValType val="cust"/>
            <c:noEndCap val="0"/>
            <c:plus>
              <c:numRef>
                <c:f>Resumen!$C$34:$F$34</c:f>
                <c:numCache>
                  <c:formatCode>General</c:formatCode>
                  <c:ptCount val="4"/>
                  <c:pt idx="0">
                    <c:v>0.37504686886595096</c:v>
                  </c:pt>
                  <c:pt idx="1">
                    <c:v>4.5701398720389284</c:v>
                  </c:pt>
                  <c:pt idx="2">
                    <c:v>0.73777641599606592</c:v>
                  </c:pt>
                  <c:pt idx="3">
                    <c:v>2.7969556456257743</c:v>
                  </c:pt>
                </c:numCache>
              </c:numRef>
            </c:plus>
            <c:minus>
              <c:numRef>
                <c:f>Resumen!$C$34:$F$34</c:f>
                <c:numCache>
                  <c:formatCode>General</c:formatCode>
                  <c:ptCount val="4"/>
                  <c:pt idx="0">
                    <c:v>0.37504686886595096</c:v>
                  </c:pt>
                  <c:pt idx="1">
                    <c:v>4.5701398720389284</c:v>
                  </c:pt>
                  <c:pt idx="2">
                    <c:v>0.73777641599606592</c:v>
                  </c:pt>
                  <c:pt idx="3">
                    <c:v>2.7969556456257743</c:v>
                  </c:pt>
                </c:numCache>
              </c:numRef>
            </c:minus>
            <c:spPr>
              <a:noFill/>
              <a:ln w="9525">
                <a:solidFill>
                  <a:schemeClr val="tx1">
                    <a:lumMod val="65000"/>
                    <a:lumOff val="35000"/>
                  </a:schemeClr>
                </a:solidFill>
                <a:round/>
              </a:ln>
              <a:effectLst/>
            </c:spPr>
          </c:errBars>
          <c:cat>
            <c:strRef>
              <c:f>Resumen!$C$6:$F$6</c:f>
              <c:strCache>
                <c:ptCount val="4"/>
                <c:pt idx="0">
                  <c:v>Tomato</c:v>
                </c:pt>
                <c:pt idx="1">
                  <c:v>Cempasuchil </c:v>
                </c:pt>
                <c:pt idx="2">
                  <c:v>Carnation</c:v>
                </c:pt>
                <c:pt idx="3">
                  <c:v>Alfalfa </c:v>
                </c:pt>
              </c:strCache>
            </c:strRef>
          </c:cat>
          <c:val>
            <c:numRef>
              <c:f>Resumen!$C$28:$F$28</c:f>
              <c:numCache>
                <c:formatCode>0.0</c:formatCode>
                <c:ptCount val="4"/>
                <c:pt idx="0">
                  <c:v>0.47699999999999998</c:v>
                </c:pt>
                <c:pt idx="1">
                  <c:v>7.5696500000000011</c:v>
                </c:pt>
                <c:pt idx="2">
                  <c:v>0.85703999999999991</c:v>
                </c:pt>
                <c:pt idx="3">
                  <c:v>3.6710714285714281</c:v>
                </c:pt>
              </c:numCache>
            </c:numRef>
          </c:val>
          <c:extLst>
            <c:ext xmlns:c16="http://schemas.microsoft.com/office/drawing/2014/chart" uri="{C3380CC4-5D6E-409C-BE32-E72D297353CC}">
              <c16:uniqueId val="{00000003-8223-4BE6-B2B4-3AABA0B41B59}"/>
            </c:ext>
          </c:extLst>
        </c:ser>
        <c:ser>
          <c:idx val="4"/>
          <c:order val="4"/>
          <c:tx>
            <c:strRef>
              <c:f>Resumen!$B$29</c:f>
              <c:strCache>
                <c:ptCount val="1"/>
                <c:pt idx="0">
                  <c:v>No pharms</c:v>
                </c:pt>
              </c:strCache>
            </c:strRef>
          </c:tx>
          <c:spPr>
            <a:solidFill>
              <a:schemeClr val="accent4">
                <a:lumMod val="60000"/>
                <a:alpha val="70000"/>
              </a:schemeClr>
            </a:solidFill>
            <a:ln>
              <a:noFill/>
            </a:ln>
            <a:effectLst/>
          </c:spPr>
          <c:invertIfNegative val="0"/>
          <c:errBars>
            <c:errBarType val="both"/>
            <c:errValType val="cust"/>
            <c:noEndCap val="0"/>
            <c:plus>
              <c:numRef>
                <c:f>Resumen!$C$35:$F$35</c:f>
                <c:numCache>
                  <c:formatCode>General</c:formatCode>
                  <c:ptCount val="4"/>
                  <c:pt idx="0">
                    <c:v>0.2272674476330106</c:v>
                  </c:pt>
                  <c:pt idx="1">
                    <c:v>3.9292176634552183</c:v>
                  </c:pt>
                  <c:pt idx="2">
                    <c:v>0.415801201326295</c:v>
                  </c:pt>
                  <c:pt idx="3">
                    <c:v>2.3043185069546066</c:v>
                  </c:pt>
                </c:numCache>
              </c:numRef>
            </c:plus>
            <c:minus>
              <c:numRef>
                <c:f>Resumen!$C$35:$F$35</c:f>
                <c:numCache>
                  <c:formatCode>General</c:formatCode>
                  <c:ptCount val="4"/>
                  <c:pt idx="0">
                    <c:v>0.2272674476330106</c:v>
                  </c:pt>
                  <c:pt idx="1">
                    <c:v>3.9292176634552183</c:v>
                  </c:pt>
                  <c:pt idx="2">
                    <c:v>0.415801201326295</c:v>
                  </c:pt>
                  <c:pt idx="3">
                    <c:v>2.3043185069546066</c:v>
                  </c:pt>
                </c:numCache>
              </c:numRef>
            </c:minus>
            <c:spPr>
              <a:noFill/>
              <a:ln w="9525">
                <a:solidFill>
                  <a:schemeClr val="tx1">
                    <a:lumMod val="65000"/>
                    <a:lumOff val="35000"/>
                  </a:schemeClr>
                </a:solidFill>
                <a:round/>
              </a:ln>
              <a:effectLst/>
            </c:spPr>
          </c:errBars>
          <c:cat>
            <c:strRef>
              <c:f>Resumen!$C$6:$F$6</c:f>
              <c:strCache>
                <c:ptCount val="4"/>
                <c:pt idx="0">
                  <c:v>Tomato</c:v>
                </c:pt>
                <c:pt idx="1">
                  <c:v>Cempasuchil </c:v>
                </c:pt>
                <c:pt idx="2">
                  <c:v>Carnation</c:v>
                </c:pt>
                <c:pt idx="3">
                  <c:v>Alfalfa </c:v>
                </c:pt>
              </c:strCache>
            </c:strRef>
          </c:cat>
          <c:val>
            <c:numRef>
              <c:f>Resumen!$C$29:$F$29</c:f>
              <c:numCache>
                <c:formatCode>0.0</c:formatCode>
                <c:ptCount val="4"/>
                <c:pt idx="0">
                  <c:v>0.3881666666666666</c:v>
                </c:pt>
                <c:pt idx="1">
                  <c:v>6.0943404255319154</c:v>
                </c:pt>
                <c:pt idx="2">
                  <c:v>0.50124390243902428</c:v>
                </c:pt>
                <c:pt idx="3">
                  <c:v>1.9924821428571424</c:v>
                </c:pt>
              </c:numCache>
            </c:numRef>
          </c:val>
          <c:extLst>
            <c:ext xmlns:c16="http://schemas.microsoft.com/office/drawing/2014/chart" uri="{C3380CC4-5D6E-409C-BE32-E72D297353CC}">
              <c16:uniqueId val="{00000004-8223-4BE6-B2B4-3AABA0B41B59}"/>
            </c:ext>
          </c:extLst>
        </c:ser>
        <c:dLbls>
          <c:showLegendKey val="0"/>
          <c:showVal val="0"/>
          <c:showCatName val="0"/>
          <c:showSerName val="0"/>
          <c:showPercent val="0"/>
          <c:showBubbleSize val="0"/>
        </c:dLbls>
        <c:gapWidth val="80"/>
        <c:overlap val="25"/>
        <c:axId val="1931283520"/>
        <c:axId val="1931285440"/>
      </c:barChart>
      <c:catAx>
        <c:axId val="1931283520"/>
        <c:scaling>
          <c:orientation val="minMax"/>
        </c:scaling>
        <c:delete val="0"/>
        <c:axPos val="b"/>
        <c:numFmt formatCode="General" sourceLinked="1"/>
        <c:majorTickMark val="none"/>
        <c:minorTickMark val="none"/>
        <c:tickLblPos val="nextTo"/>
        <c:spPr>
          <a:noFill/>
          <a:ln w="1587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cap="none" spc="20" normalizeH="0" baseline="0">
                <a:solidFill>
                  <a:sysClr val="windowText" lastClr="000000"/>
                </a:solidFill>
                <a:latin typeface="Times New Roman" panose="02020603050405020304" pitchFamily="18" charset="0"/>
                <a:ea typeface="+mn-ea"/>
                <a:cs typeface="Times New Roman" panose="02020603050405020304" pitchFamily="18" charset="0"/>
              </a:defRPr>
            </a:pPr>
            <a:endParaRPr lang="es-MX"/>
          </a:p>
        </c:txPr>
        <c:crossAx val="1931285440"/>
        <c:crosses val="autoZero"/>
        <c:auto val="1"/>
        <c:lblAlgn val="ctr"/>
        <c:lblOffset val="100"/>
        <c:noMultiLvlLbl val="0"/>
      </c:catAx>
      <c:valAx>
        <c:axId val="1931285440"/>
        <c:scaling>
          <c:orientation val="minMax"/>
          <c:max val="13"/>
          <c:min val="-1"/>
        </c:scaling>
        <c:delete val="0"/>
        <c:axPos val="l"/>
        <c:majorGridlines>
          <c:spPr>
            <a:ln w="9525" cap="flat" cmpd="sng" algn="ctr">
              <a:solidFill>
                <a:schemeClr val="tx1">
                  <a:lumMod val="5000"/>
                  <a:lumOff val="95000"/>
                </a:schemeClr>
              </a:solidFill>
              <a:round/>
            </a:ln>
            <a:effectLst/>
          </c:spPr>
        </c:majorGridlines>
        <c:title>
          <c:tx>
            <c:rich>
              <a:bodyPr rot="-5400000" spcFirstLastPara="1" vertOverflow="ellipsis" vert="horz" wrap="square" anchor="ctr" anchorCtr="1"/>
              <a:lstStyle/>
              <a:p>
                <a:pPr>
                  <a:defRPr sz="900" b="0" i="0" u="none" strike="noStrike" kern="1200" cap="none" baseline="0">
                    <a:solidFill>
                      <a:sysClr val="windowText" lastClr="000000"/>
                    </a:solidFill>
                    <a:latin typeface="Times New Roman" panose="02020603050405020304" pitchFamily="18" charset="0"/>
                    <a:ea typeface="+mn-ea"/>
                    <a:cs typeface="Times New Roman" panose="02020603050405020304" pitchFamily="18" charset="0"/>
                  </a:defRPr>
                </a:pPr>
                <a:r>
                  <a:rPr lang="en-US" cap="none" baseline="0"/>
                  <a:t>Root lenght (cm)</a:t>
                </a:r>
              </a:p>
            </c:rich>
          </c:tx>
          <c:layout>
            <c:manualLayout>
              <c:xMode val="edge"/>
              <c:yMode val="edge"/>
              <c:x val="2.5827446657605179E-2"/>
              <c:y val="0.29449130253739253"/>
            </c:manualLayout>
          </c:layout>
          <c:overlay val="0"/>
          <c:spPr>
            <a:noFill/>
            <a:ln>
              <a:noFill/>
            </a:ln>
            <a:effectLst/>
          </c:spPr>
          <c:txPr>
            <a:bodyPr rot="-5400000" spcFirstLastPara="1" vertOverflow="ellipsis" vert="horz" wrap="square" anchor="ctr" anchorCtr="1"/>
            <a:lstStyle/>
            <a:p>
              <a:pPr>
                <a:defRPr sz="900" b="0" i="0" u="none" strike="noStrike" kern="1200" cap="none" baseline="0">
                  <a:solidFill>
                    <a:sysClr val="windowText" lastClr="000000"/>
                  </a:solidFill>
                  <a:latin typeface="Times New Roman" panose="02020603050405020304" pitchFamily="18" charset="0"/>
                  <a:ea typeface="+mn-ea"/>
                  <a:cs typeface="Times New Roman" panose="02020603050405020304" pitchFamily="18" charset="0"/>
                </a:defRPr>
              </a:pPr>
              <a:endParaRPr lang="es-MX"/>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spc="20" baseline="0">
                <a:solidFill>
                  <a:sysClr val="windowText" lastClr="000000"/>
                </a:solidFill>
                <a:latin typeface="Times New Roman" panose="02020603050405020304" pitchFamily="18" charset="0"/>
                <a:ea typeface="+mn-ea"/>
                <a:cs typeface="Times New Roman" panose="02020603050405020304" pitchFamily="18" charset="0"/>
              </a:defRPr>
            </a:pPr>
            <a:endParaRPr lang="es-MX"/>
          </a:p>
        </c:txPr>
        <c:crossAx val="193128352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lt1"/>
    </a:solidFill>
    <a:ln w="9525" cap="flat" cmpd="sng" algn="ctr">
      <a:solidFill>
        <a:schemeClr val="tx1">
          <a:lumMod val="15000"/>
          <a:lumOff val="85000"/>
        </a:schemeClr>
      </a:solidFill>
      <a:round/>
    </a:ln>
    <a:effectLst/>
  </c:spPr>
  <c:txPr>
    <a:bodyPr/>
    <a:lstStyle/>
    <a:p>
      <a:pPr>
        <a:defRPr>
          <a:solidFill>
            <a:sysClr val="windowText" lastClr="000000"/>
          </a:solidFill>
          <a:latin typeface="Times New Roman" panose="02020603050405020304" pitchFamily="18" charset="0"/>
          <a:cs typeface="Times New Roman" panose="02020603050405020304" pitchFamily="18" charset="0"/>
        </a:defRPr>
      </a:pPr>
      <a:endParaRPr lang="es-MX"/>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125349956255468"/>
          <c:y val="4.9079754601226995E-2"/>
          <c:w val="0.81815157480314948"/>
          <c:h val="0.78300564853738586"/>
        </c:manualLayout>
      </c:layout>
      <c:barChart>
        <c:barDir val="col"/>
        <c:grouping val="clustered"/>
        <c:varyColors val="0"/>
        <c:ser>
          <c:idx val="0"/>
          <c:order val="0"/>
          <c:tx>
            <c:strRef>
              <c:f>Resumen!$B$7</c:f>
              <c:strCache>
                <c:ptCount val="1"/>
                <c:pt idx="0">
                  <c:v>Azithromycin </c:v>
                </c:pt>
              </c:strCache>
            </c:strRef>
          </c:tx>
          <c:spPr>
            <a:solidFill>
              <a:schemeClr val="accent2">
                <a:alpha val="70000"/>
              </a:schemeClr>
            </a:solidFill>
            <a:ln>
              <a:noFill/>
            </a:ln>
            <a:effectLst/>
          </c:spPr>
          <c:invertIfNegative val="0"/>
          <c:errBars>
            <c:errBarType val="both"/>
            <c:errValType val="cust"/>
            <c:noEndCap val="0"/>
            <c:plus>
              <c:numRef>
                <c:f>Resumen!$P$13:$S$13</c:f>
                <c:numCache>
                  <c:formatCode>General</c:formatCode>
                  <c:ptCount val="4"/>
                  <c:pt idx="0">
                    <c:v>0.43588989435387882</c:v>
                  </c:pt>
                  <c:pt idx="1">
                    <c:v>2.000833159794178</c:v>
                  </c:pt>
                  <c:pt idx="2">
                    <c:v>0.56862407030775841</c:v>
                  </c:pt>
                  <c:pt idx="3">
                    <c:v>2.6727015047207945</c:v>
                  </c:pt>
                </c:numCache>
              </c:numRef>
            </c:plus>
            <c:minus>
              <c:numRef>
                <c:f>Resumen!$P$13:$S$13</c:f>
                <c:numCache>
                  <c:formatCode>General</c:formatCode>
                  <c:ptCount val="4"/>
                  <c:pt idx="0">
                    <c:v>0.43588989435387882</c:v>
                  </c:pt>
                  <c:pt idx="1">
                    <c:v>2.000833159794178</c:v>
                  </c:pt>
                  <c:pt idx="2">
                    <c:v>0.56862407030775841</c:v>
                  </c:pt>
                  <c:pt idx="3">
                    <c:v>2.6727015047207945</c:v>
                  </c:pt>
                </c:numCache>
              </c:numRef>
            </c:minus>
            <c:spPr>
              <a:noFill/>
              <a:ln w="9525">
                <a:solidFill>
                  <a:schemeClr val="tx1">
                    <a:lumMod val="65000"/>
                    <a:lumOff val="35000"/>
                  </a:schemeClr>
                </a:solidFill>
                <a:round/>
              </a:ln>
              <a:effectLst/>
            </c:spPr>
          </c:errBars>
          <c:cat>
            <c:strRef>
              <c:f>Resumen!$P$6:$S$6</c:f>
              <c:strCache>
                <c:ptCount val="4"/>
                <c:pt idx="0">
                  <c:v>Tomato</c:v>
                </c:pt>
                <c:pt idx="1">
                  <c:v>Cempasuchil </c:v>
                </c:pt>
                <c:pt idx="2">
                  <c:v>Carnation</c:v>
                </c:pt>
                <c:pt idx="3">
                  <c:v>Alfalfa </c:v>
                </c:pt>
              </c:strCache>
            </c:strRef>
          </c:cat>
          <c:val>
            <c:numRef>
              <c:f>Resumen!$P$7:$S$7</c:f>
              <c:numCache>
                <c:formatCode>0.0</c:formatCode>
                <c:ptCount val="4"/>
                <c:pt idx="0">
                  <c:v>-1.2999999999996976</c:v>
                </c:pt>
                <c:pt idx="1">
                  <c:v>-3.5666666666666678</c:v>
                </c:pt>
                <c:pt idx="2">
                  <c:v>-2.5666666666667872</c:v>
                </c:pt>
                <c:pt idx="3">
                  <c:v>-8.2333333333333343</c:v>
                </c:pt>
              </c:numCache>
            </c:numRef>
          </c:val>
          <c:extLst>
            <c:ext xmlns:c16="http://schemas.microsoft.com/office/drawing/2014/chart" uri="{C3380CC4-5D6E-409C-BE32-E72D297353CC}">
              <c16:uniqueId val="{00000000-C5E9-459E-A5CA-23EF5D395C27}"/>
            </c:ext>
          </c:extLst>
        </c:ser>
        <c:ser>
          <c:idx val="1"/>
          <c:order val="1"/>
          <c:tx>
            <c:strRef>
              <c:f>Resumen!$B$8</c:f>
              <c:strCache>
                <c:ptCount val="1"/>
                <c:pt idx="0">
                  <c:v>Ciprofloxacin </c:v>
                </c:pt>
              </c:strCache>
            </c:strRef>
          </c:tx>
          <c:spPr>
            <a:solidFill>
              <a:schemeClr val="accent4">
                <a:alpha val="70000"/>
              </a:schemeClr>
            </a:solidFill>
            <a:ln>
              <a:noFill/>
            </a:ln>
            <a:effectLst/>
          </c:spPr>
          <c:invertIfNegative val="0"/>
          <c:errBars>
            <c:errBarType val="both"/>
            <c:errValType val="cust"/>
            <c:noEndCap val="0"/>
            <c:plus>
              <c:numRef>
                <c:f>Resumen!$P$14:$S$14</c:f>
                <c:numCache>
                  <c:formatCode>General</c:formatCode>
                  <c:ptCount val="4"/>
                  <c:pt idx="0">
                    <c:v>0.98488578017990924</c:v>
                  </c:pt>
                  <c:pt idx="1">
                    <c:v>2.5482019804824541</c:v>
                  </c:pt>
                  <c:pt idx="2">
                    <c:v>0.95393920141691779</c:v>
                  </c:pt>
                  <c:pt idx="3">
                    <c:v>1.1269427669586329</c:v>
                  </c:pt>
                </c:numCache>
              </c:numRef>
            </c:plus>
            <c:minus>
              <c:numRef>
                <c:f>Resumen!$P$14:$S$14</c:f>
                <c:numCache>
                  <c:formatCode>General</c:formatCode>
                  <c:ptCount val="4"/>
                  <c:pt idx="0">
                    <c:v>0.98488578017990924</c:v>
                  </c:pt>
                  <c:pt idx="1">
                    <c:v>2.5482019804824541</c:v>
                  </c:pt>
                  <c:pt idx="2">
                    <c:v>0.95393920141691779</c:v>
                  </c:pt>
                  <c:pt idx="3">
                    <c:v>1.1269427669586329</c:v>
                  </c:pt>
                </c:numCache>
              </c:numRef>
            </c:minus>
            <c:spPr>
              <a:noFill/>
              <a:ln w="9525">
                <a:solidFill>
                  <a:schemeClr val="tx1">
                    <a:lumMod val="65000"/>
                    <a:lumOff val="35000"/>
                  </a:schemeClr>
                </a:solidFill>
                <a:round/>
              </a:ln>
              <a:effectLst/>
            </c:spPr>
          </c:errBars>
          <c:cat>
            <c:strRef>
              <c:f>Resumen!$P$6:$S$6</c:f>
              <c:strCache>
                <c:ptCount val="4"/>
                <c:pt idx="0">
                  <c:v>Tomato</c:v>
                </c:pt>
                <c:pt idx="1">
                  <c:v>Cempasuchil </c:v>
                </c:pt>
                <c:pt idx="2">
                  <c:v>Carnation</c:v>
                </c:pt>
                <c:pt idx="3">
                  <c:v>Alfalfa </c:v>
                </c:pt>
              </c:strCache>
            </c:strRef>
          </c:cat>
          <c:val>
            <c:numRef>
              <c:f>Resumen!$P$8:$S$8</c:f>
              <c:numCache>
                <c:formatCode>0.0</c:formatCode>
                <c:ptCount val="4"/>
                <c:pt idx="0">
                  <c:v>-4.8999999999997579</c:v>
                </c:pt>
                <c:pt idx="1">
                  <c:v>-2.7666666666669095</c:v>
                </c:pt>
                <c:pt idx="2">
                  <c:v>-1.5000000000001812</c:v>
                </c:pt>
                <c:pt idx="3">
                  <c:v>-8.1</c:v>
                </c:pt>
              </c:numCache>
            </c:numRef>
          </c:val>
          <c:extLst>
            <c:ext xmlns:c16="http://schemas.microsoft.com/office/drawing/2014/chart" uri="{C3380CC4-5D6E-409C-BE32-E72D297353CC}">
              <c16:uniqueId val="{00000001-C5E9-459E-A5CA-23EF5D395C27}"/>
            </c:ext>
          </c:extLst>
        </c:ser>
        <c:ser>
          <c:idx val="2"/>
          <c:order val="2"/>
          <c:tx>
            <c:strRef>
              <c:f>Resumen!$B$9</c:f>
              <c:strCache>
                <c:ptCount val="1"/>
                <c:pt idx="0">
                  <c:v>Oxytetracycline </c:v>
                </c:pt>
              </c:strCache>
            </c:strRef>
          </c:tx>
          <c:spPr>
            <a:solidFill>
              <a:schemeClr val="accent6">
                <a:alpha val="70000"/>
              </a:schemeClr>
            </a:solidFill>
            <a:ln>
              <a:noFill/>
            </a:ln>
            <a:effectLst/>
          </c:spPr>
          <c:invertIfNegative val="0"/>
          <c:errBars>
            <c:errBarType val="both"/>
            <c:errValType val="cust"/>
            <c:noEndCap val="0"/>
            <c:plus>
              <c:numRef>
                <c:f>Resumen!$P$15:$S$15</c:f>
                <c:numCache>
                  <c:formatCode>General</c:formatCode>
                  <c:ptCount val="4"/>
                  <c:pt idx="0">
                    <c:v>0.20816659994668607</c:v>
                  </c:pt>
                  <c:pt idx="1">
                    <c:v>1.2055427546679054</c:v>
                  </c:pt>
                  <c:pt idx="2">
                    <c:v>0.69999999999942819</c:v>
                  </c:pt>
                  <c:pt idx="3">
                    <c:v>0.60277137733400032</c:v>
                  </c:pt>
                </c:numCache>
              </c:numRef>
            </c:plus>
            <c:minus>
              <c:numRef>
                <c:f>Resumen!$P$15:$S$15</c:f>
                <c:numCache>
                  <c:formatCode>General</c:formatCode>
                  <c:ptCount val="4"/>
                  <c:pt idx="0">
                    <c:v>0.20816659994668607</c:v>
                  </c:pt>
                  <c:pt idx="1">
                    <c:v>1.2055427546679054</c:v>
                  </c:pt>
                  <c:pt idx="2">
                    <c:v>0.69999999999942819</c:v>
                  </c:pt>
                  <c:pt idx="3">
                    <c:v>0.60277137733400032</c:v>
                  </c:pt>
                </c:numCache>
              </c:numRef>
            </c:minus>
            <c:spPr>
              <a:noFill/>
              <a:ln w="9525">
                <a:solidFill>
                  <a:schemeClr val="tx1">
                    <a:lumMod val="65000"/>
                    <a:lumOff val="35000"/>
                  </a:schemeClr>
                </a:solidFill>
                <a:round/>
              </a:ln>
              <a:effectLst/>
            </c:spPr>
          </c:errBars>
          <c:cat>
            <c:strRef>
              <c:f>Resumen!$P$6:$S$6</c:f>
              <c:strCache>
                <c:ptCount val="4"/>
                <c:pt idx="0">
                  <c:v>Tomato</c:v>
                </c:pt>
                <c:pt idx="1">
                  <c:v>Cempasuchil </c:v>
                </c:pt>
                <c:pt idx="2">
                  <c:v>Carnation</c:v>
                </c:pt>
                <c:pt idx="3">
                  <c:v>Alfalfa </c:v>
                </c:pt>
              </c:strCache>
            </c:strRef>
          </c:cat>
          <c:val>
            <c:numRef>
              <c:f>Resumen!$P$9:$S$9</c:f>
              <c:numCache>
                <c:formatCode>0.0</c:formatCode>
                <c:ptCount val="4"/>
                <c:pt idx="0">
                  <c:v>-1.3333333333337585</c:v>
                </c:pt>
                <c:pt idx="1">
                  <c:v>-7.4666666666668489</c:v>
                </c:pt>
                <c:pt idx="2">
                  <c:v>-0.99999999999963762</c:v>
                </c:pt>
                <c:pt idx="3">
                  <c:v>-6.8666666666664247</c:v>
                </c:pt>
              </c:numCache>
            </c:numRef>
          </c:val>
          <c:extLst>
            <c:ext xmlns:c16="http://schemas.microsoft.com/office/drawing/2014/chart" uri="{C3380CC4-5D6E-409C-BE32-E72D297353CC}">
              <c16:uniqueId val="{00000002-C5E9-459E-A5CA-23EF5D395C27}"/>
            </c:ext>
          </c:extLst>
        </c:ser>
        <c:ser>
          <c:idx val="3"/>
          <c:order val="3"/>
          <c:tx>
            <c:strRef>
              <c:f>Resumen!$B$10</c:f>
              <c:strCache>
                <c:ptCount val="1"/>
                <c:pt idx="0">
                  <c:v>Trimethoprim </c:v>
                </c:pt>
              </c:strCache>
            </c:strRef>
          </c:tx>
          <c:spPr>
            <a:solidFill>
              <a:schemeClr val="accent2">
                <a:lumMod val="60000"/>
                <a:alpha val="70000"/>
              </a:schemeClr>
            </a:solidFill>
            <a:ln>
              <a:noFill/>
            </a:ln>
            <a:effectLst/>
          </c:spPr>
          <c:invertIfNegative val="0"/>
          <c:errBars>
            <c:errBarType val="both"/>
            <c:errValType val="cust"/>
            <c:noEndCap val="0"/>
            <c:plus>
              <c:numRef>
                <c:f>Resumen!$P$16:$S$16</c:f>
                <c:numCache>
                  <c:formatCode>General</c:formatCode>
                  <c:ptCount val="4"/>
                  <c:pt idx="0">
                    <c:v>0.66583281184729337</c:v>
                  </c:pt>
                  <c:pt idx="1">
                    <c:v>0.28867513459534005</c:v>
                  </c:pt>
                  <c:pt idx="2">
                    <c:v>2.9308701779509874</c:v>
                  </c:pt>
                  <c:pt idx="3">
                    <c:v>0.55075705472916681</c:v>
                  </c:pt>
                </c:numCache>
              </c:numRef>
            </c:plus>
            <c:minus>
              <c:numRef>
                <c:f>Resumen!$P$16:$S$16</c:f>
                <c:numCache>
                  <c:formatCode>General</c:formatCode>
                  <c:ptCount val="4"/>
                  <c:pt idx="0">
                    <c:v>0.66583281184729337</c:v>
                  </c:pt>
                  <c:pt idx="1">
                    <c:v>0.28867513459534005</c:v>
                  </c:pt>
                  <c:pt idx="2">
                    <c:v>2.9308701779509874</c:v>
                  </c:pt>
                  <c:pt idx="3">
                    <c:v>0.55075705472916681</c:v>
                  </c:pt>
                </c:numCache>
              </c:numRef>
            </c:minus>
            <c:spPr>
              <a:noFill/>
              <a:ln w="9525">
                <a:solidFill>
                  <a:schemeClr val="tx1">
                    <a:lumMod val="65000"/>
                    <a:lumOff val="35000"/>
                  </a:schemeClr>
                </a:solidFill>
                <a:round/>
              </a:ln>
              <a:effectLst/>
            </c:spPr>
          </c:errBars>
          <c:cat>
            <c:strRef>
              <c:f>Resumen!$P$6:$S$6</c:f>
              <c:strCache>
                <c:ptCount val="4"/>
                <c:pt idx="0">
                  <c:v>Tomato</c:v>
                </c:pt>
                <c:pt idx="1">
                  <c:v>Cempasuchil </c:v>
                </c:pt>
                <c:pt idx="2">
                  <c:v>Carnation</c:v>
                </c:pt>
                <c:pt idx="3">
                  <c:v>Alfalfa </c:v>
                </c:pt>
              </c:strCache>
            </c:strRef>
          </c:cat>
          <c:val>
            <c:numRef>
              <c:f>Resumen!$P$10:$S$10</c:f>
              <c:numCache>
                <c:formatCode>0.0</c:formatCode>
                <c:ptCount val="4"/>
                <c:pt idx="0">
                  <c:v>-1.4333333333335752</c:v>
                </c:pt>
                <c:pt idx="1">
                  <c:v>-4.6666666666671519</c:v>
                </c:pt>
                <c:pt idx="2">
                  <c:v>-2.6999999999999389</c:v>
                </c:pt>
                <c:pt idx="3">
                  <c:v>-7.1666666666667886</c:v>
                </c:pt>
              </c:numCache>
            </c:numRef>
          </c:val>
          <c:extLst>
            <c:ext xmlns:c16="http://schemas.microsoft.com/office/drawing/2014/chart" uri="{C3380CC4-5D6E-409C-BE32-E72D297353CC}">
              <c16:uniqueId val="{00000003-C5E9-459E-A5CA-23EF5D395C27}"/>
            </c:ext>
          </c:extLst>
        </c:ser>
        <c:ser>
          <c:idx val="4"/>
          <c:order val="4"/>
          <c:tx>
            <c:strRef>
              <c:f>Resumen!$B$11</c:f>
              <c:strCache>
                <c:ptCount val="1"/>
                <c:pt idx="0">
                  <c:v>No pharms</c:v>
                </c:pt>
              </c:strCache>
            </c:strRef>
          </c:tx>
          <c:spPr>
            <a:solidFill>
              <a:schemeClr val="accent4">
                <a:lumMod val="60000"/>
                <a:alpha val="70000"/>
              </a:schemeClr>
            </a:solidFill>
            <a:ln>
              <a:noFill/>
            </a:ln>
            <a:effectLst/>
          </c:spPr>
          <c:invertIfNegative val="0"/>
          <c:errBars>
            <c:errBarType val="both"/>
            <c:errValType val="cust"/>
            <c:noEndCap val="0"/>
            <c:plus>
              <c:numRef>
                <c:f>Resumen!$P$17:$S$17</c:f>
                <c:numCache>
                  <c:formatCode>General</c:formatCode>
                  <c:ptCount val="4"/>
                  <c:pt idx="0">
                    <c:v>0.42268979957713121</c:v>
                  </c:pt>
                  <c:pt idx="1">
                    <c:v>2.5856656138537448</c:v>
                  </c:pt>
                  <c:pt idx="2">
                    <c:v>1.2769755936065694</c:v>
                  </c:pt>
                  <c:pt idx="3">
                    <c:v>1.7081178725912378</c:v>
                  </c:pt>
                </c:numCache>
              </c:numRef>
            </c:plus>
            <c:minus>
              <c:numRef>
                <c:f>Resumen!$P$17:$S$17</c:f>
                <c:numCache>
                  <c:formatCode>General</c:formatCode>
                  <c:ptCount val="4"/>
                  <c:pt idx="0">
                    <c:v>0.42268979957713121</c:v>
                  </c:pt>
                  <c:pt idx="1">
                    <c:v>2.5856656138537448</c:v>
                  </c:pt>
                  <c:pt idx="2">
                    <c:v>1.2769755936065694</c:v>
                  </c:pt>
                  <c:pt idx="3">
                    <c:v>1.7081178725912378</c:v>
                  </c:pt>
                </c:numCache>
              </c:numRef>
            </c:minus>
            <c:spPr>
              <a:noFill/>
              <a:ln w="9525">
                <a:solidFill>
                  <a:schemeClr val="tx1">
                    <a:lumMod val="65000"/>
                    <a:lumOff val="35000"/>
                  </a:schemeClr>
                </a:solidFill>
                <a:round/>
              </a:ln>
              <a:effectLst/>
            </c:spPr>
          </c:errBars>
          <c:cat>
            <c:strRef>
              <c:f>Resumen!$P$6:$S$6</c:f>
              <c:strCache>
                <c:ptCount val="4"/>
                <c:pt idx="0">
                  <c:v>Tomato</c:v>
                </c:pt>
                <c:pt idx="1">
                  <c:v>Cempasuchil </c:v>
                </c:pt>
                <c:pt idx="2">
                  <c:v>Carnation</c:v>
                </c:pt>
                <c:pt idx="3">
                  <c:v>Alfalfa </c:v>
                </c:pt>
              </c:strCache>
            </c:strRef>
          </c:cat>
          <c:val>
            <c:numRef>
              <c:f>Resumen!$P$11:$S$11</c:f>
              <c:numCache>
                <c:formatCode>0.0</c:formatCode>
                <c:ptCount val="4"/>
                <c:pt idx="0">
                  <c:v>-1.5666666666670004</c:v>
                </c:pt>
                <c:pt idx="1">
                  <c:v>-4.7166666666666055</c:v>
                </c:pt>
                <c:pt idx="2">
                  <c:v>-2.5666666666669702</c:v>
                </c:pt>
                <c:pt idx="3">
                  <c:v>-8.8166666666668174</c:v>
                </c:pt>
              </c:numCache>
            </c:numRef>
          </c:val>
          <c:extLst>
            <c:ext xmlns:c16="http://schemas.microsoft.com/office/drawing/2014/chart" uri="{C3380CC4-5D6E-409C-BE32-E72D297353CC}">
              <c16:uniqueId val="{00000004-C5E9-459E-A5CA-23EF5D395C27}"/>
            </c:ext>
          </c:extLst>
        </c:ser>
        <c:dLbls>
          <c:showLegendKey val="0"/>
          <c:showVal val="0"/>
          <c:showCatName val="0"/>
          <c:showSerName val="0"/>
          <c:showPercent val="0"/>
          <c:showBubbleSize val="0"/>
        </c:dLbls>
        <c:gapWidth val="80"/>
        <c:overlap val="25"/>
        <c:axId val="1931283520"/>
        <c:axId val="1931285440"/>
      </c:barChart>
      <c:catAx>
        <c:axId val="1931283520"/>
        <c:scaling>
          <c:orientation val="minMax"/>
        </c:scaling>
        <c:delete val="0"/>
        <c:axPos val="b"/>
        <c:numFmt formatCode="General" sourceLinked="1"/>
        <c:majorTickMark val="none"/>
        <c:minorTickMark val="none"/>
        <c:tickLblPos val="low"/>
        <c:spPr>
          <a:noFill/>
          <a:ln w="1587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cap="none" spc="20" normalizeH="0" baseline="0">
                <a:solidFill>
                  <a:sysClr val="windowText" lastClr="000000"/>
                </a:solidFill>
                <a:latin typeface="Times New Roman" panose="02020603050405020304" pitchFamily="18" charset="0"/>
                <a:ea typeface="+mn-ea"/>
                <a:cs typeface="Times New Roman" panose="02020603050405020304" pitchFamily="18" charset="0"/>
              </a:defRPr>
            </a:pPr>
            <a:endParaRPr lang="es-MX"/>
          </a:p>
        </c:txPr>
        <c:crossAx val="1931285440"/>
        <c:crosses val="autoZero"/>
        <c:auto val="1"/>
        <c:lblAlgn val="ctr"/>
        <c:lblOffset val="100"/>
        <c:noMultiLvlLbl val="0"/>
      </c:catAx>
      <c:valAx>
        <c:axId val="1931285440"/>
        <c:scaling>
          <c:orientation val="minMax"/>
          <c:max val="2"/>
          <c:min val="-12"/>
        </c:scaling>
        <c:delete val="0"/>
        <c:axPos val="l"/>
        <c:majorGridlines>
          <c:spPr>
            <a:ln w="9525" cap="flat" cmpd="sng" algn="ctr">
              <a:solidFill>
                <a:schemeClr val="tx1">
                  <a:lumMod val="5000"/>
                  <a:lumOff val="95000"/>
                </a:schemeClr>
              </a:solidFill>
              <a:round/>
            </a:ln>
            <a:effectLst/>
          </c:spPr>
        </c:majorGridlines>
        <c:title>
          <c:tx>
            <c:rich>
              <a:bodyPr rot="-5400000" spcFirstLastPara="1" vertOverflow="ellipsis" vert="horz" wrap="square" anchor="ctr" anchorCtr="1"/>
              <a:lstStyle/>
              <a:p>
                <a:pPr>
                  <a:defRPr sz="900" b="0" i="0" u="none" strike="noStrike" kern="1200" cap="none" baseline="0">
                    <a:solidFill>
                      <a:sysClr val="windowText" lastClr="000000"/>
                    </a:solidFill>
                    <a:latin typeface="Times New Roman" panose="02020603050405020304" pitchFamily="18" charset="0"/>
                    <a:ea typeface="+mn-ea"/>
                    <a:cs typeface="Times New Roman" panose="02020603050405020304" pitchFamily="18" charset="0"/>
                  </a:defRPr>
                </a:pPr>
                <a:r>
                  <a:rPr lang="en-US" cap="none" baseline="0"/>
                  <a:t>m</a:t>
                </a:r>
                <a:r>
                  <a:rPr lang="en-US" cap="none" baseline="-25000"/>
                  <a:t>i</a:t>
                </a:r>
                <a:r>
                  <a:rPr lang="en-US" cap="none" baseline="0"/>
                  <a:t> - m</a:t>
                </a:r>
                <a:r>
                  <a:rPr lang="en-US" cap="none" baseline="-25000"/>
                  <a:t>fDry</a:t>
                </a:r>
                <a:r>
                  <a:rPr lang="en-US" cap="none" baseline="0"/>
                  <a:t> (mg)</a:t>
                </a:r>
              </a:p>
            </c:rich>
          </c:tx>
          <c:overlay val="0"/>
          <c:spPr>
            <a:noFill/>
            <a:ln>
              <a:noFill/>
            </a:ln>
            <a:effectLst/>
          </c:spPr>
          <c:txPr>
            <a:bodyPr rot="-5400000" spcFirstLastPara="1" vertOverflow="ellipsis" vert="horz" wrap="square" anchor="ctr" anchorCtr="1"/>
            <a:lstStyle/>
            <a:p>
              <a:pPr>
                <a:defRPr sz="900" b="0" i="0" u="none" strike="noStrike" kern="1200" cap="none" baseline="0">
                  <a:solidFill>
                    <a:sysClr val="windowText" lastClr="000000"/>
                  </a:solidFill>
                  <a:latin typeface="Times New Roman" panose="02020603050405020304" pitchFamily="18" charset="0"/>
                  <a:ea typeface="+mn-ea"/>
                  <a:cs typeface="Times New Roman" panose="02020603050405020304" pitchFamily="18" charset="0"/>
                </a:defRPr>
              </a:pPr>
              <a:endParaRPr lang="es-MX"/>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spc="20" baseline="0">
                <a:solidFill>
                  <a:sysClr val="windowText" lastClr="000000"/>
                </a:solidFill>
                <a:latin typeface="Times New Roman" panose="02020603050405020304" pitchFamily="18" charset="0"/>
                <a:ea typeface="+mn-ea"/>
                <a:cs typeface="Times New Roman" panose="02020603050405020304" pitchFamily="18" charset="0"/>
              </a:defRPr>
            </a:pPr>
            <a:endParaRPr lang="es-MX"/>
          </a:p>
        </c:txPr>
        <c:crossAx val="193128352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lt1"/>
    </a:solidFill>
    <a:ln w="9525" cap="flat" cmpd="sng" algn="ctr">
      <a:solidFill>
        <a:schemeClr val="tx1">
          <a:lumMod val="15000"/>
          <a:lumOff val="85000"/>
        </a:schemeClr>
      </a:solidFill>
      <a:round/>
    </a:ln>
    <a:effectLst/>
  </c:spPr>
  <c:txPr>
    <a:bodyPr/>
    <a:lstStyle/>
    <a:p>
      <a:pPr>
        <a:defRPr>
          <a:solidFill>
            <a:sysClr val="windowText" lastClr="000000"/>
          </a:solidFill>
          <a:latin typeface="Times New Roman" panose="02020603050405020304" pitchFamily="18" charset="0"/>
          <a:cs typeface="Times New Roman" panose="02020603050405020304" pitchFamily="18" charset="0"/>
        </a:defRPr>
      </a:pPr>
      <a:endParaRPr lang="es-MX"/>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125349956255468"/>
          <c:y val="4.9079754601226995E-2"/>
          <c:w val="0.81815157480314948"/>
          <c:h val="0.78300564853738586"/>
        </c:manualLayout>
      </c:layout>
      <c:barChart>
        <c:barDir val="col"/>
        <c:grouping val="clustered"/>
        <c:varyColors val="0"/>
        <c:ser>
          <c:idx val="0"/>
          <c:order val="0"/>
          <c:tx>
            <c:strRef>
              <c:f>Resumen!$P$6</c:f>
              <c:strCache>
                <c:ptCount val="1"/>
                <c:pt idx="0">
                  <c:v>Tomato</c:v>
                </c:pt>
              </c:strCache>
            </c:strRef>
          </c:tx>
          <c:spPr>
            <a:solidFill>
              <a:schemeClr val="accent2">
                <a:alpha val="70000"/>
              </a:schemeClr>
            </a:solidFill>
            <a:ln>
              <a:noFill/>
            </a:ln>
            <a:effectLst/>
          </c:spPr>
          <c:invertIfNegative val="0"/>
          <c:errBars>
            <c:errBarType val="both"/>
            <c:errValType val="cust"/>
            <c:noEndCap val="0"/>
            <c:plus>
              <c:numRef>
                <c:f>Resumen!$P$30:$P$33</c:f>
                <c:numCache>
                  <c:formatCode>General</c:formatCode>
                  <c:ptCount val="4"/>
                  <c:pt idx="0">
                    <c:v>4.18639694340433</c:v>
                  </c:pt>
                  <c:pt idx="1">
                    <c:v>4.6513993655433303</c:v>
                  </c:pt>
                  <c:pt idx="2">
                    <c:v>14.053975570468143</c:v>
                  </c:pt>
                  <c:pt idx="3">
                    <c:v>3.1567909428261842</c:v>
                  </c:pt>
                </c:numCache>
              </c:numRef>
            </c:plus>
            <c:minus>
              <c:numRef>
                <c:f>Resumen!$P$30:$P$33</c:f>
                <c:numCache>
                  <c:formatCode>General</c:formatCode>
                  <c:ptCount val="4"/>
                  <c:pt idx="0">
                    <c:v>4.18639694340433</c:v>
                  </c:pt>
                  <c:pt idx="1">
                    <c:v>4.6513993655433303</c:v>
                  </c:pt>
                  <c:pt idx="2">
                    <c:v>14.053975570468143</c:v>
                  </c:pt>
                  <c:pt idx="3">
                    <c:v>3.1567909428261842</c:v>
                  </c:pt>
                </c:numCache>
              </c:numRef>
            </c:minus>
            <c:spPr>
              <a:noFill/>
              <a:ln w="9525">
                <a:solidFill>
                  <a:schemeClr val="tx1">
                    <a:lumMod val="65000"/>
                    <a:lumOff val="35000"/>
                  </a:schemeClr>
                </a:solidFill>
                <a:round/>
              </a:ln>
              <a:effectLst/>
            </c:spPr>
          </c:errBars>
          <c:cat>
            <c:strRef>
              <c:f>Resumen!$B$25:$B$28</c:f>
              <c:strCache>
                <c:ptCount val="4"/>
                <c:pt idx="0">
                  <c:v>Azithromycin </c:v>
                </c:pt>
                <c:pt idx="1">
                  <c:v>Ciprofloxacin </c:v>
                </c:pt>
                <c:pt idx="2">
                  <c:v>Oxytetracycline </c:v>
                </c:pt>
                <c:pt idx="3">
                  <c:v>Trimethoprim </c:v>
                </c:pt>
              </c:strCache>
            </c:strRef>
          </c:cat>
          <c:val>
            <c:numRef>
              <c:f>Resumen!$P$25:$P$28</c:f>
              <c:numCache>
                <c:formatCode>0.0</c:formatCode>
                <c:ptCount val="4"/>
                <c:pt idx="0">
                  <c:v>84.670886237707506</c:v>
                </c:pt>
                <c:pt idx="1">
                  <c:v>75.521946616816024</c:v>
                </c:pt>
                <c:pt idx="2">
                  <c:v>30.31704938427464</c:v>
                </c:pt>
                <c:pt idx="3">
                  <c:v>5.2553487703392241</c:v>
                </c:pt>
              </c:numCache>
            </c:numRef>
          </c:val>
          <c:extLst>
            <c:ext xmlns:c16="http://schemas.microsoft.com/office/drawing/2014/chart" uri="{C3380CC4-5D6E-409C-BE32-E72D297353CC}">
              <c16:uniqueId val="{00000000-3078-4B40-99B9-7057F7991192}"/>
            </c:ext>
          </c:extLst>
        </c:ser>
        <c:ser>
          <c:idx val="1"/>
          <c:order val="1"/>
          <c:tx>
            <c:strRef>
              <c:f>Resumen!$Q$6</c:f>
              <c:strCache>
                <c:ptCount val="1"/>
                <c:pt idx="0">
                  <c:v>Cempasuchil </c:v>
                </c:pt>
              </c:strCache>
            </c:strRef>
          </c:tx>
          <c:spPr>
            <a:solidFill>
              <a:schemeClr val="accent4">
                <a:alpha val="70000"/>
              </a:schemeClr>
            </a:solidFill>
            <a:ln>
              <a:noFill/>
            </a:ln>
            <a:effectLst/>
          </c:spPr>
          <c:invertIfNegative val="0"/>
          <c:errBars>
            <c:errBarType val="both"/>
            <c:errValType val="cust"/>
            <c:noEndCap val="0"/>
            <c:plus>
              <c:numRef>
                <c:f>Resumen!$Q$30:$Q$33</c:f>
                <c:numCache>
                  <c:formatCode>General</c:formatCode>
                  <c:ptCount val="4"/>
                  <c:pt idx="0">
                    <c:v>2.8632717492280788</c:v>
                  </c:pt>
                  <c:pt idx="1">
                    <c:v>7.7991067081534737</c:v>
                  </c:pt>
                  <c:pt idx="2">
                    <c:v>7.8543481876969361</c:v>
                  </c:pt>
                  <c:pt idx="3">
                    <c:v>5.3987742225658879</c:v>
                  </c:pt>
                </c:numCache>
              </c:numRef>
            </c:plus>
            <c:minus>
              <c:numRef>
                <c:f>Resumen!$Q$30:$Q$33</c:f>
                <c:numCache>
                  <c:formatCode>General</c:formatCode>
                  <c:ptCount val="4"/>
                  <c:pt idx="0">
                    <c:v>2.8632717492280788</c:v>
                  </c:pt>
                  <c:pt idx="1">
                    <c:v>7.7991067081534737</c:v>
                  </c:pt>
                  <c:pt idx="2">
                    <c:v>7.8543481876969361</c:v>
                  </c:pt>
                  <c:pt idx="3">
                    <c:v>5.3987742225658879</c:v>
                  </c:pt>
                </c:numCache>
              </c:numRef>
            </c:minus>
            <c:spPr>
              <a:noFill/>
              <a:ln w="9525">
                <a:solidFill>
                  <a:schemeClr val="tx1">
                    <a:lumMod val="65000"/>
                    <a:lumOff val="35000"/>
                  </a:schemeClr>
                </a:solidFill>
                <a:round/>
              </a:ln>
              <a:effectLst/>
            </c:spPr>
          </c:errBars>
          <c:cat>
            <c:strRef>
              <c:f>Resumen!$B$25:$B$28</c:f>
              <c:strCache>
                <c:ptCount val="4"/>
                <c:pt idx="0">
                  <c:v>Azithromycin </c:v>
                </c:pt>
                <c:pt idx="1">
                  <c:v>Ciprofloxacin </c:v>
                </c:pt>
                <c:pt idx="2">
                  <c:v>Oxytetracycline </c:v>
                </c:pt>
                <c:pt idx="3">
                  <c:v>Trimethoprim </c:v>
                </c:pt>
              </c:strCache>
            </c:strRef>
          </c:cat>
          <c:val>
            <c:numRef>
              <c:f>Resumen!$Q$25:$Q$28</c:f>
              <c:numCache>
                <c:formatCode>0.0</c:formatCode>
                <c:ptCount val="4"/>
                <c:pt idx="0">
                  <c:v>84.661946341025555</c:v>
                </c:pt>
                <c:pt idx="1">
                  <c:v>79.940376608732393</c:v>
                </c:pt>
                <c:pt idx="2">
                  <c:v>17.890035740864459</c:v>
                </c:pt>
                <c:pt idx="3">
                  <c:v>22.662980912148956</c:v>
                </c:pt>
              </c:numCache>
            </c:numRef>
          </c:val>
          <c:extLst>
            <c:ext xmlns:c16="http://schemas.microsoft.com/office/drawing/2014/chart" uri="{C3380CC4-5D6E-409C-BE32-E72D297353CC}">
              <c16:uniqueId val="{00000001-3078-4B40-99B9-7057F7991192}"/>
            </c:ext>
          </c:extLst>
        </c:ser>
        <c:ser>
          <c:idx val="2"/>
          <c:order val="2"/>
          <c:tx>
            <c:strRef>
              <c:f>Resumen!$R$6</c:f>
              <c:strCache>
                <c:ptCount val="1"/>
                <c:pt idx="0">
                  <c:v>Carnation</c:v>
                </c:pt>
              </c:strCache>
            </c:strRef>
          </c:tx>
          <c:spPr>
            <a:solidFill>
              <a:schemeClr val="accent6">
                <a:alpha val="70000"/>
              </a:schemeClr>
            </a:solidFill>
            <a:ln>
              <a:noFill/>
            </a:ln>
            <a:effectLst/>
          </c:spPr>
          <c:invertIfNegative val="0"/>
          <c:errBars>
            <c:errBarType val="both"/>
            <c:errValType val="cust"/>
            <c:noEndCap val="0"/>
            <c:plus>
              <c:numRef>
                <c:f>Resumen!$R$30:$R$33</c:f>
                <c:numCache>
                  <c:formatCode>General</c:formatCode>
                  <c:ptCount val="4"/>
                  <c:pt idx="0">
                    <c:v>9.0773111746763302</c:v>
                  </c:pt>
                  <c:pt idx="1">
                    <c:v>12.297140262085342</c:v>
                  </c:pt>
                  <c:pt idx="2">
                    <c:v>2.1634379640242729</c:v>
                  </c:pt>
                  <c:pt idx="3">
                    <c:v>6.6782900684834736</c:v>
                  </c:pt>
                </c:numCache>
              </c:numRef>
            </c:plus>
            <c:minus>
              <c:numRef>
                <c:f>Resumen!$R$30:$R$33</c:f>
                <c:numCache>
                  <c:formatCode>General</c:formatCode>
                  <c:ptCount val="4"/>
                  <c:pt idx="0">
                    <c:v>9.0773111746763302</c:v>
                  </c:pt>
                  <c:pt idx="1">
                    <c:v>12.297140262085342</c:v>
                  </c:pt>
                  <c:pt idx="2">
                    <c:v>2.1634379640242729</c:v>
                  </c:pt>
                  <c:pt idx="3">
                    <c:v>6.6782900684834736</c:v>
                  </c:pt>
                </c:numCache>
              </c:numRef>
            </c:minus>
            <c:spPr>
              <a:noFill/>
              <a:ln w="9525">
                <a:solidFill>
                  <a:schemeClr val="tx1">
                    <a:lumMod val="65000"/>
                    <a:lumOff val="35000"/>
                  </a:schemeClr>
                </a:solidFill>
                <a:round/>
              </a:ln>
              <a:effectLst/>
            </c:spPr>
          </c:errBars>
          <c:cat>
            <c:strRef>
              <c:f>Resumen!$B$25:$B$28</c:f>
              <c:strCache>
                <c:ptCount val="4"/>
                <c:pt idx="0">
                  <c:v>Azithromycin </c:v>
                </c:pt>
                <c:pt idx="1">
                  <c:v>Ciprofloxacin </c:v>
                </c:pt>
                <c:pt idx="2">
                  <c:v>Oxytetracycline </c:v>
                </c:pt>
                <c:pt idx="3">
                  <c:v>Trimethoprim </c:v>
                </c:pt>
              </c:strCache>
            </c:strRef>
          </c:cat>
          <c:val>
            <c:numRef>
              <c:f>Resumen!$R$25:$R$28</c:f>
              <c:numCache>
                <c:formatCode>0.0</c:formatCode>
                <c:ptCount val="4"/>
                <c:pt idx="0">
                  <c:v>56.170118095488384</c:v>
                </c:pt>
                <c:pt idx="1">
                  <c:v>58.738970840248705</c:v>
                </c:pt>
                <c:pt idx="2">
                  <c:v>32.701693094656477</c:v>
                </c:pt>
                <c:pt idx="3">
                  <c:v>14.474134196331727</c:v>
                </c:pt>
              </c:numCache>
            </c:numRef>
          </c:val>
          <c:extLst>
            <c:ext xmlns:c16="http://schemas.microsoft.com/office/drawing/2014/chart" uri="{C3380CC4-5D6E-409C-BE32-E72D297353CC}">
              <c16:uniqueId val="{00000002-3078-4B40-99B9-7057F7991192}"/>
            </c:ext>
          </c:extLst>
        </c:ser>
        <c:ser>
          <c:idx val="3"/>
          <c:order val="3"/>
          <c:tx>
            <c:strRef>
              <c:f>Resumen!$S$6</c:f>
              <c:strCache>
                <c:ptCount val="1"/>
                <c:pt idx="0">
                  <c:v>Alfalfa </c:v>
                </c:pt>
              </c:strCache>
            </c:strRef>
          </c:tx>
          <c:spPr>
            <a:solidFill>
              <a:schemeClr val="accent2">
                <a:lumMod val="60000"/>
                <a:alpha val="70000"/>
              </a:schemeClr>
            </a:solidFill>
            <a:ln>
              <a:noFill/>
            </a:ln>
            <a:effectLst/>
          </c:spPr>
          <c:invertIfNegative val="0"/>
          <c:errBars>
            <c:errBarType val="both"/>
            <c:errValType val="cust"/>
            <c:noEndCap val="0"/>
            <c:plus>
              <c:numRef>
                <c:f>Resumen!$S$30:$S$33</c:f>
                <c:numCache>
                  <c:formatCode>General</c:formatCode>
                  <c:ptCount val="4"/>
                  <c:pt idx="0">
                    <c:v>5.9564003039066833</c:v>
                  </c:pt>
                  <c:pt idx="1">
                    <c:v>12.374482063531234</c:v>
                  </c:pt>
                  <c:pt idx="2">
                    <c:v>7.7389836865879227</c:v>
                  </c:pt>
                  <c:pt idx="3">
                    <c:v>1.8073403898660545</c:v>
                  </c:pt>
                </c:numCache>
              </c:numRef>
            </c:plus>
            <c:minus>
              <c:numRef>
                <c:f>Resumen!$S$30:$S$33</c:f>
                <c:numCache>
                  <c:formatCode>General</c:formatCode>
                  <c:ptCount val="4"/>
                  <c:pt idx="0">
                    <c:v>5.9564003039066833</c:v>
                  </c:pt>
                  <c:pt idx="1">
                    <c:v>12.374482063531234</c:v>
                  </c:pt>
                  <c:pt idx="2">
                    <c:v>7.7389836865879227</c:v>
                  </c:pt>
                  <c:pt idx="3">
                    <c:v>1.8073403898660545</c:v>
                  </c:pt>
                </c:numCache>
              </c:numRef>
            </c:minus>
            <c:spPr>
              <a:noFill/>
              <a:ln w="9525">
                <a:solidFill>
                  <a:schemeClr val="tx1">
                    <a:lumMod val="65000"/>
                    <a:lumOff val="35000"/>
                  </a:schemeClr>
                </a:solidFill>
                <a:round/>
              </a:ln>
              <a:effectLst/>
            </c:spPr>
          </c:errBars>
          <c:cat>
            <c:strRef>
              <c:f>Resumen!$B$25:$B$28</c:f>
              <c:strCache>
                <c:ptCount val="4"/>
                <c:pt idx="0">
                  <c:v>Azithromycin </c:v>
                </c:pt>
                <c:pt idx="1">
                  <c:v>Ciprofloxacin </c:v>
                </c:pt>
                <c:pt idx="2">
                  <c:v>Oxytetracycline </c:v>
                </c:pt>
                <c:pt idx="3">
                  <c:v>Trimethoprim </c:v>
                </c:pt>
              </c:strCache>
            </c:strRef>
          </c:cat>
          <c:val>
            <c:numRef>
              <c:f>Resumen!$S$25:$S$28</c:f>
              <c:numCache>
                <c:formatCode>0.0</c:formatCode>
                <c:ptCount val="4"/>
                <c:pt idx="0">
                  <c:v>57.441163309512866</c:v>
                </c:pt>
                <c:pt idx="1">
                  <c:v>53.731810990497955</c:v>
                </c:pt>
                <c:pt idx="2">
                  <c:v>10.8171141139594</c:v>
                </c:pt>
                <c:pt idx="3">
                  <c:v>13.349551741875009</c:v>
                </c:pt>
              </c:numCache>
            </c:numRef>
          </c:val>
          <c:extLst>
            <c:ext xmlns:c16="http://schemas.microsoft.com/office/drawing/2014/chart" uri="{C3380CC4-5D6E-409C-BE32-E72D297353CC}">
              <c16:uniqueId val="{00000003-3078-4B40-99B9-7057F7991192}"/>
            </c:ext>
          </c:extLst>
        </c:ser>
        <c:ser>
          <c:idx val="4"/>
          <c:order val="4"/>
          <c:tx>
            <c:strRef>
              <c:f>Resumen!$T$24</c:f>
              <c:strCache>
                <c:ptCount val="1"/>
                <c:pt idx="0">
                  <c:v>No seeds </c:v>
                </c:pt>
              </c:strCache>
            </c:strRef>
          </c:tx>
          <c:spPr>
            <a:solidFill>
              <a:schemeClr val="accent4">
                <a:lumMod val="60000"/>
                <a:alpha val="70000"/>
              </a:schemeClr>
            </a:solidFill>
            <a:ln>
              <a:noFill/>
            </a:ln>
            <a:effectLst/>
          </c:spPr>
          <c:invertIfNegative val="0"/>
          <c:errBars>
            <c:errBarType val="both"/>
            <c:errValType val="cust"/>
            <c:noEndCap val="0"/>
            <c:plus>
              <c:numRef>
                <c:f>Resumen!$T$30:$T$33</c:f>
                <c:numCache>
                  <c:formatCode>General</c:formatCode>
                  <c:ptCount val="4"/>
                  <c:pt idx="0">
                    <c:v>7.3809340941936918</c:v>
                  </c:pt>
                  <c:pt idx="1">
                    <c:v>8.3323630425578905</c:v>
                  </c:pt>
                  <c:pt idx="2">
                    <c:v>9.087564852667521</c:v>
                  </c:pt>
                  <c:pt idx="3">
                    <c:v>9.413177576720452</c:v>
                  </c:pt>
                </c:numCache>
              </c:numRef>
            </c:plus>
            <c:minus>
              <c:numRef>
                <c:f>Resumen!$T$30:$T$33</c:f>
                <c:numCache>
                  <c:formatCode>General</c:formatCode>
                  <c:ptCount val="4"/>
                  <c:pt idx="0">
                    <c:v>7.3809340941936918</c:v>
                  </c:pt>
                  <c:pt idx="1">
                    <c:v>8.3323630425578905</c:v>
                  </c:pt>
                  <c:pt idx="2">
                    <c:v>9.087564852667521</c:v>
                  </c:pt>
                  <c:pt idx="3">
                    <c:v>9.413177576720452</c:v>
                  </c:pt>
                </c:numCache>
              </c:numRef>
            </c:minus>
            <c:spPr>
              <a:noFill/>
              <a:ln w="9525">
                <a:solidFill>
                  <a:schemeClr val="tx1">
                    <a:lumMod val="65000"/>
                    <a:lumOff val="35000"/>
                  </a:schemeClr>
                </a:solidFill>
                <a:round/>
              </a:ln>
              <a:effectLst/>
            </c:spPr>
          </c:errBars>
          <c:cat>
            <c:strRef>
              <c:f>Resumen!$B$25:$B$28</c:f>
              <c:strCache>
                <c:ptCount val="4"/>
                <c:pt idx="0">
                  <c:v>Azithromycin </c:v>
                </c:pt>
                <c:pt idx="1">
                  <c:v>Ciprofloxacin </c:v>
                </c:pt>
                <c:pt idx="2">
                  <c:v>Oxytetracycline </c:v>
                </c:pt>
                <c:pt idx="3">
                  <c:v>Trimethoprim </c:v>
                </c:pt>
              </c:strCache>
            </c:strRef>
          </c:cat>
          <c:val>
            <c:numRef>
              <c:f>Resumen!$T$25:$T$28</c:f>
              <c:numCache>
                <c:formatCode>0.0</c:formatCode>
                <c:ptCount val="4"/>
                <c:pt idx="0">
                  <c:v>46.636975890145266</c:v>
                </c:pt>
                <c:pt idx="1">
                  <c:v>58.405600549458448</c:v>
                </c:pt>
                <c:pt idx="2">
                  <c:v>31.509371239465555</c:v>
                </c:pt>
                <c:pt idx="3">
                  <c:v>12.664077154610171</c:v>
                </c:pt>
              </c:numCache>
            </c:numRef>
          </c:val>
          <c:extLst>
            <c:ext xmlns:c16="http://schemas.microsoft.com/office/drawing/2014/chart" uri="{C3380CC4-5D6E-409C-BE32-E72D297353CC}">
              <c16:uniqueId val="{00000006-3078-4B40-99B9-7057F7991192}"/>
            </c:ext>
          </c:extLst>
        </c:ser>
        <c:dLbls>
          <c:showLegendKey val="0"/>
          <c:showVal val="0"/>
          <c:showCatName val="0"/>
          <c:showSerName val="0"/>
          <c:showPercent val="0"/>
          <c:showBubbleSize val="0"/>
        </c:dLbls>
        <c:gapWidth val="80"/>
        <c:overlap val="25"/>
        <c:axId val="1931283520"/>
        <c:axId val="1931285440"/>
      </c:barChart>
      <c:catAx>
        <c:axId val="1931283520"/>
        <c:scaling>
          <c:orientation val="minMax"/>
        </c:scaling>
        <c:delete val="0"/>
        <c:axPos val="b"/>
        <c:numFmt formatCode="General" sourceLinked="1"/>
        <c:majorTickMark val="none"/>
        <c:minorTickMark val="none"/>
        <c:tickLblPos val="nextTo"/>
        <c:spPr>
          <a:noFill/>
          <a:ln w="1587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cap="none" spc="20" normalizeH="0" baseline="0">
                <a:solidFill>
                  <a:sysClr val="windowText" lastClr="000000"/>
                </a:solidFill>
                <a:latin typeface="Times New Roman" panose="02020603050405020304" pitchFamily="18" charset="0"/>
                <a:ea typeface="+mn-ea"/>
                <a:cs typeface="Times New Roman" panose="02020603050405020304" pitchFamily="18" charset="0"/>
              </a:defRPr>
            </a:pPr>
            <a:endParaRPr lang="es-MX"/>
          </a:p>
        </c:txPr>
        <c:crossAx val="1931285440"/>
        <c:crosses val="autoZero"/>
        <c:auto val="1"/>
        <c:lblAlgn val="ctr"/>
        <c:lblOffset val="100"/>
        <c:noMultiLvlLbl val="0"/>
      </c:catAx>
      <c:valAx>
        <c:axId val="1931285440"/>
        <c:scaling>
          <c:orientation val="minMax"/>
          <c:max val="100"/>
          <c:min val="0"/>
        </c:scaling>
        <c:delete val="0"/>
        <c:axPos val="l"/>
        <c:majorGridlines>
          <c:spPr>
            <a:ln w="9525" cap="flat" cmpd="sng" algn="ctr">
              <a:solidFill>
                <a:schemeClr val="tx1">
                  <a:lumMod val="5000"/>
                  <a:lumOff val="95000"/>
                </a:schemeClr>
              </a:solidFill>
              <a:round/>
            </a:ln>
            <a:effectLst/>
          </c:spPr>
        </c:majorGridlines>
        <c:title>
          <c:tx>
            <c:rich>
              <a:bodyPr rot="-5400000" spcFirstLastPara="1" vertOverflow="ellipsis" vert="horz" wrap="square" anchor="ctr" anchorCtr="1"/>
              <a:lstStyle/>
              <a:p>
                <a:pPr>
                  <a:defRPr sz="900" b="0" i="0" u="none" strike="noStrike" kern="1200" cap="none" baseline="0">
                    <a:solidFill>
                      <a:sysClr val="windowText" lastClr="000000"/>
                    </a:solidFill>
                    <a:latin typeface="Times New Roman" panose="02020603050405020304" pitchFamily="18" charset="0"/>
                    <a:ea typeface="+mn-ea"/>
                    <a:cs typeface="Times New Roman" panose="02020603050405020304" pitchFamily="18" charset="0"/>
                  </a:defRPr>
                </a:pPr>
                <a:r>
                  <a:rPr lang="en-US" cap="none" baseline="0"/>
                  <a:t>% Pharm sorption </a:t>
                </a:r>
              </a:p>
            </c:rich>
          </c:tx>
          <c:overlay val="0"/>
          <c:spPr>
            <a:noFill/>
            <a:ln>
              <a:noFill/>
            </a:ln>
            <a:effectLst/>
          </c:spPr>
          <c:txPr>
            <a:bodyPr rot="-5400000" spcFirstLastPara="1" vertOverflow="ellipsis" vert="horz" wrap="square" anchor="ctr" anchorCtr="1"/>
            <a:lstStyle/>
            <a:p>
              <a:pPr>
                <a:defRPr sz="900" b="0" i="0" u="none" strike="noStrike" kern="1200" cap="none" baseline="0">
                  <a:solidFill>
                    <a:sysClr val="windowText" lastClr="000000"/>
                  </a:solidFill>
                  <a:latin typeface="Times New Roman" panose="02020603050405020304" pitchFamily="18" charset="0"/>
                  <a:ea typeface="+mn-ea"/>
                  <a:cs typeface="Times New Roman" panose="02020603050405020304" pitchFamily="18" charset="0"/>
                </a:defRPr>
              </a:pPr>
              <a:endParaRPr lang="es-MX"/>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spc="20" baseline="0">
                <a:solidFill>
                  <a:sysClr val="windowText" lastClr="000000"/>
                </a:solidFill>
                <a:latin typeface="Times New Roman" panose="02020603050405020304" pitchFamily="18" charset="0"/>
                <a:ea typeface="+mn-ea"/>
                <a:cs typeface="Times New Roman" panose="02020603050405020304" pitchFamily="18" charset="0"/>
              </a:defRPr>
            </a:pPr>
            <a:endParaRPr lang="es-MX"/>
          </a:p>
        </c:txPr>
        <c:crossAx val="193128352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lt1"/>
    </a:solidFill>
    <a:ln w="9525" cap="flat" cmpd="sng" algn="ctr">
      <a:solidFill>
        <a:schemeClr val="tx1">
          <a:lumMod val="15000"/>
          <a:lumOff val="85000"/>
        </a:schemeClr>
      </a:solidFill>
      <a:round/>
    </a:ln>
    <a:effectLst/>
  </c:spPr>
  <c:txPr>
    <a:bodyPr/>
    <a:lstStyle/>
    <a:p>
      <a:pPr>
        <a:defRPr>
          <a:solidFill>
            <a:sysClr val="windowText" lastClr="000000"/>
          </a:solidFill>
          <a:latin typeface="Times New Roman" panose="02020603050405020304" pitchFamily="18" charset="0"/>
          <a:cs typeface="Times New Roman" panose="02020603050405020304" pitchFamily="18" charset="0"/>
        </a:defRPr>
      </a:pPr>
      <a:endParaRPr lang="es-MX"/>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5">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15875" cap="flat" cmpd="sng" algn="ctr">
        <a:solidFill>
          <a:schemeClr val="tx1">
            <a:lumMod val="25000"/>
            <a:lumOff val="75000"/>
          </a:schemeClr>
        </a:solidFill>
        <a:round/>
      </a:ln>
    </cs:spPr>
    <cs:defRPr sz="900" kern="1200" cap="none" spc="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bg1"/>
    </cs:fontRef>
    <cs:spPr>
      <a:solidFill>
        <a:schemeClr val="tx1">
          <a:lumMod val="50000"/>
          <a:lumOff val="50000"/>
        </a:schemeClr>
      </a:solidFill>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70000"/>
        </a:schemeClr>
      </a:solidFill>
    </cs:spPr>
  </cs:dataPoint>
  <cs:dataPoint3D>
    <cs:lnRef idx="0"/>
    <cs:fillRef idx="0">
      <cs:styleClr val="auto"/>
    </cs:fillRef>
    <cs:effectRef idx="0"/>
    <cs:fontRef idx="minor">
      <a:schemeClr val="dk1"/>
    </cs:fontRef>
    <cs:spPr>
      <a:solidFill>
        <a:schemeClr val="phClr">
          <a:alpha val="70000"/>
        </a:schemeClr>
      </a:solidFill>
    </cs:spPr>
  </cs:dataPoint3D>
  <cs:dataPointLine>
    <cs:lnRef idx="0">
      <cs:styleClr val="auto"/>
    </cs:lnRef>
    <cs:fillRef idx="0"/>
    <cs:effectRef idx="0"/>
    <cs:fontRef idx="minor">
      <a:schemeClr val="dk1"/>
    </cs:fontRef>
    <cs:spPr>
      <a:ln w="28575" cap="rnd">
        <a:solidFill>
          <a:schemeClr val="phClr">
            <a:alpha val="70000"/>
          </a:schemeClr>
        </a:solidFill>
        <a:round/>
      </a:ln>
    </cs:spPr>
  </cs:dataPointLine>
  <cs:dataPointMarker>
    <cs:lnRef idx="0"/>
    <cs:fillRef idx="0">
      <cs:styleClr val="auto"/>
    </cs:fillRef>
    <cs:effectRef idx="0"/>
    <cs:fontRef idx="minor">
      <a:schemeClr val="dk1"/>
    </cs:fontRef>
    <cs:spPr>
      <a:solidFill>
        <a:schemeClr val="phClr">
          <a:alpha val="70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65000"/>
            <a:lumOff val="35000"/>
          </a:schemeClr>
        </a:solidFill>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5000"/>
            <a:lumOff val="9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35000"/>
            <a:lumOff val="65000"/>
          </a:schemeClr>
        </a:solidFill>
        <a:round/>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baseline="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ajor">
      <a:schemeClr val="tx1">
        <a:lumMod val="65000"/>
        <a:lumOff val="35000"/>
      </a:schemeClr>
    </cs:fontRef>
    <cs:defRPr sz="1600" b="0" i="0" kern="1200" cap="none" spc="50" normalizeH="0" baseline="0"/>
  </cs:title>
  <cs:trendline>
    <cs:lnRef idx="0">
      <cs:styleClr val="auto"/>
    </cs:lnRef>
    <cs:fillRef idx="0"/>
    <cs:effectRef idx="0"/>
    <cs:fontRef idx="minor">
      <a:schemeClr val="dk1"/>
    </cs:fontRef>
    <cs:spPr>
      <a:ln w="15875"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defRPr sz="900" kern="1200" spc="20" baseline="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15">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15875" cap="flat" cmpd="sng" algn="ctr">
        <a:solidFill>
          <a:schemeClr val="tx1">
            <a:lumMod val="25000"/>
            <a:lumOff val="75000"/>
          </a:schemeClr>
        </a:solidFill>
        <a:round/>
      </a:ln>
    </cs:spPr>
    <cs:defRPr sz="900" kern="1200" cap="none" spc="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bg1"/>
    </cs:fontRef>
    <cs:spPr>
      <a:solidFill>
        <a:schemeClr val="tx1">
          <a:lumMod val="50000"/>
          <a:lumOff val="50000"/>
        </a:schemeClr>
      </a:solidFill>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70000"/>
        </a:schemeClr>
      </a:solidFill>
    </cs:spPr>
  </cs:dataPoint>
  <cs:dataPoint3D>
    <cs:lnRef idx="0"/>
    <cs:fillRef idx="0">
      <cs:styleClr val="auto"/>
    </cs:fillRef>
    <cs:effectRef idx="0"/>
    <cs:fontRef idx="minor">
      <a:schemeClr val="dk1"/>
    </cs:fontRef>
    <cs:spPr>
      <a:solidFill>
        <a:schemeClr val="phClr">
          <a:alpha val="70000"/>
        </a:schemeClr>
      </a:solidFill>
    </cs:spPr>
  </cs:dataPoint3D>
  <cs:dataPointLine>
    <cs:lnRef idx="0">
      <cs:styleClr val="auto"/>
    </cs:lnRef>
    <cs:fillRef idx="0"/>
    <cs:effectRef idx="0"/>
    <cs:fontRef idx="minor">
      <a:schemeClr val="dk1"/>
    </cs:fontRef>
    <cs:spPr>
      <a:ln w="28575" cap="rnd">
        <a:solidFill>
          <a:schemeClr val="phClr">
            <a:alpha val="70000"/>
          </a:schemeClr>
        </a:solidFill>
        <a:round/>
      </a:ln>
    </cs:spPr>
  </cs:dataPointLine>
  <cs:dataPointMarker>
    <cs:lnRef idx="0"/>
    <cs:fillRef idx="0">
      <cs:styleClr val="auto"/>
    </cs:fillRef>
    <cs:effectRef idx="0"/>
    <cs:fontRef idx="minor">
      <a:schemeClr val="dk1"/>
    </cs:fontRef>
    <cs:spPr>
      <a:solidFill>
        <a:schemeClr val="phClr">
          <a:alpha val="70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65000"/>
            <a:lumOff val="35000"/>
          </a:schemeClr>
        </a:solidFill>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5000"/>
            <a:lumOff val="9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35000"/>
            <a:lumOff val="65000"/>
          </a:schemeClr>
        </a:solidFill>
        <a:round/>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baseline="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ajor">
      <a:schemeClr val="tx1">
        <a:lumMod val="65000"/>
        <a:lumOff val="35000"/>
      </a:schemeClr>
    </cs:fontRef>
    <cs:defRPr sz="1600" b="0" i="0" kern="1200" cap="none" spc="50" normalizeH="0" baseline="0"/>
  </cs:title>
  <cs:trendline>
    <cs:lnRef idx="0">
      <cs:styleClr val="auto"/>
    </cs:lnRef>
    <cs:fillRef idx="0"/>
    <cs:effectRef idx="0"/>
    <cs:fontRef idx="minor">
      <a:schemeClr val="dk1"/>
    </cs:fontRef>
    <cs:spPr>
      <a:ln w="15875"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defRPr sz="900" kern="1200" spc="20" baseline="0"/>
  </cs:valueAxis>
  <cs:wall>
    <cs:lnRef idx="0"/>
    <cs:fillRef idx="0"/>
    <cs:effectRef idx="0"/>
    <cs:fontRef idx="minor">
      <a:schemeClr val="dk1"/>
    </cs:fontRef>
  </cs:wall>
</cs:chartStyle>
</file>

<file path=xl/charts/style3.xml><?xml version="1.0" encoding="utf-8"?>
<cs:chartStyle xmlns:cs="http://schemas.microsoft.com/office/drawing/2012/chartStyle" xmlns:a="http://schemas.openxmlformats.org/drawingml/2006/main" id="215">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15875" cap="flat" cmpd="sng" algn="ctr">
        <a:solidFill>
          <a:schemeClr val="tx1">
            <a:lumMod val="25000"/>
            <a:lumOff val="75000"/>
          </a:schemeClr>
        </a:solidFill>
        <a:round/>
      </a:ln>
    </cs:spPr>
    <cs:defRPr sz="900" kern="1200" cap="none" spc="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bg1"/>
    </cs:fontRef>
    <cs:spPr>
      <a:solidFill>
        <a:schemeClr val="tx1">
          <a:lumMod val="50000"/>
          <a:lumOff val="50000"/>
        </a:schemeClr>
      </a:solidFill>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70000"/>
        </a:schemeClr>
      </a:solidFill>
    </cs:spPr>
  </cs:dataPoint>
  <cs:dataPoint3D>
    <cs:lnRef idx="0"/>
    <cs:fillRef idx="0">
      <cs:styleClr val="auto"/>
    </cs:fillRef>
    <cs:effectRef idx="0"/>
    <cs:fontRef idx="minor">
      <a:schemeClr val="dk1"/>
    </cs:fontRef>
    <cs:spPr>
      <a:solidFill>
        <a:schemeClr val="phClr">
          <a:alpha val="70000"/>
        </a:schemeClr>
      </a:solidFill>
    </cs:spPr>
  </cs:dataPoint3D>
  <cs:dataPointLine>
    <cs:lnRef idx="0">
      <cs:styleClr val="auto"/>
    </cs:lnRef>
    <cs:fillRef idx="0"/>
    <cs:effectRef idx="0"/>
    <cs:fontRef idx="minor">
      <a:schemeClr val="dk1"/>
    </cs:fontRef>
    <cs:spPr>
      <a:ln w="28575" cap="rnd">
        <a:solidFill>
          <a:schemeClr val="phClr">
            <a:alpha val="70000"/>
          </a:schemeClr>
        </a:solidFill>
        <a:round/>
      </a:ln>
    </cs:spPr>
  </cs:dataPointLine>
  <cs:dataPointMarker>
    <cs:lnRef idx="0"/>
    <cs:fillRef idx="0">
      <cs:styleClr val="auto"/>
    </cs:fillRef>
    <cs:effectRef idx="0"/>
    <cs:fontRef idx="minor">
      <a:schemeClr val="dk1"/>
    </cs:fontRef>
    <cs:spPr>
      <a:solidFill>
        <a:schemeClr val="phClr">
          <a:alpha val="70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65000"/>
            <a:lumOff val="35000"/>
          </a:schemeClr>
        </a:solidFill>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5000"/>
            <a:lumOff val="9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35000"/>
            <a:lumOff val="65000"/>
          </a:schemeClr>
        </a:solidFill>
        <a:round/>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baseline="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ajor">
      <a:schemeClr val="tx1">
        <a:lumMod val="65000"/>
        <a:lumOff val="35000"/>
      </a:schemeClr>
    </cs:fontRef>
    <cs:defRPr sz="1600" b="0" i="0" kern="1200" cap="none" spc="50" normalizeH="0" baseline="0"/>
  </cs:title>
  <cs:trendline>
    <cs:lnRef idx="0">
      <cs:styleClr val="auto"/>
    </cs:lnRef>
    <cs:fillRef idx="0"/>
    <cs:effectRef idx="0"/>
    <cs:fontRef idx="minor">
      <a:schemeClr val="dk1"/>
    </cs:fontRef>
    <cs:spPr>
      <a:ln w="15875"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defRPr sz="900" kern="1200" spc="20" baseline="0"/>
  </cs:valueAxis>
  <cs:wall>
    <cs:lnRef idx="0"/>
    <cs:fillRef idx="0"/>
    <cs:effectRef idx="0"/>
    <cs:fontRef idx="minor">
      <a:schemeClr val="dk1"/>
    </cs:fontRef>
  </cs:wall>
</cs:chartStyle>
</file>

<file path=xl/charts/style4.xml><?xml version="1.0" encoding="utf-8"?>
<cs:chartStyle xmlns:cs="http://schemas.microsoft.com/office/drawing/2012/chartStyle" xmlns:a="http://schemas.openxmlformats.org/drawingml/2006/main" id="215">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15875" cap="flat" cmpd="sng" algn="ctr">
        <a:solidFill>
          <a:schemeClr val="tx1">
            <a:lumMod val="25000"/>
            <a:lumOff val="75000"/>
          </a:schemeClr>
        </a:solidFill>
        <a:round/>
      </a:ln>
    </cs:spPr>
    <cs:defRPr sz="900" kern="1200" cap="none" spc="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bg1"/>
    </cs:fontRef>
    <cs:spPr>
      <a:solidFill>
        <a:schemeClr val="tx1">
          <a:lumMod val="50000"/>
          <a:lumOff val="50000"/>
        </a:schemeClr>
      </a:solidFill>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70000"/>
        </a:schemeClr>
      </a:solidFill>
    </cs:spPr>
  </cs:dataPoint>
  <cs:dataPoint3D>
    <cs:lnRef idx="0"/>
    <cs:fillRef idx="0">
      <cs:styleClr val="auto"/>
    </cs:fillRef>
    <cs:effectRef idx="0"/>
    <cs:fontRef idx="minor">
      <a:schemeClr val="dk1"/>
    </cs:fontRef>
    <cs:spPr>
      <a:solidFill>
        <a:schemeClr val="phClr">
          <a:alpha val="70000"/>
        </a:schemeClr>
      </a:solidFill>
    </cs:spPr>
  </cs:dataPoint3D>
  <cs:dataPointLine>
    <cs:lnRef idx="0">
      <cs:styleClr val="auto"/>
    </cs:lnRef>
    <cs:fillRef idx="0"/>
    <cs:effectRef idx="0"/>
    <cs:fontRef idx="minor">
      <a:schemeClr val="dk1"/>
    </cs:fontRef>
    <cs:spPr>
      <a:ln w="28575" cap="rnd">
        <a:solidFill>
          <a:schemeClr val="phClr">
            <a:alpha val="70000"/>
          </a:schemeClr>
        </a:solidFill>
        <a:round/>
      </a:ln>
    </cs:spPr>
  </cs:dataPointLine>
  <cs:dataPointMarker>
    <cs:lnRef idx="0"/>
    <cs:fillRef idx="0">
      <cs:styleClr val="auto"/>
    </cs:fillRef>
    <cs:effectRef idx="0"/>
    <cs:fontRef idx="minor">
      <a:schemeClr val="dk1"/>
    </cs:fontRef>
    <cs:spPr>
      <a:solidFill>
        <a:schemeClr val="phClr">
          <a:alpha val="70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65000"/>
            <a:lumOff val="35000"/>
          </a:schemeClr>
        </a:solidFill>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5000"/>
            <a:lumOff val="9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35000"/>
            <a:lumOff val="65000"/>
          </a:schemeClr>
        </a:solidFill>
        <a:round/>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baseline="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ajor">
      <a:schemeClr val="tx1">
        <a:lumMod val="65000"/>
        <a:lumOff val="35000"/>
      </a:schemeClr>
    </cs:fontRef>
    <cs:defRPr sz="1600" b="0" i="0" kern="1200" cap="none" spc="50" normalizeH="0" baseline="0"/>
  </cs:title>
  <cs:trendline>
    <cs:lnRef idx="0">
      <cs:styleClr val="auto"/>
    </cs:lnRef>
    <cs:fillRef idx="0"/>
    <cs:effectRef idx="0"/>
    <cs:fontRef idx="minor">
      <a:schemeClr val="dk1"/>
    </cs:fontRef>
    <cs:spPr>
      <a:ln w="15875"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defRPr sz="900" kern="1200" spc="20" baseline="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7</xdr:col>
      <xdr:colOff>121920</xdr:colOff>
      <xdr:row>1</xdr:row>
      <xdr:rowOff>171450</xdr:rowOff>
    </xdr:from>
    <xdr:to>
      <xdr:col>12</xdr:col>
      <xdr:colOff>731520</xdr:colOff>
      <xdr:row>19</xdr:row>
      <xdr:rowOff>111369</xdr:rowOff>
    </xdr:to>
    <xdr:graphicFrame macro="">
      <xdr:nvGraphicFramePr>
        <xdr:cNvPr id="6" name="Gráfico 5">
          <a:extLst>
            <a:ext uri="{FF2B5EF4-FFF2-40B4-BE49-F238E27FC236}">
              <a16:creationId xmlns:a16="http://schemas.microsoft.com/office/drawing/2014/main" id="{A2EE5CE1-5DDB-3510-44B3-BDA62E792ED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91440</xdr:colOff>
      <xdr:row>21</xdr:row>
      <xdr:rowOff>114300</xdr:rowOff>
    </xdr:from>
    <xdr:to>
      <xdr:col>12</xdr:col>
      <xdr:colOff>701040</xdr:colOff>
      <xdr:row>39</xdr:row>
      <xdr:rowOff>61839</xdr:rowOff>
    </xdr:to>
    <xdr:graphicFrame macro="">
      <xdr:nvGraphicFramePr>
        <xdr:cNvPr id="8" name="Gráfico 7">
          <a:extLst>
            <a:ext uri="{FF2B5EF4-FFF2-40B4-BE49-F238E27FC236}">
              <a16:creationId xmlns:a16="http://schemas.microsoft.com/office/drawing/2014/main" id="{60D98857-DAEF-41FD-BF37-4867EF8CADE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19</xdr:col>
      <xdr:colOff>463062</xdr:colOff>
      <xdr:row>1</xdr:row>
      <xdr:rowOff>46893</xdr:rowOff>
    </xdr:from>
    <xdr:to>
      <xdr:col>25</xdr:col>
      <xdr:colOff>281354</xdr:colOff>
      <xdr:row>18</xdr:row>
      <xdr:rowOff>162658</xdr:rowOff>
    </xdr:to>
    <xdr:graphicFrame macro="">
      <xdr:nvGraphicFramePr>
        <xdr:cNvPr id="9" name="Gráfico 8">
          <a:extLst>
            <a:ext uri="{FF2B5EF4-FFF2-40B4-BE49-F238E27FC236}">
              <a16:creationId xmlns:a16="http://schemas.microsoft.com/office/drawing/2014/main" id="{C9A4F96A-159C-4837-B338-795B9B629BD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20</xdr:col>
      <xdr:colOff>609600</xdr:colOff>
      <xdr:row>20</xdr:row>
      <xdr:rowOff>160020</xdr:rowOff>
    </xdr:from>
    <xdr:to>
      <xdr:col>26</xdr:col>
      <xdr:colOff>427892</xdr:colOff>
      <xdr:row>38</xdr:row>
      <xdr:rowOff>77665</xdr:rowOff>
    </xdr:to>
    <xdr:graphicFrame macro="">
      <xdr:nvGraphicFramePr>
        <xdr:cNvPr id="10" name="Gráfico 9">
          <a:extLst>
            <a:ext uri="{FF2B5EF4-FFF2-40B4-BE49-F238E27FC236}">
              <a16:creationId xmlns:a16="http://schemas.microsoft.com/office/drawing/2014/main" id="{339B7DEF-2986-4E2B-9853-75F9DE62D56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2BB62A-02BF-445B-9458-933862FB9322}">
  <dimension ref="B4:T35"/>
  <sheetViews>
    <sheetView topLeftCell="O1" zoomScaleNormal="100" workbookViewId="0">
      <selection activeCell="AB11" sqref="AB11"/>
    </sheetView>
  </sheetViews>
  <sheetFormatPr baseColWidth="10" defaultRowHeight="13.8" x14ac:dyDescent="0.25"/>
  <cols>
    <col min="1" max="1" width="11.5546875" style="1"/>
    <col min="2" max="2" width="12.44140625" style="1" customWidth="1"/>
    <col min="3" max="16" width="11.5546875" style="1"/>
    <col min="17" max="17" width="12.33203125" style="1" bestFit="1" customWidth="1"/>
    <col min="18" max="16384" width="11.5546875" style="1"/>
  </cols>
  <sheetData>
    <row r="4" spans="2:19" ht="14.4" thickBot="1" x14ac:dyDescent="0.3">
      <c r="B4" s="4"/>
      <c r="C4" s="4"/>
      <c r="D4" s="4"/>
      <c r="E4" s="4"/>
      <c r="F4" s="4"/>
      <c r="O4" s="4"/>
      <c r="P4" s="4"/>
      <c r="Q4" s="4"/>
      <c r="R4" s="4"/>
      <c r="S4" s="4"/>
    </row>
    <row r="5" spans="2:19" ht="14.4" customHeight="1" thickBot="1" x14ac:dyDescent="0.3">
      <c r="B5" s="52" t="s">
        <v>85</v>
      </c>
      <c r="C5" s="52"/>
      <c r="D5" s="52"/>
      <c r="E5" s="52"/>
      <c r="F5" s="52"/>
      <c r="O5" s="52" t="s">
        <v>95</v>
      </c>
      <c r="P5" s="52"/>
      <c r="Q5" s="52"/>
      <c r="R5" s="52"/>
      <c r="S5" s="52"/>
    </row>
    <row r="6" spans="2:19" x14ac:dyDescent="0.25">
      <c r="C6" s="22" t="s">
        <v>90</v>
      </c>
      <c r="D6" s="22" t="s">
        <v>87</v>
      </c>
      <c r="E6" s="22" t="s">
        <v>88</v>
      </c>
      <c r="F6" s="38" t="s">
        <v>89</v>
      </c>
      <c r="G6" s="38"/>
      <c r="H6" s="2"/>
      <c r="I6" s="2"/>
      <c r="P6" s="22" t="s">
        <v>90</v>
      </c>
      <c r="Q6" s="22" t="s">
        <v>87</v>
      </c>
      <c r="R6" s="22" t="s">
        <v>88</v>
      </c>
      <c r="S6" s="22" t="s">
        <v>89</v>
      </c>
    </row>
    <row r="7" spans="2:19" x14ac:dyDescent="0.25">
      <c r="B7" s="32" t="s">
        <v>3</v>
      </c>
      <c r="C7" s="41">
        <f>AVERAGE(4,5,3)*100/10</f>
        <v>40</v>
      </c>
      <c r="D7" s="41">
        <f>AVERAGE(9,10,8)*100/10</f>
        <v>90</v>
      </c>
      <c r="E7" s="41">
        <f>AVERAGE(4,6,4)*100/10</f>
        <v>46.666666666666671</v>
      </c>
      <c r="F7" s="41">
        <f>AVERAGE(8,6,7)*100/10</f>
        <v>70</v>
      </c>
      <c r="H7" s="2"/>
      <c r="I7" s="2"/>
      <c r="O7" s="32" t="s">
        <v>3</v>
      </c>
      <c r="P7" s="45">
        <f>AVERAGE('Tomato '!K5:K7)</f>
        <v>-1.2999999999996976</v>
      </c>
      <c r="Q7" s="45">
        <f>AVERAGE('Cempasuchil '!K5:K7)</f>
        <v>-3.5666666666666678</v>
      </c>
      <c r="R7" s="45">
        <f>AVERAGE('Carnation '!K25:K27)</f>
        <v>-2.5666666666667872</v>
      </c>
      <c r="S7" s="45">
        <f>AVERAGE('Alfalfa '!K23:K25)</f>
        <v>-8.2333333333333343</v>
      </c>
    </row>
    <row r="8" spans="2:19" x14ac:dyDescent="0.25">
      <c r="B8" s="1" t="s">
        <v>5</v>
      </c>
      <c r="C8" s="37">
        <f>AVERAGE(4,5,3)*100/10</f>
        <v>40</v>
      </c>
      <c r="D8" s="37">
        <f>AVERAGE(7,10,9)*100/10</f>
        <v>86.666666666666657</v>
      </c>
      <c r="E8" s="37">
        <f>AVERAGE(8,9,7)*100/10</f>
        <v>80</v>
      </c>
      <c r="F8" s="37">
        <f>AVERAGE(7,7,8)*100/10</f>
        <v>73.333333333333329</v>
      </c>
      <c r="H8" s="2"/>
      <c r="I8" s="2"/>
      <c r="O8" s="1" t="s">
        <v>5</v>
      </c>
      <c r="P8" s="43">
        <f>AVERAGE('Tomato '!K11:K13)</f>
        <v>-4.8999999999997579</v>
      </c>
      <c r="Q8" s="43">
        <f>AVERAGE('Cempasuchil '!K11:K13)</f>
        <v>-2.7666666666669095</v>
      </c>
      <c r="R8" s="43">
        <f>AVERAGE('Carnation '!K28:K30)</f>
        <v>-1.5000000000001812</v>
      </c>
      <c r="S8" s="43">
        <f>AVERAGE('Alfalfa '!K26:K28)</f>
        <v>-8.1</v>
      </c>
    </row>
    <row r="9" spans="2:19" x14ac:dyDescent="0.25">
      <c r="B9" s="1" t="s">
        <v>58</v>
      </c>
      <c r="C9" s="37">
        <f>AVERAGE(4,7,5)*100/10</f>
        <v>53.333333333333329</v>
      </c>
      <c r="D9" s="37">
        <f>AVERAGE(8,9,9)*100/10</f>
        <v>86.666666666666657</v>
      </c>
      <c r="E9" s="37">
        <f>AVERAGE(9,8,7)*100/10</f>
        <v>80</v>
      </c>
      <c r="F9" s="37">
        <f>AVERAGE(10,10,10)*100/10</f>
        <v>100</v>
      </c>
      <c r="H9" s="2"/>
      <c r="I9" s="2"/>
      <c r="O9" s="1" t="s">
        <v>58</v>
      </c>
      <c r="P9" s="43">
        <f>AVERAGE('Tomato '!K23:K25)</f>
        <v>-1.3333333333337585</v>
      </c>
      <c r="Q9" s="43">
        <f>AVERAGE('Cempasuchil '!K23:K25)</f>
        <v>-7.4666666666668489</v>
      </c>
      <c r="R9" s="43">
        <f>AVERAGE('Carnation '!K5:K7)</f>
        <v>-0.99999999999963762</v>
      </c>
      <c r="S9" s="43">
        <f>AVERAGE('Alfalfa '!K5:K7)</f>
        <v>-6.8666666666664247</v>
      </c>
    </row>
    <row r="10" spans="2:19" x14ac:dyDescent="0.25">
      <c r="B10" s="1" t="s">
        <v>59</v>
      </c>
      <c r="C10" s="37">
        <f>AVERAGE(4,3,7)*100/10</f>
        <v>46.666666666666671</v>
      </c>
      <c r="D10" s="37">
        <f>AVERAGE(6,7,7)*100/10</f>
        <v>66.666666666666671</v>
      </c>
      <c r="E10" s="37">
        <f>AVERAGE(8,9,8)*100/10</f>
        <v>83.333333333333343</v>
      </c>
      <c r="F10" s="37">
        <f>AVERAGE(9,10,9)*100/10</f>
        <v>93.333333333333343</v>
      </c>
      <c r="H10" s="2"/>
      <c r="I10" s="2"/>
      <c r="O10" s="1" t="s">
        <v>59</v>
      </c>
      <c r="P10" s="43">
        <f>AVERAGE('Tomato '!K26:K28)</f>
        <v>-1.4333333333335752</v>
      </c>
      <c r="Q10" s="43">
        <f>AVERAGE('Cempasuchil '!K26:K28)</f>
        <v>-4.6666666666671519</v>
      </c>
      <c r="R10" s="43">
        <f>AVERAGE('Carnation '!K8:K10)</f>
        <v>-2.6999999999999389</v>
      </c>
      <c r="S10" s="43">
        <f>AVERAGE('Alfalfa '!K8:K10)</f>
        <v>-7.1666666666667886</v>
      </c>
    </row>
    <row r="11" spans="2:19" ht="14.4" thickBot="1" x14ac:dyDescent="0.3">
      <c r="B11" s="4" t="s">
        <v>91</v>
      </c>
      <c r="C11" s="40">
        <f>AVERAGE(4,5,3,5,4,3)*100/10</f>
        <v>40</v>
      </c>
      <c r="D11" s="40">
        <f>AVERAGE(9,8,9,8,6,7)*100/10</f>
        <v>78.333333333333329</v>
      </c>
      <c r="E11" s="40">
        <f>AVERAGE(5,7,8,9,6,6)*100/10</f>
        <v>68.333333333333329</v>
      </c>
      <c r="F11" s="40">
        <f>AVERAGE(8,10,10,10,9,9)*100/10</f>
        <v>93.333333333333343</v>
      </c>
      <c r="H11" s="2"/>
      <c r="I11" s="2"/>
      <c r="O11" s="4" t="s">
        <v>91</v>
      </c>
      <c r="P11" s="44">
        <f>AVERAGE('Tomato '!K8:K10,'Tomato '!K29:K31)</f>
        <v>-1.5666666666670004</v>
      </c>
      <c r="Q11" s="44">
        <f>AVERAGE('Cempasuchil '!K8:K10,'Cempasuchil '!K29:K31)</f>
        <v>-4.7166666666666055</v>
      </c>
      <c r="R11" s="44">
        <f>AVERAGE('Carnation '!K11:K13,'Carnation '!K31:K33)</f>
        <v>-2.5666666666669702</v>
      </c>
      <c r="S11" s="44">
        <f>AVERAGE('Alfalfa '!K11:K13,'Alfalfa '!K29:K31)</f>
        <v>-8.8166666666668174</v>
      </c>
    </row>
    <row r="12" spans="2:19" x14ac:dyDescent="0.25">
      <c r="C12" s="22" t="s">
        <v>86</v>
      </c>
      <c r="D12" s="22" t="s">
        <v>86</v>
      </c>
      <c r="E12" s="22" t="s">
        <v>86</v>
      </c>
      <c r="F12" s="22" t="s">
        <v>86</v>
      </c>
      <c r="H12" s="2"/>
      <c r="I12" s="2"/>
      <c r="P12" s="22" t="s">
        <v>94</v>
      </c>
      <c r="Q12" s="22" t="s">
        <v>94</v>
      </c>
      <c r="R12" s="22" t="s">
        <v>94</v>
      </c>
      <c r="S12" s="22" t="s">
        <v>94</v>
      </c>
    </row>
    <row r="13" spans="2:19" x14ac:dyDescent="0.25">
      <c r="B13" s="32" t="s">
        <v>3</v>
      </c>
      <c r="C13" s="41">
        <f>_xlfn.STDEV.S(4,5,3)*100/10</f>
        <v>10</v>
      </c>
      <c r="D13" s="41">
        <f>_xlfn.STDEV.S(9,10,8)*100/10</f>
        <v>10</v>
      </c>
      <c r="E13" s="41">
        <f>_xlfn.STDEV.S(4,6,4)*100/10</f>
        <v>11.547005383792527</v>
      </c>
      <c r="F13" s="41">
        <f>_xlfn.STDEV.S(8,6,7)*100/10</f>
        <v>10</v>
      </c>
      <c r="H13" s="2"/>
      <c r="I13" s="2"/>
      <c r="O13" s="32" t="s">
        <v>3</v>
      </c>
      <c r="P13" s="45">
        <f>_xlfn.STDEV.S('Tomato '!K5:K7)</f>
        <v>0.43588989435387882</v>
      </c>
      <c r="Q13" s="45">
        <f>_xlfn.STDEV.S('Cempasuchil '!K5:K7)</f>
        <v>2.000833159794178</v>
      </c>
      <c r="R13" s="45">
        <f>_xlfn.STDEV.S('Carnation '!K25:K27)</f>
        <v>0.56862407030775841</v>
      </c>
      <c r="S13" s="45">
        <f>_xlfn.STDEV.S('Alfalfa '!K23:K25)</f>
        <v>2.6727015047207945</v>
      </c>
    </row>
    <row r="14" spans="2:19" x14ac:dyDescent="0.25">
      <c r="B14" s="1" t="s">
        <v>5</v>
      </c>
      <c r="C14" s="37">
        <f>_xlfn.STDEV.S(4,5,3)*100/10</f>
        <v>10</v>
      </c>
      <c r="D14" s="37">
        <f>_xlfn.STDEV.S(7,10,9)*100/10</f>
        <v>15.275252316519452</v>
      </c>
      <c r="E14" s="37">
        <f>_xlfn.STDEV.S(8,9,7)*100/10</f>
        <v>10</v>
      </c>
      <c r="F14" s="37">
        <f>_xlfn.STDEV.S(7,7,8)*100/10</f>
        <v>5.7735026918962582</v>
      </c>
      <c r="O14" s="1" t="s">
        <v>5</v>
      </c>
      <c r="P14" s="43">
        <f>_xlfn.STDEV.S('Tomato '!K11:K13)</f>
        <v>0.98488578017990924</v>
      </c>
      <c r="Q14" s="43">
        <f>_xlfn.STDEV.S('Cempasuchil '!K11:K13)</f>
        <v>2.5482019804824541</v>
      </c>
      <c r="R14" s="43">
        <f>_xlfn.STDEV.S('Carnation '!K28:K30)</f>
        <v>0.95393920141691779</v>
      </c>
      <c r="S14" s="43">
        <f>_xlfn.STDEV.S('Alfalfa '!K26:K28)</f>
        <v>1.1269427669586329</v>
      </c>
    </row>
    <row r="15" spans="2:19" x14ac:dyDescent="0.25">
      <c r="B15" s="1" t="s">
        <v>58</v>
      </c>
      <c r="C15" s="37">
        <f>_xlfn.STDEV.S(4,7,5)*100/10</f>
        <v>15.275252316519474</v>
      </c>
      <c r="D15" s="37">
        <f>_xlfn.STDEV.S(8,9,9)*100/10</f>
        <v>5.7735026918962573</v>
      </c>
      <c r="E15" s="37">
        <f>_xlfn.STDEV.S(9,8,7)*100/10</f>
        <v>10</v>
      </c>
      <c r="F15" s="37">
        <f>_xlfn.STDEV.S(10,10,10)*100/10</f>
        <v>0</v>
      </c>
      <c r="O15" s="1" t="s">
        <v>58</v>
      </c>
      <c r="P15" s="43">
        <f>_xlfn.STDEV.S('Tomato '!K23:K25)</f>
        <v>0.20816659994668607</v>
      </c>
      <c r="Q15" s="43">
        <f>_xlfn.STDEV.S('Cempasuchil '!K23:K25)</f>
        <v>1.2055427546679054</v>
      </c>
      <c r="R15" s="43">
        <f>_xlfn.STDEV.S('Carnation '!K5:K7)</f>
        <v>0.69999999999942819</v>
      </c>
      <c r="S15" s="43">
        <f>_xlfn.STDEV.S('Alfalfa '!K5:K7)</f>
        <v>0.60277137733400032</v>
      </c>
    </row>
    <row r="16" spans="2:19" x14ac:dyDescent="0.25">
      <c r="B16" s="1" t="s">
        <v>59</v>
      </c>
      <c r="C16" s="37">
        <f>_xlfn.STDEV.S(4,3,7)*100/10</f>
        <v>20.816659994661336</v>
      </c>
      <c r="D16" s="37">
        <f>_xlfn.STDEV.S(6,7,7)*100/10</f>
        <v>5.7735026918962582</v>
      </c>
      <c r="E16" s="37">
        <f>_xlfn.STDEV.S(8,9,8)*100/10</f>
        <v>5.7735026918962573</v>
      </c>
      <c r="F16" s="37">
        <f>_xlfn.STDEV.S(9,10,9)*100/10</f>
        <v>5.7735026918962573</v>
      </c>
      <c r="O16" s="1" t="s">
        <v>59</v>
      </c>
      <c r="P16" s="43">
        <f>_xlfn.STDEV.S('Tomato '!K26:K28)</f>
        <v>0.66583281184729337</v>
      </c>
      <c r="Q16" s="43">
        <f>_xlfn.STDEV.S('Cempasuchil '!K26:K28)</f>
        <v>0.28867513459534005</v>
      </c>
      <c r="R16" s="43">
        <f>_xlfn.STDEV.S('Carnation '!K8:K10)</f>
        <v>2.9308701779509874</v>
      </c>
      <c r="S16" s="43">
        <f>_xlfn.STDEV.S('Alfalfa '!K8:K10)</f>
        <v>0.55075705472916681</v>
      </c>
    </row>
    <row r="17" spans="2:20" ht="14.4" thickBot="1" x14ac:dyDescent="0.3">
      <c r="B17" s="4" t="s">
        <v>91</v>
      </c>
      <c r="C17" s="40">
        <f>_xlfn.STDEV.S(4,5,3,5,4,3)*100/10</f>
        <v>8.9442719099991592</v>
      </c>
      <c r="D17" s="40">
        <f>_xlfn.STDEV.S(9,8,9,8,6,7)*100/10</f>
        <v>11.690451944500104</v>
      </c>
      <c r="E17" s="40">
        <f>_xlfn.STDEV.S(5,7,8,9,6,6)*100/10</f>
        <v>14.719601443879734</v>
      </c>
      <c r="F17" s="40">
        <f>_xlfn.STDEV.S(8,10,10,10,9,9)*100/10</f>
        <v>8.164965809277259</v>
      </c>
      <c r="O17" s="4" t="s">
        <v>91</v>
      </c>
      <c r="P17" s="44">
        <f>_xlfn.STDEV.S('Tomato '!K8:K10,'Tomato '!K29:K31)</f>
        <v>0.42268979957713121</v>
      </c>
      <c r="Q17" s="44">
        <f>_xlfn.STDEV.S('Cempasuchil '!K8:K10,'Cempasuchil '!K29:K31)</f>
        <v>2.5856656138537448</v>
      </c>
      <c r="R17" s="44">
        <f>_xlfn.STDEV.S('Carnation '!K11:K13,'Carnation '!K31:K33)</f>
        <v>1.2769755936065694</v>
      </c>
      <c r="S17" s="44">
        <f>_xlfn.STDEV.S('Alfalfa '!K11:K13,'Alfalfa '!K29:K31)</f>
        <v>1.7081178725912378</v>
      </c>
    </row>
    <row r="18" spans="2:20" x14ac:dyDescent="0.25">
      <c r="B18" s="39"/>
      <c r="C18" s="37"/>
      <c r="D18" s="37"/>
      <c r="E18" s="37"/>
      <c r="F18" s="37"/>
    </row>
    <row r="19" spans="2:20" x14ac:dyDescent="0.25">
      <c r="B19" s="39"/>
      <c r="C19" s="37"/>
      <c r="D19" s="37"/>
      <c r="E19" s="37"/>
      <c r="F19" s="37"/>
    </row>
    <row r="20" spans="2:20" x14ac:dyDescent="0.25">
      <c r="B20" s="39"/>
      <c r="C20" s="37"/>
      <c r="D20" s="37"/>
      <c r="E20" s="37"/>
      <c r="F20" s="37"/>
    </row>
    <row r="21" spans="2:20" x14ac:dyDescent="0.25">
      <c r="B21" s="39"/>
      <c r="C21" s="37"/>
      <c r="D21" s="37"/>
      <c r="E21" s="37"/>
      <c r="F21" s="37"/>
    </row>
    <row r="22" spans="2:20" ht="14.4" thickBot="1" x14ac:dyDescent="0.3">
      <c r="B22" s="42"/>
      <c r="C22" s="40"/>
      <c r="D22" s="40"/>
      <c r="E22" s="40"/>
      <c r="F22" s="40"/>
      <c r="O22" s="4"/>
      <c r="P22" s="4"/>
      <c r="Q22" s="4"/>
      <c r="R22" s="4"/>
      <c r="S22" s="4"/>
      <c r="T22" s="4"/>
    </row>
    <row r="23" spans="2:20" ht="15" customHeight="1" thickBot="1" x14ac:dyDescent="0.3">
      <c r="B23" s="51" t="s">
        <v>92</v>
      </c>
      <c r="C23" s="51"/>
      <c r="D23" s="51"/>
      <c r="E23" s="51"/>
      <c r="F23" s="51"/>
      <c r="O23" s="51" t="s">
        <v>96</v>
      </c>
      <c r="P23" s="51"/>
      <c r="Q23" s="51"/>
      <c r="R23" s="51"/>
      <c r="S23" s="51"/>
      <c r="T23" s="51"/>
    </row>
    <row r="24" spans="2:20" x14ac:dyDescent="0.25">
      <c r="C24" s="22" t="s">
        <v>90</v>
      </c>
      <c r="D24" s="22" t="s">
        <v>87</v>
      </c>
      <c r="E24" s="22" t="s">
        <v>88</v>
      </c>
      <c r="F24" s="22" t="s">
        <v>89</v>
      </c>
      <c r="P24" s="22" t="s">
        <v>90</v>
      </c>
      <c r="Q24" s="22" t="s">
        <v>87</v>
      </c>
      <c r="R24" s="22" t="s">
        <v>88</v>
      </c>
      <c r="S24" s="22" t="s">
        <v>89</v>
      </c>
      <c r="T24" s="22" t="s">
        <v>97</v>
      </c>
    </row>
    <row r="25" spans="2:20" x14ac:dyDescent="0.25">
      <c r="B25" s="32" t="s">
        <v>3</v>
      </c>
      <c r="C25" s="41">
        <f>AVERAGE('Tomato '!W5:Y14)</f>
        <v>0.63283333333333325</v>
      </c>
      <c r="D25" s="41">
        <f>AVERAGE('Cempasuchil '!W5:Y14)</f>
        <v>6.0274074074074067</v>
      </c>
      <c r="E25" s="41">
        <f>AVERAGE('Carnation '!W25:Y34)</f>
        <v>0.47757142857142859</v>
      </c>
      <c r="F25" s="41">
        <f>AVERAGE('Alfalfa '!W23:Y32)</f>
        <v>2.4726666666666666</v>
      </c>
      <c r="O25" s="32" t="s">
        <v>3</v>
      </c>
      <c r="P25" s="45">
        <f>AVERAGE('Tomato '!N5:N7)</f>
        <v>84.670886237707506</v>
      </c>
      <c r="Q25" s="45">
        <f>AVERAGE('Cempasuchil '!N5:N7)</f>
        <v>84.661946341025555</v>
      </c>
      <c r="R25" s="45">
        <f>AVERAGE('Carnation '!N25:N27)</f>
        <v>56.170118095488384</v>
      </c>
      <c r="S25" s="45">
        <f>AVERAGE('Alfalfa '!N23:N25)</f>
        <v>57.441163309512866</v>
      </c>
      <c r="T25" s="45">
        <f>AVERAGE('Tomato '!N14:N16,'Carnation '!N25,'Carnation '!N34:N36)</f>
        <v>46.636975890145266</v>
      </c>
    </row>
    <row r="26" spans="2:20" x14ac:dyDescent="0.25">
      <c r="B26" s="1" t="s">
        <v>5</v>
      </c>
      <c r="C26" s="37">
        <f>AVERAGE('Tomato '!AC5:AE14)</f>
        <v>0.54908333333333337</v>
      </c>
      <c r="D26" s="37">
        <f>AVERAGE('Cempasuchil '!AC5:AE14)</f>
        <v>3.8063846153846157</v>
      </c>
      <c r="E26" s="37">
        <f>AVERAGE('Carnation '!Z25:AB34)</f>
        <v>0.51924999999999999</v>
      </c>
      <c r="F26" s="37">
        <f>AVERAGE('Alfalfa '!Z23:AB32)</f>
        <v>3.4160909090909088</v>
      </c>
      <c r="O26" s="1" t="s">
        <v>5</v>
      </c>
      <c r="P26" s="46">
        <f>AVERAGE('Tomato '!N11:N13)</f>
        <v>75.521946616816024</v>
      </c>
      <c r="Q26" s="46">
        <f>AVERAGE('Cempasuchil '!N11:N13)</f>
        <v>79.940376608732393</v>
      </c>
      <c r="R26" s="46">
        <f>AVERAGE('Carnation '!N28:N30)</f>
        <v>58.738970840248705</v>
      </c>
      <c r="S26" s="46">
        <f>AVERAGE('Alfalfa '!N26:N28)</f>
        <v>53.731810990497955</v>
      </c>
      <c r="T26" s="46">
        <f>AVERAGE('Tomato '!N17:N19,'Carnation '!N28:N30)</f>
        <v>58.405600549458448</v>
      </c>
    </row>
    <row r="27" spans="2:20" x14ac:dyDescent="0.25">
      <c r="B27" s="1" t="s">
        <v>58</v>
      </c>
      <c r="C27" s="37">
        <f>AVERAGE('Tomato '!W23:Y32)</f>
        <v>0.54093750000000007</v>
      </c>
      <c r="D27" s="37">
        <f>AVERAGE('Cempasuchil '!W23:Y32)</f>
        <v>7.4097692307692293</v>
      </c>
      <c r="E27" s="37">
        <f>AVERAGE('Carnation '!W5:Y14)</f>
        <v>0.58017391304347832</v>
      </c>
      <c r="F27" s="37">
        <f>AVERAGE('Alfalfa '!W5:Y14)</f>
        <v>3.9298666666666668</v>
      </c>
      <c r="O27" s="1" t="s">
        <v>58</v>
      </c>
      <c r="P27" s="46">
        <f>AVERAGE('Tomato '!N23:N25)</f>
        <v>30.31704938427464</v>
      </c>
      <c r="Q27" s="46">
        <f>AVERAGE('Cempasuchil '!N23:N25)</f>
        <v>17.890035740864459</v>
      </c>
      <c r="R27" s="46">
        <f>AVERAGE('Carnation '!N5:N7)</f>
        <v>32.701693094656477</v>
      </c>
      <c r="S27" s="46">
        <f>AVERAGE('Alfalfa '!N5:N7)</f>
        <v>10.8171141139594</v>
      </c>
      <c r="T27" s="46">
        <f>AVERAGE('Tomato '!N23:N25,'Carnation '!N5:N7)</f>
        <v>31.509371239465555</v>
      </c>
    </row>
    <row r="28" spans="2:20" ht="14.4" thickBot="1" x14ac:dyDescent="0.3">
      <c r="B28" s="1" t="s">
        <v>59</v>
      </c>
      <c r="C28" s="37">
        <f>AVERAGE('Tomato '!Z23:AB32)</f>
        <v>0.47699999999999998</v>
      </c>
      <c r="D28" s="37">
        <f>AVERAGE('Cempasuchil '!Z23:AB32)</f>
        <v>7.5696500000000011</v>
      </c>
      <c r="E28" s="37">
        <f>AVERAGE('Carnation '!Z5:AB14)</f>
        <v>0.85703999999999991</v>
      </c>
      <c r="F28" s="37">
        <f>AVERAGE('Alfalfa '!Z5:AB14)</f>
        <v>3.6710714285714281</v>
      </c>
      <c r="O28" s="4" t="s">
        <v>59</v>
      </c>
      <c r="P28" s="47">
        <f>AVERAGE('Tomato '!N26:N28)</f>
        <v>5.2553487703392241</v>
      </c>
      <c r="Q28" s="47">
        <f>AVERAGE('Cempasuchil '!N26:N28)</f>
        <v>22.662980912148956</v>
      </c>
      <c r="R28" s="47">
        <f>AVERAGE('Carnation '!N8:N10)</f>
        <v>14.474134196331727</v>
      </c>
      <c r="S28" s="47">
        <f>AVERAGE('Alfalfa '!N8:N10)</f>
        <v>13.349551741875009</v>
      </c>
      <c r="T28" s="47">
        <f>AVERAGE('Tomato '!N26:N28,'Alfalfa '!N17:N19)</f>
        <v>12.664077154610171</v>
      </c>
    </row>
    <row r="29" spans="2:20" ht="14.4" thickBot="1" x14ac:dyDescent="0.3">
      <c r="B29" s="4" t="s">
        <v>91</v>
      </c>
      <c r="C29" s="40">
        <f>AVERAGE('Tomato '!Z5:AB14,'Tomato '!AC23:AE32)</f>
        <v>0.3881666666666666</v>
      </c>
      <c r="D29" s="40">
        <f>AVERAGE('Cempasuchil '!Z5:AB14,'Cempasuchil '!AC23:AE32)</f>
        <v>6.0943404255319154</v>
      </c>
      <c r="E29" s="40">
        <f>AVERAGE('Carnation '!AC5:AE14,'Carnation '!AC25:AE34)</f>
        <v>0.50124390243902428</v>
      </c>
      <c r="F29" s="40">
        <f>AVERAGE('Alfalfa '!AC5:AE14,'Alfalfa '!AC23:AE32)</f>
        <v>1.9924821428571424</v>
      </c>
      <c r="P29" s="48" t="s">
        <v>86</v>
      </c>
      <c r="Q29" s="48" t="s">
        <v>86</v>
      </c>
      <c r="R29" s="48" t="s">
        <v>86</v>
      </c>
      <c r="S29" s="48" t="s">
        <v>86</v>
      </c>
      <c r="T29" s="48" t="s">
        <v>86</v>
      </c>
    </row>
    <row r="30" spans="2:20" x14ac:dyDescent="0.25">
      <c r="C30" s="22" t="s">
        <v>93</v>
      </c>
      <c r="D30" s="22" t="s">
        <v>93</v>
      </c>
      <c r="E30" s="22" t="s">
        <v>93</v>
      </c>
      <c r="F30" s="22" t="s">
        <v>93</v>
      </c>
      <c r="O30" s="32" t="s">
        <v>3</v>
      </c>
      <c r="P30" s="45">
        <f>_xlfn.STDEV.S('Tomato '!N5:N7)</f>
        <v>4.18639694340433</v>
      </c>
      <c r="Q30" s="45">
        <f>_xlfn.STDEV.S('Cempasuchil '!N5:N7)</f>
        <v>2.8632717492280788</v>
      </c>
      <c r="R30" s="45">
        <f>_xlfn.STDEV.S('Carnation '!N25:N27)</f>
        <v>9.0773111746763302</v>
      </c>
      <c r="S30" s="45">
        <f>_xlfn.STDEV.S('Alfalfa '!N23:N25)</f>
        <v>5.9564003039066833</v>
      </c>
      <c r="T30" s="45">
        <f>_xlfn.STDEV.S('Tomato '!N14:N16,'Carnation '!N25,'Carnation '!N34:N36)</f>
        <v>7.3809340941936918</v>
      </c>
    </row>
    <row r="31" spans="2:20" x14ac:dyDescent="0.25">
      <c r="B31" s="32" t="s">
        <v>3</v>
      </c>
      <c r="C31" s="41">
        <f>AVERAGE('Tomato '!W11:Y20)</f>
        <v>0.49772530863977305</v>
      </c>
      <c r="D31" s="41">
        <f>_xlfn.STDEV.S('Cempasuchil '!W5:Y14)</f>
        <v>3.4365059430861047</v>
      </c>
      <c r="E31" s="41">
        <f>_xlfn.STDEV.S('Carnation '!W25:Y34)</f>
        <v>0.30518637793113451</v>
      </c>
      <c r="F31" s="41">
        <f>_xlfn.STDEV.S('Alfalfa '!W23:Y32)</f>
        <v>2.5766510305692032</v>
      </c>
      <c r="O31" s="1" t="s">
        <v>5</v>
      </c>
      <c r="P31" s="46">
        <f>_xlfn.STDEV.S('Tomato '!N11:N13)</f>
        <v>4.6513993655433303</v>
      </c>
      <c r="Q31" s="46">
        <f>_xlfn.STDEV.S('Cempasuchil '!N11:N13)</f>
        <v>7.7991067081534737</v>
      </c>
      <c r="R31" s="46">
        <f>_xlfn.STDEV.S('Carnation '!N28:N30)</f>
        <v>12.297140262085342</v>
      </c>
      <c r="S31" s="46">
        <f>_xlfn.STDEV.S('Alfalfa '!N26:N28)</f>
        <v>12.374482063531234</v>
      </c>
      <c r="T31" s="46">
        <f>_xlfn.STDEV.S('Tomato '!N17:N19,'Carnation '!N28:N30)</f>
        <v>8.3323630425578905</v>
      </c>
    </row>
    <row r="32" spans="2:20" x14ac:dyDescent="0.25">
      <c r="B32" s="1" t="s">
        <v>5</v>
      </c>
      <c r="C32" s="37">
        <f>_xlfn.STDEV.S('Tomato '!AC5:AE14)</f>
        <v>0.32642288754796511</v>
      </c>
      <c r="D32" s="37">
        <f>_xlfn.STDEV.S('Cempasuchil '!AC5:AE14)</f>
        <v>2.4134842046621818</v>
      </c>
      <c r="E32" s="37">
        <f>_xlfn.STDEV.S('Carnation '!Z25:AB34)</f>
        <v>0.46272230849896223</v>
      </c>
      <c r="F32" s="37">
        <f>_xlfn.STDEV.S('Alfalfa '!Z23:AB32)</f>
        <v>2.8096411889046635</v>
      </c>
      <c r="O32" s="1" t="s">
        <v>58</v>
      </c>
      <c r="P32" s="46">
        <f>_xlfn.STDEV.S('Tomato '!N23:N25)</f>
        <v>14.053975570468143</v>
      </c>
      <c r="Q32" s="46">
        <f>_xlfn.STDEV.S('Cempasuchil '!N23:N25)</f>
        <v>7.8543481876969361</v>
      </c>
      <c r="R32" s="46">
        <f>_xlfn.STDEV.S('Carnation '!N5:N7)</f>
        <v>2.1634379640242729</v>
      </c>
      <c r="S32" s="46">
        <f>_xlfn.STDEV.S('Alfalfa '!N5:N7)</f>
        <v>7.7389836865879227</v>
      </c>
      <c r="T32" s="46">
        <f>_xlfn.STDEV.S('Tomato '!N23:N25,'Carnation '!N5:N7)</f>
        <v>9.087564852667521</v>
      </c>
    </row>
    <row r="33" spans="2:20" ht="14.4" thickBot="1" x14ac:dyDescent="0.3">
      <c r="B33" s="1" t="s">
        <v>58</v>
      </c>
      <c r="C33" s="37">
        <f>_xlfn.STDEV.S('Tomato '!W23:Y32)</f>
        <v>0.30490358448751181</v>
      </c>
      <c r="D33" s="37">
        <f>_xlfn.STDEV.S('Cempasuchil '!W23:Y32)</f>
        <v>4.3830132402966111</v>
      </c>
      <c r="E33" s="37">
        <f>_xlfn.STDEV.S('Carnation '!W5:Y14)</f>
        <v>0.34134075911615358</v>
      </c>
      <c r="F33" s="37">
        <f>_xlfn.STDEV.S('Alfalfa '!W5:Y14)</f>
        <v>2.2452058001567408</v>
      </c>
      <c r="O33" s="4" t="s">
        <v>59</v>
      </c>
      <c r="P33" s="47">
        <f>_xlfn.STDEV.S('Tomato '!N26:N28)</f>
        <v>3.1567909428261842</v>
      </c>
      <c r="Q33" s="47">
        <f>_xlfn.STDEV.S('Cempasuchil '!N26:N28)</f>
        <v>5.3987742225658879</v>
      </c>
      <c r="R33" s="47">
        <f>_xlfn.STDEV.S('Carnation '!N8:N10)</f>
        <v>6.6782900684834736</v>
      </c>
      <c r="S33" s="47">
        <f>_xlfn.STDEV.S('Alfalfa '!N8:N10)</f>
        <v>1.8073403898660545</v>
      </c>
      <c r="T33" s="47">
        <f>_xlfn.STDEV.S('Tomato '!N26:N28,'Alfalfa '!N17:N19)</f>
        <v>9.413177576720452</v>
      </c>
    </row>
    <row r="34" spans="2:20" x14ac:dyDescent="0.25">
      <c r="B34" s="1" t="s">
        <v>59</v>
      </c>
      <c r="C34" s="37">
        <f>_xlfn.STDEV.S('Tomato '!Z23:AB32)</f>
        <v>0.37504686886595096</v>
      </c>
      <c r="D34" s="37">
        <f>_xlfn.STDEV.S('Cempasuchil '!Z23:AB32)</f>
        <v>4.5701398720389284</v>
      </c>
      <c r="E34" s="37">
        <f>_xlfn.STDEV.S('Carnation '!Z5:AB14)</f>
        <v>0.73777641599606592</v>
      </c>
      <c r="F34" s="37">
        <f>_xlfn.STDEV.S('Alfalfa '!Z5:AB14)</f>
        <v>2.7969556456257743</v>
      </c>
      <c r="P34" s="43"/>
      <c r="Q34" s="43"/>
      <c r="R34" s="37"/>
      <c r="S34" s="43"/>
    </row>
    <row r="35" spans="2:20" ht="14.4" thickBot="1" x14ac:dyDescent="0.3">
      <c r="B35" s="4" t="s">
        <v>91</v>
      </c>
      <c r="C35" s="40">
        <f>_xlfn.STDEV.S('Tomato '!Z5:AB14,'Tomato '!AC23:AE32)</f>
        <v>0.2272674476330106</v>
      </c>
      <c r="D35" s="40">
        <f>_xlfn.STDEV.S('Cempasuchil '!Z5:AB14,'Cempasuchil '!AC23:AE32)</f>
        <v>3.9292176634552183</v>
      </c>
      <c r="E35" s="40">
        <f>_xlfn.STDEV.S('Carnation '!AC25:AE34,'Carnation '!AC5:AE14)</f>
        <v>0.415801201326295</v>
      </c>
      <c r="F35" s="40">
        <f>_xlfn.STDEV.S('Alfalfa '!AC5:AE14,'Alfalfa '!AC23:AE32)</f>
        <v>2.3043185069546066</v>
      </c>
    </row>
  </sheetData>
  <mergeCells count="4">
    <mergeCell ref="B23:F23"/>
    <mergeCell ref="O5:S5"/>
    <mergeCell ref="O23:T23"/>
    <mergeCell ref="B5:F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E903AF-1B55-440F-87C1-0D91E7EF9373}">
  <dimension ref="B2:AE42"/>
  <sheetViews>
    <sheetView topLeftCell="A8" zoomScale="85" zoomScaleNormal="85" workbookViewId="0">
      <selection activeCell="K8" sqref="K8"/>
    </sheetView>
  </sheetViews>
  <sheetFormatPr baseColWidth="10" defaultRowHeight="13.8" x14ac:dyDescent="0.25"/>
  <cols>
    <col min="1" max="4" width="11.5546875" style="1"/>
    <col min="5" max="5" width="15.33203125" style="1" customWidth="1"/>
    <col min="6" max="15" width="11.5546875" style="1"/>
    <col min="16" max="16" width="13" style="1" customWidth="1"/>
    <col min="17" max="17" width="12.5546875" style="1" bestFit="1" customWidth="1"/>
    <col min="18" max="18" width="11.5546875" style="1"/>
    <col min="19" max="19" width="37.77734375" style="1" customWidth="1"/>
    <col min="20" max="20" width="22.21875" style="1" customWidth="1"/>
    <col min="21" max="21" width="11.5546875" style="1"/>
    <col min="22" max="22" width="6.44140625" style="1" customWidth="1"/>
    <col min="23" max="16384" width="11.5546875" style="1"/>
  </cols>
  <sheetData>
    <row r="2" spans="2:31" ht="14.4" thickBot="1" x14ac:dyDescent="0.3">
      <c r="B2" s="55" t="s">
        <v>0</v>
      </c>
      <c r="C2" s="55"/>
      <c r="D2" s="55"/>
      <c r="E2" s="55"/>
      <c r="F2" s="55"/>
      <c r="G2" s="55"/>
      <c r="H2" s="55"/>
      <c r="I2" s="55"/>
      <c r="J2" s="55"/>
      <c r="K2" s="55"/>
      <c r="L2" s="55"/>
      <c r="M2" s="55"/>
      <c r="N2" s="55"/>
      <c r="O2" s="55"/>
      <c r="P2" s="55"/>
      <c r="Q2" s="55"/>
      <c r="R2" s="55"/>
      <c r="S2" s="55"/>
      <c r="T2" s="55"/>
      <c r="V2" s="4"/>
      <c r="W2" s="4"/>
      <c r="X2" s="4"/>
      <c r="Y2" s="4"/>
      <c r="Z2" s="4"/>
      <c r="AA2" s="4"/>
      <c r="AB2" s="4"/>
      <c r="AC2" s="4"/>
      <c r="AD2" s="4"/>
      <c r="AE2" s="4"/>
    </row>
    <row r="3" spans="2:31" ht="14.4" thickBot="1" x14ac:dyDescent="0.3">
      <c r="B3" s="4"/>
      <c r="C3" s="4"/>
      <c r="D3" s="4"/>
      <c r="E3" s="4"/>
      <c r="F3" s="4"/>
      <c r="G3" s="4"/>
      <c r="H3" s="8"/>
      <c r="I3" s="8"/>
      <c r="J3" s="4"/>
      <c r="K3" s="4"/>
      <c r="L3" s="4"/>
      <c r="M3" s="4"/>
      <c r="N3" s="4"/>
      <c r="O3" s="4"/>
      <c r="P3" s="4"/>
      <c r="Q3" s="4"/>
      <c r="R3" s="4"/>
      <c r="S3" s="4"/>
      <c r="T3" s="4"/>
      <c r="V3" s="22"/>
      <c r="W3" s="57" t="s">
        <v>1</v>
      </c>
      <c r="X3" s="57"/>
      <c r="Y3" s="57"/>
      <c r="Z3" s="57"/>
      <c r="AA3" s="57"/>
      <c r="AB3" s="57"/>
      <c r="AC3" s="57"/>
      <c r="AD3" s="57"/>
      <c r="AE3" s="57"/>
    </row>
    <row r="4" spans="2:31" ht="30" x14ac:dyDescent="0.25">
      <c r="B4" s="7" t="s">
        <v>1</v>
      </c>
      <c r="C4" s="7" t="s">
        <v>6</v>
      </c>
      <c r="D4" s="7" t="s">
        <v>7</v>
      </c>
      <c r="E4" s="7" t="s">
        <v>2</v>
      </c>
      <c r="F4" s="7" t="s">
        <v>17</v>
      </c>
      <c r="G4" s="7" t="s">
        <v>14</v>
      </c>
      <c r="H4" s="7" t="s">
        <v>44</v>
      </c>
      <c r="I4" s="29" t="s">
        <v>61</v>
      </c>
      <c r="J4" s="7" t="s">
        <v>60</v>
      </c>
      <c r="K4" s="7" t="s">
        <v>100</v>
      </c>
      <c r="L4" s="7" t="s">
        <v>15</v>
      </c>
      <c r="M4" s="7" t="s">
        <v>16</v>
      </c>
      <c r="N4" s="7" t="s">
        <v>98</v>
      </c>
      <c r="O4" s="7" t="s">
        <v>12</v>
      </c>
      <c r="P4" s="7" t="s">
        <v>10</v>
      </c>
      <c r="Q4" s="7" t="s">
        <v>9</v>
      </c>
      <c r="R4" s="7" t="s">
        <v>56</v>
      </c>
      <c r="S4" s="7" t="s">
        <v>11</v>
      </c>
      <c r="T4" s="7" t="s">
        <v>13</v>
      </c>
      <c r="U4" s="2"/>
      <c r="V4" s="15" t="s">
        <v>54</v>
      </c>
      <c r="W4" s="15">
        <v>1</v>
      </c>
      <c r="X4" s="15">
        <v>2</v>
      </c>
      <c r="Y4" s="20">
        <v>3</v>
      </c>
      <c r="Z4" s="15">
        <v>4</v>
      </c>
      <c r="AA4" s="15">
        <v>5</v>
      </c>
      <c r="AB4" s="15">
        <v>6</v>
      </c>
      <c r="AC4" s="15">
        <v>7</v>
      </c>
      <c r="AD4" s="15">
        <v>8</v>
      </c>
      <c r="AE4" s="15">
        <v>9</v>
      </c>
    </row>
    <row r="5" spans="2:31" x14ac:dyDescent="0.25">
      <c r="B5" s="2">
        <v>1</v>
      </c>
      <c r="C5" s="3">
        <v>45672</v>
      </c>
      <c r="D5" s="3">
        <v>45679</v>
      </c>
      <c r="E5" s="2" t="s">
        <v>3</v>
      </c>
      <c r="F5" s="2" t="s">
        <v>18</v>
      </c>
      <c r="G5" s="2">
        <v>26.6</v>
      </c>
      <c r="H5" s="2">
        <v>8009.2</v>
      </c>
      <c r="I5" s="30"/>
      <c r="J5" s="2">
        <f>8034.7-H5</f>
        <v>25.5</v>
      </c>
      <c r="K5" s="2">
        <f>J5-G5</f>
        <v>-1.1000000000000014</v>
      </c>
      <c r="L5" s="11">
        <v>0.88919296360068756</v>
      </c>
      <c r="M5" s="11">
        <v>0.1736378632141059</v>
      </c>
      <c r="N5" s="11">
        <f>(L5-M5)/L5*100</f>
        <v>80.472420461923278</v>
      </c>
      <c r="O5" s="3" t="s">
        <v>45</v>
      </c>
      <c r="P5" s="2">
        <v>4</v>
      </c>
      <c r="Q5" s="11">
        <f>W15</f>
        <v>0.1515</v>
      </c>
      <c r="R5" s="11">
        <f>W16</f>
        <v>9.1102506368741981E-2</v>
      </c>
      <c r="S5" s="2" t="s">
        <v>46</v>
      </c>
      <c r="T5" s="56" t="s">
        <v>49</v>
      </c>
      <c r="U5" s="2"/>
      <c r="V5" s="25">
        <v>1</v>
      </c>
      <c r="W5" s="21">
        <v>7.0999999999999994E-2</v>
      </c>
      <c r="X5" s="21">
        <v>1.764</v>
      </c>
      <c r="Y5" s="22">
        <v>0.191</v>
      </c>
      <c r="Z5" s="21">
        <v>0.65800000000000003</v>
      </c>
      <c r="AA5" s="21">
        <v>0.65500000000000003</v>
      </c>
      <c r="AB5" s="21">
        <v>0.82799999999999996</v>
      </c>
      <c r="AC5" s="21">
        <v>0.84699999999999998</v>
      </c>
      <c r="AD5" s="21">
        <v>0.223</v>
      </c>
      <c r="AE5" s="21">
        <v>0.36299999999999999</v>
      </c>
    </row>
    <row r="6" spans="2:31" x14ac:dyDescent="0.25">
      <c r="B6" s="2">
        <v>2</v>
      </c>
      <c r="C6" s="3">
        <v>45672</v>
      </c>
      <c r="D6" s="3">
        <v>45679</v>
      </c>
      <c r="E6" s="2" t="s">
        <v>3</v>
      </c>
      <c r="F6" s="2" t="s">
        <v>19</v>
      </c>
      <c r="G6" s="2">
        <v>27.7</v>
      </c>
      <c r="H6" s="2">
        <v>7967.2</v>
      </c>
      <c r="I6" s="30"/>
      <c r="J6" s="2">
        <f>7993.1-H6</f>
        <v>25.900000000000546</v>
      </c>
      <c r="K6" s="2">
        <f t="shared" ref="K6:K13" si="0">J6-G6</f>
        <v>-1.7999999999994536</v>
      </c>
      <c r="L6" s="11">
        <v>0.90064406514498152</v>
      </c>
      <c r="M6" s="11">
        <v>0.13784241058948532</v>
      </c>
      <c r="N6" s="11">
        <f t="shared" ref="N6:N19" si="1">(L6-M6)/L6*100</f>
        <v>84.695129194317616</v>
      </c>
      <c r="O6" s="3" t="s">
        <v>45</v>
      </c>
      <c r="P6" s="2">
        <v>5</v>
      </c>
      <c r="Q6" s="14">
        <f>X15</f>
        <v>1.0336000000000001</v>
      </c>
      <c r="R6" s="11">
        <f>X16</f>
        <v>0.68238134499706238</v>
      </c>
      <c r="S6" s="2" t="s">
        <v>42</v>
      </c>
      <c r="T6" s="53"/>
      <c r="U6" s="2"/>
      <c r="V6" s="15">
        <v>2</v>
      </c>
      <c r="W6" s="22">
        <v>0.151</v>
      </c>
      <c r="X6" s="22">
        <v>1.2110000000000001</v>
      </c>
      <c r="Y6" s="22">
        <v>1.0329999999999999</v>
      </c>
      <c r="Z6" s="22">
        <v>0.69499999999999995</v>
      </c>
      <c r="AA6" s="22">
        <v>0.28299999999999997</v>
      </c>
      <c r="AB6" s="22">
        <v>0.29699999999999999</v>
      </c>
      <c r="AC6" s="22">
        <v>0.79200000000000004</v>
      </c>
      <c r="AD6" s="22">
        <v>0.44400000000000001</v>
      </c>
      <c r="AE6" s="22">
        <v>0.29199999999999998</v>
      </c>
    </row>
    <row r="7" spans="2:31" x14ac:dyDescent="0.25">
      <c r="B7" s="2">
        <v>3</v>
      </c>
      <c r="C7" s="3">
        <v>45672</v>
      </c>
      <c r="D7" s="3">
        <v>45679</v>
      </c>
      <c r="E7" s="2" t="s">
        <v>3</v>
      </c>
      <c r="F7" s="2" t="s">
        <v>20</v>
      </c>
      <c r="G7" s="2">
        <v>24.6</v>
      </c>
      <c r="H7" s="2">
        <v>7985.4</v>
      </c>
      <c r="I7" s="30"/>
      <c r="J7" s="2">
        <f>8009-H7</f>
        <v>23.600000000000364</v>
      </c>
      <c r="K7" s="2">
        <f t="shared" si="0"/>
        <v>-0.99999999999963762</v>
      </c>
      <c r="L7" s="11">
        <v>0.89442447344459297</v>
      </c>
      <c r="M7" s="11">
        <v>9.9772074581305478E-2</v>
      </c>
      <c r="N7" s="11">
        <f t="shared" si="1"/>
        <v>88.845109056881583</v>
      </c>
      <c r="O7" s="3" t="s">
        <v>45</v>
      </c>
      <c r="P7" s="2">
        <v>3</v>
      </c>
      <c r="Q7" s="11">
        <f>Y15</f>
        <v>0.60666666666666658</v>
      </c>
      <c r="R7" s="11">
        <f>Y16</f>
        <v>0.42110133380616743</v>
      </c>
      <c r="S7" s="2" t="s">
        <v>46</v>
      </c>
      <c r="T7" s="53"/>
      <c r="U7" s="2"/>
      <c r="V7" s="15">
        <v>3</v>
      </c>
      <c r="W7" s="22">
        <v>0.27900000000000003</v>
      </c>
      <c r="X7" s="22">
        <v>0.35</v>
      </c>
      <c r="Y7" s="22">
        <v>0.59599999999999997</v>
      </c>
      <c r="Z7" s="22">
        <v>0.38900000000000001</v>
      </c>
      <c r="AA7" s="22">
        <v>0.56200000000000006</v>
      </c>
      <c r="AB7" s="22">
        <v>0.254</v>
      </c>
      <c r="AC7" s="22">
        <v>1.141</v>
      </c>
      <c r="AD7" s="22">
        <v>0.39400000000000002</v>
      </c>
      <c r="AE7" s="22">
        <v>0.50800000000000001</v>
      </c>
    </row>
    <row r="8" spans="2:31" x14ac:dyDescent="0.25">
      <c r="B8" s="2">
        <v>4</v>
      </c>
      <c r="C8" s="3">
        <v>45672</v>
      </c>
      <c r="D8" s="3">
        <v>45679</v>
      </c>
      <c r="E8" s="2" t="s">
        <v>4</v>
      </c>
      <c r="F8" s="2" t="s">
        <v>21</v>
      </c>
      <c r="G8" s="2">
        <v>27.5</v>
      </c>
      <c r="H8" s="2">
        <v>7861.3</v>
      </c>
      <c r="I8" s="30"/>
      <c r="J8" s="2">
        <f>7887.9-H8</f>
        <v>26.599999999999454</v>
      </c>
      <c r="K8" s="2">
        <f t="shared" si="0"/>
        <v>-0.9000000000005457</v>
      </c>
      <c r="L8" s="2" t="s">
        <v>43</v>
      </c>
      <c r="M8" s="2" t="s">
        <v>43</v>
      </c>
      <c r="N8" s="2" t="s">
        <v>43</v>
      </c>
      <c r="O8" s="3" t="s">
        <v>45</v>
      </c>
      <c r="P8" s="2">
        <v>4</v>
      </c>
      <c r="Q8" s="14">
        <f>Z15</f>
        <v>0.49049999999999999</v>
      </c>
      <c r="R8" s="11">
        <f>Z16</f>
        <v>0.22608921542907198</v>
      </c>
      <c r="S8" s="2" t="s">
        <v>47</v>
      </c>
      <c r="T8" s="53"/>
      <c r="U8" s="2"/>
      <c r="V8" s="15">
        <v>4</v>
      </c>
      <c r="W8" s="22">
        <v>0.105</v>
      </c>
      <c r="X8" s="22">
        <v>1.556</v>
      </c>
      <c r="Y8" s="22"/>
      <c r="Z8" s="22">
        <v>0.22</v>
      </c>
      <c r="AA8" s="22">
        <v>0.40600000000000003</v>
      </c>
      <c r="AB8" s="22"/>
      <c r="AC8" s="22">
        <v>0.25800000000000001</v>
      </c>
      <c r="AD8" s="22"/>
      <c r="AE8" s="22">
        <v>0.26400000000000001</v>
      </c>
    </row>
    <row r="9" spans="2:31" x14ac:dyDescent="0.25">
      <c r="B9" s="2">
        <v>5</v>
      </c>
      <c r="C9" s="3">
        <v>45672</v>
      </c>
      <c r="D9" s="3">
        <v>45679</v>
      </c>
      <c r="E9" s="2" t="s">
        <v>4</v>
      </c>
      <c r="F9" s="2" t="s">
        <v>22</v>
      </c>
      <c r="G9" s="2">
        <v>28.1</v>
      </c>
      <c r="H9" s="2">
        <v>8080.5</v>
      </c>
      <c r="I9" s="30"/>
      <c r="J9" s="2">
        <f>8106.6-H9</f>
        <v>26.100000000000364</v>
      </c>
      <c r="K9" s="2">
        <f t="shared" si="0"/>
        <v>-1.9999999999996376</v>
      </c>
      <c r="L9" s="2" t="s">
        <v>43</v>
      </c>
      <c r="M9" s="2" t="s">
        <v>43</v>
      </c>
      <c r="N9" s="2" t="s">
        <v>43</v>
      </c>
      <c r="O9" s="3" t="s">
        <v>45</v>
      </c>
      <c r="P9" s="2">
        <v>5</v>
      </c>
      <c r="Q9" s="11">
        <f>AA15</f>
        <v>0.44900000000000001</v>
      </c>
      <c r="R9" s="14">
        <f>AA16</f>
        <v>0.15549115730484472</v>
      </c>
      <c r="S9" s="2" t="s">
        <v>47</v>
      </c>
      <c r="T9" s="53"/>
      <c r="U9" s="2"/>
      <c r="V9" s="15">
        <v>5</v>
      </c>
      <c r="W9" s="22"/>
      <c r="X9" s="22">
        <v>0.28699999999999998</v>
      </c>
      <c r="Y9" s="22"/>
      <c r="Z9" s="22"/>
      <c r="AA9" s="22">
        <v>0.33900000000000002</v>
      </c>
      <c r="AB9" s="22"/>
      <c r="AC9" s="22">
        <v>1.0629999999999999</v>
      </c>
      <c r="AD9" s="22"/>
      <c r="AE9" s="22"/>
    </row>
    <row r="10" spans="2:31" x14ac:dyDescent="0.25">
      <c r="B10" s="2">
        <v>6</v>
      </c>
      <c r="C10" s="3">
        <v>45672</v>
      </c>
      <c r="D10" s="3">
        <v>45679</v>
      </c>
      <c r="E10" s="2" t="s">
        <v>4</v>
      </c>
      <c r="F10" s="2" t="s">
        <v>23</v>
      </c>
      <c r="G10" s="2">
        <v>27.1</v>
      </c>
      <c r="H10" s="2">
        <v>8303.7000000000007</v>
      </c>
      <c r="I10" s="30"/>
      <c r="J10" s="2">
        <f>8329.1-H10</f>
        <v>25.399999999999636</v>
      </c>
      <c r="K10" s="2">
        <f t="shared" si="0"/>
        <v>-1.7000000000003652</v>
      </c>
      <c r="L10" s="2" t="s">
        <v>43</v>
      </c>
      <c r="M10" s="2" t="s">
        <v>43</v>
      </c>
      <c r="N10" s="2" t="s">
        <v>43</v>
      </c>
      <c r="O10" s="3" t="s">
        <v>45</v>
      </c>
      <c r="P10" s="2">
        <v>3</v>
      </c>
      <c r="Q10" s="14">
        <f>AB15</f>
        <v>0.45966666666666667</v>
      </c>
      <c r="R10" s="11">
        <f>AB16</f>
        <v>0.31970976421331482</v>
      </c>
      <c r="S10" s="2" t="s">
        <v>47</v>
      </c>
      <c r="T10" s="53"/>
      <c r="U10" s="2"/>
      <c r="V10" s="15">
        <v>6</v>
      </c>
      <c r="W10" s="22"/>
      <c r="X10" s="22"/>
      <c r="Y10" s="22"/>
      <c r="Z10" s="22"/>
      <c r="AA10" s="22"/>
      <c r="AB10" s="22"/>
      <c r="AC10" s="22"/>
      <c r="AD10" s="22"/>
      <c r="AE10" s="22"/>
    </row>
    <row r="11" spans="2:31" x14ac:dyDescent="0.25">
      <c r="B11" s="2">
        <v>7</v>
      </c>
      <c r="C11" s="3">
        <v>45672</v>
      </c>
      <c r="D11" s="3">
        <v>45679</v>
      </c>
      <c r="E11" s="2" t="s">
        <v>5</v>
      </c>
      <c r="F11" s="2" t="s">
        <v>24</v>
      </c>
      <c r="G11" s="2">
        <v>25.3</v>
      </c>
      <c r="H11" s="2">
        <v>7962.4</v>
      </c>
      <c r="I11" s="30"/>
      <c r="J11" s="2">
        <f>7983.6-H11</f>
        <v>21.200000000000728</v>
      </c>
      <c r="K11" s="2">
        <f t="shared" si="0"/>
        <v>-4.0999999999992731</v>
      </c>
      <c r="L11" s="11">
        <v>1.0663474604423899</v>
      </c>
      <c r="M11" s="11">
        <v>0.26057602450763701</v>
      </c>
      <c r="N11" s="11">
        <f t="shared" si="1"/>
        <v>75.563684992550819</v>
      </c>
      <c r="O11" s="3" t="s">
        <v>45</v>
      </c>
      <c r="P11" s="2">
        <v>5</v>
      </c>
      <c r="Q11" s="11">
        <f>AC15</f>
        <v>0.82020000000000004</v>
      </c>
      <c r="R11" s="11">
        <f>AC16</f>
        <v>0.34621048510985331</v>
      </c>
      <c r="S11" s="2" t="s">
        <v>47</v>
      </c>
      <c r="T11" s="53"/>
      <c r="U11" s="2"/>
      <c r="V11" s="15">
        <v>7</v>
      </c>
      <c r="W11" s="22"/>
      <c r="X11" s="22"/>
      <c r="Y11" s="22"/>
      <c r="Z11" s="22"/>
      <c r="AA11" s="22"/>
      <c r="AB11" s="22"/>
      <c r="AC11" s="22"/>
      <c r="AD11" s="22"/>
      <c r="AE11" s="22"/>
    </row>
    <row r="12" spans="2:31" x14ac:dyDescent="0.25">
      <c r="B12" s="2">
        <v>8</v>
      </c>
      <c r="C12" s="3">
        <v>45672</v>
      </c>
      <c r="D12" s="3">
        <v>45679</v>
      </c>
      <c r="E12" s="2" t="s">
        <v>5</v>
      </c>
      <c r="F12" s="2" t="s">
        <v>25</v>
      </c>
      <c r="G12" s="2">
        <v>28.1</v>
      </c>
      <c r="H12" s="2">
        <v>7736.8</v>
      </c>
      <c r="I12" s="30"/>
      <c r="J12" s="2">
        <f>7760.3-H12</f>
        <v>23.5</v>
      </c>
      <c r="K12" s="2">
        <f t="shared" si="0"/>
        <v>-4.6000000000000014</v>
      </c>
      <c r="L12" s="11">
        <v>1.2330305803220611</v>
      </c>
      <c r="M12" s="11">
        <v>0.2447277623659995</v>
      </c>
      <c r="N12" s="11">
        <f t="shared" si="1"/>
        <v>80.152336343346988</v>
      </c>
      <c r="O12" s="3" t="s">
        <v>45</v>
      </c>
      <c r="P12" s="2">
        <v>3</v>
      </c>
      <c r="Q12" s="14">
        <f>AD15</f>
        <v>0.35366666666666663</v>
      </c>
      <c r="R12" s="11">
        <f>AD16</f>
        <v>0.11588931500933704</v>
      </c>
      <c r="S12" s="2" t="s">
        <v>42</v>
      </c>
      <c r="T12" s="53"/>
      <c r="U12" s="2"/>
      <c r="V12" s="15">
        <v>8</v>
      </c>
      <c r="W12" s="22"/>
      <c r="X12" s="22"/>
      <c r="Y12" s="22"/>
      <c r="Z12" s="22"/>
      <c r="AA12" s="22"/>
      <c r="AB12" s="22"/>
      <c r="AC12" s="22"/>
      <c r="AD12" s="22"/>
      <c r="AE12" s="22"/>
    </row>
    <row r="13" spans="2:31" x14ac:dyDescent="0.25">
      <c r="B13" s="2">
        <v>9</v>
      </c>
      <c r="C13" s="3">
        <v>45672</v>
      </c>
      <c r="D13" s="3">
        <v>45679</v>
      </c>
      <c r="E13" s="2" t="s">
        <v>5</v>
      </c>
      <c r="F13" s="2" t="s">
        <v>26</v>
      </c>
      <c r="G13" s="2">
        <v>26.5</v>
      </c>
      <c r="H13" s="2">
        <v>8147.9</v>
      </c>
      <c r="I13" s="30"/>
      <c r="J13" s="2">
        <f>8168.4-H13</f>
        <v>20.5</v>
      </c>
      <c r="K13" s="2">
        <f t="shared" si="0"/>
        <v>-6</v>
      </c>
      <c r="L13" s="11">
        <v>1.2182996366575891</v>
      </c>
      <c r="M13" s="11">
        <v>0.35513655512226189</v>
      </c>
      <c r="N13" s="11">
        <f t="shared" si="1"/>
        <v>70.849818514550279</v>
      </c>
      <c r="O13" s="3" t="s">
        <v>45</v>
      </c>
      <c r="P13" s="2">
        <v>4</v>
      </c>
      <c r="Q13" s="11">
        <f>AE15</f>
        <v>0.35675000000000001</v>
      </c>
      <c r="R13" s="11">
        <f>AE16</f>
        <v>0.10910354409153399</v>
      </c>
      <c r="S13" s="2" t="s">
        <v>42</v>
      </c>
      <c r="T13" s="53"/>
      <c r="U13" s="2"/>
      <c r="V13" s="15">
        <v>9</v>
      </c>
      <c r="W13" s="22"/>
      <c r="X13" s="22"/>
      <c r="Y13" s="22"/>
      <c r="Z13" s="22"/>
      <c r="AA13" s="22"/>
      <c r="AB13" s="22"/>
      <c r="AC13" s="22"/>
      <c r="AD13" s="22"/>
      <c r="AE13" s="22"/>
    </row>
    <row r="14" spans="2:31" ht="14.4" thickBot="1" x14ac:dyDescent="0.3">
      <c r="B14" s="2">
        <v>19</v>
      </c>
      <c r="C14" s="3">
        <v>45672</v>
      </c>
      <c r="D14" s="3">
        <v>45679</v>
      </c>
      <c r="E14" s="2" t="s">
        <v>3</v>
      </c>
      <c r="F14" s="2" t="s">
        <v>27</v>
      </c>
      <c r="G14" s="2" t="s">
        <v>8</v>
      </c>
      <c r="H14" s="2" t="s">
        <v>8</v>
      </c>
      <c r="I14" s="30"/>
      <c r="J14" s="2" t="s">
        <v>8</v>
      </c>
      <c r="K14" s="2" t="s">
        <v>8</v>
      </c>
      <c r="L14" s="11">
        <v>0.88919296360068756</v>
      </c>
      <c r="M14" s="11">
        <v>0.46199804097932001</v>
      </c>
      <c r="N14" s="11">
        <f t="shared" si="1"/>
        <v>48.042994052886954</v>
      </c>
      <c r="O14" s="2" t="s">
        <v>8</v>
      </c>
      <c r="P14" s="2" t="s">
        <v>8</v>
      </c>
      <c r="Q14" s="2" t="s">
        <v>8</v>
      </c>
      <c r="R14" s="2" t="s">
        <v>8</v>
      </c>
      <c r="S14" s="2" t="s">
        <v>42</v>
      </c>
      <c r="T14" s="53" t="s">
        <v>48</v>
      </c>
      <c r="U14" s="2"/>
      <c r="V14" s="19">
        <v>10</v>
      </c>
      <c r="W14" s="23"/>
      <c r="X14" s="23"/>
      <c r="Y14" s="23"/>
      <c r="Z14" s="23"/>
      <c r="AA14" s="23"/>
      <c r="AB14" s="23"/>
      <c r="AC14" s="23"/>
      <c r="AD14" s="23"/>
      <c r="AE14" s="23"/>
    </row>
    <row r="15" spans="2:31" ht="14.4" customHeight="1" x14ac:dyDescent="0.25">
      <c r="B15" s="2">
        <v>20</v>
      </c>
      <c r="C15" s="3">
        <v>45672</v>
      </c>
      <c r="D15" s="3">
        <v>45679</v>
      </c>
      <c r="E15" s="2" t="s">
        <v>3</v>
      </c>
      <c r="F15" s="2" t="s">
        <v>28</v>
      </c>
      <c r="G15" s="2" t="s">
        <v>8</v>
      </c>
      <c r="H15" s="2" t="s">
        <v>8</v>
      </c>
      <c r="I15" s="30"/>
      <c r="J15" s="2" t="s">
        <v>8</v>
      </c>
      <c r="K15" s="2" t="s">
        <v>8</v>
      </c>
      <c r="L15" s="11">
        <v>0.90064406514498152</v>
      </c>
      <c r="M15" s="11">
        <v>0.50472526308158905</v>
      </c>
      <c r="N15" s="11">
        <f t="shared" si="1"/>
        <v>43.959519346819796</v>
      </c>
      <c r="O15" s="2" t="s">
        <v>8</v>
      </c>
      <c r="P15" s="2" t="s">
        <v>8</v>
      </c>
      <c r="Q15" s="2" t="s">
        <v>8</v>
      </c>
      <c r="R15" s="2" t="s">
        <v>8</v>
      </c>
      <c r="S15" s="2" t="s">
        <v>42</v>
      </c>
      <c r="T15" s="53"/>
      <c r="U15" s="2"/>
      <c r="V15" s="24" t="s">
        <v>55</v>
      </c>
      <c r="W15" s="17">
        <f>AVERAGE(W5:W14)</f>
        <v>0.1515</v>
      </c>
      <c r="X15" s="17">
        <f t="shared" ref="X15:AC15" si="2">AVERAGE(X5:X14)</f>
        <v>1.0336000000000001</v>
      </c>
      <c r="Y15" s="17">
        <f t="shared" si="2"/>
        <v>0.60666666666666658</v>
      </c>
      <c r="Z15" s="17">
        <f t="shared" si="2"/>
        <v>0.49049999999999999</v>
      </c>
      <c r="AA15" s="17">
        <f t="shared" si="2"/>
        <v>0.44900000000000001</v>
      </c>
      <c r="AB15" s="17">
        <f t="shared" si="2"/>
        <v>0.45966666666666667</v>
      </c>
      <c r="AC15" s="17">
        <f t="shared" si="2"/>
        <v>0.82020000000000004</v>
      </c>
      <c r="AD15" s="17">
        <f t="shared" ref="AD15" si="3">AVERAGE(AD5:AD14)</f>
        <v>0.35366666666666663</v>
      </c>
      <c r="AE15" s="17">
        <f t="shared" ref="AE15" si="4">AVERAGE(AE5:AE14)</f>
        <v>0.35675000000000001</v>
      </c>
    </row>
    <row r="16" spans="2:31" ht="14.4" customHeight="1" thickBot="1" x14ac:dyDescent="0.3">
      <c r="B16" s="2">
        <v>21</v>
      </c>
      <c r="C16" s="3">
        <v>45672</v>
      </c>
      <c r="D16" s="3">
        <v>45679</v>
      </c>
      <c r="E16" s="2" t="s">
        <v>3</v>
      </c>
      <c r="F16" s="2" t="s">
        <v>29</v>
      </c>
      <c r="G16" s="2" t="s">
        <v>8</v>
      </c>
      <c r="H16" s="2" t="s">
        <v>8</v>
      </c>
      <c r="I16" s="30"/>
      <c r="J16" s="2" t="s">
        <v>8</v>
      </c>
      <c r="K16" s="2" t="s">
        <v>8</v>
      </c>
      <c r="L16" s="11">
        <v>0.89442447344459297</v>
      </c>
      <c r="M16" s="11">
        <v>0.49931517917149398</v>
      </c>
      <c r="N16" s="11">
        <f t="shared" si="1"/>
        <v>44.174696243659398</v>
      </c>
      <c r="O16" s="2" t="s">
        <v>8</v>
      </c>
      <c r="P16" s="2" t="s">
        <v>8</v>
      </c>
      <c r="Q16" s="2" t="s">
        <v>8</v>
      </c>
      <c r="R16" s="2" t="s">
        <v>8</v>
      </c>
      <c r="S16" s="2" t="s">
        <v>42</v>
      </c>
      <c r="T16" s="53"/>
      <c r="U16" s="2"/>
      <c r="V16" s="16" t="s">
        <v>57</v>
      </c>
      <c r="W16" s="18">
        <f>_xlfn.STDEV.S(W5:W14)</f>
        <v>9.1102506368741981E-2</v>
      </c>
      <c r="X16" s="18">
        <f t="shared" ref="X16:AC16" si="5">_xlfn.STDEV.S(X5:X14)</f>
        <v>0.68238134499706238</v>
      </c>
      <c r="Y16" s="18">
        <f t="shared" si="5"/>
        <v>0.42110133380616743</v>
      </c>
      <c r="Z16" s="18">
        <f t="shared" si="5"/>
        <v>0.22608921542907198</v>
      </c>
      <c r="AA16" s="18">
        <f t="shared" si="5"/>
        <v>0.15549115730484472</v>
      </c>
      <c r="AB16" s="18">
        <f t="shared" si="5"/>
        <v>0.31970976421331482</v>
      </c>
      <c r="AC16" s="18">
        <f t="shared" si="5"/>
        <v>0.34621048510985331</v>
      </c>
      <c r="AD16" s="18">
        <f t="shared" ref="AD16:AE16" si="6">_xlfn.STDEV.S(AD5:AD14)</f>
        <v>0.11588931500933704</v>
      </c>
      <c r="AE16" s="18">
        <f t="shared" si="6"/>
        <v>0.10910354409153399</v>
      </c>
    </row>
    <row r="17" spans="2:31" ht="14.4" customHeight="1" x14ac:dyDescent="0.25">
      <c r="B17" s="2">
        <v>22</v>
      </c>
      <c r="C17" s="3">
        <v>45672</v>
      </c>
      <c r="D17" s="3">
        <v>45679</v>
      </c>
      <c r="E17" s="2" t="s">
        <v>5</v>
      </c>
      <c r="F17" s="2" t="s">
        <v>30</v>
      </c>
      <c r="G17" s="2" t="s">
        <v>8</v>
      </c>
      <c r="H17" s="2" t="s">
        <v>8</v>
      </c>
      <c r="I17" s="30"/>
      <c r="J17" s="2" t="s">
        <v>8</v>
      </c>
      <c r="K17" s="2" t="s">
        <v>8</v>
      </c>
      <c r="L17" s="11">
        <v>1.0663474604423899</v>
      </c>
      <c r="M17" s="11">
        <v>0.50159928148119703</v>
      </c>
      <c r="N17" s="11">
        <f t="shared" si="1"/>
        <v>52.960990663108888</v>
      </c>
      <c r="O17" s="2" t="s">
        <v>8</v>
      </c>
      <c r="P17" s="2" t="s">
        <v>8</v>
      </c>
      <c r="Q17" s="2" t="s">
        <v>8</v>
      </c>
      <c r="R17" s="2" t="s">
        <v>8</v>
      </c>
      <c r="S17" s="2" t="s">
        <v>42</v>
      </c>
      <c r="T17" s="53"/>
      <c r="U17" s="2"/>
    </row>
    <row r="18" spans="2:31" ht="14.4" customHeight="1" x14ac:dyDescent="0.25">
      <c r="B18" s="2">
        <v>23</v>
      </c>
      <c r="C18" s="3">
        <v>45672</v>
      </c>
      <c r="D18" s="3">
        <v>45679</v>
      </c>
      <c r="E18" s="2" t="s">
        <v>5</v>
      </c>
      <c r="F18" s="2" t="s">
        <v>31</v>
      </c>
      <c r="G18" s="2" t="s">
        <v>8</v>
      </c>
      <c r="H18" s="2" t="s">
        <v>8</v>
      </c>
      <c r="I18" s="30"/>
      <c r="J18" s="2" t="s">
        <v>8</v>
      </c>
      <c r="K18" s="2" t="s">
        <v>8</v>
      </c>
      <c r="L18" s="11">
        <v>1.2330305803220611</v>
      </c>
      <c r="M18" s="11">
        <v>0.50466811205107731</v>
      </c>
      <c r="N18" s="11">
        <f t="shared" si="1"/>
        <v>59.070916804086025</v>
      </c>
      <c r="O18" s="2" t="s">
        <v>8</v>
      </c>
      <c r="P18" s="2" t="s">
        <v>8</v>
      </c>
      <c r="Q18" s="2" t="s">
        <v>8</v>
      </c>
      <c r="R18" s="2" t="s">
        <v>8</v>
      </c>
      <c r="S18" s="2" t="s">
        <v>42</v>
      </c>
      <c r="T18" s="53"/>
      <c r="U18" s="2"/>
    </row>
    <row r="19" spans="2:31" ht="15" customHeight="1" thickBot="1" x14ac:dyDescent="0.3">
      <c r="B19" s="5">
        <v>24</v>
      </c>
      <c r="C19" s="6">
        <v>45672</v>
      </c>
      <c r="D19" s="6">
        <v>45679</v>
      </c>
      <c r="E19" s="5" t="s">
        <v>5</v>
      </c>
      <c r="F19" s="5" t="s">
        <v>32</v>
      </c>
      <c r="G19" s="5" t="s">
        <v>8</v>
      </c>
      <c r="H19" s="5" t="s">
        <v>8</v>
      </c>
      <c r="I19" s="31"/>
      <c r="J19" s="5" t="s">
        <v>8</v>
      </c>
      <c r="K19" s="5" t="s">
        <v>8</v>
      </c>
      <c r="L19" s="13">
        <v>1.2182996366575891</v>
      </c>
      <c r="M19" s="13">
        <v>0.46070264755005291</v>
      </c>
      <c r="N19" s="13">
        <f t="shared" si="1"/>
        <v>62.184783308809578</v>
      </c>
      <c r="O19" s="5" t="s">
        <v>8</v>
      </c>
      <c r="P19" s="5" t="s">
        <v>8</v>
      </c>
      <c r="Q19" s="5" t="s">
        <v>8</v>
      </c>
      <c r="R19" s="5" t="s">
        <v>8</v>
      </c>
      <c r="S19" s="5" t="s">
        <v>42</v>
      </c>
      <c r="T19" s="54"/>
      <c r="U19" s="2"/>
    </row>
    <row r="20" spans="2:31" ht="14.4" thickBot="1" x14ac:dyDescent="0.3">
      <c r="V20" s="4"/>
      <c r="W20" s="4"/>
      <c r="X20" s="4"/>
      <c r="Y20" s="4"/>
      <c r="Z20" s="4"/>
      <c r="AA20" s="4"/>
      <c r="AB20" s="4"/>
      <c r="AC20" s="4"/>
      <c r="AD20" s="4"/>
      <c r="AE20" s="4"/>
    </row>
    <row r="21" spans="2:31" ht="14.4" thickBot="1" x14ac:dyDescent="0.3">
      <c r="V21" s="22"/>
      <c r="W21" s="57" t="s">
        <v>1</v>
      </c>
      <c r="X21" s="57"/>
      <c r="Y21" s="57"/>
      <c r="Z21" s="57"/>
      <c r="AA21" s="57"/>
      <c r="AB21" s="57"/>
      <c r="AC21" s="57"/>
      <c r="AD21" s="57"/>
      <c r="AE21" s="57"/>
    </row>
    <row r="22" spans="2:31" ht="30" x14ac:dyDescent="0.25">
      <c r="B22" s="7" t="s">
        <v>1</v>
      </c>
      <c r="C22" s="7" t="s">
        <v>6</v>
      </c>
      <c r="D22" s="7" t="s">
        <v>7</v>
      </c>
      <c r="E22" s="7" t="s">
        <v>2</v>
      </c>
      <c r="F22" s="7" t="s">
        <v>17</v>
      </c>
      <c r="G22" s="7" t="s">
        <v>14</v>
      </c>
      <c r="H22" s="7" t="s">
        <v>44</v>
      </c>
      <c r="I22" s="7" t="s">
        <v>61</v>
      </c>
      <c r="J22" s="7" t="s">
        <v>60</v>
      </c>
      <c r="K22" s="7" t="s">
        <v>100</v>
      </c>
      <c r="L22" s="7" t="s">
        <v>15</v>
      </c>
      <c r="M22" s="7" t="s">
        <v>16</v>
      </c>
      <c r="N22" s="7" t="s">
        <v>99</v>
      </c>
      <c r="O22" s="7" t="s">
        <v>12</v>
      </c>
      <c r="P22" s="7" t="s">
        <v>10</v>
      </c>
      <c r="Q22" s="7" t="s">
        <v>9</v>
      </c>
      <c r="R22" s="7" t="s">
        <v>56</v>
      </c>
      <c r="S22" s="7" t="s">
        <v>11</v>
      </c>
      <c r="T22" s="7" t="s">
        <v>13</v>
      </c>
      <c r="V22" s="15" t="s">
        <v>54</v>
      </c>
      <c r="W22" s="15">
        <v>1</v>
      </c>
      <c r="X22" s="15">
        <v>2</v>
      </c>
      <c r="Y22" s="20">
        <v>3</v>
      </c>
      <c r="Z22" s="15">
        <v>4</v>
      </c>
      <c r="AA22" s="15">
        <v>5</v>
      </c>
      <c r="AB22" s="15">
        <v>6</v>
      </c>
      <c r="AC22" s="15">
        <v>7</v>
      </c>
      <c r="AD22" s="15">
        <v>8</v>
      </c>
      <c r="AE22" s="15">
        <v>9</v>
      </c>
    </row>
    <row r="23" spans="2:31" x14ac:dyDescent="0.25">
      <c r="B23" s="2">
        <v>1</v>
      </c>
      <c r="C23" s="3">
        <v>45680</v>
      </c>
      <c r="D23" s="3">
        <v>45687</v>
      </c>
      <c r="E23" s="2" t="s">
        <v>58</v>
      </c>
      <c r="F23" s="2" t="s">
        <v>18</v>
      </c>
      <c r="G23" s="2">
        <v>28.1</v>
      </c>
      <c r="H23" s="2">
        <v>7953.6</v>
      </c>
      <c r="I23" s="2">
        <f>8119.2-H23</f>
        <v>165.59999999999945</v>
      </c>
      <c r="J23" s="2">
        <f>7980.2-H23</f>
        <v>26.599999999999454</v>
      </c>
      <c r="K23" s="2">
        <f>J23-G23</f>
        <v>-1.5000000000005471</v>
      </c>
      <c r="L23" s="11">
        <v>0.97814182773732705</v>
      </c>
      <c r="M23" s="11">
        <v>0.52341686069931703</v>
      </c>
      <c r="N23" s="11">
        <f>(L23-M23)/L23*100</f>
        <v>46.488653704738937</v>
      </c>
      <c r="O23" s="3">
        <v>45686</v>
      </c>
      <c r="P23" s="2">
        <v>4</v>
      </c>
      <c r="Q23" s="11">
        <f>W33</f>
        <v>0.44124999999999998</v>
      </c>
      <c r="R23" s="11">
        <f>W34</f>
        <v>0.28492966968476047</v>
      </c>
      <c r="S23" s="2" t="s">
        <v>46</v>
      </c>
      <c r="T23" s="56" t="s">
        <v>62</v>
      </c>
      <c r="V23" s="25">
        <v>1</v>
      </c>
      <c r="W23" s="28">
        <v>0.80800000000000005</v>
      </c>
      <c r="X23" s="28">
        <v>0.56299999999999994</v>
      </c>
      <c r="Y23" s="2">
        <v>0.36899999999999999</v>
      </c>
      <c r="Z23" s="28">
        <v>0.28000000000000003</v>
      </c>
      <c r="AA23" s="28">
        <v>0.20599999999999999</v>
      </c>
      <c r="AB23" s="21">
        <v>0.74099999999999999</v>
      </c>
      <c r="AC23" s="21">
        <v>0.41699999999999998</v>
      </c>
      <c r="AD23" s="21">
        <v>0.79500000000000004</v>
      </c>
      <c r="AE23" s="21">
        <v>0.16600000000000001</v>
      </c>
    </row>
    <row r="24" spans="2:31" x14ac:dyDescent="0.25">
      <c r="B24" s="2">
        <v>2</v>
      </c>
      <c r="C24" s="3">
        <v>45680</v>
      </c>
      <c r="D24" s="3">
        <v>45687</v>
      </c>
      <c r="E24" s="2" t="s">
        <v>58</v>
      </c>
      <c r="F24" s="2" t="s">
        <v>19</v>
      </c>
      <c r="G24" s="2">
        <v>27.5</v>
      </c>
      <c r="H24" s="2">
        <v>8181.1</v>
      </c>
      <c r="I24" s="2">
        <f>8375.1-H24</f>
        <v>194</v>
      </c>
      <c r="J24" s="2">
        <f>8207.5-H24</f>
        <v>26.399999999999636</v>
      </c>
      <c r="K24" s="2">
        <f t="shared" ref="K24:K31" si="7">J24-G24</f>
        <v>-1.1000000000003638</v>
      </c>
      <c r="L24" s="11">
        <v>0.91217378517265424</v>
      </c>
      <c r="M24" s="11">
        <v>0.6986952827021421</v>
      </c>
      <c r="N24" s="11">
        <f t="shared" ref="N24:N25" si="8">(L24-M24)/L24*100</f>
        <v>23.403270949088437</v>
      </c>
      <c r="O24" s="3">
        <v>45686</v>
      </c>
      <c r="P24" s="2">
        <v>7</v>
      </c>
      <c r="Q24" s="14">
        <f>X33</f>
        <v>0.61</v>
      </c>
      <c r="R24" s="11">
        <f>X34</f>
        <v>0.31802148774362199</v>
      </c>
      <c r="S24" s="2" t="s">
        <v>46</v>
      </c>
      <c r="T24" s="53"/>
      <c r="V24" s="15">
        <v>2</v>
      </c>
      <c r="W24" s="2">
        <v>0.26100000000000001</v>
      </c>
      <c r="X24" s="2">
        <v>0.39600000000000002</v>
      </c>
      <c r="Y24" s="2">
        <v>0.30499999999999999</v>
      </c>
      <c r="Z24" s="2">
        <v>0.377</v>
      </c>
      <c r="AA24" s="2">
        <v>0.17199999999999999</v>
      </c>
      <c r="AB24" s="22">
        <v>1.248</v>
      </c>
      <c r="AC24" s="22">
        <v>0.72899999999999998</v>
      </c>
      <c r="AD24" s="22">
        <v>0.121</v>
      </c>
      <c r="AE24" s="22">
        <v>0.26700000000000002</v>
      </c>
    </row>
    <row r="25" spans="2:31" x14ac:dyDescent="0.25">
      <c r="B25" s="2">
        <v>3</v>
      </c>
      <c r="C25" s="3">
        <v>45680</v>
      </c>
      <c r="D25" s="3">
        <v>45687</v>
      </c>
      <c r="E25" s="2" t="s">
        <v>58</v>
      </c>
      <c r="F25" s="2" t="s">
        <v>20</v>
      </c>
      <c r="G25" s="2">
        <v>26.8</v>
      </c>
      <c r="H25" s="2">
        <v>7615.1</v>
      </c>
      <c r="I25" s="2">
        <f>7769.6-H25</f>
        <v>154.5</v>
      </c>
      <c r="J25" s="2">
        <f>7640.5-H25</f>
        <v>25.399999999999636</v>
      </c>
      <c r="K25" s="2">
        <f t="shared" si="7"/>
        <v>-1.4000000000003645</v>
      </c>
      <c r="L25" s="11">
        <v>0.90129672794935034</v>
      </c>
      <c r="M25" s="11">
        <v>0.71149063562135373</v>
      </c>
      <c r="N25" s="11">
        <f t="shared" si="8"/>
        <v>21.059223498996552</v>
      </c>
      <c r="O25" s="3">
        <v>45686</v>
      </c>
      <c r="P25" s="2">
        <v>5</v>
      </c>
      <c r="Q25" s="11">
        <f>Y33</f>
        <v>0.52399999999999991</v>
      </c>
      <c r="R25" s="11">
        <f>Y34</f>
        <v>0.34261494421580624</v>
      </c>
      <c r="S25" s="2" t="s">
        <v>46</v>
      </c>
      <c r="T25" s="53"/>
      <c r="V25" s="15">
        <v>3</v>
      </c>
      <c r="W25" s="2">
        <v>0.52</v>
      </c>
      <c r="X25" s="2">
        <v>0.68799999999999994</v>
      </c>
      <c r="Y25" s="2">
        <v>0.73599999999999999</v>
      </c>
      <c r="Z25" s="2">
        <v>0.16400000000000001</v>
      </c>
      <c r="AA25" s="2">
        <v>0.20200000000000001</v>
      </c>
      <c r="AB25" s="22">
        <v>0.53700000000000003</v>
      </c>
      <c r="AC25" s="22">
        <v>0.36799999999999999</v>
      </c>
      <c r="AD25" s="22">
        <v>0.18</v>
      </c>
      <c r="AE25" s="22">
        <v>0.23200000000000001</v>
      </c>
    </row>
    <row r="26" spans="2:31" x14ac:dyDescent="0.25">
      <c r="B26" s="2">
        <v>4</v>
      </c>
      <c r="C26" s="3">
        <v>45680</v>
      </c>
      <c r="D26" s="3">
        <v>45687</v>
      </c>
      <c r="E26" s="2" t="s">
        <v>59</v>
      </c>
      <c r="F26" s="2" t="s">
        <v>21</v>
      </c>
      <c r="G26" s="2">
        <v>25.9</v>
      </c>
      <c r="H26" s="2">
        <v>8326.6</v>
      </c>
      <c r="I26" s="2">
        <f>8503.7-H26</f>
        <v>177.10000000000036</v>
      </c>
      <c r="J26" s="2">
        <f>8351.8-H26</f>
        <v>25.199999999998909</v>
      </c>
      <c r="K26" s="2">
        <f t="shared" si="7"/>
        <v>-0.70000000000108997</v>
      </c>
      <c r="L26" s="11">
        <v>0.91570969959697157</v>
      </c>
      <c r="M26" s="11">
        <v>0.88467655047776617</v>
      </c>
      <c r="N26" s="11">
        <f>(L26-M26)/L26*100</f>
        <v>3.388972414823598</v>
      </c>
      <c r="O26" s="3">
        <v>45685</v>
      </c>
      <c r="P26" s="2">
        <v>4</v>
      </c>
      <c r="Q26" s="14">
        <f>Z33</f>
        <v>0.253</v>
      </c>
      <c r="R26" s="11">
        <f>Z34</f>
        <v>9.6384646080172026E-2</v>
      </c>
      <c r="S26" s="2" t="s">
        <v>47</v>
      </c>
      <c r="T26" s="53"/>
      <c r="V26" s="15">
        <v>4</v>
      </c>
      <c r="W26" s="2">
        <v>0.17599999999999999</v>
      </c>
      <c r="X26" s="2">
        <v>0.44900000000000001</v>
      </c>
      <c r="Y26" s="2">
        <v>1.0169999999999999</v>
      </c>
      <c r="Z26" s="2">
        <v>0.191</v>
      </c>
      <c r="AA26" s="2"/>
      <c r="AB26" s="22">
        <v>0.71199999999999997</v>
      </c>
      <c r="AC26" s="22">
        <v>0.189</v>
      </c>
      <c r="AD26" s="22"/>
      <c r="AE26" s="22">
        <v>0.16300000000000001</v>
      </c>
    </row>
    <row r="27" spans="2:31" x14ac:dyDescent="0.25">
      <c r="B27" s="2">
        <v>5</v>
      </c>
      <c r="C27" s="3">
        <v>45680</v>
      </c>
      <c r="D27" s="3">
        <v>45687</v>
      </c>
      <c r="E27" s="2" t="s">
        <v>59</v>
      </c>
      <c r="F27" s="2" t="s">
        <v>22</v>
      </c>
      <c r="G27" s="2">
        <v>29.5</v>
      </c>
      <c r="H27" s="2">
        <v>8025</v>
      </c>
      <c r="I27" s="2">
        <f>8186.8-H27</f>
        <v>161.80000000000018</v>
      </c>
      <c r="J27" s="2">
        <f>8052.5-H27</f>
        <v>27.5</v>
      </c>
      <c r="K27" s="2">
        <f t="shared" si="7"/>
        <v>-2</v>
      </c>
      <c r="L27" s="11">
        <v>0.93794008754208302</v>
      </c>
      <c r="M27" s="11">
        <v>0.90532856084061997</v>
      </c>
      <c r="N27" s="11">
        <f t="shared" ref="N27:N28" si="9">(L27-M27)/L27*100</f>
        <v>3.4769306840187553</v>
      </c>
      <c r="O27" s="3">
        <v>45685</v>
      </c>
      <c r="P27" s="2">
        <v>3</v>
      </c>
      <c r="Q27" s="11">
        <f>AA33</f>
        <v>0.19333333333333336</v>
      </c>
      <c r="R27" s="14">
        <f>AA34</f>
        <v>1.8583146486355145E-2</v>
      </c>
      <c r="S27" s="2" t="s">
        <v>47</v>
      </c>
      <c r="T27" s="53"/>
      <c r="V27" s="15">
        <v>5</v>
      </c>
      <c r="W27" s="2"/>
      <c r="X27" s="2">
        <v>1.1020000000000001</v>
      </c>
      <c r="Y27" s="2">
        <v>0.193</v>
      </c>
      <c r="Z27" s="2"/>
      <c r="AA27" s="2"/>
      <c r="AB27" s="22">
        <v>0.436</v>
      </c>
      <c r="AC27" s="22">
        <v>0.10299999999999999</v>
      </c>
      <c r="AD27" s="22"/>
      <c r="AE27" s="22"/>
    </row>
    <row r="28" spans="2:31" x14ac:dyDescent="0.25">
      <c r="B28" s="2">
        <v>6</v>
      </c>
      <c r="C28" s="3">
        <v>45680</v>
      </c>
      <c r="D28" s="3">
        <v>45687</v>
      </c>
      <c r="E28" s="2" t="s">
        <v>59</v>
      </c>
      <c r="F28" s="2" t="s">
        <v>23</v>
      </c>
      <c r="G28" s="2">
        <v>29.2</v>
      </c>
      <c r="H28" s="2">
        <v>8032.4</v>
      </c>
      <c r="I28" s="2">
        <f>8231-H28</f>
        <v>198.60000000000036</v>
      </c>
      <c r="J28" s="2">
        <f>8060-H28</f>
        <v>27.600000000000364</v>
      </c>
      <c r="K28" s="2">
        <f t="shared" si="7"/>
        <v>-1.5999999999996355</v>
      </c>
      <c r="L28" s="11">
        <v>0.93769877563286874</v>
      </c>
      <c r="M28" s="11">
        <v>0.85424224170272889</v>
      </c>
      <c r="N28" s="11">
        <f t="shared" si="9"/>
        <v>8.900143212175319</v>
      </c>
      <c r="O28" s="3">
        <v>45685</v>
      </c>
      <c r="P28" s="2">
        <v>7</v>
      </c>
      <c r="Q28" s="14">
        <f>AB33</f>
        <v>0.72657142857142853</v>
      </c>
      <c r="R28" s="11">
        <f>AB34</f>
        <v>0.39198548321030863</v>
      </c>
      <c r="S28" s="2" t="s">
        <v>47</v>
      </c>
      <c r="T28" s="53"/>
      <c r="V28" s="15">
        <v>6</v>
      </c>
      <c r="W28" s="2"/>
      <c r="X28" s="2">
        <v>0.90600000000000003</v>
      </c>
      <c r="Y28" s="2"/>
      <c r="Z28" s="2"/>
      <c r="AA28" s="2"/>
      <c r="AB28" s="22">
        <v>1.22</v>
      </c>
      <c r="AC28" s="22"/>
      <c r="AD28" s="22"/>
      <c r="AE28" s="22"/>
    </row>
    <row r="29" spans="2:31" x14ac:dyDescent="0.25">
      <c r="B29" s="2">
        <v>7</v>
      </c>
      <c r="C29" s="3">
        <v>45680</v>
      </c>
      <c r="D29" s="3">
        <v>45687</v>
      </c>
      <c r="E29" s="2" t="s">
        <v>4</v>
      </c>
      <c r="F29" s="2" t="s">
        <v>24</v>
      </c>
      <c r="G29" s="2">
        <v>23.2</v>
      </c>
      <c r="H29" s="2">
        <v>8521.1</v>
      </c>
      <c r="I29" s="2">
        <f>8605.2-H29</f>
        <v>84.100000000000364</v>
      </c>
      <c r="J29" s="2">
        <f>8542.9-H29</f>
        <v>21.799999999999272</v>
      </c>
      <c r="K29" s="2">
        <f t="shared" si="7"/>
        <v>-1.4000000000007269</v>
      </c>
      <c r="L29" s="11" t="s">
        <v>43</v>
      </c>
      <c r="M29" s="11" t="s">
        <v>43</v>
      </c>
      <c r="N29" s="11" t="s">
        <v>43</v>
      </c>
      <c r="O29" s="3">
        <v>45686</v>
      </c>
      <c r="P29" s="2">
        <v>5</v>
      </c>
      <c r="Q29" s="11">
        <f>AC33</f>
        <v>0.36119999999999997</v>
      </c>
      <c r="R29" s="11">
        <f>AC34</f>
        <v>0.24225853958116728</v>
      </c>
      <c r="S29" s="2" t="s">
        <v>47</v>
      </c>
      <c r="T29" s="53"/>
      <c r="V29" s="15">
        <v>7</v>
      </c>
      <c r="W29" s="2"/>
      <c r="X29" s="2">
        <v>0.16600000000000001</v>
      </c>
      <c r="Y29" s="2"/>
      <c r="Z29" s="2"/>
      <c r="AA29" s="2"/>
      <c r="AB29" s="22">
        <v>0.192</v>
      </c>
      <c r="AC29" s="22"/>
      <c r="AD29" s="22"/>
      <c r="AE29" s="22"/>
    </row>
    <row r="30" spans="2:31" x14ac:dyDescent="0.25">
      <c r="B30" s="2">
        <v>8</v>
      </c>
      <c r="C30" s="3">
        <v>45680</v>
      </c>
      <c r="D30" s="3">
        <v>45687</v>
      </c>
      <c r="E30" s="2" t="s">
        <v>4</v>
      </c>
      <c r="F30" s="2" t="s">
        <v>25</v>
      </c>
      <c r="G30" s="2">
        <v>27.9</v>
      </c>
      <c r="H30" s="2">
        <v>7884.2</v>
      </c>
      <c r="I30" s="2">
        <f>8054.6-H30</f>
        <v>170.40000000000055</v>
      </c>
      <c r="J30" s="2">
        <f>7910.7-H30</f>
        <v>26.5</v>
      </c>
      <c r="K30" s="2">
        <f t="shared" si="7"/>
        <v>-1.3999999999999986</v>
      </c>
      <c r="L30" s="11" t="s">
        <v>43</v>
      </c>
      <c r="M30" s="11" t="s">
        <v>43</v>
      </c>
      <c r="N30" s="11" t="s">
        <v>43</v>
      </c>
      <c r="O30" s="3">
        <v>45686</v>
      </c>
      <c r="P30" s="2">
        <v>3</v>
      </c>
      <c r="Q30" s="14">
        <f>AD33</f>
        <v>0.36533333333333334</v>
      </c>
      <c r="R30" s="11">
        <f>AD34</f>
        <v>0.37326978625832191</v>
      </c>
      <c r="S30" s="2" t="s">
        <v>47</v>
      </c>
      <c r="T30" s="53"/>
      <c r="V30" s="15">
        <v>8</v>
      </c>
      <c r="W30" s="2"/>
      <c r="X30" s="2"/>
      <c r="Y30" s="2"/>
      <c r="Z30" s="2"/>
      <c r="AA30" s="2"/>
      <c r="AB30" s="22"/>
      <c r="AC30" s="22"/>
      <c r="AD30" s="22"/>
      <c r="AE30" s="22"/>
    </row>
    <row r="31" spans="2:31" x14ac:dyDescent="0.25">
      <c r="B31" s="2">
        <v>9</v>
      </c>
      <c r="C31" s="3">
        <v>45680</v>
      </c>
      <c r="D31" s="3">
        <v>45687</v>
      </c>
      <c r="E31" s="2" t="s">
        <v>4</v>
      </c>
      <c r="F31" s="2" t="s">
        <v>26</v>
      </c>
      <c r="G31" s="2">
        <v>28.3</v>
      </c>
      <c r="H31" s="2">
        <v>8093.6</v>
      </c>
      <c r="I31" s="2">
        <f>8263.3-H31</f>
        <v>169.69999999999891</v>
      </c>
      <c r="J31" s="2">
        <f>8119.9-H31</f>
        <v>26.299999999999272</v>
      </c>
      <c r="K31" s="2">
        <f t="shared" si="7"/>
        <v>-2.0000000000007283</v>
      </c>
      <c r="L31" s="11" t="s">
        <v>43</v>
      </c>
      <c r="M31" s="11" t="s">
        <v>43</v>
      </c>
      <c r="N31" s="11" t="s">
        <v>43</v>
      </c>
      <c r="O31" s="3">
        <v>45686</v>
      </c>
      <c r="P31" s="2">
        <v>4</v>
      </c>
      <c r="Q31" s="11">
        <f>AE33</f>
        <v>0.20700000000000002</v>
      </c>
      <c r="R31" s="11">
        <f>AE34</f>
        <v>5.1127292124656915E-2</v>
      </c>
      <c r="S31" s="2" t="s">
        <v>47</v>
      </c>
      <c r="T31" s="53"/>
      <c r="V31" s="15">
        <v>9</v>
      </c>
      <c r="W31" s="2"/>
      <c r="X31" s="2"/>
      <c r="Y31" s="2"/>
      <c r="Z31" s="2"/>
      <c r="AA31" s="2"/>
      <c r="AB31" s="22"/>
      <c r="AC31" s="22"/>
      <c r="AD31" s="22"/>
      <c r="AE31" s="22"/>
    </row>
    <row r="32" spans="2:31" ht="14.4" thickBot="1" x14ac:dyDescent="0.3">
      <c r="B32" s="2">
        <v>19</v>
      </c>
      <c r="C32" s="3">
        <v>45680</v>
      </c>
      <c r="D32" s="3">
        <v>45687</v>
      </c>
      <c r="E32" s="2" t="s">
        <v>58</v>
      </c>
      <c r="F32" s="2" t="s">
        <v>27</v>
      </c>
      <c r="G32" s="2" t="s">
        <v>8</v>
      </c>
      <c r="H32" s="2" t="s">
        <v>8</v>
      </c>
      <c r="I32" s="2" t="s">
        <v>8</v>
      </c>
      <c r="J32" s="2" t="s">
        <v>8</v>
      </c>
      <c r="K32" s="2" t="s">
        <v>8</v>
      </c>
      <c r="L32" s="11">
        <v>0.97814182773732705</v>
      </c>
      <c r="M32" s="11">
        <v>0.45442469319441603</v>
      </c>
      <c r="N32" s="11">
        <f t="shared" ref="N32:N37" si="10">(L32-M32)/L32*100</f>
        <v>53.542044690430259</v>
      </c>
      <c r="O32" s="2" t="s">
        <v>8</v>
      </c>
      <c r="P32" s="2" t="s">
        <v>8</v>
      </c>
      <c r="Q32" s="2" t="s">
        <v>8</v>
      </c>
      <c r="R32" s="2" t="s">
        <v>8</v>
      </c>
      <c r="S32" s="2" t="s">
        <v>42</v>
      </c>
      <c r="T32" s="53"/>
      <c r="V32" s="19">
        <v>10</v>
      </c>
      <c r="W32" s="5"/>
      <c r="X32" s="5"/>
      <c r="Y32" s="5"/>
      <c r="Z32" s="5"/>
      <c r="AA32" s="5"/>
      <c r="AB32" s="23"/>
      <c r="AC32" s="23"/>
      <c r="AD32" s="23"/>
      <c r="AE32" s="23"/>
    </row>
    <row r="33" spans="2:31" x14ac:dyDescent="0.25">
      <c r="B33" s="2">
        <v>20</v>
      </c>
      <c r="C33" s="3">
        <v>45680</v>
      </c>
      <c r="D33" s="3">
        <v>45687</v>
      </c>
      <c r="E33" s="2" t="s">
        <v>58</v>
      </c>
      <c r="F33" s="2" t="s">
        <v>28</v>
      </c>
      <c r="G33" s="2" t="s">
        <v>8</v>
      </c>
      <c r="H33" s="2" t="s">
        <v>8</v>
      </c>
      <c r="I33" s="2" t="s">
        <v>8</v>
      </c>
      <c r="J33" s="2" t="s">
        <v>8</v>
      </c>
      <c r="K33" s="2" t="s">
        <v>8</v>
      </c>
      <c r="L33" s="11">
        <v>0.91217378517265424</v>
      </c>
      <c r="M33" s="11">
        <v>0.51825375778652549</v>
      </c>
      <c r="N33" s="11">
        <f t="shared" si="10"/>
        <v>43.184756434495476</v>
      </c>
      <c r="O33" s="2" t="s">
        <v>8</v>
      </c>
      <c r="P33" s="2" t="s">
        <v>8</v>
      </c>
      <c r="Q33" s="2" t="s">
        <v>8</v>
      </c>
      <c r="R33" s="2" t="s">
        <v>8</v>
      </c>
      <c r="S33" s="2" t="s">
        <v>42</v>
      </c>
      <c r="T33" s="53"/>
      <c r="V33" s="24" t="s">
        <v>55</v>
      </c>
      <c r="W33" s="17">
        <f>AVERAGE(W23:W32)</f>
        <v>0.44124999999999998</v>
      </c>
      <c r="X33" s="17">
        <f t="shared" ref="X33:AE33" si="11">AVERAGE(X23:X32)</f>
        <v>0.61</v>
      </c>
      <c r="Y33" s="17">
        <f t="shared" si="11"/>
        <v>0.52399999999999991</v>
      </c>
      <c r="Z33" s="17">
        <f t="shared" si="11"/>
        <v>0.253</v>
      </c>
      <c r="AA33" s="17">
        <f t="shared" si="11"/>
        <v>0.19333333333333336</v>
      </c>
      <c r="AB33" s="17">
        <f t="shared" si="11"/>
        <v>0.72657142857142853</v>
      </c>
      <c r="AC33" s="17">
        <f t="shared" si="11"/>
        <v>0.36119999999999997</v>
      </c>
      <c r="AD33" s="17">
        <f t="shared" si="11"/>
        <v>0.36533333333333334</v>
      </c>
      <c r="AE33" s="17">
        <f t="shared" si="11"/>
        <v>0.20700000000000002</v>
      </c>
    </row>
    <row r="34" spans="2:31" ht="14.4" thickBot="1" x14ac:dyDescent="0.3">
      <c r="B34" s="2">
        <v>21</v>
      </c>
      <c r="C34" s="3">
        <v>45680</v>
      </c>
      <c r="D34" s="3">
        <v>45687</v>
      </c>
      <c r="E34" s="2" t="s">
        <v>58</v>
      </c>
      <c r="F34" s="2" t="s">
        <v>29</v>
      </c>
      <c r="G34" s="2" t="s">
        <v>8</v>
      </c>
      <c r="H34" s="2" t="s">
        <v>8</v>
      </c>
      <c r="I34" s="2" t="s">
        <v>8</v>
      </c>
      <c r="J34" s="2" t="s">
        <v>8</v>
      </c>
      <c r="K34" s="2" t="s">
        <v>8</v>
      </c>
      <c r="L34" s="11">
        <v>0.90129672794935034</v>
      </c>
      <c r="M34" s="11">
        <v>0.45512771494128573</v>
      </c>
      <c r="N34" s="11">
        <f t="shared" si="10"/>
        <v>49.50301040404284</v>
      </c>
      <c r="O34" s="2" t="s">
        <v>8</v>
      </c>
      <c r="P34" s="2" t="s">
        <v>8</v>
      </c>
      <c r="Q34" s="2" t="s">
        <v>8</v>
      </c>
      <c r="R34" s="2" t="s">
        <v>8</v>
      </c>
      <c r="S34" s="2" t="s">
        <v>42</v>
      </c>
      <c r="T34" s="53"/>
      <c r="V34" s="16" t="s">
        <v>57</v>
      </c>
      <c r="W34" s="18">
        <f>_xlfn.STDEV.S(W23:W32)</f>
        <v>0.28492966968476047</v>
      </c>
      <c r="X34" s="18">
        <f t="shared" ref="X34:AE34" si="12">_xlfn.STDEV.S(X23:X32)</f>
        <v>0.31802148774362199</v>
      </c>
      <c r="Y34" s="18">
        <f t="shared" si="12"/>
        <v>0.34261494421580624</v>
      </c>
      <c r="Z34" s="18">
        <f t="shared" si="12"/>
        <v>9.6384646080172026E-2</v>
      </c>
      <c r="AA34" s="18">
        <f t="shared" si="12"/>
        <v>1.8583146486355145E-2</v>
      </c>
      <c r="AB34" s="18">
        <f t="shared" si="12"/>
        <v>0.39198548321030863</v>
      </c>
      <c r="AC34" s="18">
        <f t="shared" si="12"/>
        <v>0.24225853958116728</v>
      </c>
      <c r="AD34" s="18">
        <f t="shared" si="12"/>
        <v>0.37326978625832191</v>
      </c>
      <c r="AE34" s="18">
        <f t="shared" si="12"/>
        <v>5.1127292124656915E-2</v>
      </c>
    </row>
    <row r="35" spans="2:31" x14ac:dyDescent="0.25">
      <c r="B35" s="2">
        <v>22</v>
      </c>
      <c r="C35" s="3">
        <v>45680</v>
      </c>
      <c r="D35" s="3">
        <v>45687</v>
      </c>
      <c r="E35" s="2" t="s">
        <v>59</v>
      </c>
      <c r="F35" s="2" t="s">
        <v>30</v>
      </c>
      <c r="G35" s="2" t="s">
        <v>8</v>
      </c>
      <c r="H35" s="2" t="s">
        <v>8</v>
      </c>
      <c r="I35" s="2" t="s">
        <v>8</v>
      </c>
      <c r="J35" s="2" t="s">
        <v>8</v>
      </c>
      <c r="K35" s="2" t="s">
        <v>8</v>
      </c>
      <c r="L35" s="11">
        <v>0.91570969959697157</v>
      </c>
      <c r="M35" s="11">
        <v>0.87755115443482989</v>
      </c>
      <c r="N35" s="11">
        <f t="shared" si="10"/>
        <v>4.1671006847406193</v>
      </c>
      <c r="O35" s="2" t="s">
        <v>8</v>
      </c>
      <c r="P35" s="2" t="s">
        <v>8</v>
      </c>
      <c r="Q35" s="2" t="s">
        <v>8</v>
      </c>
      <c r="R35" s="2" t="s">
        <v>8</v>
      </c>
      <c r="S35" s="2" t="s">
        <v>42</v>
      </c>
      <c r="T35" s="53"/>
    </row>
    <row r="36" spans="2:31" x14ac:dyDescent="0.25">
      <c r="B36" s="2">
        <v>23</v>
      </c>
      <c r="C36" s="3">
        <v>45680</v>
      </c>
      <c r="D36" s="3">
        <v>45687</v>
      </c>
      <c r="E36" s="2" t="s">
        <v>59</v>
      </c>
      <c r="F36" s="2" t="s">
        <v>31</v>
      </c>
      <c r="G36" s="2" t="s">
        <v>8</v>
      </c>
      <c r="H36" s="2" t="s">
        <v>8</v>
      </c>
      <c r="I36" s="2" t="s">
        <v>8</v>
      </c>
      <c r="J36" s="2" t="s">
        <v>8</v>
      </c>
      <c r="K36" s="2" t="s">
        <v>8</v>
      </c>
      <c r="L36" s="11">
        <v>0.93794008754208302</v>
      </c>
      <c r="M36" s="11">
        <v>0.85826075944164237</v>
      </c>
      <c r="N36" s="11">
        <f t="shared" si="10"/>
        <v>8.4951404848516656</v>
      </c>
      <c r="O36" s="2" t="s">
        <v>8</v>
      </c>
      <c r="P36" s="2" t="s">
        <v>8</v>
      </c>
      <c r="Q36" s="2" t="s">
        <v>8</v>
      </c>
      <c r="R36" s="2" t="s">
        <v>8</v>
      </c>
      <c r="S36" s="2" t="s">
        <v>42</v>
      </c>
      <c r="T36" s="53"/>
    </row>
    <row r="37" spans="2:31" ht="14.4" thickBot="1" x14ac:dyDescent="0.3">
      <c r="B37" s="5">
        <v>24</v>
      </c>
      <c r="C37" s="6">
        <v>45680</v>
      </c>
      <c r="D37" s="6">
        <v>45687</v>
      </c>
      <c r="E37" s="5" t="s">
        <v>59</v>
      </c>
      <c r="F37" s="5" t="s">
        <v>32</v>
      </c>
      <c r="G37" s="5" t="s">
        <v>8</v>
      </c>
      <c r="H37" s="5" t="s">
        <v>8</v>
      </c>
      <c r="I37" s="5" t="s">
        <v>8</v>
      </c>
      <c r="J37" s="5" t="s">
        <v>8</v>
      </c>
      <c r="K37" s="5" t="s">
        <v>8</v>
      </c>
      <c r="L37" s="13">
        <v>0.93769877563286874</v>
      </c>
      <c r="M37" s="13">
        <v>0.85931637215117529</v>
      </c>
      <c r="N37" s="13">
        <f t="shared" si="10"/>
        <v>8.3590173644827299</v>
      </c>
      <c r="O37" s="5" t="s">
        <v>8</v>
      </c>
      <c r="P37" s="5" t="s">
        <v>8</v>
      </c>
      <c r="Q37" s="5" t="s">
        <v>8</v>
      </c>
      <c r="R37" s="5" t="s">
        <v>8</v>
      </c>
      <c r="S37" s="5" t="s">
        <v>42</v>
      </c>
      <c r="T37" s="54"/>
    </row>
    <row r="38" spans="2:31" x14ac:dyDescent="0.25">
      <c r="Y38" s="1">
        <v>1</v>
      </c>
      <c r="Z38" s="1">
        <v>2E-3</v>
      </c>
      <c r="AA38" s="1">
        <v>217.39400000000001</v>
      </c>
      <c r="AB38" s="1">
        <v>18.494</v>
      </c>
      <c r="AC38" s="1">
        <v>187.023</v>
      </c>
      <c r="AD38" s="1">
        <v>236.62299999999999</v>
      </c>
      <c r="AE38" s="1">
        <v>0.16600000000000001</v>
      </c>
    </row>
    <row r="39" spans="2:31" x14ac:dyDescent="0.25">
      <c r="Y39" s="1">
        <v>2</v>
      </c>
      <c r="Z39" s="1">
        <v>2E-3</v>
      </c>
      <c r="AA39" s="1">
        <v>229.518</v>
      </c>
      <c r="AB39" s="1">
        <v>24.913</v>
      </c>
      <c r="AC39" s="1">
        <v>126.8</v>
      </c>
      <c r="AD39" s="1">
        <v>246.804</v>
      </c>
      <c r="AE39" s="1">
        <v>0.26700000000000002</v>
      </c>
    </row>
    <row r="40" spans="2:31" x14ac:dyDescent="0.25">
      <c r="Y40" s="1">
        <v>3</v>
      </c>
      <c r="Z40" s="1">
        <v>2E-3</v>
      </c>
      <c r="AA40" s="1">
        <v>218.05799999999999</v>
      </c>
      <c r="AB40" s="1">
        <v>14.88</v>
      </c>
      <c r="AC40" s="1">
        <v>181.03299999999999</v>
      </c>
      <c r="AD40" s="1">
        <v>233.63499999999999</v>
      </c>
      <c r="AE40" s="1">
        <v>0.23200000000000001</v>
      </c>
    </row>
    <row r="41" spans="2:31" x14ac:dyDescent="0.25">
      <c r="Y41" s="1">
        <v>4</v>
      </c>
      <c r="Z41" s="1">
        <v>2E-3</v>
      </c>
      <c r="AA41" s="1">
        <v>198.059</v>
      </c>
      <c r="AB41" s="1">
        <v>40.216000000000001</v>
      </c>
      <c r="AC41" s="1">
        <v>83.61</v>
      </c>
      <c r="AD41" s="1">
        <v>222.886</v>
      </c>
      <c r="AE41" s="1">
        <v>0.16300000000000001</v>
      </c>
    </row>
    <row r="42" spans="2:31" ht="14.4" x14ac:dyDescent="0.3">
      <c r="J42" s="50" t="s">
        <v>101</v>
      </c>
    </row>
  </sheetData>
  <mergeCells count="7">
    <mergeCell ref="T32:T37"/>
    <mergeCell ref="B2:T2"/>
    <mergeCell ref="T5:T13"/>
    <mergeCell ref="T14:T19"/>
    <mergeCell ref="W3:AE3"/>
    <mergeCell ref="T23:T31"/>
    <mergeCell ref="W21:AE21"/>
  </mergeCells>
  <phoneticPr fontId="4"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477867-6632-4CCE-9B5D-CC6B6A697867}">
  <dimension ref="B2:AE37"/>
  <sheetViews>
    <sheetView topLeftCell="D1" zoomScale="85" zoomScaleNormal="85" workbookViewId="0">
      <selection activeCell="K23" sqref="K23"/>
    </sheetView>
  </sheetViews>
  <sheetFormatPr baseColWidth="10" defaultRowHeight="13.8" x14ac:dyDescent="0.25"/>
  <cols>
    <col min="1" max="4" width="11.5546875" style="1"/>
    <col min="5" max="5" width="13.5546875" style="1" customWidth="1"/>
    <col min="6" max="15" width="11.5546875" style="1"/>
    <col min="16" max="16" width="13" style="1" customWidth="1"/>
    <col min="17" max="18" width="11.5546875" style="1" customWidth="1"/>
    <col min="19" max="19" width="42.77734375" style="1" customWidth="1"/>
    <col min="20" max="20" width="35" style="1" customWidth="1"/>
    <col min="21" max="21" width="11.5546875" style="1"/>
    <col min="22" max="22" width="7.109375" style="1" customWidth="1"/>
    <col min="23" max="16384" width="11.5546875" style="1"/>
  </cols>
  <sheetData>
    <row r="2" spans="2:31" ht="14.4" thickBot="1" x14ac:dyDescent="0.3">
      <c r="B2" s="55" t="s">
        <v>0</v>
      </c>
      <c r="C2" s="55"/>
      <c r="D2" s="55"/>
      <c r="E2" s="55"/>
      <c r="F2" s="55"/>
      <c r="G2" s="55"/>
      <c r="H2" s="55"/>
      <c r="I2" s="55"/>
      <c r="J2" s="55"/>
      <c r="K2" s="55"/>
      <c r="L2" s="55"/>
      <c r="M2" s="55"/>
      <c r="N2" s="55"/>
      <c r="O2" s="55"/>
      <c r="P2" s="55"/>
      <c r="Q2" s="55"/>
      <c r="R2" s="55"/>
      <c r="S2" s="55"/>
      <c r="T2" s="55"/>
      <c r="V2" s="4"/>
    </row>
    <row r="3" spans="2:31" ht="14.4" thickBot="1" x14ac:dyDescent="0.3">
      <c r="B3" s="4"/>
      <c r="C3" s="4"/>
      <c r="D3" s="4"/>
      <c r="E3" s="4"/>
      <c r="F3" s="4"/>
      <c r="G3" s="4"/>
      <c r="H3" s="4"/>
      <c r="I3" s="4"/>
      <c r="J3" s="4"/>
      <c r="K3" s="4"/>
      <c r="L3" s="4"/>
      <c r="M3" s="4"/>
      <c r="N3" s="4"/>
      <c r="O3" s="4"/>
      <c r="P3" s="4"/>
      <c r="Q3" s="4"/>
      <c r="R3" s="4"/>
      <c r="S3" s="4"/>
      <c r="T3" s="4"/>
      <c r="W3" s="58" t="s">
        <v>1</v>
      </c>
      <c r="X3" s="58"/>
      <c r="Y3" s="58"/>
      <c r="Z3" s="58"/>
      <c r="AA3" s="58"/>
      <c r="AB3" s="58"/>
      <c r="AC3" s="58"/>
      <c r="AD3" s="58"/>
      <c r="AE3" s="58"/>
    </row>
    <row r="4" spans="2:31" ht="30" x14ac:dyDescent="0.25">
      <c r="B4" s="7" t="s">
        <v>1</v>
      </c>
      <c r="C4" s="7" t="s">
        <v>6</v>
      </c>
      <c r="D4" s="7" t="s">
        <v>7</v>
      </c>
      <c r="E4" s="7" t="s">
        <v>2</v>
      </c>
      <c r="F4" s="7" t="s">
        <v>17</v>
      </c>
      <c r="G4" s="7" t="s">
        <v>14</v>
      </c>
      <c r="H4" s="7" t="s">
        <v>44</v>
      </c>
      <c r="I4" s="33"/>
      <c r="J4" s="7" t="s">
        <v>60</v>
      </c>
      <c r="K4" s="7" t="s">
        <v>100</v>
      </c>
      <c r="L4" s="7" t="s">
        <v>15</v>
      </c>
      <c r="M4" s="7" t="s">
        <v>16</v>
      </c>
      <c r="N4" s="7" t="s">
        <v>99</v>
      </c>
      <c r="O4" s="7" t="s">
        <v>12</v>
      </c>
      <c r="P4" s="7" t="s">
        <v>10</v>
      </c>
      <c r="Q4" s="7" t="s">
        <v>9</v>
      </c>
      <c r="R4" s="7" t="s">
        <v>56</v>
      </c>
      <c r="S4" s="7" t="s">
        <v>11</v>
      </c>
      <c r="T4" s="7" t="s">
        <v>13</v>
      </c>
      <c r="U4" s="2"/>
      <c r="V4" s="15" t="s">
        <v>54</v>
      </c>
      <c r="W4" s="20">
        <v>10</v>
      </c>
      <c r="X4" s="15">
        <v>11</v>
      </c>
      <c r="Y4" s="20">
        <v>12</v>
      </c>
      <c r="Z4" s="15">
        <v>13</v>
      </c>
      <c r="AA4" s="20">
        <v>14</v>
      </c>
      <c r="AB4" s="20">
        <v>15</v>
      </c>
      <c r="AC4" s="20">
        <v>16</v>
      </c>
      <c r="AD4" s="15">
        <v>17</v>
      </c>
      <c r="AE4" s="20">
        <v>18</v>
      </c>
    </row>
    <row r="5" spans="2:31" x14ac:dyDescent="0.25">
      <c r="B5" s="2">
        <v>10</v>
      </c>
      <c r="C5" s="3">
        <v>45672</v>
      </c>
      <c r="D5" s="3">
        <v>45679</v>
      </c>
      <c r="E5" s="2" t="s">
        <v>3</v>
      </c>
      <c r="F5" s="2" t="s">
        <v>33</v>
      </c>
      <c r="G5" s="2">
        <v>30.1</v>
      </c>
      <c r="H5" s="2">
        <v>8006.5</v>
      </c>
      <c r="I5" s="34"/>
      <c r="J5" s="2">
        <f>8031-H5</f>
        <v>24.5</v>
      </c>
      <c r="K5" s="2">
        <f>J5-G5</f>
        <v>-5.6000000000000014</v>
      </c>
      <c r="L5" s="11">
        <v>0.88919296360068756</v>
      </c>
      <c r="M5" s="11">
        <v>0.11223469879217438</v>
      </c>
      <c r="N5" s="11">
        <f>(L5-M5)/L5*100</f>
        <v>87.377914200120017</v>
      </c>
      <c r="O5" s="3">
        <v>45674</v>
      </c>
      <c r="P5" s="2">
        <v>9</v>
      </c>
      <c r="Q5" s="11">
        <f>W15</f>
        <v>5.564222222222222</v>
      </c>
      <c r="R5" s="11">
        <f>W16</f>
        <v>1.9991701889645235</v>
      </c>
      <c r="S5" s="2" t="s">
        <v>42</v>
      </c>
      <c r="T5" s="56" t="s">
        <v>50</v>
      </c>
      <c r="U5" s="2"/>
      <c r="V5" s="25">
        <v>1</v>
      </c>
      <c r="W5" s="22">
        <v>6.3769999999999998</v>
      </c>
      <c r="X5" s="21">
        <v>8.7880000000000003</v>
      </c>
      <c r="Y5" s="21">
        <v>4.524</v>
      </c>
      <c r="Z5" s="21">
        <v>7.2009999999999996</v>
      </c>
      <c r="AA5" s="21">
        <v>4.6660000000000004</v>
      </c>
      <c r="AB5" s="22">
        <v>6.4859999999999998</v>
      </c>
      <c r="AC5" s="22">
        <v>3.8919999999999999</v>
      </c>
      <c r="AD5" s="21">
        <v>7.7839999999999998</v>
      </c>
      <c r="AE5" s="21">
        <v>4.726</v>
      </c>
    </row>
    <row r="6" spans="2:31" x14ac:dyDescent="0.25">
      <c r="B6" s="2">
        <v>11</v>
      </c>
      <c r="C6" s="3">
        <v>45672</v>
      </c>
      <c r="D6" s="3">
        <v>45679</v>
      </c>
      <c r="E6" s="2" t="s">
        <v>3</v>
      </c>
      <c r="F6" s="2" t="s">
        <v>34</v>
      </c>
      <c r="G6" s="2">
        <v>33.700000000000003</v>
      </c>
      <c r="H6" s="2">
        <v>8012.9</v>
      </c>
      <c r="I6" s="33"/>
      <c r="J6" s="2">
        <f>8043.1-H6</f>
        <v>30.200000000000728</v>
      </c>
      <c r="K6" s="2">
        <f t="shared" ref="K6:K13" si="0">J6-G6</f>
        <v>-3.4999999999992752</v>
      </c>
      <c r="L6" s="11">
        <v>0.90064406514498152</v>
      </c>
      <c r="M6" s="11">
        <v>0.16507738995809521</v>
      </c>
      <c r="N6" s="11">
        <f t="shared" ref="N6:N19" si="1">(L6-M6)/L6*100</f>
        <v>81.671184394967199</v>
      </c>
      <c r="O6" s="3">
        <v>45674</v>
      </c>
      <c r="P6" s="2">
        <v>10</v>
      </c>
      <c r="Q6" s="14">
        <f>X15</f>
        <v>6.8905000000000003</v>
      </c>
      <c r="R6" s="11">
        <f>X16</f>
        <v>4.6092424600530135</v>
      </c>
      <c r="S6" s="2" t="s">
        <v>51</v>
      </c>
      <c r="T6" s="53"/>
      <c r="U6" s="2"/>
      <c r="V6" s="15">
        <v>2</v>
      </c>
      <c r="W6" s="22">
        <v>5.4180000000000001</v>
      </c>
      <c r="X6" s="22">
        <v>2.4239999999999999</v>
      </c>
      <c r="Y6" s="22">
        <v>2.8620000000000001</v>
      </c>
      <c r="Z6" s="22">
        <v>1.641</v>
      </c>
      <c r="AA6" s="22">
        <v>4.2670000000000003</v>
      </c>
      <c r="AB6" s="22">
        <v>0.99299999999999999</v>
      </c>
      <c r="AC6" s="22">
        <v>3.7469999999999999</v>
      </c>
      <c r="AD6" s="22">
        <v>1.9430000000000001</v>
      </c>
      <c r="AE6" s="22">
        <v>2.9329999999999998</v>
      </c>
    </row>
    <row r="7" spans="2:31" x14ac:dyDescent="0.25">
      <c r="B7" s="2">
        <v>12</v>
      </c>
      <c r="C7" s="3">
        <v>45672</v>
      </c>
      <c r="D7" s="3">
        <v>45679</v>
      </c>
      <c r="E7" s="2" t="s">
        <v>3</v>
      </c>
      <c r="F7" s="2" t="s">
        <v>35</v>
      </c>
      <c r="G7" s="2">
        <v>27.9</v>
      </c>
      <c r="H7" s="2">
        <v>8014.1</v>
      </c>
      <c r="I7" s="33"/>
      <c r="J7" s="2">
        <f>8040.4-H7</f>
        <v>26.299999999999272</v>
      </c>
      <c r="K7" s="2">
        <f t="shared" si="0"/>
        <v>-1.6000000000007262</v>
      </c>
      <c r="L7" s="11">
        <v>0.89442447344459297</v>
      </c>
      <c r="M7" s="11">
        <v>0.13472948011054767</v>
      </c>
      <c r="N7" s="11">
        <f t="shared" si="1"/>
        <v>84.936740427989449</v>
      </c>
      <c r="O7" s="3">
        <v>45674</v>
      </c>
      <c r="P7" s="2">
        <v>8</v>
      </c>
      <c r="Q7" s="11">
        <f>Y15</f>
        <v>5.4696249999999997</v>
      </c>
      <c r="R7" s="11">
        <f>Y16</f>
        <v>3.2071411807981622</v>
      </c>
      <c r="S7" s="2" t="s">
        <v>52</v>
      </c>
      <c r="T7" s="53"/>
      <c r="U7" s="2"/>
      <c r="V7" s="15">
        <v>3</v>
      </c>
      <c r="W7" s="22">
        <v>5.9560000000000004</v>
      </c>
      <c r="X7" s="22">
        <v>10.683</v>
      </c>
      <c r="Y7" s="22">
        <v>2.625</v>
      </c>
      <c r="Z7" s="22">
        <v>6.335</v>
      </c>
      <c r="AA7" s="22">
        <v>8.8379999999999992</v>
      </c>
      <c r="AB7" s="22">
        <v>9.6910000000000007</v>
      </c>
      <c r="AC7" s="22">
        <v>3.5910000000000002</v>
      </c>
      <c r="AD7" s="22">
        <v>2.476</v>
      </c>
      <c r="AE7" s="22">
        <v>2.234</v>
      </c>
    </row>
    <row r="8" spans="2:31" x14ac:dyDescent="0.25">
      <c r="B8" s="2">
        <v>13</v>
      </c>
      <c r="C8" s="3">
        <v>45672</v>
      </c>
      <c r="D8" s="3">
        <v>45679</v>
      </c>
      <c r="E8" s="2" t="s">
        <v>4</v>
      </c>
      <c r="F8" s="2" t="s">
        <v>36</v>
      </c>
      <c r="G8" s="9">
        <v>29</v>
      </c>
      <c r="H8" s="2">
        <v>7815.9</v>
      </c>
      <c r="I8" s="33"/>
      <c r="J8" s="2">
        <f>7839.4-H8</f>
        <v>23.5</v>
      </c>
      <c r="K8" s="2">
        <f t="shared" si="0"/>
        <v>-5.5</v>
      </c>
      <c r="L8" s="2" t="s">
        <v>43</v>
      </c>
      <c r="M8" s="2" t="s">
        <v>43</v>
      </c>
      <c r="N8" s="2" t="s">
        <v>43</v>
      </c>
      <c r="O8" s="3">
        <v>45674</v>
      </c>
      <c r="P8" s="2">
        <v>9</v>
      </c>
      <c r="Q8" s="14">
        <f>Z15</f>
        <v>6.1012222222222219</v>
      </c>
      <c r="R8" s="11">
        <f>Z16</f>
        <v>3.4792737308875901</v>
      </c>
      <c r="S8" s="2" t="s">
        <v>46</v>
      </c>
      <c r="T8" s="53"/>
      <c r="U8" s="2"/>
      <c r="V8" s="15">
        <v>4</v>
      </c>
      <c r="W8" s="22">
        <v>2.698</v>
      </c>
      <c r="X8" s="22">
        <v>0.441</v>
      </c>
      <c r="Y8" s="22">
        <v>2.2069999999999999</v>
      </c>
      <c r="Z8" s="22">
        <v>10.265000000000001</v>
      </c>
      <c r="AA8" s="22">
        <v>4.4379999999999997</v>
      </c>
      <c r="AB8" s="22">
        <v>2.41</v>
      </c>
      <c r="AC8" s="22">
        <v>2.6339999999999999</v>
      </c>
      <c r="AD8" s="22">
        <v>6.1459999999999999</v>
      </c>
      <c r="AE8" s="22">
        <v>3.0110000000000001</v>
      </c>
    </row>
    <row r="9" spans="2:31" x14ac:dyDescent="0.25">
      <c r="B9" s="2">
        <v>14</v>
      </c>
      <c r="C9" s="3">
        <v>45672</v>
      </c>
      <c r="D9" s="3">
        <v>45679</v>
      </c>
      <c r="E9" s="2" t="s">
        <v>4</v>
      </c>
      <c r="F9" s="2" t="s">
        <v>37</v>
      </c>
      <c r="G9" s="2">
        <v>28.3</v>
      </c>
      <c r="H9" s="9">
        <v>7560</v>
      </c>
      <c r="I9" s="33"/>
      <c r="J9" s="9">
        <f>7583.6-H9</f>
        <v>23.600000000000364</v>
      </c>
      <c r="K9" s="2">
        <f t="shared" si="0"/>
        <v>-4.6999999999996369</v>
      </c>
      <c r="L9" s="2" t="s">
        <v>43</v>
      </c>
      <c r="M9" s="2" t="s">
        <v>43</v>
      </c>
      <c r="N9" s="2" t="s">
        <v>43</v>
      </c>
      <c r="O9" s="3">
        <v>45674</v>
      </c>
      <c r="P9" s="2">
        <v>8</v>
      </c>
      <c r="Q9" s="11">
        <f>AA15</f>
        <v>4.388374999999999</v>
      </c>
      <c r="R9" s="14">
        <f>AA16</f>
        <v>2.2547027639073489</v>
      </c>
      <c r="S9" s="2" t="s">
        <v>53</v>
      </c>
      <c r="T9" s="53"/>
      <c r="U9" s="2"/>
      <c r="V9" s="15">
        <v>5</v>
      </c>
      <c r="W9" s="22">
        <v>8.4629999999999992</v>
      </c>
      <c r="X9" s="22">
        <v>5.3289999999999997</v>
      </c>
      <c r="Y9" s="22">
        <v>11.334</v>
      </c>
      <c r="Z9" s="22">
        <v>4.7880000000000003</v>
      </c>
      <c r="AA9" s="22">
        <v>3.798</v>
      </c>
      <c r="AB9" s="22">
        <v>7.899</v>
      </c>
      <c r="AC9" s="22">
        <v>2.4809999999999999</v>
      </c>
      <c r="AD9" s="22">
        <v>1.9850000000000001</v>
      </c>
      <c r="AE9" s="22">
        <v>8.7669999999999995</v>
      </c>
    </row>
    <row r="10" spans="2:31" x14ac:dyDescent="0.25">
      <c r="B10" s="2">
        <v>15</v>
      </c>
      <c r="C10" s="3">
        <v>45672</v>
      </c>
      <c r="D10" s="3">
        <v>45679</v>
      </c>
      <c r="E10" s="2" t="s">
        <v>4</v>
      </c>
      <c r="F10" s="2" t="s">
        <v>38</v>
      </c>
      <c r="G10" s="2">
        <v>26.6</v>
      </c>
      <c r="H10" s="2">
        <v>7953.1</v>
      </c>
      <c r="I10" s="33"/>
      <c r="J10" s="2">
        <f>7979.5-H10</f>
        <v>26.399999999999636</v>
      </c>
      <c r="K10" s="2">
        <f t="shared" si="0"/>
        <v>-0.20000000000036522</v>
      </c>
      <c r="L10" s="2" t="s">
        <v>43</v>
      </c>
      <c r="M10" s="2" t="s">
        <v>43</v>
      </c>
      <c r="N10" s="2" t="s">
        <v>43</v>
      </c>
      <c r="O10" s="3">
        <v>45674</v>
      </c>
      <c r="P10" s="2">
        <v>9</v>
      </c>
      <c r="Q10" s="14">
        <f>AB15</f>
        <v>6.2683333333333335</v>
      </c>
      <c r="R10" s="11">
        <f>AB16</f>
        <v>4.4205935121881534</v>
      </c>
      <c r="S10" s="2" t="s">
        <v>53</v>
      </c>
      <c r="T10" s="53"/>
      <c r="U10" s="2"/>
      <c r="V10" s="15">
        <v>6</v>
      </c>
      <c r="W10" s="22">
        <v>3.081</v>
      </c>
      <c r="X10" s="22">
        <v>12.707000000000001</v>
      </c>
      <c r="Y10" s="22">
        <v>8.2750000000000004</v>
      </c>
      <c r="Z10" s="22">
        <v>3.7189999999999999</v>
      </c>
      <c r="AA10" s="22">
        <v>5.0039999999999996</v>
      </c>
      <c r="AB10" s="22">
        <v>8.1219999999999999</v>
      </c>
      <c r="AC10" s="22">
        <v>6.875</v>
      </c>
      <c r="AD10" s="22">
        <v>5.1539999999999999</v>
      </c>
      <c r="AE10" s="22">
        <v>8.9770000000000003</v>
      </c>
    </row>
    <row r="11" spans="2:31" x14ac:dyDescent="0.25">
      <c r="B11" s="2">
        <v>16</v>
      </c>
      <c r="C11" s="3">
        <v>45672</v>
      </c>
      <c r="D11" s="3">
        <v>45679</v>
      </c>
      <c r="E11" s="2" t="s">
        <v>5</v>
      </c>
      <c r="F11" s="2" t="s">
        <v>39</v>
      </c>
      <c r="G11" s="2">
        <v>27.6</v>
      </c>
      <c r="H11" s="2">
        <v>8012.1</v>
      </c>
      <c r="I11" s="33"/>
      <c r="J11" s="2">
        <f>8038.6-H11</f>
        <v>26.5</v>
      </c>
      <c r="K11" s="2">
        <f t="shared" si="0"/>
        <v>-1.1000000000000014</v>
      </c>
      <c r="L11" s="11">
        <v>1.0663474604423899</v>
      </c>
      <c r="M11" s="10">
        <v>0.1906424290131136</v>
      </c>
      <c r="N11" s="10">
        <f t="shared" si="1"/>
        <v>82.12192216090402</v>
      </c>
      <c r="O11" s="3">
        <v>45674</v>
      </c>
      <c r="P11" s="2">
        <v>7</v>
      </c>
      <c r="Q11" s="11">
        <f>AC15</f>
        <v>3.6347142857142853</v>
      </c>
      <c r="R11" s="11">
        <f>AC16</f>
        <v>1.5761551017466224</v>
      </c>
      <c r="S11" s="2" t="s">
        <v>53</v>
      </c>
      <c r="T11" s="53"/>
      <c r="U11" s="2"/>
      <c r="V11" s="15">
        <v>7</v>
      </c>
      <c r="W11" s="22">
        <v>7.6120000000000001</v>
      </c>
      <c r="X11" s="22">
        <v>5.9969999999999999</v>
      </c>
      <c r="Y11" s="22">
        <v>4.7779999999999996</v>
      </c>
      <c r="Z11" s="22">
        <v>2.8170000000000002</v>
      </c>
      <c r="AA11" s="22">
        <v>3.464</v>
      </c>
      <c r="AB11" s="22">
        <v>1.5760000000000001</v>
      </c>
      <c r="AC11" s="22">
        <v>2.2229999999999999</v>
      </c>
      <c r="AD11" s="22">
        <v>0.90700000000000003</v>
      </c>
      <c r="AE11" s="22">
        <v>6.0629999999999997</v>
      </c>
    </row>
    <row r="12" spans="2:31" x14ac:dyDescent="0.25">
      <c r="B12" s="2">
        <v>17</v>
      </c>
      <c r="C12" s="3">
        <v>45672</v>
      </c>
      <c r="D12" s="3">
        <v>45679</v>
      </c>
      <c r="E12" s="2" t="s">
        <v>5</v>
      </c>
      <c r="F12" s="2" t="s">
        <v>40</v>
      </c>
      <c r="G12" s="2">
        <v>31.2</v>
      </c>
      <c r="H12" s="2">
        <v>8007.6</v>
      </c>
      <c r="I12" s="33"/>
      <c r="J12" s="2">
        <f>8037.3-H12</f>
        <v>29.699999999999818</v>
      </c>
      <c r="K12" s="2">
        <f t="shared" si="0"/>
        <v>-1.5000000000001812</v>
      </c>
      <c r="L12" s="11">
        <v>1.2330305803220611</v>
      </c>
      <c r="M12" s="10">
        <v>0.1674896930313679</v>
      </c>
      <c r="N12" s="10">
        <f t="shared" si="1"/>
        <v>86.416420184191992</v>
      </c>
      <c r="O12" s="3">
        <v>45674</v>
      </c>
      <c r="P12" s="2">
        <v>10</v>
      </c>
      <c r="Q12" s="14">
        <f>AD15</f>
        <v>3.1734</v>
      </c>
      <c r="R12" s="11">
        <f>AD16</f>
        <v>2.5029564829528219</v>
      </c>
      <c r="S12" s="2" t="s">
        <v>46</v>
      </c>
      <c r="T12" s="53"/>
      <c r="U12" s="2"/>
      <c r="V12" s="15">
        <v>8</v>
      </c>
      <c r="W12" s="22">
        <v>3.8319999999999999</v>
      </c>
      <c r="X12" s="22">
        <v>3.3109999999999999</v>
      </c>
      <c r="Y12" s="22">
        <v>7.1520000000000001</v>
      </c>
      <c r="Z12" s="22">
        <v>5.718</v>
      </c>
      <c r="AA12" s="22">
        <v>0.63200000000000001</v>
      </c>
      <c r="AB12" s="22">
        <v>4.5549999999999997</v>
      </c>
      <c r="AC12" s="22"/>
      <c r="AD12" s="22">
        <v>0.754</v>
      </c>
      <c r="AE12" s="22">
        <v>0.84199999999999997</v>
      </c>
    </row>
    <row r="13" spans="2:31" x14ac:dyDescent="0.25">
      <c r="B13" s="2">
        <v>18</v>
      </c>
      <c r="C13" s="3">
        <v>45672</v>
      </c>
      <c r="D13" s="3">
        <v>45679</v>
      </c>
      <c r="E13" s="2" t="s">
        <v>5</v>
      </c>
      <c r="F13" s="2" t="s">
        <v>41</v>
      </c>
      <c r="G13" s="2">
        <v>30.3</v>
      </c>
      <c r="H13" s="2">
        <v>7800.8</v>
      </c>
      <c r="I13" s="33"/>
      <c r="J13" s="2">
        <f>7825.4-H13</f>
        <v>24.599999999999454</v>
      </c>
      <c r="K13" s="2">
        <f t="shared" si="0"/>
        <v>-5.7000000000005464</v>
      </c>
      <c r="L13" s="11">
        <v>1.2182996366575891</v>
      </c>
      <c r="M13" s="10">
        <v>0.34986169577593179</v>
      </c>
      <c r="N13" s="10">
        <f t="shared" si="1"/>
        <v>71.282787481101209</v>
      </c>
      <c r="O13" s="3">
        <v>45674</v>
      </c>
      <c r="P13" s="2">
        <v>9</v>
      </c>
      <c r="Q13" s="11">
        <f>AE15</f>
        <v>4.6432222222222217</v>
      </c>
      <c r="R13" s="11">
        <f>AE16</f>
        <v>2.824408689344454</v>
      </c>
      <c r="S13" s="2" t="s">
        <v>46</v>
      </c>
      <c r="T13" s="53"/>
      <c r="U13" s="2"/>
      <c r="V13" s="15">
        <v>9</v>
      </c>
      <c r="W13" s="22">
        <v>6.641</v>
      </c>
      <c r="X13" s="22">
        <v>4.766</v>
      </c>
      <c r="Y13" s="22"/>
      <c r="Z13" s="22">
        <v>12.427</v>
      </c>
      <c r="AA13" s="22"/>
      <c r="AB13" s="22">
        <v>14.683</v>
      </c>
      <c r="AC13" s="22"/>
      <c r="AD13" s="22">
        <v>4.0830000000000002</v>
      </c>
      <c r="AE13" s="22">
        <v>4.2359999999999998</v>
      </c>
    </row>
    <row r="14" spans="2:31" ht="14.4" thickBot="1" x14ac:dyDescent="0.3">
      <c r="B14" s="2">
        <v>19</v>
      </c>
      <c r="C14" s="3">
        <v>45672</v>
      </c>
      <c r="D14" s="3">
        <v>45679</v>
      </c>
      <c r="E14" s="2" t="s">
        <v>3</v>
      </c>
      <c r="F14" s="2" t="s">
        <v>27</v>
      </c>
      <c r="G14" s="2" t="s">
        <v>8</v>
      </c>
      <c r="H14" s="2" t="s">
        <v>8</v>
      </c>
      <c r="I14" s="33"/>
      <c r="J14" s="2" t="s">
        <v>8</v>
      </c>
      <c r="K14" s="2" t="s">
        <v>8</v>
      </c>
      <c r="L14" s="11">
        <v>0.88919296360068756</v>
      </c>
      <c r="M14" s="10">
        <v>0.16199804097932002</v>
      </c>
      <c r="N14" s="10">
        <f t="shared" si="1"/>
        <v>81.7814526642983</v>
      </c>
      <c r="O14" s="2" t="s">
        <v>8</v>
      </c>
      <c r="P14" s="2" t="s">
        <v>8</v>
      </c>
      <c r="Q14" s="2" t="s">
        <v>8</v>
      </c>
      <c r="R14" s="2" t="s">
        <v>8</v>
      </c>
      <c r="S14" s="2" t="s">
        <v>42</v>
      </c>
      <c r="T14" s="53" t="s">
        <v>48</v>
      </c>
      <c r="U14" s="2"/>
      <c r="V14" s="19">
        <v>10</v>
      </c>
      <c r="W14" s="23"/>
      <c r="X14" s="23">
        <v>14.459</v>
      </c>
      <c r="Y14" s="23"/>
      <c r="Z14" s="23"/>
      <c r="AA14" s="23"/>
      <c r="AB14" s="23"/>
      <c r="AC14" s="23"/>
      <c r="AD14" s="23">
        <v>0.502</v>
      </c>
      <c r="AE14" s="23"/>
    </row>
    <row r="15" spans="2:31" x14ac:dyDescent="0.25">
      <c r="B15" s="2">
        <v>20</v>
      </c>
      <c r="C15" s="3">
        <v>45672</v>
      </c>
      <c r="D15" s="3">
        <v>45679</v>
      </c>
      <c r="E15" s="2" t="s">
        <v>3</v>
      </c>
      <c r="F15" s="2" t="s">
        <v>28</v>
      </c>
      <c r="G15" s="2" t="s">
        <v>8</v>
      </c>
      <c r="H15" s="2" t="s">
        <v>8</v>
      </c>
      <c r="I15" s="33"/>
      <c r="J15" s="2" t="s">
        <v>8</v>
      </c>
      <c r="K15" s="2" t="s">
        <v>8</v>
      </c>
      <c r="L15" s="11">
        <v>0.90064406514498152</v>
      </c>
      <c r="M15" s="10">
        <v>0.10472526308158936</v>
      </c>
      <c r="N15" s="10">
        <f t="shared" si="1"/>
        <v>88.372180849853137</v>
      </c>
      <c r="O15" s="2" t="s">
        <v>8</v>
      </c>
      <c r="P15" s="2" t="s">
        <v>8</v>
      </c>
      <c r="Q15" s="2" t="s">
        <v>8</v>
      </c>
      <c r="R15" s="2" t="s">
        <v>8</v>
      </c>
      <c r="S15" s="2" t="s">
        <v>42</v>
      </c>
      <c r="T15" s="53"/>
      <c r="U15" s="2"/>
      <c r="V15" s="24" t="s">
        <v>55</v>
      </c>
      <c r="W15" s="17">
        <f>AVERAGE(W5:W14)</f>
        <v>5.564222222222222</v>
      </c>
      <c r="X15" s="17">
        <f>AVERAGE(X5:X14)</f>
        <v>6.8905000000000003</v>
      </c>
      <c r="Y15" s="17">
        <f t="shared" ref="Y15:AE15" si="2">AVERAGE(Y5:Y14)</f>
        <v>5.4696249999999997</v>
      </c>
      <c r="Z15" s="17">
        <f t="shared" si="2"/>
        <v>6.1012222222222219</v>
      </c>
      <c r="AA15" s="17">
        <f t="shared" si="2"/>
        <v>4.388374999999999</v>
      </c>
      <c r="AB15" s="17">
        <f t="shared" si="2"/>
        <v>6.2683333333333335</v>
      </c>
      <c r="AC15" s="17">
        <f t="shared" si="2"/>
        <v>3.6347142857142853</v>
      </c>
      <c r="AD15" s="17">
        <f t="shared" si="2"/>
        <v>3.1734</v>
      </c>
      <c r="AE15" s="17">
        <f t="shared" si="2"/>
        <v>4.6432222222222217</v>
      </c>
    </row>
    <row r="16" spans="2:31" ht="14.4" thickBot="1" x14ac:dyDescent="0.3">
      <c r="B16" s="2">
        <v>21</v>
      </c>
      <c r="C16" s="3">
        <v>45672</v>
      </c>
      <c r="D16" s="3">
        <v>45679</v>
      </c>
      <c r="E16" s="2" t="s">
        <v>3</v>
      </c>
      <c r="F16" s="2" t="s">
        <v>29</v>
      </c>
      <c r="G16" s="2" t="s">
        <v>8</v>
      </c>
      <c r="H16" s="2" t="s">
        <v>8</v>
      </c>
      <c r="I16" s="33"/>
      <c r="J16" s="2" t="s">
        <v>8</v>
      </c>
      <c r="K16" s="2" t="s">
        <v>8</v>
      </c>
      <c r="L16" s="11">
        <v>0.89442447344459297</v>
      </c>
      <c r="M16" s="10">
        <v>0.19931517917149399</v>
      </c>
      <c r="N16" s="10">
        <f t="shared" si="1"/>
        <v>77.715817814790483</v>
      </c>
      <c r="O16" s="2" t="s">
        <v>8</v>
      </c>
      <c r="P16" s="2" t="s">
        <v>8</v>
      </c>
      <c r="Q16" s="2" t="s">
        <v>8</v>
      </c>
      <c r="R16" s="2" t="s">
        <v>8</v>
      </c>
      <c r="S16" s="2" t="s">
        <v>42</v>
      </c>
      <c r="T16" s="53"/>
      <c r="U16" s="2"/>
      <c r="V16" s="19" t="s">
        <v>57</v>
      </c>
      <c r="W16" s="18">
        <f>_xlfn.STDEV.S(W5:W14)</f>
        <v>1.9991701889645235</v>
      </c>
      <c r="X16" s="18">
        <f t="shared" ref="X16:AE16" si="3">_xlfn.STDEV.S(X5:X14)</f>
        <v>4.6092424600530135</v>
      </c>
      <c r="Y16" s="18">
        <f t="shared" si="3"/>
        <v>3.2071411807981622</v>
      </c>
      <c r="Z16" s="18">
        <f t="shared" si="3"/>
        <v>3.4792737308875901</v>
      </c>
      <c r="AA16" s="18">
        <f t="shared" si="3"/>
        <v>2.2547027639073489</v>
      </c>
      <c r="AB16" s="18">
        <f t="shared" si="3"/>
        <v>4.4205935121881534</v>
      </c>
      <c r="AC16" s="18">
        <f t="shared" si="3"/>
        <v>1.5761551017466224</v>
      </c>
      <c r="AD16" s="18">
        <f t="shared" si="3"/>
        <v>2.5029564829528219</v>
      </c>
      <c r="AE16" s="18">
        <f t="shared" si="3"/>
        <v>2.824408689344454</v>
      </c>
    </row>
    <row r="17" spans="2:31" x14ac:dyDescent="0.25">
      <c r="B17" s="2">
        <v>22</v>
      </c>
      <c r="C17" s="3">
        <v>45672</v>
      </c>
      <c r="D17" s="3">
        <v>45679</v>
      </c>
      <c r="E17" s="2" t="s">
        <v>5</v>
      </c>
      <c r="F17" s="2" t="s">
        <v>30</v>
      </c>
      <c r="G17" s="2" t="s">
        <v>8</v>
      </c>
      <c r="H17" s="2" t="s">
        <v>8</v>
      </c>
      <c r="I17" s="33"/>
      <c r="J17" s="2" t="s">
        <v>8</v>
      </c>
      <c r="K17" s="2" t="s">
        <v>8</v>
      </c>
      <c r="L17" s="11">
        <v>1.0663474604423899</v>
      </c>
      <c r="M17" s="10">
        <v>0.50159928148119703</v>
      </c>
      <c r="N17" s="10">
        <f t="shared" si="1"/>
        <v>52.960990663108888</v>
      </c>
      <c r="O17" s="2" t="s">
        <v>8</v>
      </c>
      <c r="P17" s="2" t="s">
        <v>8</v>
      </c>
      <c r="Q17" s="2" t="s">
        <v>8</v>
      </c>
      <c r="R17" s="2" t="s">
        <v>8</v>
      </c>
      <c r="S17" s="2" t="s">
        <v>42</v>
      </c>
      <c r="T17" s="53"/>
      <c r="U17" s="2"/>
    </row>
    <row r="18" spans="2:31" x14ac:dyDescent="0.25">
      <c r="B18" s="2">
        <v>23</v>
      </c>
      <c r="C18" s="3">
        <v>45672</v>
      </c>
      <c r="D18" s="3">
        <v>45679</v>
      </c>
      <c r="E18" s="2" t="s">
        <v>5</v>
      </c>
      <c r="F18" s="2" t="s">
        <v>31</v>
      </c>
      <c r="G18" s="2" t="s">
        <v>8</v>
      </c>
      <c r="H18" s="2" t="s">
        <v>8</v>
      </c>
      <c r="I18" s="33"/>
      <c r="J18" s="2" t="s">
        <v>8</v>
      </c>
      <c r="K18" s="2" t="s">
        <v>8</v>
      </c>
      <c r="L18" s="11">
        <v>1.2330305803220611</v>
      </c>
      <c r="M18" s="10">
        <v>0.50466811205107731</v>
      </c>
      <c r="N18" s="10">
        <f t="shared" si="1"/>
        <v>59.070916804086025</v>
      </c>
      <c r="O18" s="2" t="s">
        <v>8</v>
      </c>
      <c r="P18" s="2" t="s">
        <v>8</v>
      </c>
      <c r="Q18" s="2" t="s">
        <v>8</v>
      </c>
      <c r="R18" s="2" t="s">
        <v>8</v>
      </c>
      <c r="S18" s="2" t="s">
        <v>42</v>
      </c>
      <c r="T18" s="53"/>
      <c r="U18" s="2"/>
    </row>
    <row r="19" spans="2:31" ht="14.4" thickBot="1" x14ac:dyDescent="0.3">
      <c r="B19" s="5">
        <v>24</v>
      </c>
      <c r="C19" s="6">
        <v>45672</v>
      </c>
      <c r="D19" s="6">
        <v>45679</v>
      </c>
      <c r="E19" s="5" t="s">
        <v>5</v>
      </c>
      <c r="F19" s="5" t="s">
        <v>32</v>
      </c>
      <c r="G19" s="5" t="s">
        <v>8</v>
      </c>
      <c r="H19" s="5" t="s">
        <v>8</v>
      </c>
      <c r="I19" s="35"/>
      <c r="J19" s="5" t="s">
        <v>8</v>
      </c>
      <c r="K19" s="5" t="s">
        <v>8</v>
      </c>
      <c r="L19" s="13">
        <v>1.2182996366575891</v>
      </c>
      <c r="M19" s="12">
        <v>0.46070264755005291</v>
      </c>
      <c r="N19" s="12">
        <f t="shared" si="1"/>
        <v>62.184783308809578</v>
      </c>
      <c r="O19" s="5" t="s">
        <v>8</v>
      </c>
      <c r="P19" s="5" t="s">
        <v>8</v>
      </c>
      <c r="Q19" s="5" t="s">
        <v>8</v>
      </c>
      <c r="R19" s="5" t="s">
        <v>8</v>
      </c>
      <c r="S19" s="5" t="s">
        <v>42</v>
      </c>
      <c r="T19" s="54"/>
      <c r="U19" s="2"/>
    </row>
    <row r="20" spans="2:31" ht="14.4" thickBot="1" x14ac:dyDescent="0.3">
      <c r="V20" s="4"/>
    </row>
    <row r="21" spans="2:31" ht="14.4" thickBot="1" x14ac:dyDescent="0.3">
      <c r="W21" s="27" t="s">
        <v>1</v>
      </c>
      <c r="X21" s="27"/>
      <c r="Y21" s="27"/>
      <c r="Z21" s="27"/>
      <c r="AA21" s="27"/>
      <c r="AB21" s="27"/>
      <c r="AC21" s="27"/>
      <c r="AD21" s="27"/>
      <c r="AE21" s="27"/>
    </row>
    <row r="22" spans="2:31" ht="30" x14ac:dyDescent="0.25">
      <c r="B22" s="7" t="s">
        <v>1</v>
      </c>
      <c r="C22" s="7" t="s">
        <v>6</v>
      </c>
      <c r="D22" s="7" t="s">
        <v>7</v>
      </c>
      <c r="E22" s="7" t="s">
        <v>2</v>
      </c>
      <c r="F22" s="7" t="s">
        <v>17</v>
      </c>
      <c r="G22" s="7" t="s">
        <v>14</v>
      </c>
      <c r="H22" s="7" t="s">
        <v>44</v>
      </c>
      <c r="I22" s="7" t="s">
        <v>61</v>
      </c>
      <c r="J22" s="7" t="s">
        <v>60</v>
      </c>
      <c r="K22" s="7" t="s">
        <v>100</v>
      </c>
      <c r="L22" s="7" t="s">
        <v>15</v>
      </c>
      <c r="M22" s="7" t="s">
        <v>16</v>
      </c>
      <c r="N22" s="7" t="s">
        <v>99</v>
      </c>
      <c r="O22" s="7" t="s">
        <v>12</v>
      </c>
      <c r="P22" s="7" t="s">
        <v>10</v>
      </c>
      <c r="Q22" s="7" t="s">
        <v>9</v>
      </c>
      <c r="R22" s="7" t="s">
        <v>56</v>
      </c>
      <c r="S22" s="7" t="s">
        <v>11</v>
      </c>
      <c r="T22" s="7"/>
      <c r="V22" s="15" t="s">
        <v>54</v>
      </c>
      <c r="W22" s="20">
        <v>1</v>
      </c>
      <c r="X22" s="15">
        <v>2</v>
      </c>
      <c r="Y22" s="20">
        <v>3</v>
      </c>
      <c r="Z22" s="15">
        <v>4</v>
      </c>
      <c r="AA22" s="20">
        <v>5</v>
      </c>
      <c r="AB22" s="20">
        <v>6</v>
      </c>
      <c r="AC22" s="20">
        <v>7</v>
      </c>
      <c r="AD22" s="15">
        <v>8</v>
      </c>
      <c r="AE22" s="20">
        <v>9</v>
      </c>
    </row>
    <row r="23" spans="2:31" ht="13.8" customHeight="1" x14ac:dyDescent="0.25">
      <c r="B23" s="2">
        <v>1</v>
      </c>
      <c r="C23" s="3">
        <v>45688</v>
      </c>
      <c r="D23" s="3">
        <v>45695</v>
      </c>
      <c r="E23" s="2" t="s">
        <v>58</v>
      </c>
      <c r="F23" s="2" t="s">
        <v>18</v>
      </c>
      <c r="G23" s="9">
        <v>38</v>
      </c>
      <c r="H23" s="2">
        <v>8122.5</v>
      </c>
      <c r="I23" s="2">
        <f>8761.7-H23</f>
        <v>639.20000000000073</v>
      </c>
      <c r="J23" s="2">
        <f>8152.9-H23</f>
        <v>30.399999999999636</v>
      </c>
      <c r="K23" s="2">
        <f>J23-G23</f>
        <v>-7.6000000000003638</v>
      </c>
      <c r="L23" s="11">
        <v>0.92162288867530184</v>
      </c>
      <c r="M23" s="11">
        <v>0.78083037234290698</v>
      </c>
      <c r="N23" s="11">
        <f>(L23-M23)/L23*100</f>
        <v>15.276586341596129</v>
      </c>
      <c r="O23" s="3">
        <v>45691</v>
      </c>
      <c r="P23" s="2">
        <v>8</v>
      </c>
      <c r="Q23" s="11">
        <f>W33</f>
        <v>5.3728750000000014</v>
      </c>
      <c r="R23" s="11">
        <f>W34</f>
        <v>4.484283839541316</v>
      </c>
      <c r="S23" s="28" t="s">
        <v>74</v>
      </c>
      <c r="T23" s="56" t="s">
        <v>76</v>
      </c>
      <c r="V23" s="25">
        <v>1</v>
      </c>
      <c r="W23" s="22">
        <v>2.1150000000000002</v>
      </c>
      <c r="X23" s="21">
        <v>6.05</v>
      </c>
      <c r="Y23" s="21">
        <v>8.8780000000000001</v>
      </c>
      <c r="Z23" s="21">
        <v>6.0090000000000003</v>
      </c>
      <c r="AA23" s="22">
        <v>13.382</v>
      </c>
      <c r="AB23" s="22">
        <v>7</v>
      </c>
      <c r="AC23" s="22">
        <v>2.8730000000000002</v>
      </c>
      <c r="AD23" s="21">
        <v>1.6359999999999999</v>
      </c>
      <c r="AE23" s="21">
        <v>17.169</v>
      </c>
    </row>
    <row r="24" spans="2:31" x14ac:dyDescent="0.25">
      <c r="B24" s="2">
        <v>2</v>
      </c>
      <c r="C24" s="3">
        <v>45688</v>
      </c>
      <c r="D24" s="3">
        <v>45695</v>
      </c>
      <c r="E24" s="2" t="s">
        <v>58</v>
      </c>
      <c r="F24" s="2" t="s">
        <v>19</v>
      </c>
      <c r="G24" s="2">
        <v>34.799999999999997</v>
      </c>
      <c r="H24" s="2">
        <v>7697.8</v>
      </c>
      <c r="I24" s="2">
        <f>8362.7-H24</f>
        <v>664.90000000000055</v>
      </c>
      <c r="J24" s="2">
        <f>7726.4-H24</f>
        <v>28.599999999999454</v>
      </c>
      <c r="K24" s="2">
        <f t="shared" ref="K24:K31" si="4">J24-G24</f>
        <v>-6.2000000000005429</v>
      </c>
      <c r="L24" s="11">
        <v>0.98356273429927965</v>
      </c>
      <c r="M24" s="11">
        <v>0.86872610781138004</v>
      </c>
      <c r="N24" s="11">
        <f t="shared" ref="N24:N37" si="5">(L24-M24)/L24*100</f>
        <v>11.675577213660169</v>
      </c>
      <c r="O24" s="3">
        <v>45691</v>
      </c>
      <c r="P24" s="2">
        <v>9</v>
      </c>
      <c r="Q24" s="14">
        <f>X33</f>
        <v>6.94411111111111</v>
      </c>
      <c r="R24" s="11">
        <f>X34</f>
        <v>2.4175596396182524</v>
      </c>
      <c r="S24" s="2" t="s">
        <v>42</v>
      </c>
      <c r="T24" s="53"/>
      <c r="V24" s="15">
        <v>2</v>
      </c>
      <c r="W24" s="22">
        <v>7.4379999999999997</v>
      </c>
      <c r="X24" s="22">
        <v>10.036</v>
      </c>
      <c r="Y24" s="22">
        <v>15.956</v>
      </c>
      <c r="Z24" s="22">
        <v>4.7720000000000002</v>
      </c>
      <c r="AA24" s="22">
        <v>5.9130000000000003</v>
      </c>
      <c r="AB24" s="22">
        <v>16.105</v>
      </c>
      <c r="AC24" s="22">
        <v>1.383</v>
      </c>
      <c r="AD24" s="22">
        <v>5.8040000000000003</v>
      </c>
      <c r="AE24" s="22">
        <v>13.096</v>
      </c>
    </row>
    <row r="25" spans="2:31" x14ac:dyDescent="0.25">
      <c r="B25" s="2">
        <v>3</v>
      </c>
      <c r="C25" s="3">
        <v>45688</v>
      </c>
      <c r="D25" s="3">
        <v>45695</v>
      </c>
      <c r="E25" s="2" t="s">
        <v>58</v>
      </c>
      <c r="F25" s="2" t="s">
        <v>20</v>
      </c>
      <c r="G25" s="2">
        <v>41.2</v>
      </c>
      <c r="H25" s="2">
        <v>8220.2999999999993</v>
      </c>
      <c r="I25" s="2">
        <f>8919.5-H25</f>
        <v>699.20000000000073</v>
      </c>
      <c r="J25" s="2">
        <f>8252.9-H25</f>
        <v>32.600000000000364</v>
      </c>
      <c r="K25" s="2">
        <f t="shared" si="4"/>
        <v>-8.599999999999639</v>
      </c>
      <c r="L25" s="11">
        <v>1.13539679133306</v>
      </c>
      <c r="M25" s="11">
        <v>0.83204211622394031</v>
      </c>
      <c r="N25" s="11">
        <f t="shared" si="5"/>
        <v>26.717943667337078</v>
      </c>
      <c r="O25" s="3">
        <v>45691</v>
      </c>
      <c r="P25" s="2">
        <v>9</v>
      </c>
      <c r="Q25" s="11">
        <f>Y33</f>
        <v>9.6859999999999999</v>
      </c>
      <c r="R25" s="11">
        <f>Y34</f>
        <v>5.1353879843688546</v>
      </c>
      <c r="S25" s="2" t="s">
        <v>42</v>
      </c>
      <c r="T25" s="53"/>
      <c r="V25" s="15">
        <v>3</v>
      </c>
      <c r="W25" s="22">
        <v>12.217000000000001</v>
      </c>
      <c r="X25" s="22">
        <v>9.8040000000000003</v>
      </c>
      <c r="Y25" s="22">
        <v>15.595000000000001</v>
      </c>
      <c r="Z25" s="22">
        <v>9.1359999999999992</v>
      </c>
      <c r="AA25" s="22">
        <v>6.8079999999999998</v>
      </c>
      <c r="AB25" s="22">
        <v>12.211</v>
      </c>
      <c r="AC25" s="22">
        <v>6.0839999999999996</v>
      </c>
      <c r="AD25" s="22">
        <v>8.2520000000000007</v>
      </c>
      <c r="AE25" s="22">
        <v>2.2639999999999998</v>
      </c>
    </row>
    <row r="26" spans="2:31" x14ac:dyDescent="0.25">
      <c r="B26" s="2">
        <v>4</v>
      </c>
      <c r="C26" s="3">
        <v>45688</v>
      </c>
      <c r="D26" s="3">
        <v>45695</v>
      </c>
      <c r="E26" s="2" t="s">
        <v>59</v>
      </c>
      <c r="F26" s="2" t="s">
        <v>21</v>
      </c>
      <c r="G26" s="9">
        <v>34.1</v>
      </c>
      <c r="H26" s="2">
        <v>8151.2</v>
      </c>
      <c r="I26" s="2">
        <f>8738.8-H26</f>
        <v>587.59999999999945</v>
      </c>
      <c r="J26" s="2">
        <f>8180.8-H26</f>
        <v>29.600000000000364</v>
      </c>
      <c r="K26" s="2">
        <f t="shared" si="4"/>
        <v>-4.4999999999996376</v>
      </c>
      <c r="L26" s="11">
        <v>0.90804400127674323</v>
      </c>
      <c r="M26" s="11">
        <v>0.69483066808271965</v>
      </c>
      <c r="N26" s="11">
        <f>(L26-M26)/L26*100</f>
        <v>23.480506769962446</v>
      </c>
      <c r="O26" s="3">
        <v>45691</v>
      </c>
      <c r="P26" s="2">
        <v>6</v>
      </c>
      <c r="Q26" s="14">
        <f>Z33</f>
        <v>9.2965</v>
      </c>
      <c r="R26" s="11">
        <f>Z34</f>
        <v>3.8044146330283199</v>
      </c>
      <c r="S26" s="2" t="s">
        <v>77</v>
      </c>
      <c r="T26" s="53" t="s">
        <v>76</v>
      </c>
      <c r="V26" s="15">
        <v>4</v>
      </c>
      <c r="W26" s="22">
        <v>0.83699999999999997</v>
      </c>
      <c r="X26" s="22">
        <v>9.0790000000000006</v>
      </c>
      <c r="Y26" s="22">
        <v>9.5470000000000006</v>
      </c>
      <c r="Z26" s="22">
        <v>15.161</v>
      </c>
      <c r="AA26" s="22">
        <v>4.5049999999999999</v>
      </c>
      <c r="AB26" s="22">
        <v>0.82199999999999995</v>
      </c>
      <c r="AC26" s="22">
        <v>1.8660000000000001</v>
      </c>
      <c r="AD26" s="22">
        <v>2.9740000000000002</v>
      </c>
      <c r="AE26" s="22">
        <v>9.5790000000000006</v>
      </c>
    </row>
    <row r="27" spans="2:31" x14ac:dyDescent="0.25">
      <c r="B27" s="2">
        <v>5</v>
      </c>
      <c r="C27" s="3">
        <v>45688</v>
      </c>
      <c r="D27" s="3">
        <v>45695</v>
      </c>
      <c r="E27" s="2" t="s">
        <v>59</v>
      </c>
      <c r="F27" s="2" t="s">
        <v>22</v>
      </c>
      <c r="G27" s="2">
        <v>32.700000000000003</v>
      </c>
      <c r="H27" s="9">
        <v>8182.6</v>
      </c>
      <c r="I27" s="9">
        <f>8707.1-H27</f>
        <v>524.5</v>
      </c>
      <c r="J27" s="9">
        <f>8210.3-H27</f>
        <v>27.699999999998909</v>
      </c>
      <c r="K27" s="2">
        <f t="shared" si="4"/>
        <v>-5.0000000000010942</v>
      </c>
      <c r="L27" s="11">
        <v>0.91571869503284375</v>
      </c>
      <c r="M27" s="11">
        <v>0.66292202915954224</v>
      </c>
      <c r="N27" s="11">
        <f t="shared" si="5"/>
        <v>27.60636724406228</v>
      </c>
      <c r="O27" s="3">
        <v>45691</v>
      </c>
      <c r="P27" s="2">
        <v>7</v>
      </c>
      <c r="Q27" s="11">
        <f>AA33</f>
        <v>5.5528571428571425</v>
      </c>
      <c r="R27" s="14">
        <f>AA34</f>
        <v>3.9855358246443879</v>
      </c>
      <c r="S27" s="2" t="s">
        <v>74</v>
      </c>
      <c r="T27" s="53"/>
      <c r="V27" s="15">
        <v>5</v>
      </c>
      <c r="W27" s="22">
        <v>8.2720000000000002</v>
      </c>
      <c r="X27" s="22">
        <v>4.9829999999999997</v>
      </c>
      <c r="Y27" s="22">
        <v>8.7530000000000001</v>
      </c>
      <c r="Z27" s="22">
        <v>11.842000000000001</v>
      </c>
      <c r="AA27" s="22">
        <v>3.573</v>
      </c>
      <c r="AB27" s="22">
        <v>7.516</v>
      </c>
      <c r="AC27" s="22">
        <v>10.125999999999999</v>
      </c>
      <c r="AD27" s="22">
        <v>6.3310000000000004</v>
      </c>
      <c r="AE27" s="22">
        <v>6.9210000000000003</v>
      </c>
    </row>
    <row r="28" spans="2:31" x14ac:dyDescent="0.25">
      <c r="B28" s="2">
        <v>6</v>
      </c>
      <c r="C28" s="3">
        <v>45688</v>
      </c>
      <c r="D28" s="3">
        <v>45695</v>
      </c>
      <c r="E28" s="2" t="s">
        <v>59</v>
      </c>
      <c r="F28" s="2" t="s">
        <v>23</v>
      </c>
      <c r="G28" s="2">
        <v>33.799999999999997</v>
      </c>
      <c r="H28" s="9">
        <v>8275</v>
      </c>
      <c r="I28" s="2">
        <f>8905.3-H28</f>
        <v>630.29999999999927</v>
      </c>
      <c r="J28" s="9">
        <f>8304.3-H28</f>
        <v>29.299999999999272</v>
      </c>
      <c r="K28" s="2">
        <f t="shared" si="4"/>
        <v>-4.5000000000007248</v>
      </c>
      <c r="L28" s="11">
        <v>0.89121602335826111</v>
      </c>
      <c r="M28" s="11">
        <v>0.74058207862501002</v>
      </c>
      <c r="N28" s="11">
        <f t="shared" si="5"/>
        <v>16.902068722422143</v>
      </c>
      <c r="O28" s="3">
        <v>45691</v>
      </c>
      <c r="P28" s="2">
        <v>7</v>
      </c>
      <c r="Q28" s="14">
        <f>AB33</f>
        <v>8.1062857142857148</v>
      </c>
      <c r="R28" s="11">
        <f>AB34</f>
        <v>5.4891176799884587</v>
      </c>
      <c r="S28" s="2" t="s">
        <v>42</v>
      </c>
      <c r="T28" s="53"/>
      <c r="V28" s="15">
        <v>6</v>
      </c>
      <c r="W28" s="22">
        <v>2.2610000000000001</v>
      </c>
      <c r="X28" s="22">
        <v>4.2380000000000004</v>
      </c>
      <c r="Y28" s="22">
        <v>14.249000000000001</v>
      </c>
      <c r="Z28" s="22">
        <v>8.859</v>
      </c>
      <c r="AA28" s="22">
        <v>4.1749999999999998</v>
      </c>
      <c r="AB28" s="22">
        <v>2.048</v>
      </c>
      <c r="AC28" s="22">
        <v>11.564</v>
      </c>
      <c r="AD28" s="22">
        <v>7.452</v>
      </c>
      <c r="AE28" s="22">
        <v>12.028</v>
      </c>
    </row>
    <row r="29" spans="2:31" x14ac:dyDescent="0.25">
      <c r="B29" s="2">
        <v>7</v>
      </c>
      <c r="C29" s="3">
        <v>45688</v>
      </c>
      <c r="D29" s="3">
        <v>45695</v>
      </c>
      <c r="E29" s="2" t="s">
        <v>4</v>
      </c>
      <c r="F29" s="2" t="s">
        <v>24</v>
      </c>
      <c r="G29" s="9">
        <v>37</v>
      </c>
      <c r="H29" s="2">
        <v>7901.3</v>
      </c>
      <c r="I29" s="2">
        <f>8582.8-H29</f>
        <v>681.49999999999909</v>
      </c>
      <c r="J29" s="2">
        <f>7931.1-H29</f>
        <v>29.800000000000182</v>
      </c>
      <c r="K29" s="2">
        <f t="shared" si="4"/>
        <v>-7.1999999999998181</v>
      </c>
      <c r="L29" s="2" t="s">
        <v>43</v>
      </c>
      <c r="M29" s="2" t="s">
        <v>43</v>
      </c>
      <c r="N29" s="2" t="s">
        <v>43</v>
      </c>
      <c r="O29" s="3">
        <v>45691</v>
      </c>
      <c r="P29" s="2">
        <v>8</v>
      </c>
      <c r="Q29" s="11">
        <f>AC33</f>
        <v>5.6956249999999997</v>
      </c>
      <c r="R29" s="11">
        <f>AC34</f>
        <v>3.7662688978237191</v>
      </c>
      <c r="S29" s="2" t="s">
        <v>75</v>
      </c>
      <c r="T29" s="26"/>
      <c r="V29" s="15">
        <v>7</v>
      </c>
      <c r="W29" s="22">
        <v>9.3919999999999995</v>
      </c>
      <c r="X29" s="22">
        <v>8.0489999999999995</v>
      </c>
      <c r="Y29" s="22">
        <v>4.3710000000000004</v>
      </c>
      <c r="Z29" s="22"/>
      <c r="AA29" s="22">
        <v>0.51400000000000001</v>
      </c>
      <c r="AB29" s="22">
        <v>11.042</v>
      </c>
      <c r="AC29" s="22">
        <v>7.2140000000000004</v>
      </c>
      <c r="AD29" s="22"/>
      <c r="AE29" s="22">
        <v>0.93</v>
      </c>
    </row>
    <row r="30" spans="2:31" x14ac:dyDescent="0.25">
      <c r="B30" s="2">
        <v>8</v>
      </c>
      <c r="C30" s="3">
        <v>45688</v>
      </c>
      <c r="D30" s="3">
        <v>45695</v>
      </c>
      <c r="E30" s="2" t="s">
        <v>4</v>
      </c>
      <c r="F30" s="2" t="s">
        <v>25</v>
      </c>
      <c r="G30" s="2">
        <v>33.299999999999997</v>
      </c>
      <c r="H30" s="2">
        <v>8008.4</v>
      </c>
      <c r="I30" s="2">
        <f>8387-H30</f>
        <v>378.60000000000036</v>
      </c>
      <c r="J30" s="2">
        <f>8034.7-H30</f>
        <v>26.300000000000182</v>
      </c>
      <c r="K30" s="2">
        <f t="shared" si="4"/>
        <v>-6.9999999999998153</v>
      </c>
      <c r="L30" s="2" t="s">
        <v>43</v>
      </c>
      <c r="M30" s="2" t="s">
        <v>43</v>
      </c>
      <c r="N30" s="2" t="s">
        <v>43</v>
      </c>
      <c r="O30" s="3">
        <v>45691</v>
      </c>
      <c r="P30" s="2">
        <v>6</v>
      </c>
      <c r="Q30" s="14">
        <f>AD33</f>
        <v>5.4081666666666663</v>
      </c>
      <c r="R30" s="11">
        <f>AD34</f>
        <v>2.5856278476738832</v>
      </c>
      <c r="S30" s="2" t="s">
        <v>71</v>
      </c>
      <c r="T30" s="26"/>
      <c r="V30" s="15">
        <v>8</v>
      </c>
      <c r="W30" s="22">
        <v>0.45100000000000001</v>
      </c>
      <c r="X30" s="22">
        <v>3.5990000000000002</v>
      </c>
      <c r="Y30" s="22">
        <v>9.4160000000000004</v>
      </c>
      <c r="Z30" s="22"/>
      <c r="AA30" s="22"/>
      <c r="AB30" s="22"/>
      <c r="AC30" s="22">
        <v>4.4550000000000001</v>
      </c>
      <c r="AD30" s="22"/>
      <c r="AE30" s="22"/>
    </row>
    <row r="31" spans="2:31" ht="13.8" customHeight="1" x14ac:dyDescent="0.25">
      <c r="B31" s="2">
        <v>9</v>
      </c>
      <c r="C31" s="3">
        <v>45688</v>
      </c>
      <c r="D31" s="3">
        <v>45695</v>
      </c>
      <c r="E31" s="2" t="s">
        <v>4</v>
      </c>
      <c r="F31" s="2" t="s">
        <v>26</v>
      </c>
      <c r="G31" s="2">
        <v>31.2</v>
      </c>
      <c r="H31" s="2">
        <v>8026.2</v>
      </c>
      <c r="I31" s="9">
        <f>8439.2-H31</f>
        <v>413.00000000000091</v>
      </c>
      <c r="J31" s="2">
        <f>8053.7-H31</f>
        <v>27.5</v>
      </c>
      <c r="K31" s="2">
        <f t="shared" si="4"/>
        <v>-3.6999999999999993</v>
      </c>
      <c r="L31" s="2" t="s">
        <v>43</v>
      </c>
      <c r="M31" s="2" t="s">
        <v>43</v>
      </c>
      <c r="N31" s="2" t="s">
        <v>43</v>
      </c>
      <c r="O31" s="3">
        <v>45691</v>
      </c>
      <c r="P31" s="2">
        <v>7</v>
      </c>
      <c r="Q31" s="11">
        <f>AE33</f>
        <v>8.8552857142857153</v>
      </c>
      <c r="R31" s="11">
        <f>AE34</f>
        <v>5.8834236550466006</v>
      </c>
      <c r="S31" s="2" t="s">
        <v>42</v>
      </c>
      <c r="T31" s="26"/>
      <c r="V31" s="15">
        <v>9</v>
      </c>
      <c r="W31" s="22"/>
      <c r="X31" s="22">
        <v>6.6589999999999998</v>
      </c>
      <c r="Y31" s="22">
        <v>0.40899999999999997</v>
      </c>
      <c r="Z31" s="22"/>
      <c r="AA31" s="22"/>
      <c r="AB31" s="22"/>
      <c r="AC31" s="22"/>
      <c r="AD31" s="22"/>
      <c r="AE31" s="22"/>
    </row>
    <row r="32" spans="2:31" ht="14.4" thickBot="1" x14ac:dyDescent="0.3">
      <c r="B32" s="2">
        <v>10</v>
      </c>
      <c r="C32" s="3">
        <v>45688</v>
      </c>
      <c r="D32" s="3">
        <v>45695</v>
      </c>
      <c r="E32" s="2" t="s">
        <v>58</v>
      </c>
      <c r="F32" s="2" t="s">
        <v>63</v>
      </c>
      <c r="G32" s="2" t="s">
        <v>8</v>
      </c>
      <c r="H32" s="2" t="s">
        <v>8</v>
      </c>
      <c r="I32" s="2" t="s">
        <v>8</v>
      </c>
      <c r="J32" s="2" t="s">
        <v>8</v>
      </c>
      <c r="K32" s="2" t="s">
        <v>8</v>
      </c>
      <c r="L32" s="11">
        <v>0.92162288867530184</v>
      </c>
      <c r="M32" s="10">
        <v>0.43862351259695664</v>
      </c>
      <c r="N32" s="10">
        <f t="shared" si="5"/>
        <v>52.407484884906253</v>
      </c>
      <c r="O32" s="2" t="s">
        <v>8</v>
      </c>
      <c r="P32" s="2" t="s">
        <v>8</v>
      </c>
      <c r="Q32" s="2" t="s">
        <v>8</v>
      </c>
      <c r="R32" s="2" t="s">
        <v>8</v>
      </c>
      <c r="S32" s="2" t="s">
        <v>42</v>
      </c>
      <c r="T32" s="53" t="s">
        <v>48</v>
      </c>
      <c r="V32" s="19">
        <v>10</v>
      </c>
      <c r="W32" s="23"/>
      <c r="X32" s="23"/>
      <c r="Y32" s="23"/>
      <c r="Z32" s="23"/>
      <c r="AA32" s="23"/>
      <c r="AB32" s="23"/>
      <c r="AC32" s="23"/>
      <c r="AD32" s="23"/>
      <c r="AE32" s="23"/>
    </row>
    <row r="33" spans="2:31" x14ac:dyDescent="0.25">
      <c r="B33" s="2">
        <v>11</v>
      </c>
      <c r="C33" s="3">
        <v>45688</v>
      </c>
      <c r="D33" s="3">
        <v>45695</v>
      </c>
      <c r="E33" s="2" t="s">
        <v>58</v>
      </c>
      <c r="F33" s="2" t="s">
        <v>64</v>
      </c>
      <c r="G33" s="2" t="s">
        <v>8</v>
      </c>
      <c r="H33" s="2" t="s">
        <v>8</v>
      </c>
      <c r="I33" s="2" t="s">
        <v>8</v>
      </c>
      <c r="J33" s="2" t="s">
        <v>8</v>
      </c>
      <c r="K33" s="2" t="s">
        <v>8</v>
      </c>
      <c r="L33" s="11">
        <v>0.98356273429927965</v>
      </c>
      <c r="M33" s="10">
        <v>0.53733929439261652</v>
      </c>
      <c r="N33" s="10">
        <f t="shared" si="5"/>
        <v>45.368071028490768</v>
      </c>
      <c r="O33" s="2" t="s">
        <v>8</v>
      </c>
      <c r="P33" s="2" t="s">
        <v>8</v>
      </c>
      <c r="Q33" s="2" t="s">
        <v>8</v>
      </c>
      <c r="R33" s="2" t="s">
        <v>8</v>
      </c>
      <c r="S33" s="2" t="s">
        <v>42</v>
      </c>
      <c r="T33" s="53"/>
      <c r="V33" s="24" t="s">
        <v>55</v>
      </c>
      <c r="W33" s="17">
        <f>AVERAGE(W23:W32)</f>
        <v>5.3728750000000014</v>
      </c>
      <c r="X33" s="17">
        <f>AVERAGE(X23:X32)</f>
        <v>6.94411111111111</v>
      </c>
      <c r="Y33" s="17">
        <f t="shared" ref="Y33:AE33" si="6">AVERAGE(Y23:Y32)</f>
        <v>9.6859999999999999</v>
      </c>
      <c r="Z33" s="17">
        <f t="shared" si="6"/>
        <v>9.2965</v>
      </c>
      <c r="AA33" s="17">
        <f t="shared" si="6"/>
        <v>5.5528571428571425</v>
      </c>
      <c r="AB33" s="17">
        <f t="shared" si="6"/>
        <v>8.1062857142857148</v>
      </c>
      <c r="AC33" s="17">
        <f t="shared" si="6"/>
        <v>5.6956249999999997</v>
      </c>
      <c r="AD33" s="17">
        <f t="shared" si="6"/>
        <v>5.4081666666666663</v>
      </c>
      <c r="AE33" s="17">
        <f t="shared" si="6"/>
        <v>8.8552857142857153</v>
      </c>
    </row>
    <row r="34" spans="2:31" ht="14.4" thickBot="1" x14ac:dyDescent="0.3">
      <c r="B34" s="2">
        <v>12</v>
      </c>
      <c r="C34" s="3">
        <v>45688</v>
      </c>
      <c r="D34" s="3">
        <v>45695</v>
      </c>
      <c r="E34" s="2" t="s">
        <v>58</v>
      </c>
      <c r="F34" s="2" t="s">
        <v>65</v>
      </c>
      <c r="G34" s="2" t="s">
        <v>8</v>
      </c>
      <c r="H34" s="2" t="s">
        <v>8</v>
      </c>
      <c r="I34" s="2" t="s">
        <v>8</v>
      </c>
      <c r="J34" s="2" t="s">
        <v>8</v>
      </c>
      <c r="K34" s="2" t="s">
        <v>8</v>
      </c>
      <c r="L34" s="11">
        <v>1.13539679133306</v>
      </c>
      <c r="M34" s="10">
        <v>0.58462073767464917</v>
      </c>
      <c r="N34" s="10">
        <f t="shared" si="5"/>
        <v>48.509565806659474</v>
      </c>
      <c r="O34" s="2" t="s">
        <v>8</v>
      </c>
      <c r="P34" s="2" t="s">
        <v>8</v>
      </c>
      <c r="Q34" s="2" t="s">
        <v>8</v>
      </c>
      <c r="R34" s="2" t="s">
        <v>8</v>
      </c>
      <c r="S34" s="2" t="s">
        <v>42</v>
      </c>
      <c r="T34" s="53"/>
      <c r="V34" s="19" t="s">
        <v>57</v>
      </c>
      <c r="W34" s="18">
        <f>_xlfn.STDEV.S(W23:W32)</f>
        <v>4.484283839541316</v>
      </c>
      <c r="X34" s="18">
        <f t="shared" ref="X34:AE34" si="7">_xlfn.STDEV.S(X23:X32)</f>
        <v>2.4175596396182524</v>
      </c>
      <c r="Y34" s="18">
        <f t="shared" si="7"/>
        <v>5.1353879843688546</v>
      </c>
      <c r="Z34" s="18">
        <f t="shared" si="7"/>
        <v>3.8044146330283199</v>
      </c>
      <c r="AA34" s="18">
        <f t="shared" si="7"/>
        <v>3.9855358246443879</v>
      </c>
      <c r="AB34" s="18">
        <f t="shared" si="7"/>
        <v>5.4891176799884587</v>
      </c>
      <c r="AC34" s="18">
        <f t="shared" si="7"/>
        <v>3.7662688978237191</v>
      </c>
      <c r="AD34" s="18">
        <f t="shared" si="7"/>
        <v>2.5856278476738832</v>
      </c>
      <c r="AE34" s="18">
        <f t="shared" si="7"/>
        <v>5.8834236550466006</v>
      </c>
    </row>
    <row r="35" spans="2:31" x14ac:dyDescent="0.25">
      <c r="B35" s="2">
        <v>13</v>
      </c>
      <c r="C35" s="3">
        <v>45688</v>
      </c>
      <c r="D35" s="3">
        <v>45695</v>
      </c>
      <c r="E35" s="2" t="s">
        <v>59</v>
      </c>
      <c r="F35" s="2" t="s">
        <v>66</v>
      </c>
      <c r="G35" s="2" t="s">
        <v>8</v>
      </c>
      <c r="H35" s="2" t="s">
        <v>8</v>
      </c>
      <c r="I35" s="2" t="s">
        <v>8</v>
      </c>
      <c r="J35" s="2" t="s">
        <v>8</v>
      </c>
      <c r="K35" s="2" t="s">
        <v>8</v>
      </c>
      <c r="L35" s="11">
        <v>0.90804400127674323</v>
      </c>
      <c r="M35" s="10">
        <v>0.75435554225832702</v>
      </c>
      <c r="N35" s="10">
        <f t="shared" si="5"/>
        <v>16.925221553396597</v>
      </c>
      <c r="O35" s="2" t="s">
        <v>8</v>
      </c>
      <c r="P35" s="2" t="s">
        <v>8</v>
      </c>
      <c r="Q35" s="2" t="s">
        <v>8</v>
      </c>
      <c r="R35" s="2" t="s">
        <v>8</v>
      </c>
      <c r="S35" s="2" t="s">
        <v>42</v>
      </c>
      <c r="T35" s="53"/>
    </row>
    <row r="36" spans="2:31" x14ac:dyDescent="0.25">
      <c r="B36" s="2">
        <v>14</v>
      </c>
      <c r="C36" s="3">
        <v>45688</v>
      </c>
      <c r="D36" s="3">
        <v>45695</v>
      </c>
      <c r="E36" s="2" t="s">
        <v>59</v>
      </c>
      <c r="F36" s="2" t="s">
        <v>67</v>
      </c>
      <c r="G36" s="2" t="s">
        <v>8</v>
      </c>
      <c r="H36" s="2" t="s">
        <v>8</v>
      </c>
      <c r="I36" s="2" t="s">
        <v>8</v>
      </c>
      <c r="J36" s="2" t="s">
        <v>8</v>
      </c>
      <c r="K36" s="2" t="s">
        <v>8</v>
      </c>
      <c r="L36" s="11">
        <v>0.91571869503284375</v>
      </c>
      <c r="M36" s="10">
        <v>0.65997663088023995</v>
      </c>
      <c r="N36" s="10">
        <f t="shared" si="5"/>
        <v>27.92801605338321</v>
      </c>
      <c r="O36" s="2" t="s">
        <v>8</v>
      </c>
      <c r="P36" s="2" t="s">
        <v>8</v>
      </c>
      <c r="Q36" s="2" t="s">
        <v>8</v>
      </c>
      <c r="R36" s="2" t="s">
        <v>8</v>
      </c>
      <c r="S36" s="2" t="s">
        <v>42</v>
      </c>
      <c r="T36" s="53"/>
    </row>
    <row r="37" spans="2:31" ht="14.4" thickBot="1" x14ac:dyDescent="0.3">
      <c r="B37" s="5">
        <v>15</v>
      </c>
      <c r="C37" s="6">
        <v>45688</v>
      </c>
      <c r="D37" s="6">
        <v>45695</v>
      </c>
      <c r="E37" s="5" t="s">
        <v>59</v>
      </c>
      <c r="F37" s="5" t="s">
        <v>68</v>
      </c>
      <c r="G37" s="5" t="s">
        <v>8</v>
      </c>
      <c r="H37" s="5" t="s">
        <v>8</v>
      </c>
      <c r="I37" s="5" t="s">
        <v>8</v>
      </c>
      <c r="J37" s="5" t="s">
        <v>8</v>
      </c>
      <c r="K37" s="5" t="s">
        <v>8</v>
      </c>
      <c r="L37" s="13">
        <v>0.89121602335826111</v>
      </c>
      <c r="M37" s="12">
        <v>0.75427908600467697</v>
      </c>
      <c r="N37" s="12">
        <f t="shared" si="5"/>
        <v>15.365179009863548</v>
      </c>
      <c r="O37" s="5" t="s">
        <v>8</v>
      </c>
      <c r="P37" s="5" t="s">
        <v>8</v>
      </c>
      <c r="Q37" s="5" t="s">
        <v>8</v>
      </c>
      <c r="R37" s="5" t="s">
        <v>8</v>
      </c>
      <c r="S37" s="5" t="s">
        <v>42</v>
      </c>
      <c r="T37" s="54"/>
    </row>
  </sheetData>
  <mergeCells count="7">
    <mergeCell ref="W3:AE3"/>
    <mergeCell ref="T23:T25"/>
    <mergeCell ref="T26:T28"/>
    <mergeCell ref="T32:T37"/>
    <mergeCell ref="B2:T2"/>
    <mergeCell ref="T5:T13"/>
    <mergeCell ref="T14:T19"/>
  </mergeCells>
  <phoneticPr fontId="4"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603657-7A0D-4567-B464-38E37D36ADA4}">
  <dimension ref="B2:AE39"/>
  <sheetViews>
    <sheetView topLeftCell="D1" zoomScale="85" zoomScaleNormal="85" workbookViewId="0">
      <selection activeCell="K24" sqref="K24"/>
    </sheetView>
  </sheetViews>
  <sheetFormatPr baseColWidth="10" defaultRowHeight="13.8" x14ac:dyDescent="0.25"/>
  <cols>
    <col min="1" max="4" width="11.5546875" style="1"/>
    <col min="5" max="5" width="14.21875" style="1" customWidth="1"/>
    <col min="6" max="15" width="11.5546875" style="1"/>
    <col min="16" max="16" width="13" style="1" customWidth="1"/>
    <col min="17" max="18" width="11.5546875" style="1"/>
    <col min="19" max="19" width="42.77734375" style="1" customWidth="1"/>
    <col min="20" max="20" width="30.6640625" style="1" customWidth="1"/>
    <col min="21" max="21" width="11.5546875" style="1"/>
    <col min="22" max="22" width="7.109375" style="1" customWidth="1"/>
    <col min="23" max="16384" width="11.5546875" style="1"/>
  </cols>
  <sheetData>
    <row r="2" spans="2:31" ht="14.4" thickBot="1" x14ac:dyDescent="0.3">
      <c r="B2" s="55" t="s">
        <v>0</v>
      </c>
      <c r="C2" s="55"/>
      <c r="D2" s="55"/>
      <c r="E2" s="55"/>
      <c r="F2" s="55"/>
      <c r="G2" s="55"/>
      <c r="H2" s="55"/>
      <c r="I2" s="55"/>
      <c r="J2" s="55"/>
      <c r="K2" s="55"/>
      <c r="L2" s="55"/>
      <c r="M2" s="55"/>
      <c r="N2" s="55"/>
      <c r="O2" s="55"/>
      <c r="P2" s="55"/>
      <c r="Q2" s="55"/>
      <c r="R2" s="55"/>
      <c r="S2" s="55"/>
      <c r="T2" s="55"/>
      <c r="V2" s="4"/>
    </row>
    <row r="3" spans="2:31" ht="14.4" thickBot="1" x14ac:dyDescent="0.3">
      <c r="B3" s="4"/>
      <c r="C3" s="4"/>
      <c r="D3" s="4"/>
      <c r="E3" s="4"/>
      <c r="F3" s="4"/>
      <c r="G3" s="4"/>
      <c r="H3" s="4"/>
      <c r="I3" s="4"/>
      <c r="J3" s="4"/>
      <c r="K3" s="4"/>
      <c r="L3" s="4"/>
      <c r="M3" s="4"/>
      <c r="N3" s="4"/>
      <c r="O3" s="4"/>
      <c r="P3" s="4"/>
      <c r="Q3" s="4"/>
      <c r="R3" s="4"/>
      <c r="S3" s="4"/>
      <c r="T3" s="4"/>
      <c r="W3" s="58" t="s">
        <v>1</v>
      </c>
      <c r="X3" s="58"/>
      <c r="Y3" s="58"/>
      <c r="Z3" s="58"/>
      <c r="AA3" s="58"/>
      <c r="AB3" s="58"/>
      <c r="AC3" s="58"/>
      <c r="AD3" s="58"/>
      <c r="AE3" s="58"/>
    </row>
    <row r="4" spans="2:31" ht="30" x14ac:dyDescent="0.25">
      <c r="B4" s="7" t="s">
        <v>1</v>
      </c>
      <c r="C4" s="7" t="s">
        <v>6</v>
      </c>
      <c r="D4" s="7" t="s">
        <v>7</v>
      </c>
      <c r="E4" s="7" t="s">
        <v>2</v>
      </c>
      <c r="F4" s="7" t="s">
        <v>17</v>
      </c>
      <c r="G4" s="7" t="s">
        <v>14</v>
      </c>
      <c r="H4" s="7" t="s">
        <v>44</v>
      </c>
      <c r="I4" s="7" t="s">
        <v>61</v>
      </c>
      <c r="J4" s="7" t="s">
        <v>60</v>
      </c>
      <c r="K4" s="7" t="s">
        <v>102</v>
      </c>
      <c r="L4" s="7" t="s">
        <v>15</v>
      </c>
      <c r="M4" s="7" t="s">
        <v>16</v>
      </c>
      <c r="N4" s="7" t="s">
        <v>99</v>
      </c>
      <c r="O4" s="7" t="s">
        <v>12</v>
      </c>
      <c r="P4" s="7" t="s">
        <v>10</v>
      </c>
      <c r="Q4" s="7" t="s">
        <v>9</v>
      </c>
      <c r="R4" s="7" t="s">
        <v>56</v>
      </c>
      <c r="S4" s="7" t="s">
        <v>11</v>
      </c>
      <c r="T4" s="7" t="s">
        <v>13</v>
      </c>
      <c r="U4" s="2"/>
      <c r="V4" s="15" t="s">
        <v>54</v>
      </c>
      <c r="W4" s="20">
        <v>10</v>
      </c>
      <c r="X4" s="15">
        <v>11</v>
      </c>
      <c r="Y4" s="20">
        <v>12</v>
      </c>
      <c r="Z4" s="15">
        <v>13</v>
      </c>
      <c r="AA4" s="20">
        <v>14</v>
      </c>
      <c r="AB4" s="20">
        <v>15</v>
      </c>
      <c r="AC4" s="20">
        <v>16</v>
      </c>
      <c r="AD4" s="15">
        <v>17</v>
      </c>
      <c r="AE4" s="20">
        <v>18</v>
      </c>
    </row>
    <row r="5" spans="2:31" ht="13.8" customHeight="1" x14ac:dyDescent="0.25">
      <c r="B5" s="2">
        <v>10</v>
      </c>
      <c r="C5" s="3">
        <v>45680</v>
      </c>
      <c r="D5" s="3">
        <v>45687</v>
      </c>
      <c r="E5" s="2" t="s">
        <v>58</v>
      </c>
      <c r="F5" s="2" t="s">
        <v>18</v>
      </c>
      <c r="G5" s="2">
        <v>22.1</v>
      </c>
      <c r="H5" s="2">
        <v>8375.4</v>
      </c>
      <c r="I5" s="2">
        <f>8635.2-H5</f>
        <v>259.80000000000109</v>
      </c>
      <c r="J5" s="2">
        <f>8396.2-H5</f>
        <v>20.800000000001091</v>
      </c>
      <c r="K5" s="2">
        <f>J5-G5</f>
        <v>-1.29999999999891</v>
      </c>
      <c r="L5" s="11">
        <v>0.97814182773732705</v>
      </c>
      <c r="M5" s="11">
        <v>0.68182074913361745</v>
      </c>
      <c r="N5" s="11">
        <f>(L5-M5)/L5*100</f>
        <v>30.294285573000206</v>
      </c>
      <c r="O5" s="3">
        <v>45685</v>
      </c>
      <c r="P5" s="2">
        <v>9</v>
      </c>
      <c r="Q5" s="11">
        <f>W15</f>
        <v>0.51587499999999997</v>
      </c>
      <c r="R5" s="11">
        <f>W16</f>
        <v>0.26620101829793436</v>
      </c>
      <c r="S5" s="2" t="s">
        <v>47</v>
      </c>
      <c r="T5" s="56" t="s">
        <v>70</v>
      </c>
      <c r="U5" s="2"/>
      <c r="V5" s="25">
        <v>1</v>
      </c>
      <c r="W5" s="22">
        <v>0.26500000000000001</v>
      </c>
      <c r="X5" s="21">
        <v>0.49199999999999999</v>
      </c>
      <c r="Y5" s="21">
        <v>0.90600000000000003</v>
      </c>
      <c r="Z5" s="21">
        <v>1.4219999999999999</v>
      </c>
      <c r="AA5" s="21">
        <v>2.7959999999999998</v>
      </c>
      <c r="AB5" s="22">
        <v>2.008</v>
      </c>
      <c r="AC5" s="22">
        <v>0.56799999999999995</v>
      </c>
      <c r="AD5" s="21">
        <v>0.78100000000000003</v>
      </c>
      <c r="AE5" s="21">
        <v>0.92400000000000004</v>
      </c>
    </row>
    <row r="6" spans="2:31" x14ac:dyDescent="0.25">
      <c r="B6" s="2">
        <v>11</v>
      </c>
      <c r="C6" s="3">
        <v>45680</v>
      </c>
      <c r="D6" s="3">
        <v>45687</v>
      </c>
      <c r="E6" s="2" t="s">
        <v>58</v>
      </c>
      <c r="F6" s="2" t="s">
        <v>19</v>
      </c>
      <c r="G6" s="2">
        <v>21.6</v>
      </c>
      <c r="H6" s="2">
        <v>8274.4</v>
      </c>
      <c r="I6" s="2">
        <f>8451.8-H6</f>
        <v>177.39999999999964</v>
      </c>
      <c r="J6" s="2">
        <f>8295.8-H6</f>
        <v>21.399999999999636</v>
      </c>
      <c r="K6" s="2">
        <f t="shared" ref="K6:K13" si="0">J6-G6</f>
        <v>-0.20000000000036522</v>
      </c>
      <c r="L6" s="11">
        <v>0.91217378517265424</v>
      </c>
      <c r="M6" s="11">
        <v>0.59762787084580138</v>
      </c>
      <c r="N6" s="11">
        <f t="shared" ref="N6:N19" si="1">(L6-M6)/L6*100</f>
        <v>34.483112696262843</v>
      </c>
      <c r="O6" s="3">
        <v>45685</v>
      </c>
      <c r="P6" s="2">
        <v>8</v>
      </c>
      <c r="Q6" s="14">
        <f>X15</f>
        <v>0.55249999999999999</v>
      </c>
      <c r="R6" s="11">
        <f>X16</f>
        <v>0.39019994874423036</v>
      </c>
      <c r="S6" s="2" t="s">
        <v>69</v>
      </c>
      <c r="T6" s="53"/>
      <c r="U6" s="2"/>
      <c r="V6" s="15">
        <v>2</v>
      </c>
      <c r="W6" s="22">
        <v>0.57099999999999995</v>
      </c>
      <c r="X6" s="22">
        <v>1.0089999999999999</v>
      </c>
      <c r="Y6" s="22">
        <v>1.28</v>
      </c>
      <c r="Z6" s="22">
        <v>0.81399999999999995</v>
      </c>
      <c r="AA6" s="22">
        <v>1.6679999999999999</v>
      </c>
      <c r="AB6" s="22">
        <v>1.0960000000000001</v>
      </c>
      <c r="AC6" s="22">
        <v>0.58299999999999996</v>
      </c>
      <c r="AD6" s="22">
        <v>0.29799999999999999</v>
      </c>
      <c r="AE6" s="22">
        <v>0.216</v>
      </c>
    </row>
    <row r="7" spans="2:31" x14ac:dyDescent="0.25">
      <c r="B7" s="2">
        <v>12</v>
      </c>
      <c r="C7" s="3">
        <v>45680</v>
      </c>
      <c r="D7" s="3">
        <v>45687</v>
      </c>
      <c r="E7" s="2" t="s">
        <v>58</v>
      </c>
      <c r="F7" s="2" t="s">
        <v>20</v>
      </c>
      <c r="G7" s="2">
        <v>16.600000000000001</v>
      </c>
      <c r="H7" s="2">
        <v>8122.7</v>
      </c>
      <c r="I7" s="2">
        <f>8313.2-H7</f>
        <v>190.50000000000091</v>
      </c>
      <c r="J7" s="22">
        <f>8137.8-H7</f>
        <v>15.100000000000364</v>
      </c>
      <c r="K7" s="2">
        <f t="shared" si="0"/>
        <v>-1.4999999999996376</v>
      </c>
      <c r="L7" s="11">
        <v>0.90129672794935034</v>
      </c>
      <c r="M7" s="11">
        <v>0.60091542946240484</v>
      </c>
      <c r="N7" s="11">
        <f t="shared" si="1"/>
        <v>33.327681014706386</v>
      </c>
      <c r="O7" s="3">
        <v>45685</v>
      </c>
      <c r="P7" s="2">
        <v>7</v>
      </c>
      <c r="Q7" s="11">
        <f>Y15</f>
        <v>0.68528571428571428</v>
      </c>
      <c r="R7" s="11">
        <f>Y16</f>
        <v>0.38404067244920559</v>
      </c>
      <c r="S7" s="2" t="s">
        <v>69</v>
      </c>
      <c r="T7" s="53"/>
      <c r="U7" s="2"/>
      <c r="V7" s="15">
        <v>3</v>
      </c>
      <c r="W7" s="22">
        <v>0.71299999999999997</v>
      </c>
      <c r="X7" s="22">
        <v>0.36</v>
      </c>
      <c r="Y7" s="22">
        <v>0.67500000000000004</v>
      </c>
      <c r="Z7" s="22">
        <v>0.76200000000000001</v>
      </c>
      <c r="AA7" s="22">
        <v>0.77</v>
      </c>
      <c r="AB7" s="22">
        <v>0.51</v>
      </c>
      <c r="AC7" s="22">
        <v>0.65600000000000003</v>
      </c>
      <c r="AD7" s="22">
        <v>0.61399999999999999</v>
      </c>
      <c r="AE7" s="22">
        <v>0.76200000000000001</v>
      </c>
    </row>
    <row r="8" spans="2:31" x14ac:dyDescent="0.25">
      <c r="B8" s="2">
        <v>13</v>
      </c>
      <c r="C8" s="3">
        <v>45680</v>
      </c>
      <c r="D8" s="3">
        <v>45687</v>
      </c>
      <c r="E8" s="2" t="s">
        <v>59</v>
      </c>
      <c r="F8" s="2" t="s">
        <v>21</v>
      </c>
      <c r="G8" s="2">
        <v>17.8</v>
      </c>
      <c r="H8" s="2">
        <v>7986.9</v>
      </c>
      <c r="I8" s="2">
        <f>8183.3-H8</f>
        <v>196.40000000000055</v>
      </c>
      <c r="J8" s="2">
        <f>8004.3-H8</f>
        <v>17.400000000000546</v>
      </c>
      <c r="K8" s="2">
        <f t="shared" si="0"/>
        <v>-0.39999999999945501</v>
      </c>
      <c r="L8" s="11">
        <v>0.91570969959697157</v>
      </c>
      <c r="M8" s="11">
        <v>0.79991302595327296</v>
      </c>
      <c r="N8" s="11">
        <f>(L8-M8)/L8*100</f>
        <v>12.645565914029724</v>
      </c>
      <c r="O8" s="3">
        <v>45684</v>
      </c>
      <c r="P8" s="2">
        <v>8</v>
      </c>
      <c r="Q8" s="14">
        <f>Z15</f>
        <v>0.62362499999999998</v>
      </c>
      <c r="R8" s="11">
        <f>Z16</f>
        <v>0.39480951555329641</v>
      </c>
      <c r="S8" s="2" t="s">
        <v>47</v>
      </c>
      <c r="T8" s="53"/>
      <c r="U8" s="2"/>
      <c r="V8" s="15">
        <v>4</v>
      </c>
      <c r="W8" s="22">
        <v>0.59399999999999997</v>
      </c>
      <c r="X8" s="22">
        <v>0.41599999999999998</v>
      </c>
      <c r="Y8" s="22">
        <v>0.92600000000000005</v>
      </c>
      <c r="Z8" s="22">
        <v>0.52400000000000002</v>
      </c>
      <c r="AA8" s="22">
        <v>2.35</v>
      </c>
      <c r="AB8" s="22">
        <v>0.14000000000000001</v>
      </c>
      <c r="AC8" s="22">
        <v>1.413</v>
      </c>
      <c r="AD8" s="22">
        <v>0.88</v>
      </c>
      <c r="AE8" s="22">
        <v>0.39</v>
      </c>
    </row>
    <row r="9" spans="2:31" x14ac:dyDescent="0.25">
      <c r="B9" s="2">
        <v>14</v>
      </c>
      <c r="C9" s="3">
        <v>45680</v>
      </c>
      <c r="D9" s="3">
        <v>45687</v>
      </c>
      <c r="E9" s="2" t="s">
        <v>59</v>
      </c>
      <c r="F9" s="2" t="s">
        <v>22</v>
      </c>
      <c r="G9" s="2">
        <v>20.399999999999999</v>
      </c>
      <c r="H9" s="2">
        <v>7898.8</v>
      </c>
      <c r="I9" s="2">
        <f>8102.9-H9</f>
        <v>204.09999999999945</v>
      </c>
      <c r="J9" s="2">
        <f>7913.2-H9</f>
        <v>14.399999999999636</v>
      </c>
      <c r="K9" s="2">
        <f t="shared" si="0"/>
        <v>-6.0000000000003624</v>
      </c>
      <c r="L9" s="11">
        <v>0.93794008754208302</v>
      </c>
      <c r="M9" s="11">
        <v>0.85445781017161737</v>
      </c>
      <c r="N9" s="11">
        <f t="shared" si="1"/>
        <v>8.9005980743647459</v>
      </c>
      <c r="O9" s="3">
        <v>45684</v>
      </c>
      <c r="P9" s="2">
        <v>9</v>
      </c>
      <c r="Q9" s="11">
        <f>AA15</f>
        <v>1.0751111111111111</v>
      </c>
      <c r="R9" s="14">
        <f>AA16</f>
        <v>0.96208035584929774</v>
      </c>
      <c r="S9" s="2" t="s">
        <v>47</v>
      </c>
      <c r="T9" s="53"/>
      <c r="U9" s="2"/>
      <c r="V9" s="15">
        <v>5</v>
      </c>
      <c r="W9" s="22">
        <v>0.19600000000000001</v>
      </c>
      <c r="X9" s="22">
        <v>0.44</v>
      </c>
      <c r="Y9" s="22">
        <v>0.53400000000000003</v>
      </c>
      <c r="Z9" s="22">
        <v>0.107</v>
      </c>
      <c r="AA9" s="22">
        <v>0.22700000000000001</v>
      </c>
      <c r="AB9" s="22">
        <v>1.175</v>
      </c>
      <c r="AC9" s="22">
        <v>0.21299999999999999</v>
      </c>
      <c r="AD9" s="22">
        <v>0.61399999999999999</v>
      </c>
      <c r="AE9" s="22">
        <v>0.316</v>
      </c>
    </row>
    <row r="10" spans="2:31" x14ac:dyDescent="0.25">
      <c r="B10" s="2">
        <v>15</v>
      </c>
      <c r="C10" s="3">
        <v>45680</v>
      </c>
      <c r="D10" s="3">
        <v>45687</v>
      </c>
      <c r="E10" s="2" t="s">
        <v>59</v>
      </c>
      <c r="F10" s="2" t="s">
        <v>23</v>
      </c>
      <c r="G10" s="2">
        <v>19.2</v>
      </c>
      <c r="H10" s="2">
        <v>8056.8</v>
      </c>
      <c r="I10" s="2">
        <f>8260.4-H10</f>
        <v>203.59999999999945</v>
      </c>
      <c r="J10" s="2">
        <f>8074.3-H10</f>
        <v>17.5</v>
      </c>
      <c r="K10" s="2">
        <f t="shared" si="0"/>
        <v>-1.6999999999999993</v>
      </c>
      <c r="L10" s="11">
        <v>0.93769877563286874</v>
      </c>
      <c r="M10" s="11">
        <v>0.73256555412051083</v>
      </c>
      <c r="N10" s="11">
        <f t="shared" si="1"/>
        <v>21.876238600600715</v>
      </c>
      <c r="O10" s="3">
        <v>45684</v>
      </c>
      <c r="P10" s="2">
        <v>8</v>
      </c>
      <c r="Q10" s="14">
        <f>AB15</f>
        <v>0.84512500000000013</v>
      </c>
      <c r="R10" s="11">
        <f>AB16</f>
        <v>0.72728800298486573</v>
      </c>
      <c r="S10" s="2" t="s">
        <v>47</v>
      </c>
      <c r="T10" s="53"/>
      <c r="U10" s="2"/>
      <c r="V10" s="15">
        <v>6</v>
      </c>
      <c r="W10" s="22">
        <v>0.3</v>
      </c>
      <c r="X10" s="22">
        <v>0.26400000000000001</v>
      </c>
      <c r="Y10" s="22">
        <v>0.26500000000000001</v>
      </c>
      <c r="Z10" s="22">
        <v>0.40500000000000003</v>
      </c>
      <c r="AA10" s="22">
        <v>0.52800000000000002</v>
      </c>
      <c r="AB10" s="22">
        <v>1.5780000000000001</v>
      </c>
      <c r="AC10" s="22">
        <v>0.432</v>
      </c>
      <c r="AD10" s="22">
        <v>0.13100000000000001</v>
      </c>
      <c r="AE10" s="22">
        <v>0.35099999999999998</v>
      </c>
    </row>
    <row r="11" spans="2:31" x14ac:dyDescent="0.25">
      <c r="B11" s="2">
        <v>16</v>
      </c>
      <c r="C11" s="3">
        <v>45680</v>
      </c>
      <c r="D11" s="3">
        <v>45687</v>
      </c>
      <c r="E11" s="2" t="s">
        <v>4</v>
      </c>
      <c r="F11" s="2" t="s">
        <v>24</v>
      </c>
      <c r="G11" s="2">
        <v>18.2</v>
      </c>
      <c r="H11" s="2">
        <v>7736.6</v>
      </c>
      <c r="I11" s="2">
        <f>7947.5-H11</f>
        <v>210.89999999999964</v>
      </c>
      <c r="J11" s="2">
        <f>7753.3-H11</f>
        <v>16.699999999999818</v>
      </c>
      <c r="K11" s="2">
        <f t="shared" si="0"/>
        <v>-1.5000000000001812</v>
      </c>
      <c r="L11" s="11" t="s">
        <v>43</v>
      </c>
      <c r="M11" s="11" t="s">
        <v>43</v>
      </c>
      <c r="N11" s="11" t="s">
        <v>43</v>
      </c>
      <c r="O11" s="3">
        <v>45685</v>
      </c>
      <c r="P11" s="2">
        <v>9</v>
      </c>
      <c r="Q11" s="11">
        <f>AC15</f>
        <v>0.52044444444444438</v>
      </c>
      <c r="R11" s="11">
        <f>AC16</f>
        <v>0.37899245081898131</v>
      </c>
      <c r="S11" s="2" t="s">
        <v>42</v>
      </c>
      <c r="T11" s="53"/>
      <c r="U11" s="2"/>
      <c r="V11" s="15">
        <v>7</v>
      </c>
      <c r="W11" s="22">
        <v>0.48699999999999999</v>
      </c>
      <c r="X11" s="22">
        <v>0.151</v>
      </c>
      <c r="Y11" s="22">
        <v>0.21099999999999999</v>
      </c>
      <c r="Z11" s="22">
        <v>0.35299999999999998</v>
      </c>
      <c r="AA11" s="22">
        <v>0.45900000000000002</v>
      </c>
      <c r="AB11" s="22">
        <v>0.14399999999999999</v>
      </c>
      <c r="AC11" s="22">
        <v>0.434</v>
      </c>
      <c r="AD11" s="22"/>
      <c r="AE11" s="22"/>
    </row>
    <row r="12" spans="2:31" x14ac:dyDescent="0.25">
      <c r="B12" s="2">
        <v>17</v>
      </c>
      <c r="C12" s="3">
        <v>45680</v>
      </c>
      <c r="D12" s="3">
        <v>45687</v>
      </c>
      <c r="E12" s="2" t="s">
        <v>4</v>
      </c>
      <c r="F12" s="2" t="s">
        <v>25</v>
      </c>
      <c r="G12" s="2">
        <v>18.2</v>
      </c>
      <c r="H12" s="2">
        <v>8629.6</v>
      </c>
      <c r="I12" s="2">
        <f>8786.7-H12</f>
        <v>157.10000000000036</v>
      </c>
      <c r="J12" s="2">
        <f>8644.9-H12</f>
        <v>15.299999999999272</v>
      </c>
      <c r="K12" s="2">
        <f t="shared" si="0"/>
        <v>-2.9000000000007269</v>
      </c>
      <c r="L12" s="11" t="s">
        <v>43</v>
      </c>
      <c r="M12" s="11" t="s">
        <v>43</v>
      </c>
      <c r="N12" s="11" t="s">
        <v>43</v>
      </c>
      <c r="O12" s="3">
        <v>45685</v>
      </c>
      <c r="P12" s="2">
        <v>6</v>
      </c>
      <c r="Q12" s="14">
        <f>AD15</f>
        <v>0.55299999999999994</v>
      </c>
      <c r="R12" s="11">
        <f>AD16</f>
        <v>0.2861691807305603</v>
      </c>
      <c r="S12" s="2" t="s">
        <v>69</v>
      </c>
      <c r="T12" s="53"/>
      <c r="U12" s="2"/>
      <c r="V12" s="15">
        <v>8</v>
      </c>
      <c r="W12" s="22">
        <v>1.0009999999999999</v>
      </c>
      <c r="X12" s="22">
        <v>1.288</v>
      </c>
      <c r="Y12" s="22"/>
      <c r="Z12" s="22">
        <v>0.60199999999999998</v>
      </c>
      <c r="AA12" s="22">
        <v>0.151</v>
      </c>
      <c r="AB12" s="22">
        <v>0.11</v>
      </c>
      <c r="AC12" s="22">
        <v>0.23100000000000001</v>
      </c>
      <c r="AD12" s="22"/>
      <c r="AE12" s="22"/>
    </row>
    <row r="13" spans="2:31" x14ac:dyDescent="0.25">
      <c r="B13" s="2">
        <v>18</v>
      </c>
      <c r="C13" s="3">
        <v>45680</v>
      </c>
      <c r="D13" s="3">
        <v>45687</v>
      </c>
      <c r="E13" s="2" t="s">
        <v>4</v>
      </c>
      <c r="F13" s="2" t="s">
        <v>26</v>
      </c>
      <c r="G13" s="2">
        <v>20.100000000000001</v>
      </c>
      <c r="H13" s="2">
        <v>7827</v>
      </c>
      <c r="I13" s="2">
        <f>7966.5-H13</f>
        <v>139.5</v>
      </c>
      <c r="J13" s="2">
        <f>7844.8-H13</f>
        <v>17.800000000000182</v>
      </c>
      <c r="K13" s="2">
        <f t="shared" si="0"/>
        <v>-2.2999999999998195</v>
      </c>
      <c r="L13" s="11" t="s">
        <v>43</v>
      </c>
      <c r="M13" s="11" t="s">
        <v>43</v>
      </c>
      <c r="N13" s="11" t="s">
        <v>43</v>
      </c>
      <c r="O13" s="3">
        <v>45685</v>
      </c>
      <c r="P13" s="2">
        <v>6</v>
      </c>
      <c r="Q13" s="11">
        <f>AE15</f>
        <v>0.4931666666666667</v>
      </c>
      <c r="R13" s="11">
        <f>AE16</f>
        <v>0.28176331675125249</v>
      </c>
      <c r="S13" s="2" t="s">
        <v>47</v>
      </c>
      <c r="T13" s="53"/>
      <c r="U13" s="2"/>
      <c r="V13" s="15">
        <v>9</v>
      </c>
      <c r="W13" s="22"/>
      <c r="X13" s="22"/>
      <c r="Y13" s="22"/>
      <c r="Z13" s="22"/>
      <c r="AA13" s="22">
        <v>0.72699999999999998</v>
      </c>
      <c r="AB13" s="22"/>
      <c r="AC13" s="22">
        <v>0.154</v>
      </c>
      <c r="AD13" s="22"/>
      <c r="AE13" s="22"/>
    </row>
    <row r="14" spans="2:31" ht="14.4" customHeight="1" thickBot="1" x14ac:dyDescent="0.3">
      <c r="B14" s="2">
        <v>19</v>
      </c>
      <c r="C14" s="3">
        <v>45680</v>
      </c>
      <c r="D14" s="3">
        <v>45687</v>
      </c>
      <c r="E14" s="2" t="s">
        <v>58</v>
      </c>
      <c r="F14" s="2" t="s">
        <v>27</v>
      </c>
      <c r="G14" s="2" t="s">
        <v>8</v>
      </c>
      <c r="H14" s="2" t="s">
        <v>8</v>
      </c>
      <c r="I14" s="2" t="s">
        <v>8</v>
      </c>
      <c r="J14" s="2" t="s">
        <v>8</v>
      </c>
      <c r="K14" s="2" t="s">
        <v>8</v>
      </c>
      <c r="L14" s="11">
        <v>0.97814182773732705</v>
      </c>
      <c r="M14" s="11">
        <v>0.45442469319441603</v>
      </c>
      <c r="N14" s="10">
        <f t="shared" si="1"/>
        <v>53.542044690430259</v>
      </c>
      <c r="O14" s="2" t="s">
        <v>8</v>
      </c>
      <c r="P14" s="2" t="s">
        <v>8</v>
      </c>
      <c r="Q14" s="2" t="s">
        <v>8</v>
      </c>
      <c r="R14" s="2" t="s">
        <v>8</v>
      </c>
      <c r="S14" s="2" t="s">
        <v>42</v>
      </c>
      <c r="T14" s="53"/>
      <c r="U14" s="2"/>
      <c r="V14" s="19">
        <v>10</v>
      </c>
      <c r="W14" s="23"/>
      <c r="X14" s="23"/>
      <c r="Y14" s="23"/>
      <c r="Z14" s="23"/>
      <c r="AA14" s="23"/>
      <c r="AB14" s="23"/>
      <c r="AC14" s="23"/>
      <c r="AD14" s="23"/>
      <c r="AE14" s="23"/>
    </row>
    <row r="15" spans="2:31" x14ac:dyDescent="0.25">
      <c r="B15" s="2">
        <v>20</v>
      </c>
      <c r="C15" s="3">
        <v>45680</v>
      </c>
      <c r="D15" s="3">
        <v>45687</v>
      </c>
      <c r="E15" s="2" t="s">
        <v>58</v>
      </c>
      <c r="F15" s="2" t="s">
        <v>28</v>
      </c>
      <c r="G15" s="2" t="s">
        <v>8</v>
      </c>
      <c r="H15" s="2" t="s">
        <v>8</v>
      </c>
      <c r="I15" s="2" t="s">
        <v>8</v>
      </c>
      <c r="J15" s="2" t="s">
        <v>8</v>
      </c>
      <c r="K15" s="2" t="s">
        <v>8</v>
      </c>
      <c r="L15" s="11">
        <v>0.91217378517265424</v>
      </c>
      <c r="M15" s="11">
        <v>0.51825375778652549</v>
      </c>
      <c r="N15" s="10">
        <f t="shared" si="1"/>
        <v>43.184756434495476</v>
      </c>
      <c r="O15" s="2" t="s">
        <v>8</v>
      </c>
      <c r="P15" s="2" t="s">
        <v>8</v>
      </c>
      <c r="Q15" s="2" t="s">
        <v>8</v>
      </c>
      <c r="R15" s="2" t="s">
        <v>8</v>
      </c>
      <c r="S15" s="2" t="s">
        <v>42</v>
      </c>
      <c r="T15" s="53"/>
      <c r="U15" s="2"/>
      <c r="V15" s="24" t="s">
        <v>55</v>
      </c>
      <c r="W15" s="17">
        <f>AVERAGE(W5:W14)</f>
        <v>0.51587499999999997</v>
      </c>
      <c r="X15" s="17">
        <f>AVERAGE(X5:X14)</f>
        <v>0.55249999999999999</v>
      </c>
      <c r="Y15" s="17">
        <f t="shared" ref="Y15:AE15" si="2">AVERAGE(Y5:Y14)</f>
        <v>0.68528571428571428</v>
      </c>
      <c r="Z15" s="17">
        <f t="shared" si="2"/>
        <v>0.62362499999999998</v>
      </c>
      <c r="AA15" s="17">
        <f t="shared" si="2"/>
        <v>1.0751111111111111</v>
      </c>
      <c r="AB15" s="17">
        <f t="shared" si="2"/>
        <v>0.84512500000000013</v>
      </c>
      <c r="AC15" s="17">
        <f t="shared" si="2"/>
        <v>0.52044444444444438</v>
      </c>
      <c r="AD15" s="17">
        <f t="shared" si="2"/>
        <v>0.55299999999999994</v>
      </c>
      <c r="AE15" s="17">
        <f t="shared" si="2"/>
        <v>0.4931666666666667</v>
      </c>
    </row>
    <row r="16" spans="2:31" ht="14.4" thickBot="1" x14ac:dyDescent="0.3">
      <c r="B16" s="2">
        <v>21</v>
      </c>
      <c r="C16" s="3">
        <v>45680</v>
      </c>
      <c r="D16" s="3">
        <v>45687</v>
      </c>
      <c r="E16" s="2" t="s">
        <v>58</v>
      </c>
      <c r="F16" s="2" t="s">
        <v>29</v>
      </c>
      <c r="G16" s="2" t="s">
        <v>8</v>
      </c>
      <c r="H16" s="2" t="s">
        <v>8</v>
      </c>
      <c r="I16" s="2" t="s">
        <v>8</v>
      </c>
      <c r="J16" s="2" t="s">
        <v>8</v>
      </c>
      <c r="K16" s="2" t="s">
        <v>8</v>
      </c>
      <c r="L16" s="11">
        <v>0.90129672794935034</v>
      </c>
      <c r="M16" s="11">
        <v>0.45512771494128573</v>
      </c>
      <c r="N16" s="10">
        <f t="shared" si="1"/>
        <v>49.50301040404284</v>
      </c>
      <c r="O16" s="2" t="s">
        <v>8</v>
      </c>
      <c r="P16" s="2" t="s">
        <v>8</v>
      </c>
      <c r="Q16" s="2" t="s">
        <v>8</v>
      </c>
      <c r="R16" s="2" t="s">
        <v>8</v>
      </c>
      <c r="S16" s="2" t="s">
        <v>42</v>
      </c>
      <c r="T16" s="53"/>
      <c r="U16" s="2"/>
      <c r="V16" s="19" t="s">
        <v>57</v>
      </c>
      <c r="W16" s="18">
        <f>_xlfn.STDEV.S(W5:W14)</f>
        <v>0.26620101829793436</v>
      </c>
      <c r="X16" s="18">
        <f t="shared" ref="X16:AE16" si="3">_xlfn.STDEV.S(X5:X14)</f>
        <v>0.39019994874423036</v>
      </c>
      <c r="Y16" s="18">
        <f t="shared" si="3"/>
        <v>0.38404067244920559</v>
      </c>
      <c r="Z16" s="18">
        <f t="shared" si="3"/>
        <v>0.39480951555329641</v>
      </c>
      <c r="AA16" s="18">
        <f t="shared" si="3"/>
        <v>0.96208035584929774</v>
      </c>
      <c r="AB16" s="18">
        <f t="shared" si="3"/>
        <v>0.72728800298486573</v>
      </c>
      <c r="AC16" s="18">
        <f t="shared" si="3"/>
        <v>0.37899245081898131</v>
      </c>
      <c r="AD16" s="18">
        <f t="shared" si="3"/>
        <v>0.2861691807305603</v>
      </c>
      <c r="AE16" s="18">
        <f t="shared" si="3"/>
        <v>0.28176331675125249</v>
      </c>
    </row>
    <row r="17" spans="2:31" x14ac:dyDescent="0.25">
      <c r="B17" s="2">
        <v>22</v>
      </c>
      <c r="C17" s="3">
        <v>45680</v>
      </c>
      <c r="D17" s="3">
        <v>45687</v>
      </c>
      <c r="E17" s="2" t="s">
        <v>59</v>
      </c>
      <c r="F17" s="2" t="s">
        <v>30</v>
      </c>
      <c r="G17" s="2" t="s">
        <v>8</v>
      </c>
      <c r="H17" s="2" t="s">
        <v>8</v>
      </c>
      <c r="I17" s="2" t="s">
        <v>8</v>
      </c>
      <c r="J17" s="2" t="s">
        <v>8</v>
      </c>
      <c r="K17" s="2" t="s">
        <v>8</v>
      </c>
      <c r="L17" s="11">
        <v>0.91570969959697157</v>
      </c>
      <c r="M17" s="11">
        <v>0.88755115443483001</v>
      </c>
      <c r="N17" s="10">
        <f t="shared" si="1"/>
        <v>3.0750515337486202</v>
      </c>
      <c r="O17" s="2" t="s">
        <v>8</v>
      </c>
      <c r="P17" s="2" t="s">
        <v>8</v>
      </c>
      <c r="Q17" s="2" t="s">
        <v>8</v>
      </c>
      <c r="R17" s="2" t="s">
        <v>8</v>
      </c>
      <c r="S17" s="2" t="s">
        <v>42</v>
      </c>
      <c r="T17" s="53"/>
      <c r="U17" s="2"/>
    </row>
    <row r="18" spans="2:31" x14ac:dyDescent="0.25">
      <c r="B18" s="2">
        <v>23</v>
      </c>
      <c r="C18" s="3">
        <v>45680</v>
      </c>
      <c r="D18" s="3">
        <v>45687</v>
      </c>
      <c r="E18" s="2" t="s">
        <v>59</v>
      </c>
      <c r="F18" s="2" t="s">
        <v>31</v>
      </c>
      <c r="G18" s="2" t="s">
        <v>8</v>
      </c>
      <c r="H18" s="2" t="s">
        <v>8</v>
      </c>
      <c r="I18" s="2" t="s">
        <v>8</v>
      </c>
      <c r="J18" s="2" t="s">
        <v>8</v>
      </c>
      <c r="K18" s="2" t="s">
        <v>8</v>
      </c>
      <c r="L18" s="11">
        <v>0.93794008754208302</v>
      </c>
      <c r="M18" s="11">
        <v>0.85826075944164237</v>
      </c>
      <c r="N18" s="10">
        <f t="shared" si="1"/>
        <v>8.4951404848516656</v>
      </c>
      <c r="O18" s="2" t="s">
        <v>8</v>
      </c>
      <c r="P18" s="2" t="s">
        <v>8</v>
      </c>
      <c r="Q18" s="2" t="s">
        <v>8</v>
      </c>
      <c r="R18" s="2" t="s">
        <v>8</v>
      </c>
      <c r="S18" s="2" t="s">
        <v>42</v>
      </c>
      <c r="T18" s="53"/>
      <c r="U18" s="2"/>
    </row>
    <row r="19" spans="2:31" ht="14.4" thickBot="1" x14ac:dyDescent="0.3">
      <c r="B19" s="5">
        <v>24</v>
      </c>
      <c r="C19" s="6">
        <v>45680</v>
      </c>
      <c r="D19" s="6">
        <v>45687</v>
      </c>
      <c r="E19" s="5" t="s">
        <v>59</v>
      </c>
      <c r="F19" s="5" t="s">
        <v>32</v>
      </c>
      <c r="G19" s="5" t="s">
        <v>8</v>
      </c>
      <c r="H19" s="5" t="s">
        <v>8</v>
      </c>
      <c r="I19" s="5" t="s">
        <v>8</v>
      </c>
      <c r="J19" s="5" t="s">
        <v>8</v>
      </c>
      <c r="K19" s="5" t="s">
        <v>8</v>
      </c>
      <c r="L19" s="13">
        <v>0.93769877563286874</v>
      </c>
      <c r="M19" s="13">
        <v>0.85931637215117529</v>
      </c>
      <c r="N19" s="12">
        <f t="shared" si="1"/>
        <v>8.3590173644827299</v>
      </c>
      <c r="O19" s="5" t="s">
        <v>8</v>
      </c>
      <c r="P19" s="5" t="s">
        <v>8</v>
      </c>
      <c r="Q19" s="5" t="s">
        <v>8</v>
      </c>
      <c r="R19" s="5" t="s">
        <v>8</v>
      </c>
      <c r="S19" s="5" t="s">
        <v>42</v>
      </c>
      <c r="T19" s="54"/>
      <c r="U19" s="2"/>
    </row>
    <row r="22" spans="2:31" ht="14.4" thickBot="1" x14ac:dyDescent="0.3">
      <c r="V22" s="4"/>
    </row>
    <row r="23" spans="2:31" ht="14.4" thickBot="1" x14ac:dyDescent="0.3">
      <c r="B23" s="4"/>
      <c r="C23" s="4"/>
      <c r="D23" s="4"/>
      <c r="E23" s="4"/>
      <c r="F23" s="4"/>
      <c r="G23" s="4"/>
      <c r="H23" s="4"/>
      <c r="I23" s="4"/>
      <c r="J23" s="4"/>
      <c r="K23" s="4"/>
      <c r="L23" s="4"/>
      <c r="M23" s="4"/>
      <c r="N23" s="4"/>
      <c r="O23" s="4"/>
      <c r="P23" s="4"/>
      <c r="Q23" s="4"/>
      <c r="R23" s="4"/>
      <c r="S23" s="4"/>
      <c r="T23" s="4"/>
      <c r="W23" s="58" t="s">
        <v>1</v>
      </c>
      <c r="X23" s="58"/>
      <c r="Y23" s="58"/>
      <c r="Z23" s="58"/>
      <c r="AA23" s="58"/>
      <c r="AB23" s="58"/>
      <c r="AC23" s="58"/>
      <c r="AD23" s="58"/>
      <c r="AE23" s="58"/>
    </row>
    <row r="24" spans="2:31" ht="30" x14ac:dyDescent="0.25">
      <c r="B24" s="7" t="s">
        <v>1</v>
      </c>
      <c r="C24" s="7" t="s">
        <v>6</v>
      </c>
      <c r="D24" s="7" t="s">
        <v>7</v>
      </c>
      <c r="E24" s="7" t="s">
        <v>2</v>
      </c>
      <c r="F24" s="7" t="s">
        <v>17</v>
      </c>
      <c r="G24" s="7" t="s">
        <v>14</v>
      </c>
      <c r="H24" s="7" t="s">
        <v>44</v>
      </c>
      <c r="I24" s="7" t="s">
        <v>61</v>
      </c>
      <c r="J24" s="7" t="s">
        <v>60</v>
      </c>
      <c r="K24" s="7" t="s">
        <v>102</v>
      </c>
      <c r="L24" s="7" t="s">
        <v>15</v>
      </c>
      <c r="M24" s="7" t="s">
        <v>16</v>
      </c>
      <c r="N24" s="7" t="s">
        <v>99</v>
      </c>
      <c r="O24" s="7" t="s">
        <v>12</v>
      </c>
      <c r="P24" s="7" t="s">
        <v>10</v>
      </c>
      <c r="Q24" s="7" t="s">
        <v>9</v>
      </c>
      <c r="R24" s="7" t="s">
        <v>56</v>
      </c>
      <c r="S24" s="7" t="s">
        <v>11</v>
      </c>
      <c r="T24" s="7" t="s">
        <v>13</v>
      </c>
      <c r="U24" s="2"/>
      <c r="V24" s="15" t="s">
        <v>54</v>
      </c>
      <c r="W24" s="20">
        <v>10</v>
      </c>
      <c r="X24" s="15">
        <v>11</v>
      </c>
      <c r="Y24" s="20">
        <v>12</v>
      </c>
      <c r="Z24" s="15">
        <v>13</v>
      </c>
      <c r="AA24" s="20">
        <v>14</v>
      </c>
      <c r="AB24" s="20">
        <v>15</v>
      </c>
      <c r="AC24" s="20">
        <v>16</v>
      </c>
      <c r="AD24" s="15">
        <v>17</v>
      </c>
      <c r="AE24" s="20">
        <v>18</v>
      </c>
    </row>
    <row r="25" spans="2:31" ht="13.8" customHeight="1" x14ac:dyDescent="0.25">
      <c r="B25" s="2">
        <v>10</v>
      </c>
      <c r="C25" s="3">
        <v>45695</v>
      </c>
      <c r="D25" s="3">
        <v>45702</v>
      </c>
      <c r="E25" s="2" t="s">
        <v>72</v>
      </c>
      <c r="F25" s="2" t="s">
        <v>33</v>
      </c>
      <c r="G25" s="2">
        <v>18.899999999999999</v>
      </c>
      <c r="H25" s="2">
        <v>7898.8</v>
      </c>
      <c r="I25" s="2">
        <f>8070.5-H25</f>
        <v>171.69999999999982</v>
      </c>
      <c r="J25" s="2">
        <f>7915.3-H25</f>
        <v>16.5</v>
      </c>
      <c r="K25" s="2">
        <f>J25-G25</f>
        <v>-2.3999999999999986</v>
      </c>
      <c r="L25" s="11">
        <v>0.99608836726278627</v>
      </c>
      <c r="M25" s="11">
        <v>0.53761843513820007</v>
      </c>
      <c r="N25" s="11">
        <f>(L25-M25)/L25*100</f>
        <v>46.027034065706893</v>
      </c>
      <c r="O25" s="3">
        <v>45701</v>
      </c>
      <c r="P25" s="2">
        <v>4</v>
      </c>
      <c r="Q25" s="11">
        <f>W35</f>
        <v>0.57275000000000009</v>
      </c>
      <c r="R25" s="11">
        <f>W36</f>
        <v>0.41122530320980982</v>
      </c>
      <c r="S25" s="2" t="s">
        <v>83</v>
      </c>
      <c r="T25" s="56"/>
      <c r="U25" s="2"/>
      <c r="V25" s="25">
        <v>1</v>
      </c>
      <c r="W25" s="22">
        <v>0.434</v>
      </c>
      <c r="X25" s="21">
        <v>0.26400000000000001</v>
      </c>
      <c r="Y25" s="21">
        <v>0.52500000000000002</v>
      </c>
      <c r="Z25" s="21">
        <v>0.45100000000000001</v>
      </c>
      <c r="AA25" s="21">
        <v>0.64400000000000002</v>
      </c>
      <c r="AB25" s="22">
        <v>0.23899999999999999</v>
      </c>
      <c r="AC25" s="22">
        <v>0.24299999999999999</v>
      </c>
      <c r="AD25" s="21">
        <v>0.38700000000000001</v>
      </c>
      <c r="AE25" s="21">
        <v>0.36</v>
      </c>
    </row>
    <row r="26" spans="2:31" x14ac:dyDescent="0.25">
      <c r="B26" s="2">
        <v>11</v>
      </c>
      <c r="C26" s="3">
        <v>45695</v>
      </c>
      <c r="D26" s="3">
        <v>45702</v>
      </c>
      <c r="E26" s="2" t="s">
        <v>72</v>
      </c>
      <c r="F26" s="2" t="s">
        <v>34</v>
      </c>
      <c r="G26" s="2">
        <v>18.899999999999999</v>
      </c>
      <c r="H26" s="2">
        <v>8080.1</v>
      </c>
      <c r="I26" s="2">
        <f>8233.8-H26</f>
        <v>153.69999999999891</v>
      </c>
      <c r="J26" s="2">
        <f>8095.8-H26</f>
        <v>15.699999999999818</v>
      </c>
      <c r="K26" s="2">
        <f t="shared" ref="K26:K33" si="4">J26-G26</f>
        <v>-3.2000000000001805</v>
      </c>
      <c r="L26" s="11">
        <v>1.1109486359985832</v>
      </c>
      <c r="M26" s="11">
        <v>0.40516426992470811</v>
      </c>
      <c r="N26" s="11">
        <f t="shared" ref="N26:N39" si="5">(L26-M26)/L26*100</f>
        <v>63.529882769015359</v>
      </c>
      <c r="O26" s="3">
        <v>45701</v>
      </c>
      <c r="P26" s="2">
        <v>6</v>
      </c>
      <c r="Q26" s="14">
        <f>X35</f>
        <v>0.47416666666666663</v>
      </c>
      <c r="R26" s="11">
        <f>X36</f>
        <v>0.33478256625258546</v>
      </c>
      <c r="S26" s="2" t="s">
        <v>42</v>
      </c>
      <c r="T26" s="53"/>
      <c r="U26" s="2"/>
      <c r="V26" s="15">
        <v>2</v>
      </c>
      <c r="W26" s="22">
        <v>9.9000000000000005E-2</v>
      </c>
      <c r="X26" s="22">
        <v>0.192</v>
      </c>
      <c r="Y26" s="22">
        <v>0.48899999999999999</v>
      </c>
      <c r="Z26" s="22">
        <v>0.38</v>
      </c>
      <c r="AA26" s="22">
        <v>0.442</v>
      </c>
      <c r="AB26" s="22">
        <v>0.25900000000000001</v>
      </c>
      <c r="AC26" s="22">
        <v>0.11700000000000001</v>
      </c>
      <c r="AD26" s="22">
        <v>0.67500000000000004</v>
      </c>
      <c r="AE26" s="22">
        <v>0.38100000000000001</v>
      </c>
    </row>
    <row r="27" spans="2:31" x14ac:dyDescent="0.25">
      <c r="B27" s="2">
        <v>12</v>
      </c>
      <c r="C27" s="3">
        <v>45695</v>
      </c>
      <c r="D27" s="3">
        <v>45702</v>
      </c>
      <c r="E27" s="2" t="s">
        <v>72</v>
      </c>
      <c r="F27" s="2" t="s">
        <v>35</v>
      </c>
      <c r="G27" s="2">
        <v>19.3</v>
      </c>
      <c r="H27" s="2">
        <v>8008.3</v>
      </c>
      <c r="I27" s="2">
        <f>8160.5-H27</f>
        <v>152.19999999999982</v>
      </c>
      <c r="J27" s="22">
        <f>8025.5-H27</f>
        <v>17.199999999999818</v>
      </c>
      <c r="K27" s="2">
        <f t="shared" si="4"/>
        <v>-2.1000000000001826</v>
      </c>
      <c r="L27" s="11">
        <v>1.0048941642797673</v>
      </c>
      <c r="M27" s="11">
        <v>0.41247451168488003</v>
      </c>
      <c r="N27" s="11">
        <f t="shared" si="5"/>
        <v>58.953437451742907</v>
      </c>
      <c r="O27" s="3">
        <v>45701</v>
      </c>
      <c r="P27" s="2">
        <v>4</v>
      </c>
      <c r="Q27" s="11">
        <f>Y35</f>
        <v>0.38750000000000001</v>
      </c>
      <c r="R27" s="11">
        <f>Y36</f>
        <v>0.1574071154681389</v>
      </c>
      <c r="S27" s="2" t="s">
        <v>42</v>
      </c>
      <c r="T27" s="53"/>
      <c r="U27" s="2"/>
      <c r="V27" s="15">
        <v>3</v>
      </c>
      <c r="W27" s="22">
        <v>0.68400000000000005</v>
      </c>
      <c r="X27" s="22">
        <v>1.1020000000000001</v>
      </c>
      <c r="Y27" s="22">
        <v>0.17699999999999999</v>
      </c>
      <c r="Z27" s="22">
        <v>0.51100000000000001</v>
      </c>
      <c r="AA27" s="22">
        <v>1.0309999999999999</v>
      </c>
      <c r="AB27" s="22">
        <v>0.48</v>
      </c>
      <c r="AC27" s="22">
        <v>1.849</v>
      </c>
      <c r="AD27" s="22">
        <v>0.34599999999999997</v>
      </c>
      <c r="AE27" s="22">
        <v>0.16600000000000001</v>
      </c>
    </row>
    <row r="28" spans="2:31" x14ac:dyDescent="0.25">
      <c r="B28" s="2">
        <v>13</v>
      </c>
      <c r="C28" s="3">
        <v>45695</v>
      </c>
      <c r="D28" s="3">
        <v>45702</v>
      </c>
      <c r="E28" s="2" t="s">
        <v>5</v>
      </c>
      <c r="F28" s="2" t="s">
        <v>36</v>
      </c>
      <c r="G28" s="2">
        <v>19.399999999999999</v>
      </c>
      <c r="H28" s="2">
        <v>7697.8</v>
      </c>
      <c r="I28" s="2">
        <f>7885.4-H28</f>
        <v>187.59999999999945</v>
      </c>
      <c r="J28" s="2">
        <f>7716.7-H28</f>
        <v>18.899999999999636</v>
      </c>
      <c r="K28" s="2">
        <f t="shared" si="4"/>
        <v>-0.50000000000036238</v>
      </c>
      <c r="L28" s="11">
        <v>0.97432305760818616</v>
      </c>
      <c r="M28" s="11">
        <v>0.26418303728719383</v>
      </c>
      <c r="N28" s="11">
        <f>(L28-M28)/L28*100</f>
        <v>72.885478258543657</v>
      </c>
      <c r="O28" s="3">
        <v>45700</v>
      </c>
      <c r="P28" s="2">
        <v>8</v>
      </c>
      <c r="Q28" s="14">
        <f>Z35</f>
        <v>0.47</v>
      </c>
      <c r="R28" s="11">
        <f>Z36</f>
        <v>0.16060243727024465</v>
      </c>
      <c r="S28" s="2" t="s">
        <v>84</v>
      </c>
      <c r="T28" s="53"/>
      <c r="U28" s="2"/>
      <c r="V28" s="15">
        <v>4</v>
      </c>
      <c r="W28" s="22">
        <v>1.0740000000000001</v>
      </c>
      <c r="X28" s="22">
        <v>0.32800000000000001</v>
      </c>
      <c r="Y28" s="22">
        <v>0.35899999999999999</v>
      </c>
      <c r="Z28" s="22">
        <v>0.83199999999999996</v>
      </c>
      <c r="AA28" s="22">
        <v>0.41099999999999998</v>
      </c>
      <c r="AB28" s="22">
        <v>0.20300000000000001</v>
      </c>
      <c r="AC28" s="22">
        <v>0.2</v>
      </c>
      <c r="AD28" s="22">
        <v>0.33300000000000002</v>
      </c>
      <c r="AE28" s="22">
        <v>1.9730000000000001</v>
      </c>
    </row>
    <row r="29" spans="2:31" x14ac:dyDescent="0.25">
      <c r="B29" s="2">
        <v>14</v>
      </c>
      <c r="C29" s="3">
        <v>45695</v>
      </c>
      <c r="D29" s="3">
        <v>45702</v>
      </c>
      <c r="E29" s="2" t="s">
        <v>5</v>
      </c>
      <c r="F29" s="2" t="s">
        <v>37</v>
      </c>
      <c r="G29" s="2">
        <v>18.399999999999999</v>
      </c>
      <c r="H29" s="2">
        <v>7901.3</v>
      </c>
      <c r="I29" s="2">
        <f>8118.5-H29</f>
        <v>217.19999999999982</v>
      </c>
      <c r="J29" s="2">
        <f>7918.1-H29</f>
        <v>16.800000000000182</v>
      </c>
      <c r="K29" s="2">
        <f t="shared" si="4"/>
        <v>-1.5999999999998167</v>
      </c>
      <c r="L29" s="11">
        <v>0.94949298441769381</v>
      </c>
      <c r="M29" s="11">
        <v>0.44885121003663897</v>
      </c>
      <c r="N29" s="11">
        <f t="shared" si="5"/>
        <v>52.727274724213892</v>
      </c>
      <c r="O29" s="3">
        <v>45700</v>
      </c>
      <c r="P29" s="2">
        <v>9</v>
      </c>
      <c r="Q29" s="11">
        <f>AA35</f>
        <v>0.75155555555555553</v>
      </c>
      <c r="R29" s="14">
        <f>AA36</f>
        <v>0.68652278023222069</v>
      </c>
      <c r="S29" s="2" t="s">
        <v>83</v>
      </c>
      <c r="T29" s="53"/>
      <c r="U29" s="2"/>
      <c r="V29" s="15">
        <v>5</v>
      </c>
      <c r="W29" s="22"/>
      <c r="X29" s="22">
        <v>0.58199999999999996</v>
      </c>
      <c r="Y29" s="22"/>
      <c r="Z29" s="22">
        <v>0.32</v>
      </c>
      <c r="AA29" s="22">
        <v>1.0669999999999999</v>
      </c>
      <c r="AB29" s="22">
        <v>0.24299999999999999</v>
      </c>
      <c r="AC29" s="22">
        <v>0.224</v>
      </c>
      <c r="AD29" s="22">
        <v>0.35199999999999998</v>
      </c>
      <c r="AE29" s="22">
        <v>0.56599999999999995</v>
      </c>
    </row>
    <row r="30" spans="2:31" x14ac:dyDescent="0.25">
      <c r="B30" s="2">
        <v>15</v>
      </c>
      <c r="C30" s="3">
        <v>45695</v>
      </c>
      <c r="D30" s="3">
        <v>45702</v>
      </c>
      <c r="E30" s="2" t="s">
        <v>5</v>
      </c>
      <c r="F30" s="2" t="s">
        <v>38</v>
      </c>
      <c r="G30" s="2">
        <v>19.8</v>
      </c>
      <c r="H30" s="2">
        <v>8276.5</v>
      </c>
      <c r="I30" s="2">
        <f>8432.9-H30</f>
        <v>156.39999999999964</v>
      </c>
      <c r="J30" s="2">
        <f>8293.9-H30</f>
        <v>17.399999999999636</v>
      </c>
      <c r="K30" s="2">
        <f t="shared" si="4"/>
        <v>-2.4000000000003645</v>
      </c>
      <c r="L30" s="11">
        <v>0.90267596366839054</v>
      </c>
      <c r="M30" s="11">
        <v>0.44588437890256233</v>
      </c>
      <c r="N30" s="11">
        <f t="shared" si="5"/>
        <v>50.604159537988579</v>
      </c>
      <c r="O30" s="3">
        <v>45700</v>
      </c>
      <c r="P30" s="2">
        <v>7</v>
      </c>
      <c r="Q30" s="14">
        <f>AB35</f>
        <v>0.27685714285714286</v>
      </c>
      <c r="R30" s="11">
        <f>AB36</f>
        <v>9.7584883684972007E-2</v>
      </c>
      <c r="S30" s="2" t="s">
        <v>84</v>
      </c>
      <c r="T30" s="53"/>
      <c r="U30" s="2"/>
      <c r="V30" s="15">
        <v>6</v>
      </c>
      <c r="W30" s="22"/>
      <c r="X30" s="22">
        <v>0.377</v>
      </c>
      <c r="Y30" s="22"/>
      <c r="Z30" s="22">
        <v>0.49099999999999999</v>
      </c>
      <c r="AA30" s="22">
        <v>0.25700000000000001</v>
      </c>
      <c r="AB30" s="22">
        <v>0.19900000000000001</v>
      </c>
      <c r="AC30" s="22"/>
      <c r="AD30" s="22">
        <v>0.16200000000000001</v>
      </c>
      <c r="AE30" s="22">
        <v>0.3</v>
      </c>
    </row>
    <row r="31" spans="2:31" x14ac:dyDescent="0.25">
      <c r="B31" s="2">
        <v>16</v>
      </c>
      <c r="C31" s="3">
        <v>45695</v>
      </c>
      <c r="D31" s="3">
        <v>45702</v>
      </c>
      <c r="E31" s="2" t="s">
        <v>4</v>
      </c>
      <c r="F31" s="2" t="s">
        <v>39</v>
      </c>
      <c r="G31" s="2">
        <v>17.3</v>
      </c>
      <c r="H31" s="2">
        <v>8326.7000000000007</v>
      </c>
      <c r="I31" s="2">
        <f>8470.2-H31</f>
        <v>143.5</v>
      </c>
      <c r="J31" s="2">
        <f>8341.6-H31</f>
        <v>14.899999999999636</v>
      </c>
      <c r="K31" s="2">
        <f t="shared" si="4"/>
        <v>-2.4000000000003645</v>
      </c>
      <c r="L31" s="11" t="s">
        <v>43</v>
      </c>
      <c r="M31" s="11" t="s">
        <v>43</v>
      </c>
      <c r="N31" s="11" t="s">
        <v>43</v>
      </c>
      <c r="O31" s="3">
        <v>45700</v>
      </c>
      <c r="P31" s="2">
        <v>5</v>
      </c>
      <c r="Q31" s="11">
        <f>AC35</f>
        <v>0.52660000000000007</v>
      </c>
      <c r="R31" s="11">
        <f>AC36</f>
        <v>0.74080651994970981</v>
      </c>
      <c r="S31" s="2"/>
      <c r="T31" s="53"/>
      <c r="U31" s="2"/>
      <c r="V31" s="15">
        <v>7</v>
      </c>
      <c r="W31" s="22"/>
      <c r="X31" s="22"/>
      <c r="Y31" s="22"/>
      <c r="Z31" s="22">
        <v>0.42499999999999999</v>
      </c>
      <c r="AA31" s="22">
        <v>2.3740000000000001</v>
      </c>
      <c r="AB31" s="22">
        <v>0.315</v>
      </c>
      <c r="AC31" s="22"/>
      <c r="AD31" s="22">
        <v>0.502</v>
      </c>
      <c r="AE31" s="22">
        <v>0.249</v>
      </c>
    </row>
    <row r="32" spans="2:31" x14ac:dyDescent="0.25">
      <c r="B32" s="2">
        <v>17</v>
      </c>
      <c r="C32" s="3">
        <v>45695</v>
      </c>
      <c r="D32" s="3">
        <v>45702</v>
      </c>
      <c r="E32" s="2" t="s">
        <v>4</v>
      </c>
      <c r="F32" s="2" t="s">
        <v>40</v>
      </c>
      <c r="G32" s="2">
        <v>16.8</v>
      </c>
      <c r="H32" s="2">
        <v>7967.1</v>
      </c>
      <c r="I32" s="2">
        <f>8165.8-H32</f>
        <v>198.69999999999982</v>
      </c>
      <c r="J32" s="2">
        <f>7982.5-H32</f>
        <v>15.399999999999636</v>
      </c>
      <c r="K32" s="2">
        <f t="shared" si="4"/>
        <v>-1.4000000000003645</v>
      </c>
      <c r="L32" s="11" t="s">
        <v>43</v>
      </c>
      <c r="M32" s="11" t="s">
        <v>43</v>
      </c>
      <c r="N32" s="11" t="s">
        <v>43</v>
      </c>
      <c r="O32" s="3">
        <v>45700</v>
      </c>
      <c r="P32" s="2">
        <v>7</v>
      </c>
      <c r="Q32" s="14">
        <f>AD35</f>
        <v>0.39385714285714279</v>
      </c>
      <c r="R32" s="11">
        <f>AD36</f>
        <v>0.15931460340202008</v>
      </c>
      <c r="S32" s="2"/>
      <c r="T32" s="53"/>
      <c r="U32" s="2"/>
      <c r="V32" s="15">
        <v>8</v>
      </c>
      <c r="W32" s="22"/>
      <c r="X32" s="22"/>
      <c r="Y32" s="22"/>
      <c r="Z32" s="22">
        <v>0.35</v>
      </c>
      <c r="AA32" s="22">
        <v>0.38500000000000001</v>
      </c>
      <c r="AB32" s="22"/>
      <c r="AC32" s="22"/>
      <c r="AD32" s="22"/>
      <c r="AE32" s="22">
        <v>0.20499999999999999</v>
      </c>
    </row>
    <row r="33" spans="2:31" x14ac:dyDescent="0.25">
      <c r="B33" s="2">
        <v>18</v>
      </c>
      <c r="C33" s="3">
        <v>45695</v>
      </c>
      <c r="D33" s="3">
        <v>45702</v>
      </c>
      <c r="E33" s="2" t="s">
        <v>4</v>
      </c>
      <c r="F33" s="2" t="s">
        <v>41</v>
      </c>
      <c r="G33" s="2">
        <v>20.8</v>
      </c>
      <c r="H33" s="2">
        <v>8037.8</v>
      </c>
      <c r="I33" s="9">
        <f>8274.8-H33</f>
        <v>236.99999999999909</v>
      </c>
      <c r="J33" s="2">
        <f>8053.7-H33</f>
        <v>15.899999999999636</v>
      </c>
      <c r="K33" s="2">
        <f t="shared" si="4"/>
        <v>-4.9000000000003645</v>
      </c>
      <c r="L33" s="11" t="s">
        <v>43</v>
      </c>
      <c r="M33" s="11" t="s">
        <v>43</v>
      </c>
      <c r="N33" s="11" t="s">
        <v>43</v>
      </c>
      <c r="O33" s="3">
        <v>45700</v>
      </c>
      <c r="P33" s="2">
        <v>8</v>
      </c>
      <c r="Q33" s="11">
        <f>AE35</f>
        <v>0.52499999999999991</v>
      </c>
      <c r="R33" s="11">
        <f>AE36</f>
        <v>0.5981433177520491</v>
      </c>
      <c r="S33" s="2"/>
      <c r="T33" s="53"/>
      <c r="U33" s="2"/>
      <c r="V33" s="15">
        <v>9</v>
      </c>
      <c r="W33" s="22"/>
      <c r="X33" s="22"/>
      <c r="Y33" s="22"/>
      <c r="Z33" s="22"/>
      <c r="AA33" s="22">
        <v>0.153</v>
      </c>
      <c r="AB33" s="22"/>
      <c r="AC33" s="22"/>
      <c r="AD33" s="22"/>
      <c r="AE33" s="22"/>
    </row>
    <row r="34" spans="2:31" ht="14.4" customHeight="1" thickBot="1" x14ac:dyDescent="0.3">
      <c r="B34" s="2">
        <v>19</v>
      </c>
      <c r="C34" s="3">
        <v>45695</v>
      </c>
      <c r="D34" s="3">
        <v>45702</v>
      </c>
      <c r="E34" s="2" t="s">
        <v>72</v>
      </c>
      <c r="F34" s="2" t="s">
        <v>27</v>
      </c>
      <c r="G34" s="2" t="s">
        <v>8</v>
      </c>
      <c r="H34" s="2" t="s">
        <v>8</v>
      </c>
      <c r="I34" s="2" t="s">
        <v>8</v>
      </c>
      <c r="J34" s="2" t="s">
        <v>8</v>
      </c>
      <c r="K34" s="2" t="s">
        <v>8</v>
      </c>
      <c r="L34" s="11">
        <v>0.99608836726278627</v>
      </c>
      <c r="M34" s="11">
        <v>0.58840356670608951</v>
      </c>
      <c r="N34" s="10">
        <f t="shared" si="5"/>
        <v>40.928577619774778</v>
      </c>
      <c r="O34" s="2" t="s">
        <v>8</v>
      </c>
      <c r="P34" s="2" t="s">
        <v>8</v>
      </c>
      <c r="Q34" s="2" t="s">
        <v>8</v>
      </c>
      <c r="R34" s="2" t="s">
        <v>8</v>
      </c>
      <c r="S34" s="2"/>
      <c r="T34" s="53"/>
      <c r="U34" s="2"/>
      <c r="V34" s="19">
        <v>10</v>
      </c>
      <c r="W34" s="23"/>
      <c r="X34" s="23"/>
      <c r="Y34" s="23"/>
      <c r="Z34" s="23"/>
      <c r="AA34" s="23"/>
      <c r="AB34" s="23"/>
      <c r="AC34" s="23"/>
      <c r="AD34" s="23"/>
      <c r="AE34" s="23"/>
    </row>
    <row r="35" spans="2:31" x14ac:dyDescent="0.25">
      <c r="B35" s="2">
        <v>20</v>
      </c>
      <c r="C35" s="3">
        <v>45695</v>
      </c>
      <c r="D35" s="3">
        <v>45702</v>
      </c>
      <c r="E35" s="2" t="s">
        <v>72</v>
      </c>
      <c r="F35" s="2" t="s">
        <v>28</v>
      </c>
      <c r="G35" s="2" t="s">
        <v>8</v>
      </c>
      <c r="H35" s="2" t="s">
        <v>8</v>
      </c>
      <c r="I35" s="2" t="s">
        <v>8</v>
      </c>
      <c r="J35" s="2" t="s">
        <v>8</v>
      </c>
      <c r="K35" s="2" t="s">
        <v>8</v>
      </c>
      <c r="L35" s="11">
        <v>1.1109486359985832</v>
      </c>
      <c r="M35" s="11">
        <v>0.41833529232564182</v>
      </c>
      <c r="N35" s="10">
        <f t="shared" si="5"/>
        <v>62.344317390549875</v>
      </c>
      <c r="O35" s="2" t="s">
        <v>8</v>
      </c>
      <c r="P35" s="2" t="s">
        <v>8</v>
      </c>
      <c r="Q35" s="2" t="s">
        <v>8</v>
      </c>
      <c r="R35" s="2" t="s">
        <v>8</v>
      </c>
      <c r="S35" s="2"/>
      <c r="T35" s="53"/>
      <c r="U35" s="2"/>
      <c r="V35" s="24" t="s">
        <v>55</v>
      </c>
      <c r="W35" s="17">
        <f>AVERAGE(W25:W34)</f>
        <v>0.57275000000000009</v>
      </c>
      <c r="X35" s="17">
        <f>AVERAGE(X25:X34)</f>
        <v>0.47416666666666663</v>
      </c>
      <c r="Y35" s="17">
        <f t="shared" ref="Y35:AE35" si="6">AVERAGE(Y25:Y34)</f>
        <v>0.38750000000000001</v>
      </c>
      <c r="Z35" s="17">
        <f t="shared" si="6"/>
        <v>0.47</v>
      </c>
      <c r="AA35" s="17">
        <f t="shared" si="6"/>
        <v>0.75155555555555553</v>
      </c>
      <c r="AB35" s="17">
        <f t="shared" si="6"/>
        <v>0.27685714285714286</v>
      </c>
      <c r="AC35" s="17">
        <f t="shared" si="6"/>
        <v>0.52660000000000007</v>
      </c>
      <c r="AD35" s="17">
        <f t="shared" si="6"/>
        <v>0.39385714285714279</v>
      </c>
      <c r="AE35" s="17">
        <f t="shared" si="6"/>
        <v>0.52499999999999991</v>
      </c>
    </row>
    <row r="36" spans="2:31" ht="14.4" thickBot="1" x14ac:dyDescent="0.3">
      <c r="B36" s="2">
        <v>21</v>
      </c>
      <c r="C36" s="3">
        <v>45695</v>
      </c>
      <c r="D36" s="3">
        <v>45702</v>
      </c>
      <c r="E36" s="2" t="s">
        <v>72</v>
      </c>
      <c r="F36" s="2" t="s">
        <v>29</v>
      </c>
      <c r="G36" s="2" t="s">
        <v>8</v>
      </c>
      <c r="H36" s="2" t="s">
        <v>8</v>
      </c>
      <c r="I36" s="2" t="s">
        <v>8</v>
      </c>
      <c r="J36" s="2" t="s">
        <v>8</v>
      </c>
      <c r="K36" s="2" t="s">
        <v>8</v>
      </c>
      <c r="L36" s="11">
        <v>1.0048941642797673</v>
      </c>
      <c r="M36" s="11">
        <v>0.59307152780742833</v>
      </c>
      <c r="N36" s="10">
        <f t="shared" si="5"/>
        <v>40.981692511619123</v>
      </c>
      <c r="O36" s="2" t="s">
        <v>8</v>
      </c>
      <c r="P36" s="2" t="s">
        <v>8</v>
      </c>
      <c r="Q36" s="2" t="s">
        <v>8</v>
      </c>
      <c r="R36" s="2" t="s">
        <v>8</v>
      </c>
      <c r="S36" s="2"/>
      <c r="T36" s="53"/>
      <c r="U36" s="2"/>
      <c r="V36" s="19" t="s">
        <v>57</v>
      </c>
      <c r="W36" s="18">
        <f>_xlfn.STDEV.S(W25:W34)</f>
        <v>0.41122530320980982</v>
      </c>
      <c r="X36" s="18">
        <f t="shared" ref="X36:AE36" si="7">_xlfn.STDEV.S(X25:X34)</f>
        <v>0.33478256625258546</v>
      </c>
      <c r="Y36" s="18">
        <f t="shared" si="7"/>
        <v>0.1574071154681389</v>
      </c>
      <c r="Z36" s="18">
        <f t="shared" si="7"/>
        <v>0.16060243727024465</v>
      </c>
      <c r="AA36" s="18">
        <f t="shared" si="7"/>
        <v>0.68652278023222069</v>
      </c>
      <c r="AB36" s="18">
        <f t="shared" si="7"/>
        <v>9.7584883684972007E-2</v>
      </c>
      <c r="AC36" s="18">
        <f t="shared" si="7"/>
        <v>0.74080651994970981</v>
      </c>
      <c r="AD36" s="18">
        <f t="shared" si="7"/>
        <v>0.15931460340202008</v>
      </c>
      <c r="AE36" s="18">
        <f t="shared" si="7"/>
        <v>0.5981433177520491</v>
      </c>
    </row>
    <row r="37" spans="2:31" x14ac:dyDescent="0.25">
      <c r="B37" s="2">
        <v>22</v>
      </c>
      <c r="C37" s="3">
        <v>45695</v>
      </c>
      <c r="D37" s="3">
        <v>45702</v>
      </c>
      <c r="E37" s="2" t="s">
        <v>5</v>
      </c>
      <c r="F37" s="2" t="s">
        <v>30</v>
      </c>
      <c r="G37" s="2" t="s">
        <v>8</v>
      </c>
      <c r="H37" s="2" t="s">
        <v>8</v>
      </c>
      <c r="I37" s="2" t="s">
        <v>8</v>
      </c>
      <c r="J37" s="2" t="s">
        <v>8</v>
      </c>
      <c r="K37" s="2" t="s">
        <v>8</v>
      </c>
      <c r="L37" s="11">
        <v>0.97432305760818616</v>
      </c>
      <c r="M37" s="11">
        <v>0.47973633162803442</v>
      </c>
      <c r="N37" s="10">
        <f t="shared" si="5"/>
        <v>50.762087802200476</v>
      </c>
      <c r="O37" s="2" t="s">
        <v>8</v>
      </c>
      <c r="P37" s="2" t="s">
        <v>8</v>
      </c>
      <c r="Q37" s="2" t="s">
        <v>8</v>
      </c>
      <c r="R37" s="2" t="s">
        <v>8</v>
      </c>
      <c r="S37" s="2"/>
      <c r="T37" s="53"/>
      <c r="U37" s="2"/>
    </row>
    <row r="38" spans="2:31" x14ac:dyDescent="0.25">
      <c r="B38" s="2">
        <v>23</v>
      </c>
      <c r="C38" s="3">
        <v>45695</v>
      </c>
      <c r="D38" s="3">
        <v>45702</v>
      </c>
      <c r="E38" s="2" t="s">
        <v>5</v>
      </c>
      <c r="F38" s="2" t="s">
        <v>31</v>
      </c>
      <c r="G38" s="2" t="s">
        <v>8</v>
      </c>
      <c r="H38" s="2" t="s">
        <v>8</v>
      </c>
      <c r="I38" s="2" t="s">
        <v>8</v>
      </c>
      <c r="J38" s="2" t="s">
        <v>8</v>
      </c>
      <c r="K38" s="2" t="s">
        <v>8</v>
      </c>
      <c r="L38" s="11">
        <v>0.94949298441769381</v>
      </c>
      <c r="M38" s="11">
        <v>0.45626488307208896</v>
      </c>
      <c r="N38" s="10">
        <f t="shared" si="5"/>
        <v>51.946471373676594</v>
      </c>
      <c r="O38" s="2" t="s">
        <v>8</v>
      </c>
      <c r="P38" s="2" t="s">
        <v>8</v>
      </c>
      <c r="Q38" s="2" t="s">
        <v>8</v>
      </c>
      <c r="R38" s="2" t="s">
        <v>8</v>
      </c>
      <c r="S38" s="2"/>
      <c r="T38" s="53"/>
      <c r="U38" s="2"/>
    </row>
    <row r="39" spans="2:31" ht="14.4" thickBot="1" x14ac:dyDescent="0.3">
      <c r="B39" s="5">
        <v>24</v>
      </c>
      <c r="C39" s="6">
        <v>45695</v>
      </c>
      <c r="D39" s="6">
        <v>45702</v>
      </c>
      <c r="E39" s="5" t="s">
        <v>5</v>
      </c>
      <c r="F39" s="5" t="s">
        <v>32</v>
      </c>
      <c r="G39" s="5" t="s">
        <v>8</v>
      </c>
      <c r="H39" s="5" t="s">
        <v>8</v>
      </c>
      <c r="I39" s="5" t="s">
        <v>8</v>
      </c>
      <c r="J39" s="5" t="s">
        <v>8</v>
      </c>
      <c r="K39" s="5" t="s">
        <v>8</v>
      </c>
      <c r="L39" s="13">
        <v>0.90267596366839054</v>
      </c>
      <c r="M39" s="13">
        <v>0.4910254887276162</v>
      </c>
      <c r="N39" s="12">
        <f t="shared" si="5"/>
        <v>45.603349541718757</v>
      </c>
      <c r="O39" s="5" t="s">
        <v>8</v>
      </c>
      <c r="P39" s="5" t="s">
        <v>8</v>
      </c>
      <c r="Q39" s="5" t="s">
        <v>8</v>
      </c>
      <c r="R39" s="5" t="s">
        <v>8</v>
      </c>
      <c r="S39" s="5"/>
      <c r="T39" s="54"/>
      <c r="U39" s="2"/>
    </row>
  </sheetData>
  <mergeCells count="7">
    <mergeCell ref="T25:T33"/>
    <mergeCell ref="T34:T39"/>
    <mergeCell ref="B2:T2"/>
    <mergeCell ref="W3:AE3"/>
    <mergeCell ref="T5:T13"/>
    <mergeCell ref="T14:T19"/>
    <mergeCell ref="W23:AE23"/>
  </mergeCells>
  <phoneticPr fontId="4"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EB438B-F3EE-438C-B7C6-32B5D2CA6B00}">
  <dimension ref="B2:AE37"/>
  <sheetViews>
    <sheetView tabSelected="1" topLeftCell="D4" zoomScale="85" zoomScaleNormal="85" workbookViewId="0">
      <selection activeCell="K23" sqref="K23:K31"/>
    </sheetView>
  </sheetViews>
  <sheetFormatPr baseColWidth="10" defaultRowHeight="13.8" x14ac:dyDescent="0.25"/>
  <cols>
    <col min="1" max="4" width="11.5546875" style="1"/>
    <col min="5" max="5" width="14.21875" style="1" customWidth="1"/>
    <col min="6" max="15" width="11.5546875" style="1"/>
    <col min="16" max="16" width="13" style="1" customWidth="1"/>
    <col min="17" max="18" width="11.5546875" style="1"/>
    <col min="19" max="19" width="42.77734375" style="1" customWidth="1"/>
    <col min="20" max="20" width="30.6640625" style="1" customWidth="1"/>
    <col min="21" max="21" width="11.5546875" style="1"/>
    <col min="22" max="22" width="7.109375" style="1" customWidth="1"/>
    <col min="23" max="16384" width="11.5546875" style="1"/>
  </cols>
  <sheetData>
    <row r="2" spans="2:31" ht="14.4" thickBot="1" x14ac:dyDescent="0.3">
      <c r="B2" s="55" t="s">
        <v>0</v>
      </c>
      <c r="C2" s="55"/>
      <c r="D2" s="55"/>
      <c r="E2" s="55"/>
      <c r="F2" s="55"/>
      <c r="G2" s="55"/>
      <c r="H2" s="55"/>
      <c r="I2" s="55"/>
      <c r="J2" s="55"/>
      <c r="K2" s="55"/>
      <c r="L2" s="55"/>
      <c r="M2" s="55"/>
      <c r="N2" s="55"/>
      <c r="O2" s="55"/>
      <c r="P2" s="55"/>
      <c r="Q2" s="55"/>
      <c r="R2" s="55"/>
      <c r="S2" s="55"/>
      <c r="T2" s="55"/>
      <c r="V2" s="4"/>
    </row>
    <row r="3" spans="2:31" ht="14.4" thickBot="1" x14ac:dyDescent="0.3">
      <c r="B3" s="4"/>
      <c r="C3" s="4"/>
      <c r="D3" s="4"/>
      <c r="E3" s="4"/>
      <c r="F3" s="4"/>
      <c r="G3" s="4"/>
      <c r="H3" s="4"/>
      <c r="I3" s="4"/>
      <c r="J3" s="4"/>
      <c r="K3" s="4"/>
      <c r="L3" s="4"/>
      <c r="M3" s="4"/>
      <c r="N3" s="4"/>
      <c r="O3" s="4"/>
      <c r="P3" s="4"/>
      <c r="Q3" s="4"/>
      <c r="R3" s="4"/>
      <c r="S3" s="4"/>
      <c r="T3" s="4"/>
      <c r="W3" s="58" t="s">
        <v>1</v>
      </c>
      <c r="X3" s="58"/>
      <c r="Y3" s="58"/>
      <c r="Z3" s="58"/>
      <c r="AA3" s="58"/>
      <c r="AB3" s="58"/>
      <c r="AC3" s="58"/>
      <c r="AD3" s="58"/>
      <c r="AE3" s="58"/>
    </row>
    <row r="4" spans="2:31" ht="30" x14ac:dyDescent="0.25">
      <c r="B4" s="7" t="s">
        <v>1</v>
      </c>
      <c r="C4" s="7" t="s">
        <v>6</v>
      </c>
      <c r="D4" s="7" t="s">
        <v>7</v>
      </c>
      <c r="E4" s="7" t="s">
        <v>2</v>
      </c>
      <c r="F4" s="7" t="s">
        <v>17</v>
      </c>
      <c r="G4" s="7" t="s">
        <v>14</v>
      </c>
      <c r="H4" s="7" t="s">
        <v>44</v>
      </c>
      <c r="I4" s="7" t="s">
        <v>61</v>
      </c>
      <c r="J4" s="7" t="s">
        <v>60</v>
      </c>
      <c r="K4" s="7" t="s">
        <v>102</v>
      </c>
      <c r="L4" s="7" t="s">
        <v>15</v>
      </c>
      <c r="M4" s="7" t="s">
        <v>16</v>
      </c>
      <c r="N4" s="7" t="s">
        <v>99</v>
      </c>
      <c r="O4" s="7" t="s">
        <v>12</v>
      </c>
      <c r="P4" s="7" t="s">
        <v>10</v>
      </c>
      <c r="Q4" s="7" t="s">
        <v>9</v>
      </c>
      <c r="R4" s="7" t="s">
        <v>56</v>
      </c>
      <c r="S4" s="7" t="s">
        <v>11</v>
      </c>
      <c r="T4" s="7" t="s">
        <v>13</v>
      </c>
      <c r="U4" s="2"/>
      <c r="V4" s="15" t="s">
        <v>54</v>
      </c>
      <c r="W4" s="20">
        <v>10</v>
      </c>
      <c r="X4" s="15">
        <v>11</v>
      </c>
      <c r="Y4" s="20">
        <v>12</v>
      </c>
      <c r="Z4" s="15">
        <v>13</v>
      </c>
      <c r="AA4" s="20">
        <v>14</v>
      </c>
      <c r="AB4" s="20">
        <v>15</v>
      </c>
      <c r="AC4" s="20">
        <v>16</v>
      </c>
      <c r="AD4" s="15">
        <v>17</v>
      </c>
      <c r="AE4" s="20">
        <v>18</v>
      </c>
    </row>
    <row r="5" spans="2:31" ht="13.8" customHeight="1" x14ac:dyDescent="0.25">
      <c r="B5" s="2">
        <v>10</v>
      </c>
      <c r="C5" s="3">
        <v>45688</v>
      </c>
      <c r="D5" s="3">
        <v>45695</v>
      </c>
      <c r="E5" s="2" t="s">
        <v>58</v>
      </c>
      <c r="F5" s="2" t="s">
        <v>18</v>
      </c>
      <c r="G5" s="2">
        <v>27.8</v>
      </c>
      <c r="H5" s="2">
        <v>7972.4</v>
      </c>
      <c r="I5" s="2">
        <f>8672.9-H5</f>
        <v>700.5</v>
      </c>
      <c r="J5" s="2">
        <f>7993.9-H5</f>
        <v>21.5</v>
      </c>
      <c r="K5" s="2">
        <f>J5-G5</f>
        <v>-6.3000000000000007</v>
      </c>
      <c r="L5" s="11">
        <v>0.92162288867530184</v>
      </c>
      <c r="M5" s="11">
        <v>0.90212244438577327</v>
      </c>
      <c r="N5" s="9">
        <f>(L5-M5)/L5*100</f>
        <v>2.1158810755620023</v>
      </c>
      <c r="O5" s="3">
        <v>45689</v>
      </c>
      <c r="P5" s="2">
        <v>10</v>
      </c>
      <c r="Q5" s="11">
        <f>W15</f>
        <v>4.1713000000000005</v>
      </c>
      <c r="R5" s="11">
        <f>W16</f>
        <v>2.235035572672416</v>
      </c>
      <c r="S5" s="2" t="s">
        <v>42</v>
      </c>
      <c r="T5" s="56" t="s">
        <v>78</v>
      </c>
      <c r="U5" s="2"/>
      <c r="V5" s="25">
        <v>1</v>
      </c>
      <c r="W5" s="22">
        <v>4.468</v>
      </c>
      <c r="X5" s="21">
        <v>7.7309999999999999</v>
      </c>
      <c r="Y5" s="21">
        <v>5.7949999999999999</v>
      </c>
      <c r="Z5" s="21">
        <v>1.9339999999999999</v>
      </c>
      <c r="AA5" s="21">
        <v>4.9589999999999996</v>
      </c>
      <c r="AB5" s="22">
        <v>6.1120000000000001</v>
      </c>
      <c r="AC5" s="22">
        <v>0.84299999999999997</v>
      </c>
      <c r="AD5" s="21">
        <v>0.69399999999999995</v>
      </c>
      <c r="AE5" s="21">
        <v>1.1890000000000001</v>
      </c>
    </row>
    <row r="6" spans="2:31" x14ac:dyDescent="0.25">
      <c r="B6" s="2">
        <v>11</v>
      </c>
      <c r="C6" s="3">
        <v>45688</v>
      </c>
      <c r="D6" s="3">
        <v>45695</v>
      </c>
      <c r="E6" s="2" t="s">
        <v>58</v>
      </c>
      <c r="F6" s="2" t="s">
        <v>19</v>
      </c>
      <c r="G6" s="2">
        <v>27.4</v>
      </c>
      <c r="H6" s="9">
        <v>8138</v>
      </c>
      <c r="I6" s="2">
        <f>8654.8-H6</f>
        <v>516.79999999999927</v>
      </c>
      <c r="J6" s="9">
        <f>8158.6-H6</f>
        <v>20.600000000000364</v>
      </c>
      <c r="K6" s="2">
        <f t="shared" ref="K6:K13" si="0">J6-G6</f>
        <v>-6.7999999999996348</v>
      </c>
      <c r="L6" s="11">
        <v>0.98356273429927965</v>
      </c>
      <c r="M6" s="11">
        <v>0.85171909821322389</v>
      </c>
      <c r="N6" s="9">
        <f t="shared" ref="N6:N19" si="1">(L6-M6)/L6*100</f>
        <v>13.40470022788991</v>
      </c>
      <c r="O6" s="3">
        <v>45689</v>
      </c>
      <c r="P6" s="2">
        <v>10</v>
      </c>
      <c r="Q6" s="14">
        <f>X15</f>
        <v>3.9444000000000004</v>
      </c>
      <c r="R6" s="11">
        <f>X16</f>
        <v>2.5362743542448234</v>
      </c>
      <c r="S6" s="2" t="s">
        <v>42</v>
      </c>
      <c r="T6" s="53"/>
      <c r="U6" s="2"/>
      <c r="V6" s="15">
        <v>2</v>
      </c>
      <c r="W6" s="22">
        <v>2.5470000000000002</v>
      </c>
      <c r="X6" s="22">
        <v>0.747</v>
      </c>
      <c r="Y6" s="22">
        <v>0.85399999999999998</v>
      </c>
      <c r="Z6" s="22">
        <v>4.1449999999999996</v>
      </c>
      <c r="AA6" s="22">
        <v>7.0860000000000003</v>
      </c>
      <c r="AB6" s="22">
        <v>1.165</v>
      </c>
      <c r="AC6" s="22">
        <v>0.74199999999999999</v>
      </c>
      <c r="AD6" s="22">
        <v>4.0739999999999998</v>
      </c>
      <c r="AE6" s="22">
        <v>6.7089999999999996</v>
      </c>
    </row>
    <row r="7" spans="2:31" x14ac:dyDescent="0.25">
      <c r="B7" s="2">
        <v>12</v>
      </c>
      <c r="C7" s="3">
        <v>45688</v>
      </c>
      <c r="D7" s="3">
        <v>45695</v>
      </c>
      <c r="E7" s="2" t="s">
        <v>58</v>
      </c>
      <c r="F7" s="2" t="s">
        <v>20</v>
      </c>
      <c r="G7" s="2">
        <v>28.6</v>
      </c>
      <c r="H7" s="2">
        <v>8292.6</v>
      </c>
      <c r="I7" s="2">
        <f>8819.5-H7</f>
        <v>526.89999999999964</v>
      </c>
      <c r="J7" s="22">
        <f>8313.7-H7</f>
        <v>21.100000000000364</v>
      </c>
      <c r="K7" s="2">
        <f t="shared" si="0"/>
        <v>-7.4999999999996376</v>
      </c>
      <c r="L7" s="11">
        <v>1.13539679133306</v>
      </c>
      <c r="M7" s="11">
        <v>0.94316547375449999</v>
      </c>
      <c r="N7" s="9">
        <f t="shared" si="1"/>
        <v>16.930761038426294</v>
      </c>
      <c r="O7" s="3">
        <v>45689</v>
      </c>
      <c r="P7" s="2">
        <v>10</v>
      </c>
      <c r="Q7" s="11">
        <f>Y15</f>
        <v>3.6738999999999997</v>
      </c>
      <c r="R7" s="11">
        <f>Y16</f>
        <v>2.1626803559985985</v>
      </c>
      <c r="S7" s="2" t="s">
        <v>42</v>
      </c>
      <c r="T7" s="53"/>
      <c r="U7" s="2"/>
      <c r="V7" s="15">
        <v>3</v>
      </c>
      <c r="W7" s="22">
        <v>3.6360000000000001</v>
      </c>
      <c r="X7" s="22">
        <v>6.7149999999999999</v>
      </c>
      <c r="Y7" s="22">
        <v>6.1239999999999997</v>
      </c>
      <c r="Z7" s="22">
        <v>7.1680000000000001</v>
      </c>
      <c r="AA7" s="22">
        <v>5.2560000000000002</v>
      </c>
      <c r="AB7" s="22">
        <v>3.6419999999999999</v>
      </c>
      <c r="AC7" s="22">
        <v>8.4480000000000004</v>
      </c>
      <c r="AD7" s="22">
        <v>0.73599999999999999</v>
      </c>
      <c r="AE7" s="22">
        <v>0.84099999999999997</v>
      </c>
    </row>
    <row r="8" spans="2:31" x14ac:dyDescent="0.25">
      <c r="B8" s="2">
        <v>13</v>
      </c>
      <c r="C8" s="3">
        <v>45688</v>
      </c>
      <c r="D8" s="3">
        <v>45695</v>
      </c>
      <c r="E8" s="2" t="s">
        <v>59</v>
      </c>
      <c r="F8" s="2" t="s">
        <v>21</v>
      </c>
      <c r="G8" s="2">
        <v>28.6</v>
      </c>
      <c r="H8" s="2">
        <v>7824.1</v>
      </c>
      <c r="I8" s="2">
        <f>8329.5-H8</f>
        <v>505.39999999999964</v>
      </c>
      <c r="J8" s="2">
        <f>7844.9-H8</f>
        <v>20.799999999999272</v>
      </c>
      <c r="K8" s="2">
        <f t="shared" si="0"/>
        <v>-7.800000000000729</v>
      </c>
      <c r="L8" s="11">
        <v>0.90804400127674323</v>
      </c>
      <c r="M8" s="11">
        <v>0.76883320647065867</v>
      </c>
      <c r="N8" s="9">
        <f>(L8-M8)/L8*100</f>
        <v>15.330842405252284</v>
      </c>
      <c r="O8" s="3">
        <v>45689</v>
      </c>
      <c r="P8" s="2">
        <v>9</v>
      </c>
      <c r="Q8" s="14">
        <f>Z15</f>
        <v>4.3619999999999992</v>
      </c>
      <c r="R8" s="11">
        <f>Z16</f>
        <v>3.4184877504534081</v>
      </c>
      <c r="S8" s="2" t="s">
        <v>42</v>
      </c>
      <c r="T8" s="36"/>
      <c r="U8" s="2"/>
      <c r="V8" s="15">
        <v>4</v>
      </c>
      <c r="W8" s="22">
        <v>7.1020000000000003</v>
      </c>
      <c r="X8" s="22">
        <v>4.4210000000000003</v>
      </c>
      <c r="Y8" s="22">
        <v>3.9950000000000001</v>
      </c>
      <c r="Z8" s="22">
        <v>7.3810000000000002</v>
      </c>
      <c r="AA8" s="22">
        <v>2.206</v>
      </c>
      <c r="AB8" s="22">
        <v>3.3769999999999998</v>
      </c>
      <c r="AC8" s="22">
        <v>2.0419999999999998</v>
      </c>
      <c r="AD8" s="22">
        <v>7.0940000000000003</v>
      </c>
      <c r="AE8" s="22">
        <v>5.7809999999999997</v>
      </c>
    </row>
    <row r="9" spans="2:31" x14ac:dyDescent="0.25">
      <c r="B9" s="2">
        <v>14</v>
      </c>
      <c r="C9" s="3">
        <v>45688</v>
      </c>
      <c r="D9" s="3">
        <v>45695</v>
      </c>
      <c r="E9" s="2" t="s">
        <v>59</v>
      </c>
      <c r="F9" s="2" t="s">
        <v>22</v>
      </c>
      <c r="G9" s="2">
        <v>25.7</v>
      </c>
      <c r="H9" s="2">
        <v>7943.4</v>
      </c>
      <c r="I9" s="2">
        <f>8418.9-H9</f>
        <v>475.5</v>
      </c>
      <c r="J9" s="2">
        <f>7962.3-H9</f>
        <v>18.900000000000546</v>
      </c>
      <c r="K9" s="2">
        <f t="shared" si="0"/>
        <v>-6.7999999999994536</v>
      </c>
      <c r="L9" s="11">
        <v>0.91571869503284375</v>
      </c>
      <c r="M9" s="11">
        <v>0.79734684771712094</v>
      </c>
      <c r="N9" s="9">
        <f t="shared" si="1"/>
        <v>12.926660551740424</v>
      </c>
      <c r="O9" s="3">
        <v>45689</v>
      </c>
      <c r="P9" s="2">
        <v>10</v>
      </c>
      <c r="Q9" s="11">
        <f>AA15</f>
        <v>3.3322000000000003</v>
      </c>
      <c r="R9" s="14">
        <f>AA16</f>
        <v>3.1270446040239905</v>
      </c>
      <c r="S9" s="2" t="s">
        <v>42</v>
      </c>
      <c r="T9" s="36"/>
      <c r="U9" s="2"/>
      <c r="V9" s="15">
        <v>5</v>
      </c>
      <c r="W9" s="22">
        <v>6.4429999999999996</v>
      </c>
      <c r="X9" s="22">
        <v>2.4380000000000002</v>
      </c>
      <c r="Y9" s="22">
        <v>2.5640000000000001</v>
      </c>
      <c r="Z9" s="22">
        <v>0.72299999999999998</v>
      </c>
      <c r="AA9" s="22">
        <v>0.68600000000000005</v>
      </c>
      <c r="AB9" s="22">
        <v>1.7589999999999999</v>
      </c>
      <c r="AC9" s="22">
        <v>1.02</v>
      </c>
      <c r="AD9" s="22">
        <v>1.91</v>
      </c>
      <c r="AE9" s="22">
        <v>0.86799999999999999</v>
      </c>
    </row>
    <row r="10" spans="2:31" x14ac:dyDescent="0.25">
      <c r="B10" s="2">
        <v>15</v>
      </c>
      <c r="C10" s="3">
        <v>45688</v>
      </c>
      <c r="D10" s="3">
        <v>45695</v>
      </c>
      <c r="E10" s="2" t="s">
        <v>59</v>
      </c>
      <c r="F10" s="2" t="s">
        <v>23</v>
      </c>
      <c r="G10" s="2">
        <v>27.6</v>
      </c>
      <c r="H10" s="2">
        <v>8012.3</v>
      </c>
      <c r="I10" s="2">
        <f>8496.7-H10</f>
        <v>484.40000000000055</v>
      </c>
      <c r="J10" s="2">
        <f>8033-H10</f>
        <v>20.699999999999818</v>
      </c>
      <c r="K10" s="2">
        <f t="shared" si="0"/>
        <v>-6.9000000000001833</v>
      </c>
      <c r="L10" s="11">
        <v>0.89121602335826111</v>
      </c>
      <c r="M10" s="11">
        <v>0.78613138500163882</v>
      </c>
      <c r="N10" s="9">
        <f t="shared" si="1"/>
        <v>11.791152268632315</v>
      </c>
      <c r="O10" s="3">
        <v>45689</v>
      </c>
      <c r="P10" s="2">
        <v>9</v>
      </c>
      <c r="Q10" s="14">
        <f>AB15</f>
        <v>3.3566666666666669</v>
      </c>
      <c r="R10" s="11">
        <f>AB16</f>
        <v>1.7099478062209961</v>
      </c>
      <c r="S10" s="2" t="s">
        <v>42</v>
      </c>
      <c r="T10" s="36"/>
      <c r="U10" s="2"/>
      <c r="V10" s="15">
        <v>6</v>
      </c>
      <c r="W10" s="22">
        <v>0.76300000000000001</v>
      </c>
      <c r="X10" s="22">
        <v>0.59099999999999997</v>
      </c>
      <c r="Y10" s="22">
        <v>0.61099999999999999</v>
      </c>
      <c r="Z10" s="22">
        <v>0.61</v>
      </c>
      <c r="AA10" s="22">
        <v>0.94899999999999995</v>
      </c>
      <c r="AB10" s="22">
        <v>2.1</v>
      </c>
      <c r="AC10" s="22">
        <v>0.72399999999999998</v>
      </c>
      <c r="AD10" s="22">
        <v>2.31</v>
      </c>
      <c r="AE10" s="22">
        <v>0.82599999999999996</v>
      </c>
    </row>
    <row r="11" spans="2:31" x14ac:dyDescent="0.25">
      <c r="B11" s="2">
        <v>16</v>
      </c>
      <c r="C11" s="3">
        <v>45688</v>
      </c>
      <c r="D11" s="3">
        <v>45695</v>
      </c>
      <c r="E11" s="2" t="s">
        <v>4</v>
      </c>
      <c r="F11" s="2" t="s">
        <v>24</v>
      </c>
      <c r="G11" s="2">
        <v>27.5</v>
      </c>
      <c r="H11" s="2">
        <v>8410.7000000000007</v>
      </c>
      <c r="I11" s="2">
        <f>8753.5-H11</f>
        <v>342.79999999999927</v>
      </c>
      <c r="J11" s="2">
        <f>8428-H11</f>
        <v>17.299999999999272</v>
      </c>
      <c r="K11" s="2">
        <f t="shared" si="0"/>
        <v>-10.200000000000728</v>
      </c>
      <c r="L11" s="11" t="s">
        <v>43</v>
      </c>
      <c r="M11" s="11" t="s">
        <v>43</v>
      </c>
      <c r="N11" s="11" t="s">
        <v>43</v>
      </c>
      <c r="O11" s="3">
        <v>45689</v>
      </c>
      <c r="P11" s="2">
        <v>10</v>
      </c>
      <c r="Q11" s="11">
        <f>AC15</f>
        <v>2.6656000000000004</v>
      </c>
      <c r="R11" s="11">
        <f>AC16</f>
        <v>3.1303212188740841</v>
      </c>
      <c r="S11" s="2" t="s">
        <v>42</v>
      </c>
      <c r="T11" s="36"/>
      <c r="U11" s="2"/>
      <c r="V11" s="15">
        <v>7</v>
      </c>
      <c r="W11" s="22">
        <v>0.753</v>
      </c>
      <c r="X11" s="22">
        <v>3.81</v>
      </c>
      <c r="Y11" s="22">
        <v>3.7949999999999999</v>
      </c>
      <c r="Z11" s="22">
        <v>0.80300000000000005</v>
      </c>
      <c r="AA11" s="22">
        <v>9.3610000000000007</v>
      </c>
      <c r="AB11" s="22">
        <v>3.016</v>
      </c>
      <c r="AC11" s="22">
        <v>8.5790000000000006</v>
      </c>
      <c r="AD11" s="22">
        <v>3.0960000000000001</v>
      </c>
      <c r="AE11" s="22">
        <v>0.93400000000000005</v>
      </c>
    </row>
    <row r="12" spans="2:31" x14ac:dyDescent="0.25">
      <c r="B12" s="2">
        <v>17</v>
      </c>
      <c r="C12" s="3">
        <v>45688</v>
      </c>
      <c r="D12" s="3">
        <v>45695</v>
      </c>
      <c r="E12" s="2" t="s">
        <v>4</v>
      </c>
      <c r="F12" s="2" t="s">
        <v>25</v>
      </c>
      <c r="G12" s="2">
        <v>24.4</v>
      </c>
      <c r="H12" s="2">
        <v>7802.1</v>
      </c>
      <c r="I12" s="2">
        <f>8153.5-H12</f>
        <v>351.39999999999964</v>
      </c>
      <c r="J12" s="2">
        <f>7820.2-H12</f>
        <v>18.099999999999454</v>
      </c>
      <c r="K12" s="2">
        <f t="shared" si="0"/>
        <v>-6.3000000000005443</v>
      </c>
      <c r="L12" s="11" t="s">
        <v>43</v>
      </c>
      <c r="M12" s="11" t="s">
        <v>43</v>
      </c>
      <c r="N12" s="11" t="s">
        <v>43</v>
      </c>
      <c r="O12" s="3">
        <v>45689</v>
      </c>
      <c r="P12" s="2">
        <v>9</v>
      </c>
      <c r="Q12" s="14">
        <f>AD15</f>
        <v>3.4978888888888888</v>
      </c>
      <c r="R12" s="11">
        <f>AD16</f>
        <v>3.4548753394458558</v>
      </c>
      <c r="S12" s="2" t="s">
        <v>42</v>
      </c>
      <c r="T12" s="36"/>
      <c r="U12" s="2"/>
      <c r="V12" s="15">
        <v>8</v>
      </c>
      <c r="W12" s="22">
        <v>6.0179999999999998</v>
      </c>
      <c r="X12" s="22">
        <v>3.7989999999999999</v>
      </c>
      <c r="Y12" s="22">
        <v>3.6440000000000001</v>
      </c>
      <c r="Z12" s="22">
        <v>7.8079999999999998</v>
      </c>
      <c r="AA12" s="22">
        <v>0.78</v>
      </c>
      <c r="AB12" s="22">
        <v>5.9269999999999996</v>
      </c>
      <c r="AC12" s="22">
        <v>0.93700000000000006</v>
      </c>
      <c r="AD12" s="22">
        <v>10.891999999999999</v>
      </c>
      <c r="AE12" s="22">
        <v>0.60499999999999998</v>
      </c>
    </row>
    <row r="13" spans="2:31" x14ac:dyDescent="0.25">
      <c r="B13" s="2">
        <v>18</v>
      </c>
      <c r="C13" s="3">
        <v>45688</v>
      </c>
      <c r="D13" s="3">
        <v>45695</v>
      </c>
      <c r="E13" s="2" t="s">
        <v>4</v>
      </c>
      <c r="F13" s="2" t="s">
        <v>26</v>
      </c>
      <c r="G13" s="9">
        <v>25</v>
      </c>
      <c r="H13" s="2">
        <v>8111.9</v>
      </c>
      <c r="I13" s="2">
        <f>8415.6-H13</f>
        <v>303.70000000000073</v>
      </c>
      <c r="J13" s="2">
        <f>8126.4-H13</f>
        <v>14.5</v>
      </c>
      <c r="K13" s="2">
        <f t="shared" si="0"/>
        <v>-10.5</v>
      </c>
      <c r="L13" s="11" t="s">
        <v>43</v>
      </c>
      <c r="M13" s="11" t="s">
        <v>43</v>
      </c>
      <c r="N13" s="11" t="s">
        <v>43</v>
      </c>
      <c r="O13" s="3">
        <v>45689</v>
      </c>
      <c r="P13" s="2">
        <v>9</v>
      </c>
      <c r="Q13" s="11">
        <f>AE15</f>
        <v>2.0763333333333334</v>
      </c>
      <c r="R13" s="11">
        <f>AE16</f>
        <v>2.3795388208642438</v>
      </c>
      <c r="S13" s="2" t="s">
        <v>73</v>
      </c>
      <c r="T13" s="36"/>
      <c r="U13" s="2"/>
      <c r="V13" s="15">
        <v>9</v>
      </c>
      <c r="W13" s="22">
        <v>4.7279999999999998</v>
      </c>
      <c r="X13" s="22">
        <v>2.2480000000000002</v>
      </c>
      <c r="Y13" s="22">
        <v>2.3450000000000002</v>
      </c>
      <c r="Z13" s="22">
        <v>8.6859999999999999</v>
      </c>
      <c r="AA13" s="22">
        <v>1.1919999999999999</v>
      </c>
      <c r="AB13" s="22">
        <v>3.1120000000000001</v>
      </c>
      <c r="AC13" s="22">
        <v>0.99399999999999999</v>
      </c>
      <c r="AD13" s="22">
        <v>0.67500000000000004</v>
      </c>
      <c r="AE13" s="22">
        <v>0.93400000000000005</v>
      </c>
    </row>
    <row r="14" spans="2:31" ht="14.4" customHeight="1" thickBot="1" x14ac:dyDescent="0.3">
      <c r="B14" s="2">
        <v>19</v>
      </c>
      <c r="C14" s="3">
        <v>45688</v>
      </c>
      <c r="D14" s="3">
        <v>45695</v>
      </c>
      <c r="E14" s="2" t="s">
        <v>58</v>
      </c>
      <c r="F14" s="2" t="s">
        <v>27</v>
      </c>
      <c r="G14" s="2" t="s">
        <v>8</v>
      </c>
      <c r="H14" s="2" t="s">
        <v>8</v>
      </c>
      <c r="I14" s="2" t="s">
        <v>8</v>
      </c>
      <c r="J14" s="2" t="s">
        <v>8</v>
      </c>
      <c r="K14" s="2" t="s">
        <v>8</v>
      </c>
      <c r="L14" s="11">
        <v>0.92162288867530184</v>
      </c>
      <c r="M14" s="11">
        <v>0.43862351259695664</v>
      </c>
      <c r="N14" s="9">
        <f>(L14-M14)/L14*100</f>
        <v>52.407484884906253</v>
      </c>
      <c r="O14" s="2" t="s">
        <v>8</v>
      </c>
      <c r="P14" s="2" t="s">
        <v>8</v>
      </c>
      <c r="Q14" s="2" t="s">
        <v>8</v>
      </c>
      <c r="R14" s="2" t="s">
        <v>8</v>
      </c>
      <c r="S14" s="2" t="s">
        <v>42</v>
      </c>
      <c r="T14" s="53"/>
      <c r="U14" s="2"/>
      <c r="V14" s="19">
        <v>10</v>
      </c>
      <c r="W14" s="23">
        <v>5.2549999999999999</v>
      </c>
      <c r="X14" s="23">
        <v>6.944</v>
      </c>
      <c r="Y14" s="23">
        <v>7.0119999999999996</v>
      </c>
      <c r="Z14" s="23"/>
      <c r="AA14" s="23">
        <v>0.84699999999999998</v>
      </c>
      <c r="AB14" s="23"/>
      <c r="AC14" s="23">
        <v>2.327</v>
      </c>
      <c r="AD14" s="23"/>
      <c r="AE14" s="23"/>
    </row>
    <row r="15" spans="2:31" x14ac:dyDescent="0.25">
      <c r="B15" s="2">
        <v>20</v>
      </c>
      <c r="C15" s="3">
        <v>45688</v>
      </c>
      <c r="D15" s="3">
        <v>45695</v>
      </c>
      <c r="E15" s="2" t="s">
        <v>58</v>
      </c>
      <c r="F15" s="2" t="s">
        <v>28</v>
      </c>
      <c r="G15" s="2" t="s">
        <v>8</v>
      </c>
      <c r="H15" s="2" t="s">
        <v>8</v>
      </c>
      <c r="I15" s="2" t="s">
        <v>8</v>
      </c>
      <c r="J15" s="2" t="s">
        <v>8</v>
      </c>
      <c r="K15" s="2" t="s">
        <v>8</v>
      </c>
      <c r="L15" s="11">
        <v>0.98356273429927965</v>
      </c>
      <c r="M15" s="11">
        <v>0.53733929439261652</v>
      </c>
      <c r="N15" s="9">
        <f t="shared" si="1"/>
        <v>45.368071028490768</v>
      </c>
      <c r="O15" s="2" t="s">
        <v>8</v>
      </c>
      <c r="P15" s="2" t="s">
        <v>8</v>
      </c>
      <c r="Q15" s="2" t="s">
        <v>8</v>
      </c>
      <c r="R15" s="2" t="s">
        <v>8</v>
      </c>
      <c r="S15" s="2" t="s">
        <v>42</v>
      </c>
      <c r="T15" s="53"/>
      <c r="U15" s="2"/>
      <c r="V15" s="24" t="s">
        <v>55</v>
      </c>
      <c r="W15" s="17">
        <f>AVERAGE(W5:W14)</f>
        <v>4.1713000000000005</v>
      </c>
      <c r="X15" s="17">
        <f>AVERAGE(X5:X14)</f>
        <v>3.9444000000000004</v>
      </c>
      <c r="Y15" s="17">
        <f t="shared" ref="Y15:AE15" si="2">AVERAGE(Y5:Y14)</f>
        <v>3.6738999999999997</v>
      </c>
      <c r="Z15" s="17">
        <f t="shared" si="2"/>
        <v>4.3619999999999992</v>
      </c>
      <c r="AA15" s="17">
        <f t="shared" si="2"/>
        <v>3.3322000000000003</v>
      </c>
      <c r="AB15" s="17">
        <f t="shared" si="2"/>
        <v>3.3566666666666669</v>
      </c>
      <c r="AC15" s="17">
        <f t="shared" si="2"/>
        <v>2.6656000000000004</v>
      </c>
      <c r="AD15" s="17">
        <f t="shared" si="2"/>
        <v>3.4978888888888888</v>
      </c>
      <c r="AE15" s="17">
        <f t="shared" si="2"/>
        <v>2.0763333333333334</v>
      </c>
    </row>
    <row r="16" spans="2:31" ht="14.4" thickBot="1" x14ac:dyDescent="0.3">
      <c r="B16" s="2">
        <v>21</v>
      </c>
      <c r="C16" s="3">
        <v>45688</v>
      </c>
      <c r="D16" s="3">
        <v>45695</v>
      </c>
      <c r="E16" s="2" t="s">
        <v>58</v>
      </c>
      <c r="F16" s="2" t="s">
        <v>29</v>
      </c>
      <c r="G16" s="2" t="s">
        <v>8</v>
      </c>
      <c r="H16" s="2" t="s">
        <v>8</v>
      </c>
      <c r="I16" s="2" t="s">
        <v>8</v>
      </c>
      <c r="J16" s="2" t="s">
        <v>8</v>
      </c>
      <c r="K16" s="2" t="s">
        <v>8</v>
      </c>
      <c r="L16" s="11">
        <v>1.13539679133306</v>
      </c>
      <c r="M16" s="11">
        <v>0.58462073767464917</v>
      </c>
      <c r="N16" s="9">
        <f t="shared" si="1"/>
        <v>48.509565806659474</v>
      </c>
      <c r="O16" s="2" t="s">
        <v>8</v>
      </c>
      <c r="P16" s="2" t="s">
        <v>8</v>
      </c>
      <c r="Q16" s="2" t="s">
        <v>8</v>
      </c>
      <c r="R16" s="2" t="s">
        <v>8</v>
      </c>
      <c r="S16" s="2" t="s">
        <v>42</v>
      </c>
      <c r="T16" s="53"/>
      <c r="U16" s="2"/>
      <c r="V16" s="19" t="s">
        <v>57</v>
      </c>
      <c r="W16" s="18">
        <f>_xlfn.STDEV.S(W5:W14)</f>
        <v>2.235035572672416</v>
      </c>
      <c r="X16" s="18">
        <f t="shared" ref="X16:AE16" si="3">_xlfn.STDEV.S(X5:X14)</f>
        <v>2.5362743542448234</v>
      </c>
      <c r="Y16" s="18">
        <f t="shared" si="3"/>
        <v>2.1626803559985985</v>
      </c>
      <c r="Z16" s="18">
        <f t="shared" si="3"/>
        <v>3.4184877504534081</v>
      </c>
      <c r="AA16" s="18">
        <f t="shared" si="3"/>
        <v>3.1270446040239905</v>
      </c>
      <c r="AB16" s="18">
        <f t="shared" si="3"/>
        <v>1.7099478062209961</v>
      </c>
      <c r="AC16" s="18">
        <f t="shared" si="3"/>
        <v>3.1303212188740841</v>
      </c>
      <c r="AD16" s="18">
        <f t="shared" si="3"/>
        <v>3.4548753394458558</v>
      </c>
      <c r="AE16" s="18">
        <f t="shared" si="3"/>
        <v>2.3795388208642438</v>
      </c>
    </row>
    <row r="17" spans="2:31" x14ac:dyDescent="0.25">
      <c r="B17" s="2">
        <v>22</v>
      </c>
      <c r="C17" s="3">
        <v>45688</v>
      </c>
      <c r="D17" s="3">
        <v>45695</v>
      </c>
      <c r="E17" s="2" t="s">
        <v>59</v>
      </c>
      <c r="F17" s="2" t="s">
        <v>30</v>
      </c>
      <c r="G17" s="2" t="s">
        <v>8</v>
      </c>
      <c r="H17" s="2" t="s">
        <v>8</v>
      </c>
      <c r="I17" s="2" t="s">
        <v>8</v>
      </c>
      <c r="J17" s="2" t="s">
        <v>8</v>
      </c>
      <c r="K17" s="2" t="s">
        <v>8</v>
      </c>
      <c r="L17" s="11">
        <v>0.90804400127674323</v>
      </c>
      <c r="M17" s="10">
        <v>0.75435554225832702</v>
      </c>
      <c r="N17" s="9">
        <f t="shared" si="1"/>
        <v>16.925221553396597</v>
      </c>
      <c r="O17" s="2" t="s">
        <v>8</v>
      </c>
      <c r="P17" s="2" t="s">
        <v>8</v>
      </c>
      <c r="Q17" s="2" t="s">
        <v>8</v>
      </c>
      <c r="R17" s="2" t="s">
        <v>8</v>
      </c>
      <c r="S17" s="2" t="s">
        <v>42</v>
      </c>
      <c r="T17" s="53"/>
      <c r="U17" s="2"/>
    </row>
    <row r="18" spans="2:31" x14ac:dyDescent="0.25">
      <c r="B18" s="2">
        <v>23</v>
      </c>
      <c r="C18" s="3">
        <v>45688</v>
      </c>
      <c r="D18" s="3">
        <v>45695</v>
      </c>
      <c r="E18" s="2" t="s">
        <v>59</v>
      </c>
      <c r="F18" s="2" t="s">
        <v>31</v>
      </c>
      <c r="G18" s="2" t="s">
        <v>8</v>
      </c>
      <c r="H18" s="2" t="s">
        <v>8</v>
      </c>
      <c r="I18" s="2" t="s">
        <v>8</v>
      </c>
      <c r="J18" s="2" t="s">
        <v>8</v>
      </c>
      <c r="K18" s="2" t="s">
        <v>8</v>
      </c>
      <c r="L18" s="11">
        <v>0.91571869503284375</v>
      </c>
      <c r="M18" s="10">
        <v>0.65997663088023995</v>
      </c>
      <c r="N18" s="9">
        <f t="shared" si="1"/>
        <v>27.92801605338321</v>
      </c>
      <c r="O18" s="2" t="s">
        <v>8</v>
      </c>
      <c r="P18" s="2" t="s">
        <v>8</v>
      </c>
      <c r="Q18" s="2" t="s">
        <v>8</v>
      </c>
      <c r="R18" s="2" t="s">
        <v>8</v>
      </c>
      <c r="S18" s="2" t="s">
        <v>42</v>
      </c>
      <c r="T18" s="53"/>
      <c r="U18" s="2"/>
    </row>
    <row r="19" spans="2:31" ht="14.4" thickBot="1" x14ac:dyDescent="0.3">
      <c r="B19" s="5">
        <v>24</v>
      </c>
      <c r="C19" s="6">
        <v>45688</v>
      </c>
      <c r="D19" s="6">
        <v>45695</v>
      </c>
      <c r="E19" s="5" t="s">
        <v>59</v>
      </c>
      <c r="F19" s="5" t="s">
        <v>32</v>
      </c>
      <c r="G19" s="5" t="s">
        <v>8</v>
      </c>
      <c r="H19" s="5" t="s">
        <v>8</v>
      </c>
      <c r="I19" s="5" t="s">
        <v>8</v>
      </c>
      <c r="J19" s="5" t="s">
        <v>8</v>
      </c>
      <c r="K19" s="5" t="s">
        <v>8</v>
      </c>
      <c r="L19" s="13">
        <v>0.89121602335826111</v>
      </c>
      <c r="M19" s="12">
        <v>0.75427908600467697</v>
      </c>
      <c r="N19" s="49">
        <f t="shared" si="1"/>
        <v>15.365179009863548</v>
      </c>
      <c r="O19" s="5" t="s">
        <v>8</v>
      </c>
      <c r="P19" s="5" t="s">
        <v>8</v>
      </c>
      <c r="Q19" s="5" t="s">
        <v>8</v>
      </c>
      <c r="R19" s="5" t="s">
        <v>8</v>
      </c>
      <c r="S19" s="5" t="s">
        <v>42</v>
      </c>
      <c r="T19" s="54"/>
      <c r="U19" s="2"/>
    </row>
    <row r="20" spans="2:31" ht="14.4" thickBot="1" x14ac:dyDescent="0.3">
      <c r="V20" s="4"/>
    </row>
    <row r="21" spans="2:31" ht="14.4" thickBot="1" x14ac:dyDescent="0.3">
      <c r="B21" s="4"/>
      <c r="C21" s="4"/>
      <c r="D21" s="4"/>
      <c r="E21" s="4"/>
      <c r="F21" s="4"/>
      <c r="G21" s="4"/>
      <c r="H21" s="4"/>
      <c r="I21" s="4"/>
      <c r="J21" s="4"/>
      <c r="K21" s="4"/>
      <c r="L21" s="4"/>
      <c r="M21" s="4"/>
      <c r="N21" s="4"/>
      <c r="O21" s="4"/>
      <c r="P21" s="4"/>
      <c r="Q21" s="4"/>
      <c r="R21" s="4"/>
      <c r="S21" s="4"/>
      <c r="T21" s="4"/>
      <c r="W21" s="58" t="s">
        <v>1</v>
      </c>
      <c r="X21" s="58"/>
      <c r="Y21" s="58"/>
      <c r="Z21" s="58"/>
      <c r="AA21" s="58"/>
      <c r="AB21" s="58"/>
      <c r="AC21" s="58"/>
      <c r="AD21" s="58"/>
      <c r="AE21" s="58"/>
    </row>
    <row r="22" spans="2:31" ht="30" x14ac:dyDescent="0.25">
      <c r="B22" s="7" t="s">
        <v>1</v>
      </c>
      <c r="C22" s="7" t="s">
        <v>6</v>
      </c>
      <c r="D22" s="7" t="s">
        <v>7</v>
      </c>
      <c r="E22" s="7" t="s">
        <v>2</v>
      </c>
      <c r="F22" s="7" t="s">
        <v>17</v>
      </c>
      <c r="G22" s="7" t="s">
        <v>14</v>
      </c>
      <c r="H22" s="7" t="s">
        <v>44</v>
      </c>
      <c r="I22" s="7" t="s">
        <v>61</v>
      </c>
      <c r="J22" s="7" t="s">
        <v>60</v>
      </c>
      <c r="K22" s="7" t="s">
        <v>102</v>
      </c>
      <c r="L22" s="7" t="s">
        <v>15</v>
      </c>
      <c r="M22" s="7" t="s">
        <v>16</v>
      </c>
      <c r="N22" s="7" t="s">
        <v>99</v>
      </c>
      <c r="O22" s="7" t="s">
        <v>12</v>
      </c>
      <c r="P22" s="7" t="s">
        <v>10</v>
      </c>
      <c r="Q22" s="7" t="s">
        <v>9</v>
      </c>
      <c r="R22" s="7" t="s">
        <v>56</v>
      </c>
      <c r="S22" s="7" t="s">
        <v>11</v>
      </c>
      <c r="T22" s="7" t="s">
        <v>13</v>
      </c>
      <c r="U22" s="2"/>
      <c r="V22" s="15" t="s">
        <v>54</v>
      </c>
      <c r="W22" s="20">
        <v>1</v>
      </c>
      <c r="X22" s="15">
        <v>2</v>
      </c>
      <c r="Y22" s="20">
        <v>3</v>
      </c>
      <c r="Z22" s="15">
        <v>4</v>
      </c>
      <c r="AA22" s="20">
        <v>5</v>
      </c>
      <c r="AB22" s="20">
        <v>6</v>
      </c>
      <c r="AC22" s="20">
        <v>7</v>
      </c>
      <c r="AD22" s="15">
        <v>8</v>
      </c>
      <c r="AE22" s="20">
        <v>9</v>
      </c>
    </row>
    <row r="23" spans="2:31" ht="13.8" customHeight="1" x14ac:dyDescent="0.25">
      <c r="B23" s="2">
        <v>1</v>
      </c>
      <c r="C23" s="3">
        <v>45695</v>
      </c>
      <c r="D23" s="3">
        <v>45702</v>
      </c>
      <c r="E23" s="2" t="s">
        <v>72</v>
      </c>
      <c r="F23" s="2" t="s">
        <v>18</v>
      </c>
      <c r="G23" s="2">
        <v>22.8</v>
      </c>
      <c r="H23" s="2">
        <v>8011.9</v>
      </c>
      <c r="I23" s="2">
        <f>8286-H23</f>
        <v>274.10000000000036</v>
      </c>
      <c r="J23" s="2">
        <f>8028.3-H23</f>
        <v>16.400000000000546</v>
      </c>
      <c r="K23" s="2">
        <f>J23-G23</f>
        <v>-6.399999999999455</v>
      </c>
      <c r="L23" s="11">
        <v>0.99608836726278627</v>
      </c>
      <c r="M23" s="11">
        <v>0.49212288888756878</v>
      </c>
      <c r="N23" s="11">
        <f>(L23-M23)/L23*100</f>
        <v>50.594454763094546</v>
      </c>
      <c r="O23" s="3">
        <v>45696</v>
      </c>
      <c r="P23" s="2">
        <v>8</v>
      </c>
      <c r="Q23" s="11">
        <f>W33</f>
        <v>3.6735000000000002</v>
      </c>
      <c r="R23" s="11">
        <f>W34</f>
        <v>3.1091534906741791</v>
      </c>
      <c r="S23" s="2" t="s">
        <v>82</v>
      </c>
      <c r="T23" s="56"/>
      <c r="U23" s="2"/>
      <c r="V23" s="25">
        <v>1</v>
      </c>
      <c r="W23" s="22">
        <v>1.2270000000000001</v>
      </c>
      <c r="X23" s="21">
        <v>1.341</v>
      </c>
      <c r="Y23" s="21">
        <v>0.63800000000000001</v>
      </c>
      <c r="Z23" s="21">
        <v>7.55</v>
      </c>
      <c r="AA23" s="21">
        <v>8.3580000000000005</v>
      </c>
      <c r="AB23" s="22">
        <v>1.88</v>
      </c>
      <c r="AC23" s="22">
        <v>0.78700000000000003</v>
      </c>
      <c r="AD23" s="21">
        <v>1.355</v>
      </c>
      <c r="AE23" s="21">
        <v>1.24</v>
      </c>
    </row>
    <row r="24" spans="2:31" x14ac:dyDescent="0.25">
      <c r="B24" s="2">
        <v>2</v>
      </c>
      <c r="C24" s="3">
        <v>45695</v>
      </c>
      <c r="D24" s="3">
        <v>45702</v>
      </c>
      <c r="E24" s="2" t="s">
        <v>72</v>
      </c>
      <c r="F24" s="2" t="s">
        <v>19</v>
      </c>
      <c r="G24" s="2">
        <v>24.8</v>
      </c>
      <c r="H24" s="2">
        <v>7972.4</v>
      </c>
      <c r="I24" s="2">
        <f>8225.1-H24</f>
        <v>252.70000000000073</v>
      </c>
      <c r="J24" s="2">
        <f>7990.2-H24</f>
        <v>17.800000000000182</v>
      </c>
      <c r="K24" s="2">
        <f t="shared" ref="K24:K31" si="4">J24-G24</f>
        <v>-6.9999999999998188</v>
      </c>
      <c r="L24" s="11">
        <v>1.1109486359985832</v>
      </c>
      <c r="M24" s="11">
        <v>0.44106587514386097</v>
      </c>
      <c r="N24" s="11">
        <f t="shared" ref="N24:N37" si="5">(L24-M24)/L24*100</f>
        <v>60.29826574768633</v>
      </c>
      <c r="O24" s="3">
        <v>45696</v>
      </c>
      <c r="P24" s="2">
        <v>6</v>
      </c>
      <c r="Q24" s="14">
        <f>X33</f>
        <v>1.7001666666666668</v>
      </c>
      <c r="R24" s="11">
        <f>X34</f>
        <v>1.9533527501879089</v>
      </c>
      <c r="S24" s="2" t="s">
        <v>73</v>
      </c>
      <c r="T24" s="53"/>
      <c r="U24" s="2"/>
      <c r="V24" s="15">
        <v>2</v>
      </c>
      <c r="W24" s="22">
        <v>2.4900000000000002</v>
      </c>
      <c r="X24" s="22">
        <v>0.753</v>
      </c>
      <c r="Y24" s="22">
        <v>0.95299999999999996</v>
      </c>
      <c r="Z24" s="22">
        <v>2.4550000000000001</v>
      </c>
      <c r="AA24" s="22">
        <v>4.9669999999999996</v>
      </c>
      <c r="AB24" s="22">
        <v>0.91700000000000004</v>
      </c>
      <c r="AC24" s="22">
        <v>0.73199999999999998</v>
      </c>
      <c r="AD24" s="22">
        <v>1.048</v>
      </c>
      <c r="AE24" s="22">
        <v>0.90800000000000003</v>
      </c>
    </row>
    <row r="25" spans="2:31" x14ac:dyDescent="0.25">
      <c r="B25" s="2">
        <v>3</v>
      </c>
      <c r="C25" s="3">
        <v>45695</v>
      </c>
      <c r="D25" s="3">
        <v>45702</v>
      </c>
      <c r="E25" s="2" t="s">
        <v>72</v>
      </c>
      <c r="F25" s="2" t="s">
        <v>20</v>
      </c>
      <c r="G25" s="2">
        <v>27.6</v>
      </c>
      <c r="H25" s="2">
        <v>8220.1</v>
      </c>
      <c r="I25" s="2">
        <f>8535.3-H25</f>
        <v>315.19999999999891</v>
      </c>
      <c r="J25" s="22">
        <f>8236.4-H25</f>
        <v>16.299999999999272</v>
      </c>
      <c r="K25" s="2">
        <f t="shared" si="4"/>
        <v>-11.300000000000729</v>
      </c>
      <c r="L25" s="11">
        <v>1.0048941642797673</v>
      </c>
      <c r="M25" s="11">
        <v>0.38757994732855972</v>
      </c>
      <c r="N25" s="11">
        <f t="shared" si="5"/>
        <v>61.430769417757745</v>
      </c>
      <c r="O25" s="3">
        <v>45696</v>
      </c>
      <c r="P25" s="2">
        <v>7</v>
      </c>
      <c r="Q25" s="11">
        <f>Y33</f>
        <v>1.7624285714285715</v>
      </c>
      <c r="R25" s="11">
        <f>Y34</f>
        <v>2.1365555501899824</v>
      </c>
      <c r="S25" s="2" t="s">
        <v>79</v>
      </c>
      <c r="T25" s="53"/>
      <c r="U25" s="2"/>
      <c r="V25" s="15">
        <v>3</v>
      </c>
      <c r="W25" s="22">
        <v>7.18</v>
      </c>
      <c r="X25" s="22">
        <v>0.88500000000000001</v>
      </c>
      <c r="Y25" s="22">
        <v>1.204</v>
      </c>
      <c r="Z25" s="22">
        <v>1.6859999999999999</v>
      </c>
      <c r="AA25" s="22">
        <v>1.4590000000000001</v>
      </c>
      <c r="AB25" s="22">
        <v>2.101</v>
      </c>
      <c r="AC25" s="22">
        <v>1.839</v>
      </c>
      <c r="AD25" s="22">
        <v>0.69799999999999995</v>
      </c>
      <c r="AE25" s="22">
        <v>4.7380000000000004</v>
      </c>
    </row>
    <row r="26" spans="2:31" x14ac:dyDescent="0.25">
      <c r="B26" s="2">
        <v>4</v>
      </c>
      <c r="C26" s="3">
        <v>45695</v>
      </c>
      <c r="D26" s="3">
        <v>45702</v>
      </c>
      <c r="E26" s="2" t="s">
        <v>5</v>
      </c>
      <c r="F26" s="2" t="s">
        <v>21</v>
      </c>
      <c r="G26" s="2">
        <v>27.1</v>
      </c>
      <c r="H26" s="2">
        <v>8122.4</v>
      </c>
      <c r="I26" s="9">
        <f>8526.4-H26</f>
        <v>404</v>
      </c>
      <c r="J26" s="2">
        <f>8142.7-H26</f>
        <v>20.300000000000182</v>
      </c>
      <c r="K26" s="2">
        <f t="shared" si="4"/>
        <v>-6.7999999999998195</v>
      </c>
      <c r="L26" s="11">
        <v>0.97432305760818616</v>
      </c>
      <c r="M26" s="11">
        <v>0.42587787047267112</v>
      </c>
      <c r="N26" s="11">
        <f>(L26-M26)/L26*100</f>
        <v>56.289870474980233</v>
      </c>
      <c r="O26" s="3">
        <v>45696</v>
      </c>
      <c r="P26" s="2">
        <v>7</v>
      </c>
      <c r="Q26" s="14">
        <f>Z33</f>
        <v>4.2284285714285712</v>
      </c>
      <c r="R26" s="11">
        <f>Z34</f>
        <v>2.592342496478353</v>
      </c>
      <c r="S26" s="2" t="s">
        <v>73</v>
      </c>
      <c r="T26" s="53"/>
      <c r="U26" s="2"/>
      <c r="V26" s="15">
        <v>4</v>
      </c>
      <c r="W26" s="22">
        <v>1.798</v>
      </c>
      <c r="X26" s="22">
        <v>5.66</v>
      </c>
      <c r="Y26" s="22">
        <v>1.23</v>
      </c>
      <c r="Z26" s="22">
        <v>4.5359999999999996</v>
      </c>
      <c r="AA26" s="22">
        <v>6.7089999999999996</v>
      </c>
      <c r="AB26" s="22">
        <v>0.92200000000000004</v>
      </c>
      <c r="AC26" s="22">
        <v>0.59099999999999997</v>
      </c>
      <c r="AD26" s="22">
        <v>0.78</v>
      </c>
      <c r="AE26" s="22">
        <v>0.88100000000000001</v>
      </c>
    </row>
    <row r="27" spans="2:31" x14ac:dyDescent="0.25">
      <c r="B27" s="2">
        <v>5</v>
      </c>
      <c r="C27" s="3">
        <v>45695</v>
      </c>
      <c r="D27" s="3">
        <v>45702</v>
      </c>
      <c r="E27" s="2" t="s">
        <v>5</v>
      </c>
      <c r="F27" s="2" t="s">
        <v>22</v>
      </c>
      <c r="G27" s="2">
        <v>28.5</v>
      </c>
      <c r="H27" s="2">
        <v>7714.3</v>
      </c>
      <c r="I27" s="2">
        <f>8002.1-H27</f>
        <v>287.80000000000018</v>
      </c>
      <c r="J27" s="2">
        <f>7734.1-H27</f>
        <v>19.800000000000182</v>
      </c>
      <c r="K27" s="2">
        <f t="shared" si="4"/>
        <v>-8.6999999999998181</v>
      </c>
      <c r="L27" s="11">
        <v>0.94949298441769381</v>
      </c>
      <c r="M27" s="11">
        <v>0.56705415553194649</v>
      </c>
      <c r="N27" s="11">
        <f t="shared" si="5"/>
        <v>40.2782153382934</v>
      </c>
      <c r="O27" s="3">
        <v>45696</v>
      </c>
      <c r="P27" s="2">
        <v>7</v>
      </c>
      <c r="Q27" s="11">
        <f>AA33</f>
        <v>3.4545714285714277</v>
      </c>
      <c r="R27" s="14">
        <f>AA34</f>
        <v>3.1915011544800711</v>
      </c>
      <c r="S27" s="2" t="s">
        <v>73</v>
      </c>
      <c r="T27" s="53"/>
      <c r="U27" s="2"/>
      <c r="V27" s="15">
        <v>5</v>
      </c>
      <c r="W27" s="22">
        <v>5.8380000000000001</v>
      </c>
      <c r="X27" s="22">
        <v>0.874</v>
      </c>
      <c r="Y27" s="22">
        <v>6.5839999999999996</v>
      </c>
      <c r="Z27" s="22">
        <v>3.7890000000000001</v>
      </c>
      <c r="AA27" s="22">
        <v>1.3939999999999999</v>
      </c>
      <c r="AB27" s="22">
        <v>6.524</v>
      </c>
      <c r="AC27" s="22">
        <v>0.441</v>
      </c>
      <c r="AD27" s="22">
        <v>1.095</v>
      </c>
      <c r="AE27" s="22">
        <v>0.98</v>
      </c>
    </row>
    <row r="28" spans="2:31" x14ac:dyDescent="0.25">
      <c r="B28" s="2">
        <v>6</v>
      </c>
      <c r="C28" s="3">
        <v>45695</v>
      </c>
      <c r="D28" s="3">
        <v>45702</v>
      </c>
      <c r="E28" s="2" t="s">
        <v>5</v>
      </c>
      <c r="F28" s="2" t="s">
        <v>23</v>
      </c>
      <c r="G28" s="2">
        <v>26.2</v>
      </c>
      <c r="H28" s="9">
        <v>8112</v>
      </c>
      <c r="I28" s="9">
        <f>8425.1-H28</f>
        <v>313.10000000000036</v>
      </c>
      <c r="J28" s="9">
        <f>8129.4-H28</f>
        <v>17.399999999999636</v>
      </c>
      <c r="K28" s="2">
        <f t="shared" si="4"/>
        <v>-8.8000000000003631</v>
      </c>
      <c r="L28" s="11">
        <v>0.90267596366839054</v>
      </c>
      <c r="M28" s="11">
        <v>0.31930043491460985</v>
      </c>
      <c r="N28" s="11">
        <f t="shared" si="5"/>
        <v>64.627347158220232</v>
      </c>
      <c r="O28" s="3">
        <v>45696</v>
      </c>
      <c r="P28" s="2">
        <v>8</v>
      </c>
      <c r="Q28" s="14">
        <f>AB33</f>
        <v>2.6716250000000001</v>
      </c>
      <c r="R28" s="11">
        <f>AB34</f>
        <v>2.8101040111660334</v>
      </c>
      <c r="S28" s="2" t="s">
        <v>80</v>
      </c>
      <c r="T28" s="53"/>
      <c r="U28" s="2"/>
      <c r="V28" s="15">
        <v>6</v>
      </c>
      <c r="W28" s="22">
        <v>0.83599999999999997</v>
      </c>
      <c r="X28" s="22">
        <v>0.68799999999999994</v>
      </c>
      <c r="Y28" s="22">
        <v>0.94299999999999995</v>
      </c>
      <c r="Z28" s="22">
        <v>1.7290000000000001</v>
      </c>
      <c r="AA28" s="22">
        <v>0.96699999999999997</v>
      </c>
      <c r="AB28" s="22">
        <v>7.6870000000000003</v>
      </c>
      <c r="AC28" s="22">
        <v>3.573</v>
      </c>
      <c r="AD28" s="22">
        <v>0.82799999999999996</v>
      </c>
      <c r="AE28" s="22">
        <v>1.054</v>
      </c>
    </row>
    <row r="29" spans="2:31" x14ac:dyDescent="0.25">
      <c r="B29" s="2">
        <v>7</v>
      </c>
      <c r="C29" s="3">
        <v>45695</v>
      </c>
      <c r="D29" s="3">
        <v>45702</v>
      </c>
      <c r="E29" s="2" t="s">
        <v>4</v>
      </c>
      <c r="F29" s="2" t="s">
        <v>24</v>
      </c>
      <c r="G29" s="2">
        <v>26.2</v>
      </c>
      <c r="H29" s="2">
        <v>8376.1</v>
      </c>
      <c r="I29" s="2">
        <f>8652.3-H29</f>
        <v>276.19999999999891</v>
      </c>
      <c r="J29" s="2">
        <f>8394.9-H29</f>
        <v>18.799999999999272</v>
      </c>
      <c r="K29" s="2">
        <f t="shared" si="4"/>
        <v>-7.4000000000007269</v>
      </c>
      <c r="L29" s="11" t="s">
        <v>43</v>
      </c>
      <c r="M29" s="11" t="s">
        <v>43</v>
      </c>
      <c r="N29" s="11" t="s">
        <v>43</v>
      </c>
      <c r="O29" s="3">
        <v>45696</v>
      </c>
      <c r="P29" s="2">
        <v>8</v>
      </c>
      <c r="Q29" s="11">
        <f>AC33</f>
        <v>1.1512499999999999</v>
      </c>
      <c r="R29" s="11">
        <f>AC34</f>
        <v>1.0716847550869213</v>
      </c>
      <c r="S29" s="2" t="s">
        <v>81</v>
      </c>
      <c r="T29" s="53"/>
      <c r="U29" s="2"/>
      <c r="V29" s="15">
        <v>7</v>
      </c>
      <c r="W29" s="22">
        <v>1.2569999999999999</v>
      </c>
      <c r="X29" s="22"/>
      <c r="Y29" s="22">
        <v>0.78500000000000003</v>
      </c>
      <c r="Z29" s="22">
        <v>7.8540000000000001</v>
      </c>
      <c r="AA29" s="22">
        <v>0.32800000000000001</v>
      </c>
      <c r="AB29" s="22">
        <v>0.97499999999999998</v>
      </c>
      <c r="AC29" s="22">
        <v>0.71799999999999997</v>
      </c>
      <c r="AD29" s="22">
        <v>1.04</v>
      </c>
      <c r="AE29" s="22">
        <v>1.075</v>
      </c>
    </row>
    <row r="30" spans="2:31" x14ac:dyDescent="0.25">
      <c r="B30" s="2">
        <v>8</v>
      </c>
      <c r="C30" s="3">
        <v>45695</v>
      </c>
      <c r="D30" s="3">
        <v>45702</v>
      </c>
      <c r="E30" s="2" t="s">
        <v>4</v>
      </c>
      <c r="F30" s="2" t="s">
        <v>25</v>
      </c>
      <c r="G30" s="2">
        <v>28.8</v>
      </c>
      <c r="H30" s="2">
        <v>8274.9</v>
      </c>
      <c r="I30" s="2">
        <f>8629.5-H30</f>
        <v>354.60000000000036</v>
      </c>
      <c r="J30" s="2">
        <f>8293.7-H30</f>
        <v>18.800000000001091</v>
      </c>
      <c r="K30" s="2">
        <f t="shared" si="4"/>
        <v>-9.9999999999989093</v>
      </c>
      <c r="L30" s="11" t="s">
        <v>43</v>
      </c>
      <c r="M30" s="11" t="s">
        <v>43</v>
      </c>
      <c r="N30" s="11" t="s">
        <v>43</v>
      </c>
      <c r="O30" s="3">
        <v>45696</v>
      </c>
      <c r="P30" s="2">
        <v>10</v>
      </c>
      <c r="Q30" s="14">
        <f>AD33</f>
        <v>1.0202000000000002</v>
      </c>
      <c r="R30" s="11">
        <f>AD34</f>
        <v>0.28308451819985492</v>
      </c>
      <c r="S30" s="2" t="s">
        <v>73</v>
      </c>
      <c r="T30" s="53"/>
      <c r="U30" s="2"/>
      <c r="V30" s="15">
        <v>8</v>
      </c>
      <c r="W30" s="22">
        <v>8.7620000000000005</v>
      </c>
      <c r="X30" s="22"/>
      <c r="Y30" s="22"/>
      <c r="Z30" s="22"/>
      <c r="AA30" s="22"/>
      <c r="AB30" s="22">
        <v>0.36699999999999999</v>
      </c>
      <c r="AC30" s="22">
        <v>0.52900000000000003</v>
      </c>
      <c r="AD30" s="22">
        <v>0.80100000000000005</v>
      </c>
      <c r="AE30" s="22">
        <v>1.2529999999999999</v>
      </c>
    </row>
    <row r="31" spans="2:31" x14ac:dyDescent="0.25">
      <c r="B31" s="2">
        <v>9</v>
      </c>
      <c r="C31" s="3">
        <v>45695</v>
      </c>
      <c r="D31" s="3">
        <v>45702</v>
      </c>
      <c r="E31" s="2" t="s">
        <v>4</v>
      </c>
      <c r="F31" s="2" t="s">
        <v>26</v>
      </c>
      <c r="G31" s="9">
        <v>26</v>
      </c>
      <c r="H31" s="2">
        <v>8151.1</v>
      </c>
      <c r="I31" s="2">
        <f>8485.6-H31</f>
        <v>334.5</v>
      </c>
      <c r="J31" s="2">
        <f>8168.6-H31</f>
        <v>17.5</v>
      </c>
      <c r="K31" s="2">
        <f t="shared" si="4"/>
        <v>-8.5</v>
      </c>
      <c r="L31" s="11" t="s">
        <v>43</v>
      </c>
      <c r="M31" s="11" t="s">
        <v>43</v>
      </c>
      <c r="N31" s="11" t="s">
        <v>43</v>
      </c>
      <c r="O31" s="3">
        <v>45696</v>
      </c>
      <c r="P31" s="2">
        <v>10</v>
      </c>
      <c r="Q31" s="11">
        <f>AE33</f>
        <v>1.5343000000000002</v>
      </c>
      <c r="R31" s="11">
        <f>AE34</f>
        <v>1.1595623743464598</v>
      </c>
      <c r="S31" s="2" t="s">
        <v>82</v>
      </c>
      <c r="T31" s="53"/>
      <c r="U31" s="2"/>
      <c r="V31" s="15">
        <v>9</v>
      </c>
      <c r="W31" s="22"/>
      <c r="X31" s="22"/>
      <c r="Y31" s="22"/>
      <c r="Z31" s="22"/>
      <c r="AA31" s="22"/>
      <c r="AB31" s="22"/>
      <c r="AC31" s="22"/>
      <c r="AD31" s="22">
        <v>1.6120000000000001</v>
      </c>
      <c r="AE31" s="22">
        <v>1.823</v>
      </c>
    </row>
    <row r="32" spans="2:31" ht="14.4" customHeight="1" thickBot="1" x14ac:dyDescent="0.3">
      <c r="B32" s="2">
        <v>19</v>
      </c>
      <c r="C32" s="3">
        <v>45695</v>
      </c>
      <c r="D32" s="3">
        <v>45702</v>
      </c>
      <c r="E32" s="2" t="s">
        <v>72</v>
      </c>
      <c r="F32" s="2" t="s">
        <v>27</v>
      </c>
      <c r="G32" s="2" t="s">
        <v>8</v>
      </c>
      <c r="H32" s="2" t="s">
        <v>8</v>
      </c>
      <c r="I32" s="2" t="s">
        <v>8</v>
      </c>
      <c r="J32" s="2" t="s">
        <v>8</v>
      </c>
      <c r="K32" s="2" t="s">
        <v>8</v>
      </c>
      <c r="L32" s="11">
        <v>0.99608836726278627</v>
      </c>
      <c r="M32" s="11">
        <v>0.58840356670608951</v>
      </c>
      <c r="N32" s="10">
        <f t="shared" si="5"/>
        <v>40.928577619774778</v>
      </c>
      <c r="O32" s="2" t="s">
        <v>8</v>
      </c>
      <c r="P32" s="2" t="s">
        <v>8</v>
      </c>
      <c r="Q32" s="2" t="s">
        <v>8</v>
      </c>
      <c r="R32" s="2" t="s">
        <v>8</v>
      </c>
      <c r="S32" s="2" t="s">
        <v>42</v>
      </c>
      <c r="T32" s="53"/>
      <c r="U32" s="2"/>
      <c r="V32" s="19">
        <v>10</v>
      </c>
      <c r="W32" s="23"/>
      <c r="X32" s="23"/>
      <c r="Y32" s="23"/>
      <c r="Z32" s="23"/>
      <c r="AA32" s="23"/>
      <c r="AB32" s="23"/>
      <c r="AC32" s="23"/>
      <c r="AD32" s="23">
        <v>0.94499999999999995</v>
      </c>
      <c r="AE32" s="23">
        <v>1.391</v>
      </c>
    </row>
    <row r="33" spans="2:31" x14ac:dyDescent="0.25">
      <c r="B33" s="2">
        <v>20</v>
      </c>
      <c r="C33" s="3">
        <v>45695</v>
      </c>
      <c r="D33" s="3">
        <v>45702</v>
      </c>
      <c r="E33" s="2" t="s">
        <v>72</v>
      </c>
      <c r="F33" s="2" t="s">
        <v>28</v>
      </c>
      <c r="G33" s="2" t="s">
        <v>8</v>
      </c>
      <c r="H33" s="2" t="s">
        <v>8</v>
      </c>
      <c r="I33" s="2" t="s">
        <v>8</v>
      </c>
      <c r="J33" s="2" t="s">
        <v>8</v>
      </c>
      <c r="K33" s="2" t="s">
        <v>8</v>
      </c>
      <c r="L33" s="11">
        <v>1.1109486359985832</v>
      </c>
      <c r="M33" s="11">
        <v>0.41833529232564182</v>
      </c>
      <c r="N33" s="10">
        <f t="shared" si="5"/>
        <v>62.344317390549875</v>
      </c>
      <c r="O33" s="2" t="s">
        <v>8</v>
      </c>
      <c r="P33" s="2" t="s">
        <v>8</v>
      </c>
      <c r="Q33" s="2" t="s">
        <v>8</v>
      </c>
      <c r="R33" s="2" t="s">
        <v>8</v>
      </c>
      <c r="S33" s="2" t="s">
        <v>42</v>
      </c>
      <c r="T33" s="53"/>
      <c r="U33" s="2"/>
      <c r="V33" s="24" t="s">
        <v>55</v>
      </c>
      <c r="W33" s="17">
        <f>AVERAGE(W23:W32)</f>
        <v>3.6735000000000002</v>
      </c>
      <c r="X33" s="17">
        <f>AVERAGE(X23:X32)</f>
        <v>1.7001666666666668</v>
      </c>
      <c r="Y33" s="17">
        <f t="shared" ref="Y33:AE33" si="6">AVERAGE(Y23:Y32)</f>
        <v>1.7624285714285715</v>
      </c>
      <c r="Z33" s="17">
        <f t="shared" si="6"/>
        <v>4.2284285714285712</v>
      </c>
      <c r="AA33" s="17">
        <f t="shared" si="6"/>
        <v>3.4545714285714277</v>
      </c>
      <c r="AB33" s="17">
        <f t="shared" si="6"/>
        <v>2.6716250000000001</v>
      </c>
      <c r="AC33" s="17">
        <f t="shared" si="6"/>
        <v>1.1512499999999999</v>
      </c>
      <c r="AD33" s="17">
        <f t="shared" si="6"/>
        <v>1.0202000000000002</v>
      </c>
      <c r="AE33" s="17">
        <f t="shared" si="6"/>
        <v>1.5343000000000002</v>
      </c>
    </row>
    <row r="34" spans="2:31" ht="14.4" thickBot="1" x14ac:dyDescent="0.3">
      <c r="B34" s="2">
        <v>21</v>
      </c>
      <c r="C34" s="3">
        <v>45695</v>
      </c>
      <c r="D34" s="3">
        <v>45702</v>
      </c>
      <c r="E34" s="2" t="s">
        <v>72</v>
      </c>
      <c r="F34" s="2" t="s">
        <v>29</v>
      </c>
      <c r="G34" s="2" t="s">
        <v>8</v>
      </c>
      <c r="H34" s="2" t="s">
        <v>8</v>
      </c>
      <c r="I34" s="2" t="s">
        <v>8</v>
      </c>
      <c r="J34" s="2" t="s">
        <v>8</v>
      </c>
      <c r="K34" s="2" t="s">
        <v>8</v>
      </c>
      <c r="L34" s="11">
        <v>1.0048941642797673</v>
      </c>
      <c r="M34" s="11">
        <v>0.59307152780742833</v>
      </c>
      <c r="N34" s="10">
        <f t="shared" si="5"/>
        <v>40.981692511619123</v>
      </c>
      <c r="O34" s="2" t="s">
        <v>8</v>
      </c>
      <c r="P34" s="2" t="s">
        <v>8</v>
      </c>
      <c r="Q34" s="2" t="s">
        <v>8</v>
      </c>
      <c r="R34" s="2" t="s">
        <v>8</v>
      </c>
      <c r="S34" s="2" t="s">
        <v>42</v>
      </c>
      <c r="T34" s="53"/>
      <c r="U34" s="2"/>
      <c r="V34" s="19" t="s">
        <v>57</v>
      </c>
      <c r="W34" s="18">
        <f>_xlfn.STDEV.S(W23:W32)</f>
        <v>3.1091534906741791</v>
      </c>
      <c r="X34" s="18">
        <f t="shared" ref="X34:AE34" si="7">_xlfn.STDEV.S(X23:X32)</f>
        <v>1.9533527501879089</v>
      </c>
      <c r="Y34" s="18">
        <f t="shared" si="7"/>
        <v>2.1365555501899824</v>
      </c>
      <c r="Z34" s="18">
        <f t="shared" si="7"/>
        <v>2.592342496478353</v>
      </c>
      <c r="AA34" s="18">
        <f t="shared" si="7"/>
        <v>3.1915011544800711</v>
      </c>
      <c r="AB34" s="18">
        <f t="shared" si="7"/>
        <v>2.8101040111660334</v>
      </c>
      <c r="AC34" s="18">
        <f t="shared" si="7"/>
        <v>1.0716847550869213</v>
      </c>
      <c r="AD34" s="18">
        <f t="shared" si="7"/>
        <v>0.28308451819985492</v>
      </c>
      <c r="AE34" s="18">
        <f t="shared" si="7"/>
        <v>1.1595623743464598</v>
      </c>
    </row>
    <row r="35" spans="2:31" x14ac:dyDescent="0.25">
      <c r="B35" s="2">
        <v>22</v>
      </c>
      <c r="C35" s="3">
        <v>45695</v>
      </c>
      <c r="D35" s="3">
        <v>45702</v>
      </c>
      <c r="E35" s="2" t="s">
        <v>5</v>
      </c>
      <c r="F35" s="2" t="s">
        <v>30</v>
      </c>
      <c r="G35" s="2" t="s">
        <v>8</v>
      </c>
      <c r="H35" s="2" t="s">
        <v>8</v>
      </c>
      <c r="I35" s="2" t="s">
        <v>8</v>
      </c>
      <c r="J35" s="2" t="s">
        <v>8</v>
      </c>
      <c r="K35" s="2" t="s">
        <v>8</v>
      </c>
      <c r="L35" s="11">
        <v>0.97432305760818616</v>
      </c>
      <c r="M35" s="11">
        <v>0.47973633162803442</v>
      </c>
      <c r="N35" s="10">
        <f t="shared" si="5"/>
        <v>50.762087802200476</v>
      </c>
      <c r="O35" s="2" t="s">
        <v>8</v>
      </c>
      <c r="P35" s="2" t="s">
        <v>8</v>
      </c>
      <c r="Q35" s="2" t="s">
        <v>8</v>
      </c>
      <c r="R35" s="2" t="s">
        <v>8</v>
      </c>
      <c r="S35" s="2" t="s">
        <v>42</v>
      </c>
      <c r="T35" s="53"/>
      <c r="U35" s="2"/>
    </row>
    <row r="36" spans="2:31" x14ac:dyDescent="0.25">
      <c r="B36" s="2">
        <v>23</v>
      </c>
      <c r="C36" s="3">
        <v>45695</v>
      </c>
      <c r="D36" s="3">
        <v>45702</v>
      </c>
      <c r="E36" s="2" t="s">
        <v>5</v>
      </c>
      <c r="F36" s="2" t="s">
        <v>31</v>
      </c>
      <c r="G36" s="2" t="s">
        <v>8</v>
      </c>
      <c r="H36" s="2" t="s">
        <v>8</v>
      </c>
      <c r="I36" s="2" t="s">
        <v>8</v>
      </c>
      <c r="J36" s="2" t="s">
        <v>8</v>
      </c>
      <c r="K36" s="2" t="s">
        <v>8</v>
      </c>
      <c r="L36" s="11">
        <v>0.94949298441769381</v>
      </c>
      <c r="M36" s="11">
        <v>0.45626488307208896</v>
      </c>
      <c r="N36" s="10">
        <f t="shared" si="5"/>
        <v>51.946471373676594</v>
      </c>
      <c r="O36" s="2" t="s">
        <v>8</v>
      </c>
      <c r="P36" s="2" t="s">
        <v>8</v>
      </c>
      <c r="Q36" s="2" t="s">
        <v>8</v>
      </c>
      <c r="R36" s="2" t="s">
        <v>8</v>
      </c>
      <c r="S36" s="2" t="s">
        <v>42</v>
      </c>
      <c r="T36" s="53"/>
      <c r="U36" s="2"/>
    </row>
    <row r="37" spans="2:31" ht="14.4" thickBot="1" x14ac:dyDescent="0.3">
      <c r="B37" s="5">
        <v>24</v>
      </c>
      <c r="C37" s="6">
        <v>45695</v>
      </c>
      <c r="D37" s="6">
        <v>45702</v>
      </c>
      <c r="E37" s="5" t="s">
        <v>5</v>
      </c>
      <c r="F37" s="5" t="s">
        <v>32</v>
      </c>
      <c r="G37" s="5" t="s">
        <v>8</v>
      </c>
      <c r="H37" s="5" t="s">
        <v>8</v>
      </c>
      <c r="I37" s="5" t="s">
        <v>8</v>
      </c>
      <c r="J37" s="5" t="s">
        <v>8</v>
      </c>
      <c r="K37" s="5" t="s">
        <v>8</v>
      </c>
      <c r="L37" s="13">
        <v>0.90267596366839054</v>
      </c>
      <c r="M37" s="13">
        <v>0.4910254887276162</v>
      </c>
      <c r="N37" s="12">
        <f t="shared" si="5"/>
        <v>45.603349541718757</v>
      </c>
      <c r="O37" s="5" t="s">
        <v>8</v>
      </c>
      <c r="P37" s="5" t="s">
        <v>8</v>
      </c>
      <c r="Q37" s="5" t="s">
        <v>8</v>
      </c>
      <c r="R37" s="5" t="s">
        <v>8</v>
      </c>
      <c r="S37" s="5" t="s">
        <v>42</v>
      </c>
      <c r="T37" s="54"/>
      <c r="U37" s="2"/>
    </row>
  </sheetData>
  <mergeCells count="7">
    <mergeCell ref="T23:T31"/>
    <mergeCell ref="T32:T37"/>
    <mergeCell ref="B2:T2"/>
    <mergeCell ref="W3:AE3"/>
    <mergeCell ref="T14:T19"/>
    <mergeCell ref="W21:AE21"/>
    <mergeCell ref="T5:T7"/>
  </mergeCells>
  <phoneticPr fontId="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Resumen</vt:lpstr>
      <vt:lpstr>Tomato </vt:lpstr>
      <vt:lpstr>Cempasuchil </vt:lpstr>
      <vt:lpstr>Carnation </vt:lpstr>
      <vt:lpstr>Alfalfa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Silvana Cortés</dc:creator>
  <cp:lastModifiedBy>Silvana Cortés</cp:lastModifiedBy>
  <cp:lastPrinted>2025-02-07T20:01:16Z</cp:lastPrinted>
  <dcterms:created xsi:type="dcterms:W3CDTF">2025-01-22T17:59:16Z</dcterms:created>
  <dcterms:modified xsi:type="dcterms:W3CDTF">2025-10-24T17:46:19Z</dcterms:modified>
</cp:coreProperties>
</file>