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el\Documents\feines-en-cours\elements\Praga\article Ge CZ\revision\"/>
    </mc:Choice>
  </mc:AlternateContent>
  <xr:revisionPtr revIDLastSave="0" documentId="13_ncr:1_{FB0959B4-C761-4EB7-8519-77628C0622F7}" xr6:coauthVersionLast="47" xr6:coauthVersionMax="47" xr10:uidLastSave="{00000000-0000-0000-0000-000000000000}"/>
  <bookViews>
    <workbookView xWindow="-120" yWindow="-120" windowWidth="29040" windowHeight="15840" activeTab="3" xr2:uid="{4EAE08AD-EC43-4539-94B4-C2E45EAD5172}"/>
  </bookViews>
  <sheets>
    <sheet name="README" sheetId="7" r:id="rId1"/>
    <sheet name="Methods" sheetId="5" r:id="rId2"/>
    <sheet name="Sampling-analysis dates" sheetId="6" r:id="rId3"/>
    <sheet name="Vrchlice data" sheetId="4" r:id="rId4"/>
    <sheet name=" Souš data" sheetId="2" r:id="rId5"/>
    <sheet name="Ge specific method" sheetId="8" r:id="rId6"/>
    <sheet name="Vrchlice phytoplankton data" sheetId="9" r:id="rId7"/>
    <sheet name=" Souš phytoplankton data" sheetId="10" r:id="rId8"/>
  </sheets>
  <definedNames>
    <definedName name="_Hlk200963152" localSheetId="1">Methods!$D$11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10" l="1"/>
  <c r="M50" i="10"/>
  <c r="L50" i="10"/>
  <c r="K50" i="10"/>
  <c r="J50" i="10"/>
  <c r="I50" i="10"/>
  <c r="G50" i="10"/>
  <c r="F50" i="10"/>
  <c r="E50" i="10"/>
  <c r="D50" i="10"/>
  <c r="C50" i="10"/>
  <c r="B50" i="10"/>
  <c r="R113" i="9"/>
  <c r="Q113" i="9"/>
  <c r="P113" i="9"/>
  <c r="O113" i="9"/>
  <c r="N113" i="9"/>
  <c r="M113" i="9"/>
  <c r="L113" i="9"/>
  <c r="K113" i="9"/>
  <c r="I113" i="9"/>
  <c r="H113" i="9"/>
  <c r="G113" i="9"/>
  <c r="F113" i="9"/>
  <c r="E113" i="9"/>
  <c r="D113" i="9"/>
  <c r="C113" i="9"/>
  <c r="B113" i="9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2" i="2"/>
  <c r="AX115" i="4"/>
  <c r="AX114" i="4"/>
  <c r="AX113" i="4"/>
  <c r="AX111" i="4"/>
  <c r="AX110" i="4"/>
  <c r="AX109" i="4"/>
  <c r="AX108" i="4"/>
  <c r="AX107" i="4"/>
  <c r="AX106" i="4"/>
  <c r="AX105" i="4"/>
  <c r="AX104" i="4"/>
  <c r="AX103" i="4"/>
  <c r="AX102" i="4"/>
  <c r="AX101" i="4"/>
  <c r="AX100" i="4"/>
  <c r="AX99" i="4"/>
  <c r="AX98" i="4"/>
  <c r="AX97" i="4"/>
  <c r="AX96" i="4"/>
  <c r="AX95" i="4"/>
  <c r="AX94" i="4"/>
  <c r="AX93" i="4"/>
  <c r="AX92" i="4"/>
  <c r="AX91" i="4"/>
  <c r="AX90" i="4"/>
  <c r="AX89" i="4"/>
  <c r="AX88" i="4"/>
  <c r="AX87" i="4"/>
  <c r="AX86" i="4"/>
  <c r="AX85" i="4"/>
  <c r="AX84" i="4"/>
  <c r="AX83" i="4"/>
  <c r="AX82" i="4"/>
  <c r="AX81" i="4"/>
  <c r="AX80" i="4"/>
  <c r="AX79" i="4"/>
  <c r="AX78" i="4"/>
  <c r="AX77" i="4"/>
  <c r="AX76" i="4"/>
  <c r="AX75" i="4"/>
  <c r="AX74" i="4"/>
  <c r="AX73" i="4"/>
  <c r="AX72" i="4"/>
  <c r="AX71" i="4"/>
  <c r="AX70" i="4"/>
  <c r="AX69" i="4"/>
  <c r="AX68" i="4"/>
  <c r="AX67" i="4"/>
  <c r="AX66" i="4"/>
  <c r="AX65" i="4"/>
  <c r="AX64" i="4"/>
  <c r="AX63" i="4"/>
  <c r="AX62" i="4"/>
  <c r="AX61" i="4"/>
  <c r="AX60" i="4"/>
  <c r="AX59" i="4"/>
  <c r="AX58" i="4"/>
  <c r="AX57" i="4"/>
  <c r="AX56" i="4"/>
  <c r="AX55" i="4"/>
  <c r="AX54" i="4"/>
  <c r="AX53" i="4"/>
  <c r="AX52" i="4"/>
  <c r="AX51" i="4"/>
  <c r="AX50" i="4"/>
  <c r="AX49" i="4"/>
  <c r="AX48" i="4"/>
  <c r="AX46" i="4"/>
  <c r="AX45" i="4"/>
  <c r="AX44" i="4"/>
  <c r="AX43" i="4"/>
  <c r="AX42" i="4"/>
  <c r="AX41" i="4"/>
  <c r="AX40" i="4"/>
  <c r="AX39" i="4"/>
  <c r="AX38" i="4"/>
  <c r="AX37" i="4"/>
  <c r="AX36" i="4"/>
  <c r="AX35" i="4"/>
  <c r="AX34" i="4"/>
  <c r="AX33" i="4"/>
  <c r="AX32" i="4"/>
  <c r="AX31" i="4"/>
  <c r="AX30" i="4"/>
  <c r="AX29" i="4"/>
  <c r="AX28" i="4"/>
  <c r="AX27" i="4"/>
  <c r="AX26" i="4"/>
  <c r="AX25" i="4"/>
  <c r="AX24" i="4"/>
  <c r="AX23" i="4"/>
  <c r="AX22" i="4"/>
  <c r="AX21" i="4"/>
  <c r="AX20" i="4"/>
  <c r="AX19" i="4"/>
  <c r="AX18" i="4"/>
  <c r="AX17" i="4"/>
  <c r="AX16" i="4"/>
  <c r="AX15" i="4"/>
  <c r="AX14" i="4"/>
  <c r="AX13" i="4"/>
  <c r="AX12" i="4"/>
  <c r="AX11" i="4"/>
  <c r="AX10" i="4"/>
  <c r="AX9" i="4"/>
  <c r="AX8" i="4"/>
  <c r="AX7" i="4" l="1"/>
  <c r="Q16" i="6"/>
  <c r="Q15" i="6"/>
  <c r="Q10" i="6"/>
  <c r="Q9" i="6"/>
  <c r="Q8" i="6"/>
  <c r="Q7" i="6"/>
  <c r="Q5" i="6"/>
  <c r="Q6" i="6"/>
  <c r="S16" i="6" l="1"/>
  <c r="J16" i="6"/>
  <c r="H16" i="6"/>
  <c r="S15" i="6"/>
  <c r="J15" i="6"/>
  <c r="H15" i="6"/>
  <c r="J14" i="6"/>
  <c r="H14" i="6"/>
  <c r="J13" i="6"/>
  <c r="H13" i="6"/>
  <c r="J11" i="6"/>
  <c r="H11" i="6"/>
  <c r="S10" i="6"/>
  <c r="J10" i="6"/>
  <c r="H10" i="6"/>
  <c r="S9" i="6"/>
  <c r="J9" i="6"/>
  <c r="H9" i="6"/>
  <c r="S8" i="6"/>
  <c r="J8" i="6"/>
  <c r="H8" i="6"/>
  <c r="S7" i="6"/>
  <c r="J7" i="6"/>
  <c r="H7" i="6"/>
  <c r="S6" i="6"/>
  <c r="J6" i="6"/>
  <c r="H6" i="6"/>
  <c r="S5" i="6"/>
  <c r="J5" i="6"/>
  <c r="H5" i="6"/>
  <c r="S4" i="6"/>
  <c r="Q4" i="6"/>
  <c r="J4" i="6"/>
  <c r="H4" i="6"/>
  <c r="W57" i="4" l="1"/>
  <c r="T57" i="4"/>
  <c r="W56" i="4"/>
  <c r="W55" i="4"/>
  <c r="W54" i="4"/>
  <c r="W53" i="4"/>
  <c r="W52" i="4"/>
  <c r="W51" i="4"/>
  <c r="W50" i="4"/>
  <c r="W49" i="4"/>
  <c r="W48" i="4"/>
  <c r="AK66" i="4"/>
  <c r="W66" i="4"/>
  <c r="T66" i="4"/>
  <c r="AK65" i="4"/>
  <c r="W65" i="4"/>
  <c r="T65" i="4"/>
  <c r="AK64" i="4"/>
  <c r="W64" i="4"/>
  <c r="T64" i="4"/>
  <c r="AK63" i="4"/>
  <c r="W63" i="4"/>
  <c r="AK62" i="4"/>
  <c r="W62" i="4"/>
  <c r="AK61" i="4"/>
  <c r="W61" i="4"/>
  <c r="AK60" i="4"/>
  <c r="W60" i="4"/>
  <c r="AK59" i="4"/>
  <c r="W59" i="4"/>
  <c r="AK58" i="4"/>
  <c r="W58" i="4"/>
  <c r="AK75" i="4"/>
  <c r="W75" i="4"/>
  <c r="AK74" i="4"/>
  <c r="W74" i="4"/>
  <c r="AK73" i="4"/>
  <c r="W73" i="4"/>
  <c r="AK72" i="4"/>
  <c r="W72" i="4"/>
  <c r="AK71" i="4"/>
  <c r="W71" i="4"/>
  <c r="AK70" i="4"/>
  <c r="W70" i="4"/>
  <c r="AK69" i="4"/>
  <c r="W69" i="4"/>
  <c r="AK68" i="4"/>
  <c r="W68" i="4"/>
  <c r="AK67" i="4"/>
  <c r="W67" i="4"/>
  <c r="AK84" i="4" l="1"/>
  <c r="AK83" i="4"/>
  <c r="AK82" i="4"/>
  <c r="AK81" i="4"/>
  <c r="AK80" i="4"/>
  <c r="AK79" i="4"/>
  <c r="AK78" i="4"/>
  <c r="AK77" i="4"/>
  <c r="AK76" i="4"/>
  <c r="AK102" i="4" l="1"/>
  <c r="AK101" i="4"/>
  <c r="AK100" i="4"/>
  <c r="AK99" i="4"/>
  <c r="AK98" i="4"/>
  <c r="AK97" i="4"/>
  <c r="AK96" i="4"/>
  <c r="AK95" i="4"/>
  <c r="AK94" i="4"/>
  <c r="AK115" i="4"/>
  <c r="AK114" i="4"/>
  <c r="AK113" i="4"/>
  <c r="AK111" i="4"/>
  <c r="AK110" i="4"/>
  <c r="AK109" i="4"/>
  <c r="AK108" i="4"/>
  <c r="AK107" i="4"/>
  <c r="AK106" i="4"/>
  <c r="AK105" i="4"/>
  <c r="AK104" i="4"/>
  <c r="AK103" i="4"/>
  <c r="AK48" i="2" l="1"/>
  <c r="Q48" i="2"/>
  <c r="O48" i="2"/>
  <c r="AK47" i="2"/>
  <c r="Q47" i="2"/>
  <c r="O47" i="2"/>
  <c r="AK46" i="2"/>
  <c r="Q46" i="2"/>
  <c r="O46" i="2"/>
  <c r="AK45" i="2"/>
  <c r="Q45" i="2"/>
  <c r="O45" i="2"/>
  <c r="AK44" i="2"/>
  <c r="Q44" i="2"/>
  <c r="O44" i="2"/>
  <c r="AK43" i="2"/>
  <c r="Q43" i="2"/>
  <c r="O43" i="2"/>
  <c r="AK60" i="2" l="1"/>
  <c r="AK59" i="2"/>
  <c r="AK58" i="2"/>
  <c r="AK57" i="2"/>
  <c r="AK56" i="2"/>
  <c r="AK55" i="2"/>
  <c r="AK54" i="2"/>
  <c r="AK53" i="2"/>
  <c r="AK52" i="2"/>
  <c r="AK51" i="2"/>
  <c r="AK50" i="2"/>
  <c r="AK4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 Matousek</author>
  </authors>
  <commentList>
    <comment ref="A48" authorId="0" shapeId="0" xr:uid="{88109CD8-A93E-4C46-9A05-646184968574}">
      <text>
        <r>
          <rPr>
            <b/>
            <sz val="9"/>
            <color indexed="81"/>
            <rFont val="Tahoma"/>
            <family val="2"/>
          </rPr>
          <t>Tomas Matousek:</t>
        </r>
        <r>
          <rPr>
            <sz val="9"/>
            <color indexed="81"/>
            <rFont val="Tahoma"/>
            <family val="2"/>
          </rPr>
          <t xml:space="preserve">
Check the formula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 Matousek</author>
  </authors>
  <commentList>
    <comment ref="AI67" authorId="0" shapeId="0" xr:uid="{994F5E8F-90E5-42F1-B92C-72CF4E752392}">
      <text>
        <r>
          <rPr>
            <b/>
            <sz val="9"/>
            <color indexed="81"/>
            <rFont val="Tahoma"/>
            <family val="2"/>
          </rPr>
          <t>Tomas Matousek:</t>
        </r>
        <r>
          <rPr>
            <sz val="9"/>
            <color indexed="81"/>
            <rFont val="Tahoma"/>
            <family val="2"/>
          </rPr>
          <t xml:space="preserve">
Confirmed by Misa, by duplicate measurement</t>
        </r>
      </text>
    </comment>
    <comment ref="E96" authorId="0" shapeId="0" xr:uid="{015261C3-A03D-457F-8326-627B33DFC738}">
      <text>
        <r>
          <rPr>
            <b/>
            <sz val="9"/>
            <color indexed="81"/>
            <rFont val="Tahoma"/>
            <family val="2"/>
          </rPr>
          <t>Tomas Matousek:</t>
        </r>
        <r>
          <rPr>
            <sz val="9"/>
            <color indexed="81"/>
            <rFont val="Tahoma"/>
            <family val="2"/>
          </rPr>
          <t xml:space="preserve">
 Ge specific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 Matousek</author>
  </authors>
  <commentList>
    <comment ref="AX6" authorId="0" shapeId="0" xr:uid="{42C614A8-9DE3-4F70-9F00-A0595DE695F1}">
      <text>
        <r>
          <rPr>
            <b/>
            <sz val="9"/>
            <color indexed="81"/>
            <rFont val="Tahoma"/>
            <family val="2"/>
          </rPr>
          <t>Tomas Matousek:</t>
        </r>
        <r>
          <rPr>
            <sz val="9"/>
            <color indexed="81"/>
            <rFont val="Tahoma"/>
            <family val="2"/>
          </rPr>
          <t xml:space="preserve">
Check the formula. Numbers in red are *100
</t>
        </r>
      </text>
    </comment>
    <comment ref="A7" authorId="0" shapeId="0" xr:uid="{9D6F5DC9-7CDE-4B9B-8A05-A007B5983E0E}">
      <text>
        <r>
          <rPr>
            <b/>
            <sz val="9"/>
            <color indexed="81"/>
            <rFont val="Tahoma"/>
            <family val="2"/>
          </rPr>
          <t>Tomas Matousek:</t>
        </r>
        <r>
          <rPr>
            <sz val="9"/>
            <color indexed="81"/>
            <rFont val="Tahoma"/>
            <family val="2"/>
          </rPr>
          <t xml:space="preserve">
Maximum depth 8m, sampled on the other-southern side- of the intake tower</t>
        </r>
      </text>
    </comment>
    <comment ref="O12" authorId="0" shapeId="0" xr:uid="{0963581F-3644-4BEE-B9EC-E021284694A3}">
      <text>
        <r>
          <rPr>
            <b/>
            <sz val="9"/>
            <color indexed="81"/>
            <rFont val="Tahoma"/>
            <family val="2"/>
          </rPr>
          <t>Tomas Matousek:</t>
        </r>
        <r>
          <rPr>
            <sz val="9"/>
            <color indexed="81"/>
            <rFont val="Tahoma"/>
            <family val="2"/>
          </rPr>
          <t xml:space="preserve">
14.12.2023 data checked and confirmed by MP.</t>
        </r>
      </text>
    </comment>
    <comment ref="AX12" authorId="0" shapeId="0" xr:uid="{26CFB2A9-5219-4986-AB9D-D8F26B582145}">
      <text>
        <r>
          <rPr>
            <b/>
            <sz val="9"/>
            <color indexed="81"/>
            <rFont val="Tahoma"/>
            <family val="2"/>
          </rPr>
          <t>Tomas Matousek:</t>
        </r>
        <r>
          <rPr>
            <sz val="9"/>
            <color indexed="81"/>
            <rFont val="Tahoma"/>
            <family val="2"/>
          </rPr>
          <t xml:space="preserve">
DOC suspect</t>
        </r>
      </text>
    </comment>
  </commentList>
</comments>
</file>

<file path=xl/sharedStrings.xml><?xml version="1.0" encoding="utf-8"?>
<sst xmlns="http://schemas.openxmlformats.org/spreadsheetml/2006/main" count="954" uniqueCount="353">
  <si>
    <t>pH (-)</t>
  </si>
  <si>
    <t>ORP (mV)</t>
  </si>
  <si>
    <t>%DO</t>
  </si>
  <si>
    <t>DO (mg/L)</t>
  </si>
  <si>
    <t>TOC (mg/L)</t>
  </si>
  <si>
    <t>DOC (mg/L)</t>
  </si>
  <si>
    <t>TN (mg/L)</t>
  </si>
  <si>
    <r>
      <t>NO</t>
    </r>
    <r>
      <rPr>
        <vertAlign val="sub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>-N</t>
    </r>
    <r>
      <rPr>
        <vertAlign val="superscript"/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(mg/L)</t>
    </r>
  </si>
  <si>
    <r>
      <t>NO</t>
    </r>
    <r>
      <rPr>
        <vertAlign val="sub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-N</t>
    </r>
    <r>
      <rPr>
        <vertAlign val="superscript"/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(mg/L)</t>
    </r>
  </si>
  <si>
    <r>
      <t>NH</t>
    </r>
    <r>
      <rPr>
        <vertAlign val="sub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-N (mg/L)</t>
    </r>
  </si>
  <si>
    <r>
      <t>SO</t>
    </r>
    <r>
      <rPr>
        <vertAlign val="subscript"/>
        <sz val="11"/>
        <color rgb="FF000000"/>
        <rFont val="Calibri"/>
        <family val="2"/>
        <charset val="238"/>
      </rPr>
      <t>4</t>
    </r>
    <r>
      <rPr>
        <vertAlign val="superscript"/>
        <sz val="11"/>
        <color rgb="FF000000"/>
        <rFont val="Calibri"/>
        <family val="2"/>
        <charset val="238"/>
      </rPr>
      <t>2-</t>
    </r>
    <r>
      <rPr>
        <sz val="11"/>
        <color rgb="FF000000"/>
        <rFont val="Calibri"/>
        <family val="2"/>
        <charset val="238"/>
      </rPr>
      <t xml:space="preserve"> (mg/L)</t>
    </r>
  </si>
  <si>
    <r>
      <t>PO</t>
    </r>
    <r>
      <rPr>
        <vertAlign val="subscript"/>
        <sz val="11"/>
        <color rgb="FF000000"/>
        <rFont val="Calibri"/>
        <family val="2"/>
        <charset val="238"/>
      </rPr>
      <t>4</t>
    </r>
    <r>
      <rPr>
        <vertAlign val="superscript"/>
        <sz val="11"/>
        <color rgb="FF000000"/>
        <rFont val="Calibri"/>
        <family val="2"/>
        <charset val="238"/>
      </rPr>
      <t>3-</t>
    </r>
    <r>
      <rPr>
        <sz val="11"/>
        <color rgb="FF000000"/>
        <rFont val="Calibri"/>
        <family val="2"/>
        <charset val="238"/>
      </rPr>
      <t xml:space="preserve"> (mg/L)</t>
    </r>
  </si>
  <si>
    <r>
      <t>Cl</t>
    </r>
    <r>
      <rPr>
        <vertAlign val="superscript"/>
        <sz val="11"/>
        <color rgb="FF000000"/>
        <rFont val="Calibri"/>
        <family val="2"/>
        <charset val="238"/>
      </rPr>
      <t>-</t>
    </r>
    <r>
      <rPr>
        <sz val="11"/>
        <color rgb="FF000000"/>
        <rFont val="Calibri"/>
        <family val="2"/>
        <charset val="238"/>
      </rPr>
      <t xml:space="preserve"> (mg/L)</t>
    </r>
  </si>
  <si>
    <r>
      <t>Al</t>
    </r>
    <r>
      <rPr>
        <vertAlign val="subscript"/>
        <sz val="11"/>
        <color theme="1"/>
        <rFont val="Calibri"/>
        <family val="2"/>
        <charset val="238"/>
        <scheme val="minor"/>
      </rPr>
      <t>396.152 nm</t>
    </r>
    <r>
      <rPr>
        <sz val="11"/>
        <color theme="1"/>
        <rFont val="Calibri"/>
        <family val="2"/>
        <scheme val="minor"/>
      </rPr>
      <t xml:space="preserve"> (mg/L)</t>
    </r>
  </si>
  <si>
    <r>
      <t>B</t>
    </r>
    <r>
      <rPr>
        <vertAlign val="subscript"/>
        <sz val="11"/>
        <color theme="1"/>
        <rFont val="Calibri"/>
        <family val="2"/>
        <charset val="238"/>
        <scheme val="minor"/>
      </rPr>
      <t>208.956 nm</t>
    </r>
    <r>
      <rPr>
        <sz val="11"/>
        <color theme="1"/>
        <rFont val="Calibri"/>
        <family val="2"/>
        <scheme val="minor"/>
      </rPr>
      <t xml:space="preserve"> (mg/L)</t>
    </r>
  </si>
  <si>
    <r>
      <t>Ba</t>
    </r>
    <r>
      <rPr>
        <vertAlign val="subscript"/>
        <sz val="11"/>
        <color theme="1"/>
        <rFont val="Calibri"/>
        <family val="2"/>
        <charset val="238"/>
        <scheme val="minor"/>
      </rPr>
      <t>455.403 nm</t>
    </r>
    <r>
      <rPr>
        <sz val="11"/>
        <color theme="1"/>
        <rFont val="Calibri"/>
        <family val="2"/>
        <scheme val="minor"/>
      </rPr>
      <t xml:space="preserve"> (mg/L)</t>
    </r>
  </si>
  <si>
    <r>
      <t>Ca</t>
    </r>
    <r>
      <rPr>
        <vertAlign val="subscript"/>
        <sz val="11"/>
        <color theme="1"/>
        <rFont val="Calibri"/>
        <family val="2"/>
        <charset val="238"/>
        <scheme val="minor"/>
      </rPr>
      <t>422.673 nm</t>
    </r>
    <r>
      <rPr>
        <sz val="11"/>
        <color theme="1"/>
        <rFont val="Calibri"/>
        <family val="2"/>
        <scheme val="minor"/>
      </rPr>
      <t xml:space="preserve"> (mg/L)</t>
    </r>
  </si>
  <si>
    <r>
      <t>Fe</t>
    </r>
    <r>
      <rPr>
        <vertAlign val="subscript"/>
        <sz val="11"/>
        <color theme="1"/>
        <rFont val="Calibri"/>
        <family val="2"/>
        <charset val="238"/>
        <scheme val="minor"/>
      </rPr>
      <t>238.204 nm</t>
    </r>
    <r>
      <rPr>
        <sz val="11"/>
        <color theme="1"/>
        <rFont val="Calibri"/>
        <family val="2"/>
        <scheme val="minor"/>
      </rPr>
      <t xml:space="preserve"> (mg/L)</t>
    </r>
  </si>
  <si>
    <r>
      <t>K</t>
    </r>
    <r>
      <rPr>
        <vertAlign val="subscript"/>
        <sz val="11"/>
        <color theme="1"/>
        <rFont val="Calibri"/>
        <family val="2"/>
        <charset val="238"/>
        <scheme val="minor"/>
      </rPr>
      <t>766.491 nm</t>
    </r>
    <r>
      <rPr>
        <sz val="11"/>
        <color theme="1"/>
        <rFont val="Calibri"/>
        <family val="2"/>
        <scheme val="minor"/>
      </rPr>
      <t xml:space="preserve"> (mg/L)</t>
    </r>
  </si>
  <si>
    <r>
      <t>Mg</t>
    </r>
    <r>
      <rPr>
        <vertAlign val="subscript"/>
        <sz val="11"/>
        <color theme="1"/>
        <rFont val="Calibri"/>
        <family val="2"/>
        <charset val="238"/>
        <scheme val="minor"/>
      </rPr>
      <t>279.553 nm</t>
    </r>
    <r>
      <rPr>
        <sz val="11"/>
        <color theme="1"/>
        <rFont val="Calibri"/>
        <family val="2"/>
        <scheme val="minor"/>
      </rPr>
      <t xml:space="preserve"> (mg/L)</t>
    </r>
  </si>
  <si>
    <r>
      <t>Mn</t>
    </r>
    <r>
      <rPr>
        <vertAlign val="subscript"/>
        <sz val="11"/>
        <color theme="1"/>
        <rFont val="Calibri"/>
        <family val="2"/>
        <charset val="238"/>
        <scheme val="minor"/>
      </rPr>
      <t>257.610 nm</t>
    </r>
    <r>
      <rPr>
        <sz val="11"/>
        <color theme="1"/>
        <rFont val="Calibri"/>
        <family val="2"/>
        <scheme val="minor"/>
      </rPr>
      <t xml:space="preserve"> (mg/L)</t>
    </r>
  </si>
  <si>
    <r>
      <t>Na</t>
    </r>
    <r>
      <rPr>
        <vertAlign val="subscript"/>
        <sz val="11"/>
        <color theme="1"/>
        <rFont val="Calibri"/>
        <family val="2"/>
        <charset val="238"/>
        <scheme val="minor"/>
      </rPr>
      <t>589.592 nm</t>
    </r>
    <r>
      <rPr>
        <sz val="11"/>
        <color theme="1"/>
        <rFont val="Calibri"/>
        <family val="2"/>
        <scheme val="minor"/>
      </rPr>
      <t xml:space="preserve"> (mg/L)</t>
    </r>
  </si>
  <si>
    <r>
      <t>Ti</t>
    </r>
    <r>
      <rPr>
        <vertAlign val="subscript"/>
        <sz val="11"/>
        <color theme="1"/>
        <rFont val="Calibri"/>
        <family val="2"/>
        <charset val="238"/>
        <scheme val="minor"/>
      </rPr>
      <t>336.122 nm</t>
    </r>
    <r>
      <rPr>
        <sz val="11"/>
        <color theme="1"/>
        <rFont val="Calibri"/>
        <family val="2"/>
        <scheme val="minor"/>
      </rPr>
      <t xml:space="preserve"> (mg/L)</t>
    </r>
  </si>
  <si>
    <r>
      <t>Zn</t>
    </r>
    <r>
      <rPr>
        <vertAlign val="subscript"/>
        <sz val="11"/>
        <color theme="1"/>
        <rFont val="Calibri"/>
        <family val="2"/>
        <charset val="238"/>
        <scheme val="minor"/>
      </rPr>
      <t>213.857 nm</t>
    </r>
    <r>
      <rPr>
        <sz val="11"/>
        <color theme="1"/>
        <rFont val="Calibri"/>
        <family val="2"/>
        <scheme val="minor"/>
      </rPr>
      <t xml:space="preserve"> (mg/L)</t>
    </r>
  </si>
  <si>
    <r>
      <t>Si</t>
    </r>
    <r>
      <rPr>
        <vertAlign val="subscript"/>
        <sz val="11"/>
        <color theme="1"/>
        <rFont val="Calibri"/>
        <family val="2"/>
        <charset val="238"/>
        <scheme val="minor"/>
      </rPr>
      <t>251.432 nm</t>
    </r>
    <r>
      <rPr>
        <sz val="11"/>
        <color theme="1"/>
        <rFont val="Calibri"/>
        <family val="2"/>
        <scheme val="minor"/>
      </rPr>
      <t xml:space="preserve"> (mg/L)</t>
    </r>
  </si>
  <si>
    <r>
      <t>Abs</t>
    </r>
    <r>
      <rPr>
        <vertAlign val="subscript"/>
        <sz val="11"/>
        <color rgb="FF000000"/>
        <rFont val="Calibri"/>
        <family val="2"/>
        <charset val="238"/>
      </rPr>
      <t>210 nm</t>
    </r>
  </si>
  <si>
    <r>
      <t>Abs</t>
    </r>
    <r>
      <rPr>
        <vertAlign val="subscript"/>
        <sz val="11"/>
        <color rgb="FF000000"/>
        <rFont val="Calibri"/>
        <family val="2"/>
        <charset val="238"/>
      </rPr>
      <t>254 nm</t>
    </r>
  </si>
  <si>
    <r>
      <t>Abs</t>
    </r>
    <r>
      <rPr>
        <vertAlign val="subscript"/>
        <sz val="11"/>
        <color rgb="FF000000"/>
        <rFont val="Calibri"/>
        <family val="2"/>
        <charset val="238"/>
      </rPr>
      <t>280 nm</t>
    </r>
  </si>
  <si>
    <r>
      <t>Abs</t>
    </r>
    <r>
      <rPr>
        <vertAlign val="subscript"/>
        <sz val="11"/>
        <color rgb="FF000000"/>
        <rFont val="Calibri"/>
        <family val="2"/>
        <charset val="238"/>
      </rPr>
      <t>365 nm</t>
    </r>
  </si>
  <si>
    <r>
      <t>Abs</t>
    </r>
    <r>
      <rPr>
        <vertAlign val="subscript"/>
        <sz val="11"/>
        <color rgb="FF000000"/>
        <rFont val="Calibri"/>
        <family val="2"/>
        <charset val="238"/>
      </rPr>
      <t>436 nm</t>
    </r>
  </si>
  <si>
    <r>
      <t>Abs</t>
    </r>
    <r>
      <rPr>
        <vertAlign val="subscript"/>
        <sz val="11"/>
        <color rgb="FF000000"/>
        <rFont val="Calibri"/>
        <family val="2"/>
        <charset val="238"/>
      </rPr>
      <t>520 nm</t>
    </r>
  </si>
  <si>
    <r>
      <t>Abs</t>
    </r>
    <r>
      <rPr>
        <vertAlign val="subscript"/>
        <sz val="11"/>
        <color rgb="FF000000"/>
        <rFont val="Calibri"/>
        <family val="2"/>
        <charset val="238"/>
      </rPr>
      <t>560 nm</t>
    </r>
  </si>
  <si>
    <r>
      <t>Abs</t>
    </r>
    <r>
      <rPr>
        <vertAlign val="subscript"/>
        <sz val="11"/>
        <color rgb="FF000000"/>
        <rFont val="Calibri"/>
        <family val="2"/>
        <charset val="238"/>
      </rPr>
      <t>620 nm</t>
    </r>
  </si>
  <si>
    <r>
      <t>Abs</t>
    </r>
    <r>
      <rPr>
        <vertAlign val="subscript"/>
        <sz val="11"/>
        <color rgb="FF000000"/>
        <rFont val="Calibri"/>
        <family val="2"/>
        <charset val="238"/>
      </rPr>
      <t>680 nm</t>
    </r>
  </si>
  <si>
    <r>
      <t>Abs</t>
    </r>
    <r>
      <rPr>
        <vertAlign val="subscript"/>
        <sz val="11"/>
        <color rgb="FF000000"/>
        <rFont val="Calibri"/>
        <family val="2"/>
        <charset val="238"/>
      </rPr>
      <t>700 nm</t>
    </r>
  </si>
  <si>
    <r>
      <t>Abs</t>
    </r>
    <r>
      <rPr>
        <vertAlign val="subscript"/>
        <sz val="11"/>
        <color rgb="FF000000"/>
        <rFont val="Calibri"/>
        <family val="2"/>
        <charset val="238"/>
      </rPr>
      <t>720 nm</t>
    </r>
  </si>
  <si>
    <r>
      <t>Abs</t>
    </r>
    <r>
      <rPr>
        <vertAlign val="subscript"/>
        <sz val="11"/>
        <color rgb="FF000000"/>
        <rFont val="Calibri"/>
        <family val="2"/>
        <charset val="238"/>
      </rPr>
      <t>780 nm</t>
    </r>
  </si>
  <si>
    <t>SUVA [L/(mg.m)]</t>
  </si>
  <si>
    <t>Depth (m)</t>
  </si>
  <si>
    <r>
      <t>Conductivity (</t>
    </r>
    <r>
      <rPr>
        <sz val="11"/>
        <color theme="1"/>
        <rFont val="Calibri"/>
        <family val="2"/>
        <charset val="238"/>
      </rPr>
      <t>µ</t>
    </r>
    <r>
      <rPr>
        <sz val="11"/>
        <color theme="1"/>
        <rFont val="Calibri"/>
        <family val="2"/>
        <scheme val="minor"/>
      </rPr>
      <t>S/cm)</t>
    </r>
  </si>
  <si>
    <t>Temperature (°C)</t>
  </si>
  <si>
    <r>
      <rPr>
        <sz val="11"/>
        <color rgb="FF000000"/>
        <rFont val="Calibri"/>
        <family val="2"/>
      </rPr>
      <t>Color</t>
    </r>
    <r>
      <rPr>
        <vertAlign val="subscript"/>
        <sz val="11"/>
        <color rgb="FF000000"/>
        <rFont val="Calibri"/>
        <family val="2"/>
        <charset val="238"/>
      </rPr>
      <t>455 nm</t>
    </r>
    <r>
      <rPr>
        <sz val="11"/>
        <color rgb="FF000000"/>
        <rFont val="Calibri"/>
        <family val="2"/>
        <charset val="238"/>
      </rPr>
      <t xml:space="preserve"> (PtCo)</t>
    </r>
  </si>
  <si>
    <t>Turbidity   (NTU)</t>
  </si>
  <si>
    <t>Inlet Cerna Desna</t>
  </si>
  <si>
    <t>Inlet Bílá Desná (upstream connection to Souš)</t>
  </si>
  <si>
    <t>Inlet Bílá Desná (downstream connection to Souš)</t>
  </si>
  <si>
    <r>
      <t>COD</t>
    </r>
    <r>
      <rPr>
        <vertAlign val="subscript"/>
        <sz val="11"/>
        <rFont val="Calibri"/>
        <family val="2"/>
        <scheme val="minor"/>
      </rPr>
      <t>Mn</t>
    </r>
    <r>
      <rPr>
        <sz val="11"/>
        <rFont val="Calibri"/>
        <family val="2"/>
        <scheme val="minor"/>
      </rPr>
      <t xml:space="preserve"> (mg/L)</t>
    </r>
  </si>
  <si>
    <t>iGe (ng/L)</t>
  </si>
  <si>
    <t>DMGe (ng/L)</t>
  </si>
  <si>
    <t>MGe (ng/L)</t>
  </si>
  <si>
    <t>&lt;0.02</t>
  </si>
  <si>
    <t>&lt;0.07</t>
  </si>
  <si>
    <t>&lt;0.04</t>
  </si>
  <si>
    <t>Sampling date</t>
  </si>
  <si>
    <t>Souš</t>
  </si>
  <si>
    <t>&lt;0.08</t>
  </si>
  <si>
    <t>&lt;0.05</t>
  </si>
  <si>
    <t>&lt;0.03</t>
  </si>
  <si>
    <t>&lt;0.06</t>
  </si>
  <si>
    <t>_</t>
  </si>
  <si>
    <t>&lt;0.11</t>
  </si>
  <si>
    <t>&lt;0.09</t>
  </si>
  <si>
    <t>Vrchlice</t>
  </si>
  <si>
    <t xml:space="preserve">Vrchlice river by Sion castle </t>
  </si>
  <si>
    <t>Vrchlice river- inlet Malešov bridge</t>
  </si>
  <si>
    <t>Vrchlice river upstream of Hamerský pond</t>
  </si>
  <si>
    <t>-</t>
  </si>
  <si>
    <t>Monthly sampling from May 2023 to May 2024</t>
  </si>
  <si>
    <t>Vrchlice and Sous germanium speciation data</t>
  </si>
  <si>
    <t>Parameter</t>
  </si>
  <si>
    <t>Units</t>
  </si>
  <si>
    <t>ng/L</t>
  </si>
  <si>
    <t>pH</t>
  </si>
  <si>
    <t>mV</t>
  </si>
  <si>
    <t>mg/L</t>
  </si>
  <si>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S/cm</t>
    </r>
  </si>
  <si>
    <t>°C</t>
  </si>
  <si>
    <t>mmol/L</t>
  </si>
  <si>
    <t>Abbreviation</t>
  </si>
  <si>
    <t>iGe</t>
  </si>
  <si>
    <t>inorganic Ge</t>
  </si>
  <si>
    <t>methylgermanium</t>
  </si>
  <si>
    <t>DMGe</t>
  </si>
  <si>
    <t>DO</t>
  </si>
  <si>
    <t>Conductivity</t>
  </si>
  <si>
    <t>TOC</t>
  </si>
  <si>
    <t>TN</t>
  </si>
  <si>
    <t>dimethylgermanium</t>
  </si>
  <si>
    <t>ORP</t>
  </si>
  <si>
    <t>dissolved oxygen</t>
  </si>
  <si>
    <t>Temperature</t>
  </si>
  <si>
    <r>
      <t>COD</t>
    </r>
    <r>
      <rPr>
        <vertAlign val="subscript"/>
        <sz val="11"/>
        <rFont val="Calibri"/>
        <family val="2"/>
        <scheme val="minor"/>
      </rPr>
      <t>Mn</t>
    </r>
  </si>
  <si>
    <t xml:space="preserve">DOC </t>
  </si>
  <si>
    <t>total nitrogen</t>
  </si>
  <si>
    <t>dissolved organic carbon</t>
  </si>
  <si>
    <t>total organic carbon</t>
  </si>
  <si>
    <t>Analytical methods</t>
  </si>
  <si>
    <t xml:space="preserve">Vrchlice </t>
  </si>
  <si>
    <t xml:space="preserve">Weather </t>
  </si>
  <si>
    <t>Cys</t>
  </si>
  <si>
    <t>Days after  sampling</t>
  </si>
  <si>
    <t>May-23</t>
  </si>
  <si>
    <t>cloudy</t>
  </si>
  <si>
    <t>rain</t>
  </si>
  <si>
    <t>Jun-23</t>
  </si>
  <si>
    <t>cloudy, drizzle</t>
  </si>
  <si>
    <t>Jul-23</t>
  </si>
  <si>
    <t>sunny</t>
  </si>
  <si>
    <t>cloudy, windy</t>
  </si>
  <si>
    <t>Aug-23</t>
  </si>
  <si>
    <t>sunny, windy</t>
  </si>
  <si>
    <t>sunny, no wind</t>
  </si>
  <si>
    <t>Sep-23</t>
  </si>
  <si>
    <t>Oct-23</t>
  </si>
  <si>
    <t>Nov-23</t>
  </si>
  <si>
    <t>windy</t>
  </si>
  <si>
    <t>Jan-24</t>
  </si>
  <si>
    <t>Feb-24</t>
  </si>
  <si>
    <t>Mar-24</t>
  </si>
  <si>
    <t>Apr-24</t>
  </si>
  <si>
    <t>May-24</t>
  </si>
  <si>
    <t>Days after sampling</t>
  </si>
  <si>
    <t>Dec-23</t>
  </si>
  <si>
    <t>Water level (m AMSL)</t>
  </si>
  <si>
    <r>
      <t>Volume (10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</si>
  <si>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MGe</t>
  </si>
  <si>
    <t xml:space="preserve">Authors: </t>
  </si>
  <si>
    <t>Tomáš Matoušek (matousek@biomed.cas.cz)</t>
  </si>
  <si>
    <t>Michaela Prokopová (prokopova@ih.cas.cz)</t>
  </si>
  <si>
    <t xml:space="preserve">Montserrat Filella (montserrat.filella@unige.ch) </t>
  </si>
  <si>
    <t>Martin Pivokonský (pivo@ih.cas.cz)</t>
  </si>
  <si>
    <t>HG-CT-ICP-MS/MS</t>
  </si>
  <si>
    <t>unfiltered</t>
  </si>
  <si>
    <t>Alkalinity</t>
  </si>
  <si>
    <t>Average of two measurements, samples acidified 0.4 ml conc. HCl per 20ml due to high inorganic C</t>
  </si>
  <si>
    <t>Color. Range 3-200 units PtCo</t>
  </si>
  <si>
    <t>DR1900 spectrophotometer (HACH, Germany)</t>
  </si>
  <si>
    <t>laser nephelometer TU5200 (HACH, Germany)</t>
  </si>
  <si>
    <t>TOC-L analyser (Shimadzu, Japan)</t>
  </si>
  <si>
    <t>Redox potential (mV)</t>
  </si>
  <si>
    <t xml:space="preserve">Alkalinity was assessed through titration using 0.1 M HCl, and methyl orange as an indicator to reach the pH value of 4.5. </t>
  </si>
  <si>
    <t>Chemical oxygen demand</t>
  </si>
  <si>
    <t>Chemical oxygen demand by potassium permanganate was determined according to ISO 8467 (1993).</t>
  </si>
  <si>
    <t>combined probe multimeter HI 98494</t>
  </si>
  <si>
    <r>
      <t xml:space="preserve">Range: 0-13 pH, accuracy </t>
    </r>
    <r>
      <rPr>
        <sz val="11"/>
        <color theme="1"/>
        <rFont val="Calibri"/>
        <family val="2"/>
        <charset val="238"/>
      </rPr>
      <t>±</t>
    </r>
    <r>
      <rPr>
        <sz val="11"/>
        <color theme="1"/>
        <rFont val="Calibri"/>
        <family val="2"/>
      </rPr>
      <t>1%</t>
    </r>
  </si>
  <si>
    <r>
      <t xml:space="preserve">Range: ±2000 mV pH, accuracy </t>
    </r>
    <r>
      <rPr>
        <sz val="11"/>
        <color theme="1"/>
        <rFont val="Calibri"/>
        <family val="2"/>
        <charset val="238"/>
      </rPr>
      <t>±</t>
    </r>
    <r>
      <rPr>
        <sz val="11"/>
        <color theme="1"/>
        <rFont val="Calibri"/>
        <family val="2"/>
      </rPr>
      <t>1.0 mV</t>
    </r>
  </si>
  <si>
    <r>
      <t xml:space="preserve">Range: 0-200%, accuracy </t>
    </r>
    <r>
      <rPr>
        <sz val="11"/>
        <color theme="1"/>
        <rFont val="Calibri"/>
        <family val="2"/>
        <charset val="238"/>
      </rPr>
      <t>±0.</t>
    </r>
    <r>
      <rPr>
        <sz val="11"/>
        <color theme="1"/>
        <rFont val="Calibri"/>
        <family val="2"/>
      </rPr>
      <t>1%</t>
    </r>
  </si>
  <si>
    <r>
      <t xml:space="preserve">Range: 0-20 mg/L, accuracy </t>
    </r>
    <r>
      <rPr>
        <sz val="11"/>
        <color theme="1"/>
        <rFont val="Calibri"/>
        <family val="2"/>
        <charset val="238"/>
      </rPr>
      <t>±0.0</t>
    </r>
    <r>
      <rPr>
        <sz val="11"/>
        <color theme="1"/>
        <rFont val="Calibri"/>
        <family val="2"/>
      </rPr>
      <t>1 mg/L</t>
    </r>
  </si>
  <si>
    <r>
      <t xml:space="preserve">Range: 0-200 mS/cm, accuracy </t>
    </r>
    <r>
      <rPr>
        <sz val="11"/>
        <color theme="1"/>
        <rFont val="Calibri"/>
        <family val="2"/>
        <charset val="238"/>
      </rPr>
      <t>±</t>
    </r>
    <r>
      <rPr>
        <sz val="11"/>
        <color theme="1"/>
        <rFont val="Calibri"/>
        <family val="2"/>
      </rPr>
      <t xml:space="preserve">1 µS/cm  </t>
    </r>
  </si>
  <si>
    <r>
      <t xml:space="preserve">Range: -5-50 °C, accuracy </t>
    </r>
    <r>
      <rPr>
        <sz val="11"/>
        <color theme="1"/>
        <rFont val="Calibri"/>
        <family val="2"/>
        <charset val="238"/>
      </rPr>
      <t>±0.</t>
    </r>
    <r>
      <rPr>
        <sz val="11"/>
        <color theme="1"/>
        <rFont val="Calibri"/>
        <family val="2"/>
      </rPr>
      <t>15 °C</t>
    </r>
  </si>
  <si>
    <r>
      <t>Color</t>
    </r>
    <r>
      <rPr>
        <vertAlign val="subscript"/>
        <sz val="11"/>
        <color rgb="FF000000"/>
        <rFont val="Calibri"/>
        <family val="2"/>
        <charset val="238"/>
      </rPr>
      <t>455 nm</t>
    </r>
    <r>
      <rPr>
        <sz val="11"/>
        <color rgb="FF000000"/>
        <rFont val="Calibri"/>
        <family val="2"/>
        <charset val="238"/>
      </rPr>
      <t xml:space="preserve"> (mg/L PtCo)</t>
    </r>
  </si>
  <si>
    <t>NOTES</t>
  </si>
  <si>
    <t>UV-VIS Spectrophotometer 8453 (Agilent)</t>
  </si>
  <si>
    <r>
      <t>Nitrites.  Range 2-250 mg/L; blank + reagents  = 2 mg/L NO</t>
    </r>
    <r>
      <rPr>
        <vertAlign val="subscript"/>
        <sz val="11"/>
        <rFont val="Calibri"/>
        <family val="2"/>
        <scheme val="minor"/>
      </rPr>
      <t>2</t>
    </r>
  </si>
  <si>
    <r>
      <t>Nitrates.  Range 0.1-10 mg/L NO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-N</t>
    </r>
  </si>
  <si>
    <r>
      <t>Ammonia nitrogen.  Range 0.01-0.5 mg/L NH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-N</t>
    </r>
  </si>
  <si>
    <r>
      <t>Sulfates.  Range 2-70 mg/L SO</t>
    </r>
    <r>
      <rPr>
        <vertAlign val="subscript"/>
        <sz val="11"/>
        <rFont val="Calibri"/>
        <family val="2"/>
        <scheme val="minor"/>
      </rPr>
      <t>4</t>
    </r>
    <r>
      <rPr>
        <vertAlign val="superscript"/>
        <sz val="11"/>
        <rFont val="Calibri"/>
        <family val="2"/>
        <scheme val="minor"/>
      </rPr>
      <t>2-</t>
    </r>
  </si>
  <si>
    <r>
      <t>Reactive phospohorus (orthophosphates) Range 0.02-2.5 mg/L PO</t>
    </r>
    <r>
      <rPr>
        <vertAlign val="subscript"/>
        <sz val="11"/>
        <rFont val="Calibri"/>
        <family val="2"/>
        <scheme val="minor"/>
      </rPr>
      <t>4</t>
    </r>
    <r>
      <rPr>
        <vertAlign val="superscript"/>
        <sz val="11"/>
        <rFont val="Calibri"/>
        <family val="2"/>
        <scheme val="minor"/>
      </rPr>
      <t xml:space="preserve">3- </t>
    </r>
  </si>
  <si>
    <r>
      <t>Chlorides. Range 0.1-25 mg/L Cl</t>
    </r>
    <r>
      <rPr>
        <vertAlign val="superscript"/>
        <sz val="11"/>
        <rFont val="Calibri"/>
        <family val="2"/>
        <scheme val="minor"/>
      </rPr>
      <t>-</t>
    </r>
    <r>
      <rPr>
        <sz val="11"/>
        <rFont val="Calibri"/>
        <family val="2"/>
        <scheme val="minor"/>
      </rPr>
      <t xml:space="preserve">,  2 times diluted </t>
    </r>
  </si>
  <si>
    <r>
      <t xml:space="preserve">filtered 0.45 </t>
    </r>
    <r>
      <rPr>
        <sz val="11"/>
        <rFont val="Calibri"/>
        <family val="2"/>
      </rPr>
      <t>µm, 2 times diluted</t>
    </r>
  </si>
  <si>
    <r>
      <t xml:space="preserve">filtered 0.45 </t>
    </r>
    <r>
      <rPr>
        <sz val="11"/>
        <rFont val="Calibri"/>
        <family val="2"/>
      </rPr>
      <t>µm, 10 times diluted</t>
    </r>
  </si>
  <si>
    <r>
      <t xml:space="preserve">filtered 0.45 </t>
    </r>
    <r>
      <rPr>
        <sz val="11"/>
        <rFont val="Calibri"/>
        <family val="2"/>
      </rPr>
      <t>µm</t>
    </r>
  </si>
  <si>
    <t>49.9270392N, 15.2270806E</t>
  </si>
  <si>
    <t>50.7911378N, 15.3183094E</t>
  </si>
  <si>
    <t>System</t>
  </si>
  <si>
    <t>Alkalinity (mmol/L)</t>
  </si>
  <si>
    <t>Non-Cys</t>
  </si>
  <si>
    <t>Sampling Date</t>
  </si>
  <si>
    <t>Time</t>
  </si>
  <si>
    <t>Germanium  speciation data (IAC)</t>
  </si>
  <si>
    <t>Ancillary data (IH)</t>
  </si>
  <si>
    <r>
      <t>Conductivity (</t>
    </r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S/cm)</t>
    </r>
  </si>
  <si>
    <r>
      <t>COD</t>
    </r>
    <r>
      <rPr>
        <b/>
        <vertAlign val="subscript"/>
        <sz val="11"/>
        <rFont val="Calibri"/>
        <family val="2"/>
        <scheme val="minor"/>
      </rPr>
      <t>Mn</t>
    </r>
    <r>
      <rPr>
        <b/>
        <sz val="11"/>
        <rFont val="Calibri"/>
        <family val="2"/>
        <scheme val="minor"/>
      </rPr>
      <t xml:space="preserve"> (mg/L)</t>
    </r>
  </si>
  <si>
    <r>
      <t>NO</t>
    </r>
    <r>
      <rPr>
        <b/>
        <vertAlign val="sub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-N</t>
    </r>
    <r>
      <rPr>
        <b/>
        <vertAlign val="superscript"/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(mg/L)</t>
    </r>
  </si>
  <si>
    <r>
      <t>NO</t>
    </r>
    <r>
      <rPr>
        <b/>
        <vertAlign val="sub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-N</t>
    </r>
    <r>
      <rPr>
        <b/>
        <vertAlign val="superscript"/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(mg/L)</t>
    </r>
  </si>
  <si>
    <r>
      <t>NH</t>
    </r>
    <r>
      <rPr>
        <b/>
        <vertAlign val="sub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-N (mg/L)</t>
    </r>
  </si>
  <si>
    <r>
      <t>SO</t>
    </r>
    <r>
      <rPr>
        <b/>
        <vertAlign val="subscript"/>
        <sz val="11"/>
        <color rgb="FF000000"/>
        <rFont val="Calibri"/>
        <family val="2"/>
      </rPr>
      <t>4</t>
    </r>
    <r>
      <rPr>
        <b/>
        <vertAlign val="superscript"/>
        <sz val="11"/>
        <color rgb="FF000000"/>
        <rFont val="Calibri"/>
        <family val="2"/>
      </rPr>
      <t>2-</t>
    </r>
    <r>
      <rPr>
        <b/>
        <sz val="11"/>
        <color rgb="FF000000"/>
        <rFont val="Calibri"/>
        <family val="2"/>
      </rPr>
      <t xml:space="preserve"> (mg/L)</t>
    </r>
  </si>
  <si>
    <r>
      <t>PO</t>
    </r>
    <r>
      <rPr>
        <b/>
        <vertAlign val="subscript"/>
        <sz val="11"/>
        <color rgb="FF000000"/>
        <rFont val="Calibri"/>
        <family val="2"/>
      </rPr>
      <t>4</t>
    </r>
    <r>
      <rPr>
        <b/>
        <vertAlign val="superscript"/>
        <sz val="11"/>
        <color rgb="FF000000"/>
        <rFont val="Calibri"/>
        <family val="2"/>
      </rPr>
      <t>3-</t>
    </r>
    <r>
      <rPr>
        <b/>
        <sz val="11"/>
        <color rgb="FF000000"/>
        <rFont val="Calibri"/>
        <family val="2"/>
      </rPr>
      <t xml:space="preserve"> (mg/L)</t>
    </r>
  </si>
  <si>
    <r>
      <t>Cl</t>
    </r>
    <r>
      <rPr>
        <b/>
        <vertAlign val="superscript"/>
        <sz val="11"/>
        <color rgb="FF000000"/>
        <rFont val="Calibri"/>
        <family val="2"/>
      </rPr>
      <t>-</t>
    </r>
    <r>
      <rPr>
        <b/>
        <sz val="11"/>
        <color rgb="FF000000"/>
        <rFont val="Calibri"/>
        <family val="2"/>
      </rPr>
      <t xml:space="preserve"> (mg/L)</t>
    </r>
  </si>
  <si>
    <r>
      <t>Color</t>
    </r>
    <r>
      <rPr>
        <b/>
        <vertAlign val="subscript"/>
        <sz val="11"/>
        <color rgb="FF000000"/>
        <rFont val="Calibri"/>
        <family val="2"/>
      </rPr>
      <t>455 nm</t>
    </r>
    <r>
      <rPr>
        <b/>
        <sz val="11"/>
        <color rgb="FF000000"/>
        <rFont val="Calibri"/>
        <family val="2"/>
      </rPr>
      <t xml:space="preserve"> (PtCo)</t>
    </r>
  </si>
  <si>
    <r>
      <t>Al</t>
    </r>
    <r>
      <rPr>
        <b/>
        <vertAlign val="subscript"/>
        <sz val="11"/>
        <color theme="1"/>
        <rFont val="Calibri"/>
        <family val="2"/>
        <scheme val="minor"/>
      </rPr>
      <t>396.152 nm</t>
    </r>
    <r>
      <rPr>
        <b/>
        <sz val="11"/>
        <color theme="1"/>
        <rFont val="Calibri"/>
        <family val="2"/>
        <scheme val="minor"/>
      </rPr>
      <t xml:space="preserve"> (mg/L)</t>
    </r>
  </si>
  <si>
    <r>
      <t>B</t>
    </r>
    <r>
      <rPr>
        <b/>
        <vertAlign val="subscript"/>
        <sz val="11"/>
        <color theme="1"/>
        <rFont val="Calibri"/>
        <family val="2"/>
        <scheme val="minor"/>
      </rPr>
      <t>208.956 nm</t>
    </r>
    <r>
      <rPr>
        <b/>
        <sz val="11"/>
        <color theme="1"/>
        <rFont val="Calibri"/>
        <family val="2"/>
        <scheme val="minor"/>
      </rPr>
      <t xml:space="preserve"> (mg/L)</t>
    </r>
  </si>
  <si>
    <r>
      <t>Ba</t>
    </r>
    <r>
      <rPr>
        <b/>
        <vertAlign val="subscript"/>
        <sz val="11"/>
        <color theme="1"/>
        <rFont val="Calibri"/>
        <family val="2"/>
        <scheme val="minor"/>
      </rPr>
      <t>455.403 nm</t>
    </r>
    <r>
      <rPr>
        <b/>
        <sz val="11"/>
        <color theme="1"/>
        <rFont val="Calibri"/>
        <family val="2"/>
        <scheme val="minor"/>
      </rPr>
      <t xml:space="preserve"> (mg/L)</t>
    </r>
  </si>
  <si>
    <r>
      <t>Ca</t>
    </r>
    <r>
      <rPr>
        <b/>
        <vertAlign val="subscript"/>
        <sz val="11"/>
        <color theme="1"/>
        <rFont val="Calibri"/>
        <family val="2"/>
        <scheme val="minor"/>
      </rPr>
      <t>422.673 nm</t>
    </r>
    <r>
      <rPr>
        <b/>
        <sz val="11"/>
        <color theme="1"/>
        <rFont val="Calibri"/>
        <family val="2"/>
        <scheme val="minor"/>
      </rPr>
      <t xml:space="preserve"> (mg/L)</t>
    </r>
  </si>
  <si>
    <r>
      <t>Fe</t>
    </r>
    <r>
      <rPr>
        <b/>
        <vertAlign val="subscript"/>
        <sz val="11"/>
        <color theme="1"/>
        <rFont val="Calibri"/>
        <family val="2"/>
        <scheme val="minor"/>
      </rPr>
      <t>238.204 nm</t>
    </r>
    <r>
      <rPr>
        <b/>
        <sz val="11"/>
        <color theme="1"/>
        <rFont val="Calibri"/>
        <family val="2"/>
        <scheme val="minor"/>
      </rPr>
      <t xml:space="preserve"> (mg/L)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</si>
  <si>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766.491 nm</t>
    </r>
    <r>
      <rPr>
        <b/>
        <sz val="11"/>
        <color theme="1"/>
        <rFont val="Calibri"/>
        <family val="2"/>
        <scheme val="minor"/>
      </rPr>
      <t xml:space="preserve"> (mg/L)</t>
    </r>
  </si>
  <si>
    <r>
      <t>Mg</t>
    </r>
    <r>
      <rPr>
        <b/>
        <vertAlign val="subscript"/>
        <sz val="11"/>
        <color theme="1"/>
        <rFont val="Calibri"/>
        <family val="2"/>
        <scheme val="minor"/>
      </rPr>
      <t>279.553 nm</t>
    </r>
    <r>
      <rPr>
        <b/>
        <sz val="11"/>
        <color theme="1"/>
        <rFont val="Calibri"/>
        <family val="2"/>
        <scheme val="minor"/>
      </rPr>
      <t xml:space="preserve"> (mg/L)</t>
    </r>
  </si>
  <si>
    <r>
      <t>Mn</t>
    </r>
    <r>
      <rPr>
        <b/>
        <vertAlign val="subscript"/>
        <sz val="11"/>
        <color theme="1"/>
        <rFont val="Calibri"/>
        <family val="2"/>
        <scheme val="minor"/>
      </rPr>
      <t>257.610 nm</t>
    </r>
    <r>
      <rPr>
        <b/>
        <sz val="11"/>
        <color theme="1"/>
        <rFont val="Calibri"/>
        <family val="2"/>
        <scheme val="minor"/>
      </rPr>
      <t xml:space="preserve"> (mg/L)</t>
    </r>
  </si>
  <si>
    <r>
      <t>Na</t>
    </r>
    <r>
      <rPr>
        <b/>
        <vertAlign val="subscript"/>
        <sz val="11"/>
        <color theme="1"/>
        <rFont val="Calibri"/>
        <family val="2"/>
        <scheme val="minor"/>
      </rPr>
      <t>589.592 nm</t>
    </r>
    <r>
      <rPr>
        <b/>
        <sz val="11"/>
        <color theme="1"/>
        <rFont val="Calibri"/>
        <family val="2"/>
        <scheme val="minor"/>
      </rPr>
      <t xml:space="preserve"> (mg/L)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</si>
  <si>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336.122 nm</t>
    </r>
    <r>
      <rPr>
        <b/>
        <sz val="11"/>
        <color theme="1"/>
        <rFont val="Calibri"/>
        <family val="2"/>
        <scheme val="minor"/>
      </rPr>
      <t xml:space="preserve"> (mg/L)</t>
    </r>
  </si>
  <si>
    <r>
      <t>Zn</t>
    </r>
    <r>
      <rPr>
        <b/>
        <vertAlign val="subscript"/>
        <sz val="11"/>
        <color theme="1"/>
        <rFont val="Calibri"/>
        <family val="2"/>
        <scheme val="minor"/>
      </rPr>
      <t>213.857 nm</t>
    </r>
    <r>
      <rPr>
        <b/>
        <sz val="11"/>
        <color theme="1"/>
        <rFont val="Calibri"/>
        <family val="2"/>
        <scheme val="minor"/>
      </rPr>
      <t xml:space="preserve"> (mg/L)</t>
    </r>
  </si>
  <si>
    <r>
      <t>Si</t>
    </r>
    <r>
      <rPr>
        <b/>
        <vertAlign val="subscript"/>
        <sz val="11"/>
        <color theme="1"/>
        <rFont val="Calibri"/>
        <family val="2"/>
        <scheme val="minor"/>
      </rPr>
      <t>251.432 nm</t>
    </r>
    <r>
      <rPr>
        <b/>
        <sz val="11"/>
        <color theme="1"/>
        <rFont val="Calibri"/>
        <family val="2"/>
        <scheme val="minor"/>
      </rPr>
      <t xml:space="preserve"> (mg/L)</t>
    </r>
  </si>
  <si>
    <r>
      <t>Abs</t>
    </r>
    <r>
      <rPr>
        <b/>
        <vertAlign val="subscript"/>
        <sz val="11"/>
        <color rgb="FF000000"/>
        <rFont val="Calibri"/>
        <family val="2"/>
      </rPr>
      <t>210 nm</t>
    </r>
  </si>
  <si>
    <r>
      <t>Abs</t>
    </r>
    <r>
      <rPr>
        <b/>
        <vertAlign val="subscript"/>
        <sz val="11"/>
        <color rgb="FF000000"/>
        <rFont val="Calibri"/>
        <family val="2"/>
      </rPr>
      <t>254 nm</t>
    </r>
  </si>
  <si>
    <r>
      <t>Abs</t>
    </r>
    <r>
      <rPr>
        <b/>
        <vertAlign val="subscript"/>
        <sz val="11"/>
        <color rgb="FF000000"/>
        <rFont val="Calibri"/>
        <family val="2"/>
      </rPr>
      <t>280 nm</t>
    </r>
  </si>
  <si>
    <r>
      <t>Abs</t>
    </r>
    <r>
      <rPr>
        <b/>
        <vertAlign val="subscript"/>
        <sz val="11"/>
        <color rgb="FF000000"/>
        <rFont val="Calibri"/>
        <family val="2"/>
      </rPr>
      <t>365 nm</t>
    </r>
  </si>
  <si>
    <r>
      <t>Abs</t>
    </r>
    <r>
      <rPr>
        <b/>
        <vertAlign val="subscript"/>
        <sz val="11"/>
        <color rgb="FF000000"/>
        <rFont val="Calibri"/>
        <family val="2"/>
      </rPr>
      <t>436 nm</t>
    </r>
  </si>
  <si>
    <r>
      <t>Abs</t>
    </r>
    <r>
      <rPr>
        <b/>
        <vertAlign val="subscript"/>
        <sz val="11"/>
        <color rgb="FF000000"/>
        <rFont val="Calibri"/>
        <family val="2"/>
      </rPr>
      <t>520 nm</t>
    </r>
  </si>
  <si>
    <r>
      <t>Abs</t>
    </r>
    <r>
      <rPr>
        <b/>
        <vertAlign val="subscript"/>
        <sz val="11"/>
        <color rgb="FF000000"/>
        <rFont val="Calibri"/>
        <family val="2"/>
      </rPr>
      <t>560 nm</t>
    </r>
  </si>
  <si>
    <r>
      <t>Abs</t>
    </r>
    <r>
      <rPr>
        <b/>
        <vertAlign val="subscript"/>
        <sz val="11"/>
        <color rgb="FF000000"/>
        <rFont val="Calibri"/>
        <family val="2"/>
      </rPr>
      <t>620 nm</t>
    </r>
  </si>
  <si>
    <r>
      <t>Abs</t>
    </r>
    <r>
      <rPr>
        <b/>
        <vertAlign val="subscript"/>
        <sz val="11"/>
        <color rgb="FF000000"/>
        <rFont val="Calibri"/>
        <family val="2"/>
      </rPr>
      <t>680 nm</t>
    </r>
  </si>
  <si>
    <r>
      <t>Abs</t>
    </r>
    <r>
      <rPr>
        <b/>
        <vertAlign val="subscript"/>
        <sz val="11"/>
        <color rgb="FF000000"/>
        <rFont val="Calibri"/>
        <family val="2"/>
      </rPr>
      <t>700 nm</t>
    </r>
  </si>
  <si>
    <r>
      <t>Abs</t>
    </r>
    <r>
      <rPr>
        <b/>
        <vertAlign val="subscript"/>
        <sz val="11"/>
        <color rgb="FF000000"/>
        <rFont val="Calibri"/>
        <family val="2"/>
      </rPr>
      <t>720 nm</t>
    </r>
  </si>
  <si>
    <r>
      <t>Abs</t>
    </r>
    <r>
      <rPr>
        <b/>
        <vertAlign val="subscript"/>
        <sz val="11"/>
        <color rgb="FF000000"/>
        <rFont val="Calibri"/>
        <family val="2"/>
      </rPr>
      <t>780 nm</t>
    </r>
  </si>
  <si>
    <t xml:space="preserve">Values below LOQ (relative error up to 30%) are in red  </t>
  </si>
  <si>
    <t>Values highlighted in grey are influenced by bottom sediments disturbed during sampling and are therefore unreliable</t>
  </si>
  <si>
    <t>Values below LOD (&lt;0.02) are in Italics</t>
  </si>
  <si>
    <t>Germanium  speciation data (IAC) reanalyzed by Ge specific method on 17-Jan-2025</t>
  </si>
  <si>
    <t>cell/ml</t>
  </si>
  <si>
    <t>mg/l</t>
  </si>
  <si>
    <t>Achnanthidium sp.</t>
  </si>
  <si>
    <t>Ankyra judayi agg.</t>
  </si>
  <si>
    <t>Ankyra lanceolata</t>
  </si>
  <si>
    <t>Aphanizomenon gracile</t>
  </si>
  <si>
    <t>Aphanizomenon sp.</t>
  </si>
  <si>
    <t>Aphanocapsa sp.</t>
  </si>
  <si>
    <t>Aphanothece sp.</t>
  </si>
  <si>
    <t>Asterionella formosa,H</t>
  </si>
  <si>
    <t>Aulacoseira sp.</t>
  </si>
  <si>
    <t>Aulacoseira subarctica</t>
  </si>
  <si>
    <t>Botryococcus braunii</t>
  </si>
  <si>
    <t>Carteria sp.</t>
  </si>
  <si>
    <t>Ceratium furcoides</t>
  </si>
  <si>
    <t>Ceratium hirundinella,M</t>
  </si>
  <si>
    <t>Closterium acutum</t>
  </si>
  <si>
    <t>Coelastrum microporum</t>
  </si>
  <si>
    <t>Coelastrum reticulatum</t>
  </si>
  <si>
    <t>Colacium sp.</t>
  </si>
  <si>
    <t>Cosmarium sp.</t>
  </si>
  <si>
    <t>Cryptomonas curvata</t>
  </si>
  <si>
    <t>Cryptomonas erosa</t>
  </si>
  <si>
    <t>Cryptomonas marssonii</t>
  </si>
  <si>
    <t>Cryptomonas reflexa</t>
  </si>
  <si>
    <t>Cryptomonas sp.</t>
  </si>
  <si>
    <t>Cuspidothrix issatschenkoi</t>
  </si>
  <si>
    <t>Cyanobacteria coccalia</t>
  </si>
  <si>
    <t>Cyanocatena sp.</t>
  </si>
  <si>
    <t>Cyanodictyon sp.</t>
  </si>
  <si>
    <t>Cyclostephanos dubius</t>
  </si>
  <si>
    <t>Cyclotella balatonis</t>
  </si>
  <si>
    <t>Cyclotella pseudostelligera</t>
  </si>
  <si>
    <t>Dictyosphaerium pulchellum</t>
  </si>
  <si>
    <t>Dictyosphaerium tetrachotomum,B</t>
  </si>
  <si>
    <t>Didymocystis sp.</t>
  </si>
  <si>
    <t>Dinobryon divergens</t>
  </si>
  <si>
    <t>Dolichospermum compactum</t>
  </si>
  <si>
    <t>Dolichospermum flos-aquae</t>
  </si>
  <si>
    <t>Dolichospermum lemmermannii</t>
  </si>
  <si>
    <t>Dolichospermum planctonicum</t>
  </si>
  <si>
    <t>Elakatothrix genevensis</t>
  </si>
  <si>
    <t>Euglena sp.</t>
  </si>
  <si>
    <t>Eutetramorus sp.</t>
  </si>
  <si>
    <t>Fragilaria acus agg.</t>
  </si>
  <si>
    <t>Fragilaria tenera</t>
  </si>
  <si>
    <t>Gomphosphaeria sp.</t>
  </si>
  <si>
    <t>Chlamydomonas sp.</t>
  </si>
  <si>
    <t>Chlorobionta coccalia</t>
  </si>
  <si>
    <t>Chloromonas sp.</t>
  </si>
  <si>
    <t>Chromulina sp.</t>
  </si>
  <si>
    <t>Chroococcus sp.</t>
  </si>
  <si>
    <t>Chroomonas acuta</t>
  </si>
  <si>
    <t>Chrysococcus biporus</t>
  </si>
  <si>
    <t>Chrysococcus rufescens</t>
  </si>
  <si>
    <t>Chrysococcus sp.</t>
  </si>
  <si>
    <t>Chrysochromulina sp.</t>
  </si>
  <si>
    <t>Chrysophyceae monadoideae</t>
  </si>
  <si>
    <t>Koliella longiseta</t>
  </si>
  <si>
    <t>Lagerheimia genevensis</t>
  </si>
  <si>
    <t>Mallomonas akrokomos</t>
  </si>
  <si>
    <t>Mallomonas sp.</t>
  </si>
  <si>
    <t>Merismopedia minutissima</t>
  </si>
  <si>
    <t>Micractinium sp.</t>
  </si>
  <si>
    <t>Microcystis aeruginosa</t>
  </si>
  <si>
    <t>Microcystis ichthyoblabe</t>
  </si>
  <si>
    <t>Monoraphidium contortum</t>
  </si>
  <si>
    <t>Nephrocytium sp.</t>
  </si>
  <si>
    <t>Nephrodiella sp.</t>
  </si>
  <si>
    <t>Nitzschia acicularis</t>
  </si>
  <si>
    <t>Nitzschia graciliformis</t>
  </si>
  <si>
    <t>Nitzschia sp.</t>
  </si>
  <si>
    <t>Ochromonas sp.</t>
  </si>
  <si>
    <t>Oocystis marssonii</t>
  </si>
  <si>
    <t>Oocystis parva</t>
  </si>
  <si>
    <t>Pediastrum duplex,B</t>
  </si>
  <si>
    <t>Pediastrum tetras</t>
  </si>
  <si>
    <t>Peridinium sp.</t>
  </si>
  <si>
    <t>Plagioselmis lacustris</t>
  </si>
  <si>
    <t>Planktolyngbya sp.</t>
  </si>
  <si>
    <t>Planktosphaeria gelatinosa</t>
  </si>
  <si>
    <t>Planktothrix agardhii</t>
  </si>
  <si>
    <t>Pseudanabaena mucicola</t>
  </si>
  <si>
    <t>Pseudanabaena sp.</t>
  </si>
  <si>
    <t>Rhodomonas minuta</t>
  </si>
  <si>
    <t>Scenedesmus alternans</t>
  </si>
  <si>
    <t>Scenedesmus brasiliensis,B</t>
  </si>
  <si>
    <t>Scenedesmus communis</t>
  </si>
  <si>
    <t>Scenedesmus linearis</t>
  </si>
  <si>
    <t>Snowella lacustris</t>
  </si>
  <si>
    <t>Snowella litoralis</t>
  </si>
  <si>
    <t>Sphaerocystis schroeteri</t>
  </si>
  <si>
    <t>Staurastrum pingue</t>
  </si>
  <si>
    <t>Staurastrum planctonicum</t>
  </si>
  <si>
    <t>Staurastrum tetracerum</t>
  </si>
  <si>
    <t>Stenocalyx sp.</t>
  </si>
  <si>
    <t>Stephanodiscus minutulus</t>
  </si>
  <si>
    <t>Synura sp.</t>
  </si>
  <si>
    <t>Tetraedron minimum,K</t>
  </si>
  <si>
    <t>Tetraselmis subcordiformis</t>
  </si>
  <si>
    <t>Tetrastrum elegans</t>
  </si>
  <si>
    <t>Trachelomonas hispida</t>
  </si>
  <si>
    <t>Trachelomonas planctonica,O</t>
  </si>
  <si>
    <t>Trachelomonas verrucosa</t>
  </si>
  <si>
    <t>Trachelomonas volvocina</t>
  </si>
  <si>
    <t>Trachelomonas volvocinopsis</t>
  </si>
  <si>
    <t>Treubaria sp.</t>
  </si>
  <si>
    <t>Uroglena sp.</t>
  </si>
  <si>
    <t>Willea sp.</t>
  </si>
  <si>
    <t>Woronichinia naegeliana</t>
  </si>
  <si>
    <t>Vrchlice; Profile 10; integrated samples</t>
  </si>
  <si>
    <t>TOTAL:</t>
  </si>
  <si>
    <t>Binuclearia tectorum</t>
  </si>
  <si>
    <t>Brachysira sp.</t>
  </si>
  <si>
    <t>Closterium kuetzingii</t>
  </si>
  <si>
    <t>Crucigeniella rectangularis</t>
  </si>
  <si>
    <t>Dinobryon cylindricum</t>
  </si>
  <si>
    <t>Dinobryon sp.</t>
  </si>
  <si>
    <t>Encyonema sp.</t>
  </si>
  <si>
    <t>Eunotia sp.</t>
  </si>
  <si>
    <t>Gonyostomum semen</t>
  </si>
  <si>
    <t>Gymnodinium sp.</t>
  </si>
  <si>
    <t>Heminidium sp.</t>
  </si>
  <si>
    <t>Chloromonas minima</t>
  </si>
  <si>
    <t>Chrysidalis sp.</t>
  </si>
  <si>
    <t>Katodinium sp.</t>
  </si>
  <si>
    <t>Merismopedia punctata</t>
  </si>
  <si>
    <t>Merismopedia sp.</t>
  </si>
  <si>
    <t>Oocystis lacustris agg.</t>
  </si>
  <si>
    <t>Oocystis rhomboidea</t>
  </si>
  <si>
    <t>Phacus pyrum,B</t>
  </si>
  <si>
    <t>Stenopterobia sp.</t>
  </si>
  <si>
    <t>Synechococcus sp.</t>
  </si>
  <si>
    <t>Tabellaria flocculosa agg.</t>
  </si>
  <si>
    <t>Xanthidium sp.</t>
  </si>
  <si>
    <t>Biomass:</t>
  </si>
  <si>
    <t>TOTAL</t>
  </si>
  <si>
    <t>Date of collection:</t>
  </si>
  <si>
    <t>Counts:</t>
  </si>
  <si>
    <t>Values below LOD are in Italics</t>
  </si>
  <si>
    <t>ICP-OES, 5110 Series (Agilent)</t>
  </si>
  <si>
    <t>Souš; Profile 3; integrated samples</t>
  </si>
  <si>
    <t>Data provided by Povodí Labe, a.s.</t>
  </si>
  <si>
    <t>File supplementing the article: Seasonal speciation of dissolved germanium in Bohemian reservoirs with contrasting chemistry and trophic status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</si>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</sst>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0.0"/>
    <numFmt numFmtId="165" formatCode="0.000"/>
    <numFmt numFmtId="166" formatCode="0.0000"/>
    <numFmt numFmtId="167" formatCode="[$-409]d\-mmm\-yy;@"/>
    <numFmt numFmtId="168" formatCode="[$-409]d\.\ m\.\ yyyy\ h:mm;\ @"/>
    <numFmt numFmtId="169" formatCode="_(* #,##0_);_(* \(#,##0\);_(* &quot;-&quot;??_);_(@_)"/>
    <numFmt numFmtId="170" formatCode="[$-409]d\-mmm\-yyyy;@"/>
    <numFmt numFmtId="171" formatCode="h:mm;@"/>
    <numFmt numFmtId="172" formatCode="d/m/yyyy"/>
    <numFmt numFmtId="173" formatCode="#0"/>
    <numFmt numFmtId="174" formatCode="0.00000"/>
    <numFmt numFmtId="175" formatCode="#0.0000"/>
    <numFmt numFmtId="176" formatCode="#0.00000"/>
    <numFmt numFmtId="177" formatCode="#0.00000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</font>
    <font>
      <vertAlign val="subscript"/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</font>
    <font>
      <vertAlign val="subscript"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charset val="238"/>
      <scheme val="minor"/>
    </font>
    <font>
      <sz val="11"/>
      <color theme="2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  <font>
      <vertAlign val="superscript"/>
      <sz val="11"/>
      <color theme="1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vertAlign val="subscript"/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0" fillId="0" borderId="0"/>
    <xf numFmtId="0" fontId="2" fillId="0" borderId="0"/>
    <xf numFmtId="0" fontId="22" fillId="0" borderId="0"/>
    <xf numFmtId="9" fontId="2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203">
    <xf numFmtId="0" fontId="0" fillId="0" borderId="0" xfId="0"/>
    <xf numFmtId="2" fontId="0" fillId="0" borderId="0" xfId="0" applyNumberFormat="1"/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165" fontId="0" fillId="0" borderId="0" xfId="0" applyNumberFormat="1"/>
    <xf numFmtId="0" fontId="0" fillId="0" borderId="0" xfId="0" applyAlignment="1">
      <alignment horizontal="center" wrapText="1"/>
    </xf>
    <xf numFmtId="0" fontId="9" fillId="0" borderId="0" xfId="0" applyFont="1"/>
    <xf numFmtId="2" fontId="13" fillId="0" borderId="0" xfId="0" applyNumberFormat="1" applyFont="1"/>
    <xf numFmtId="164" fontId="13" fillId="0" borderId="0" xfId="0" applyNumberFormat="1" applyFont="1"/>
    <xf numFmtId="0" fontId="13" fillId="0" borderId="0" xfId="0" applyFont="1"/>
    <xf numFmtId="2" fontId="14" fillId="0" borderId="0" xfId="0" applyNumberFormat="1" applyFont="1"/>
    <xf numFmtId="165" fontId="13" fillId="0" borderId="0" xfId="0" applyNumberFormat="1" applyFont="1" applyAlignment="1">
      <alignment horizontal="right"/>
    </xf>
    <xf numFmtId="165" fontId="13" fillId="0" borderId="0" xfId="0" applyNumberFormat="1" applyFont="1"/>
    <xf numFmtId="1" fontId="9" fillId="0" borderId="0" xfId="0" applyNumberFormat="1" applyFont="1"/>
    <xf numFmtId="2" fontId="9" fillId="0" borderId="0" xfId="0" applyNumberFormat="1" applyFont="1"/>
    <xf numFmtId="164" fontId="9" fillId="0" borderId="0" xfId="0" applyNumberFormat="1" applyFont="1"/>
    <xf numFmtId="165" fontId="9" fillId="0" borderId="0" xfId="0" applyNumberFormat="1" applyFont="1" applyAlignment="1">
      <alignment horizontal="right"/>
    </xf>
    <xf numFmtId="165" fontId="9" fillId="0" borderId="0" xfId="0" applyNumberFormat="1" applyFont="1"/>
    <xf numFmtId="0" fontId="0" fillId="0" borderId="0" xfId="0" applyAlignment="1">
      <alignment horizontal="center"/>
    </xf>
    <xf numFmtId="2" fontId="13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0" fillId="0" borderId="0" xfId="2" applyFont="1"/>
    <xf numFmtId="164" fontId="14" fillId="0" borderId="0" xfId="0" applyNumberFormat="1" applyFont="1"/>
    <xf numFmtId="0" fontId="0" fillId="0" borderId="0" xfId="0" applyAlignment="1">
      <alignment horizontal="right"/>
    </xf>
    <xf numFmtId="164" fontId="17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2" fontId="17" fillId="0" borderId="0" xfId="0" applyNumberFormat="1" applyFont="1"/>
    <xf numFmtId="1" fontId="13" fillId="0" borderId="0" xfId="0" applyNumberFormat="1" applyFont="1"/>
    <xf numFmtId="2" fontId="20" fillId="0" borderId="0" xfId="0" applyNumberFormat="1" applyFont="1"/>
    <xf numFmtId="1" fontId="1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66" fontId="0" fillId="0" borderId="0" xfId="0" applyNumberFormat="1"/>
    <xf numFmtId="166" fontId="13" fillId="0" borderId="0" xfId="0" applyNumberFormat="1" applyFont="1"/>
    <xf numFmtId="166" fontId="9" fillId="0" borderId="0" xfId="0" applyNumberFormat="1" applyFont="1"/>
    <xf numFmtId="0" fontId="21" fillId="0" borderId="0" xfId="0" applyFont="1"/>
    <xf numFmtId="4" fontId="20" fillId="0" borderId="0" xfId="0" applyNumberFormat="1" applyFont="1"/>
    <xf numFmtId="0" fontId="19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2" fontId="0" fillId="0" borderId="0" xfId="0" applyNumberForma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2" fontId="0" fillId="0" borderId="0" xfId="0" applyNumberFormat="1" applyAlignment="1">
      <alignment horizontal="left" vertical="center"/>
    </xf>
    <xf numFmtId="165" fontId="10" fillId="0" borderId="0" xfId="1" applyNumberFormat="1" applyAlignment="1">
      <alignment horizontal="left" vertical="center" wrapText="1"/>
    </xf>
    <xf numFmtId="165" fontId="15" fillId="0" borderId="0" xfId="1" applyNumberFormat="1" applyFont="1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165" fontId="10" fillId="0" borderId="0" xfId="1" applyNumberFormat="1" applyAlignment="1">
      <alignment horizontal="left" vertical="center"/>
    </xf>
    <xf numFmtId="0" fontId="24" fillId="0" borderId="0" xfId="0" applyFont="1"/>
    <xf numFmtId="0" fontId="19" fillId="2" borderId="0" xfId="0" applyFont="1" applyFill="1" applyAlignment="1">
      <alignment horizontal="left"/>
    </xf>
    <xf numFmtId="0" fontId="19" fillId="2" borderId="0" xfId="0" applyFont="1" applyFill="1"/>
    <xf numFmtId="170" fontId="0" fillId="0" borderId="0" xfId="0" applyNumberFormat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 wrapText="1"/>
    </xf>
    <xf numFmtId="2" fontId="0" fillId="0" borderId="0" xfId="0" applyNumberFormat="1" applyAlignment="1">
      <alignment horizontal="center" vertical="top"/>
    </xf>
    <xf numFmtId="164" fontId="19" fillId="0" borderId="0" xfId="0" applyNumberFormat="1" applyFont="1" applyAlignment="1">
      <alignment wrapText="1"/>
    </xf>
    <xf numFmtId="0" fontId="18" fillId="0" borderId="0" xfId="0" applyFont="1" applyAlignment="1">
      <alignment horizontal="right" wrapText="1"/>
    </xf>
    <xf numFmtId="2" fontId="17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164" fontId="19" fillId="0" borderId="0" xfId="0" applyNumberFormat="1" applyFont="1" applyAlignment="1">
      <alignment horizontal="right" wrapText="1"/>
    </xf>
    <xf numFmtId="2" fontId="19" fillId="0" borderId="0" xfId="0" applyNumberFormat="1" applyFont="1" applyAlignment="1">
      <alignment horizontal="right" wrapText="1"/>
    </xf>
    <xf numFmtId="2" fontId="6" fillId="0" borderId="0" xfId="0" applyNumberFormat="1" applyFont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0" fontId="19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9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10" fillId="0" borderId="0" xfId="1" applyNumberFormat="1" applyAlignment="1">
      <alignment horizontal="left" vertical="center"/>
    </xf>
    <xf numFmtId="2" fontId="26" fillId="0" borderId="0" xfId="0" applyNumberFormat="1" applyFont="1" applyAlignment="1">
      <alignment horizontal="right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 wrapText="1"/>
    </xf>
    <xf numFmtId="165" fontId="0" fillId="0" borderId="0" xfId="0" applyNumberFormat="1" applyAlignment="1">
      <alignment horizontal="left" wrapText="1"/>
    </xf>
    <xf numFmtId="0" fontId="1" fillId="0" borderId="0" xfId="0" applyFont="1"/>
    <xf numFmtId="2" fontId="9" fillId="0" borderId="0" xfId="0" applyNumberFormat="1" applyFont="1" applyAlignment="1">
      <alignment horizontal="left" vertical="center" wrapText="1"/>
    </xf>
    <xf numFmtId="0" fontId="6" fillId="2" borderId="0" xfId="0" applyFont="1" applyFill="1"/>
    <xf numFmtId="2" fontId="9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165" fontId="9" fillId="0" borderId="0" xfId="0" applyNumberFormat="1" applyFont="1" applyAlignment="1">
      <alignment wrapText="1"/>
    </xf>
    <xf numFmtId="2" fontId="30" fillId="0" borderId="0" xfId="0" applyNumberFormat="1" applyFont="1" applyAlignment="1">
      <alignment horizontal="right" wrapText="1"/>
    </xf>
    <xf numFmtId="0" fontId="0" fillId="0" borderId="1" xfId="0" applyBorder="1" applyAlignment="1">
      <alignment vertical="top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2" fontId="0" fillId="0" borderId="2" xfId="0" applyNumberFormat="1" applyBorder="1" applyAlignment="1">
      <alignment horizontal="center" vertical="top"/>
    </xf>
    <xf numFmtId="167" fontId="0" fillId="0" borderId="2" xfId="0" applyNumberFormat="1" applyBorder="1" applyAlignment="1">
      <alignment horizontal="center" vertical="top" wrapText="1"/>
    </xf>
    <xf numFmtId="164" fontId="0" fillId="0" borderId="2" xfId="0" applyNumberFormat="1" applyBorder="1" applyAlignment="1">
      <alignment horizontal="center" vertical="top"/>
    </xf>
    <xf numFmtId="167" fontId="0" fillId="0" borderId="3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 vertical="top"/>
    </xf>
    <xf numFmtId="168" fontId="0" fillId="0" borderId="0" xfId="0" applyNumberFormat="1" applyAlignment="1">
      <alignment horizontal="center" vertical="top"/>
    </xf>
    <xf numFmtId="169" fontId="0" fillId="0" borderId="0" xfId="7" applyNumberFormat="1" applyFont="1" applyAlignment="1">
      <alignment horizontal="center" vertical="top"/>
    </xf>
    <xf numFmtId="169" fontId="0" fillId="0" borderId="1" xfId="7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30" fillId="0" borderId="0" xfId="0" applyNumberFormat="1" applyFont="1" applyAlignment="1">
      <alignment horizontal="right" wrapText="1"/>
    </xf>
    <xf numFmtId="164" fontId="30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left"/>
    </xf>
    <xf numFmtId="0" fontId="19" fillId="0" borderId="0" xfId="0" applyFont="1" applyAlignment="1">
      <alignment horizontal="center" vertical="top"/>
    </xf>
    <xf numFmtId="165" fontId="33" fillId="0" borderId="0" xfId="1" applyNumberFormat="1" applyFont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164" fontId="19" fillId="0" borderId="2" xfId="0" applyNumberFormat="1" applyFont="1" applyBorder="1" applyAlignment="1">
      <alignment horizontal="center" vertical="top" wrapText="1"/>
    </xf>
    <xf numFmtId="2" fontId="19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2" fontId="19" fillId="0" borderId="2" xfId="0" applyNumberFormat="1" applyFont="1" applyBorder="1" applyAlignment="1">
      <alignment horizontal="center" vertical="top"/>
    </xf>
    <xf numFmtId="165" fontId="33" fillId="0" borderId="2" xfId="1" applyNumberFormat="1" applyFont="1" applyBorder="1" applyAlignment="1">
      <alignment horizontal="center" vertical="top" wrapText="1"/>
    </xf>
    <xf numFmtId="165" fontId="19" fillId="0" borderId="2" xfId="0" applyNumberFormat="1" applyFont="1" applyBorder="1" applyAlignment="1">
      <alignment horizontal="center" vertical="top" wrapText="1"/>
    </xf>
    <xf numFmtId="165" fontId="33" fillId="0" borderId="2" xfId="1" applyNumberFormat="1" applyFont="1" applyBorder="1" applyAlignment="1">
      <alignment horizontal="center" vertical="top"/>
    </xf>
    <xf numFmtId="164" fontId="33" fillId="0" borderId="2" xfId="1" applyNumberFormat="1" applyFont="1" applyBorder="1" applyAlignment="1">
      <alignment horizontal="center" vertical="top" wrapText="1"/>
    </xf>
    <xf numFmtId="164" fontId="37" fillId="0" borderId="0" xfId="0" applyNumberFormat="1" applyFont="1" applyAlignment="1">
      <alignment horizontal="left"/>
    </xf>
    <xf numFmtId="2" fontId="17" fillId="0" borderId="3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0" fillId="0" borderId="1" xfId="0" applyBorder="1"/>
    <xf numFmtId="1" fontId="0" fillId="0" borderId="1" xfId="0" applyNumberFormat="1" applyBorder="1" applyAlignment="1">
      <alignment horizontal="right"/>
    </xf>
    <xf numFmtId="1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9" fillId="0" borderId="1" xfId="0" applyFont="1" applyBorder="1"/>
    <xf numFmtId="1" fontId="9" fillId="0" borderId="1" xfId="0" applyNumberFormat="1" applyFont="1" applyBorder="1"/>
    <xf numFmtId="2" fontId="30" fillId="0" borderId="1" xfId="0" applyNumberFormat="1" applyFont="1" applyBorder="1" applyAlignment="1">
      <alignment horizontal="right" wrapText="1"/>
    </xf>
    <xf numFmtId="2" fontId="18" fillId="0" borderId="1" xfId="0" applyNumberFormat="1" applyFont="1" applyBorder="1" applyAlignment="1">
      <alignment horizontal="right" wrapText="1"/>
    </xf>
    <xf numFmtId="2" fontId="19" fillId="0" borderId="1" xfId="0" applyNumberFormat="1" applyFont="1" applyBorder="1" applyAlignment="1">
      <alignment horizontal="right" wrapText="1"/>
    </xf>
    <xf numFmtId="2" fontId="6" fillId="0" borderId="1" xfId="0" applyNumberFormat="1" applyFont="1" applyBorder="1" applyAlignment="1">
      <alignment horizontal="right" wrapText="1"/>
    </xf>
    <xf numFmtId="0" fontId="0" fillId="2" borderId="0" xfId="0" applyFill="1" applyAlignment="1">
      <alignment horizontal="right" wrapText="1"/>
    </xf>
    <xf numFmtId="2" fontId="0" fillId="2" borderId="0" xfId="0" applyNumberFormat="1" applyFill="1" applyAlignment="1">
      <alignment horizontal="right" wrapText="1"/>
    </xf>
    <xf numFmtId="0" fontId="0" fillId="2" borderId="0" xfId="0" applyFill="1"/>
    <xf numFmtId="0" fontId="0" fillId="2" borderId="1" xfId="0" applyFill="1" applyBorder="1"/>
    <xf numFmtId="164" fontId="19" fillId="2" borderId="0" xfId="0" applyNumberFormat="1" applyFont="1" applyFill="1" applyAlignment="1">
      <alignment horizontal="right" wrapText="1"/>
    </xf>
    <xf numFmtId="2" fontId="18" fillId="2" borderId="0" xfId="0" applyNumberFormat="1" applyFont="1" applyFill="1" applyAlignment="1">
      <alignment horizontal="right" wrapText="1"/>
    </xf>
    <xf numFmtId="2" fontId="18" fillId="2" borderId="1" xfId="0" applyNumberFormat="1" applyFont="1" applyFill="1" applyBorder="1" applyAlignment="1">
      <alignment horizontal="right" wrapText="1"/>
    </xf>
    <xf numFmtId="0" fontId="13" fillId="2" borderId="0" xfId="0" applyFont="1" applyFill="1"/>
    <xf numFmtId="164" fontId="13" fillId="2" borderId="0" xfId="0" applyNumberFormat="1" applyFont="1" applyFill="1"/>
    <xf numFmtId="2" fontId="13" fillId="2" borderId="0" xfId="0" applyNumberFormat="1" applyFont="1" applyFill="1"/>
    <xf numFmtId="164" fontId="14" fillId="2" borderId="0" xfId="0" applyNumberFormat="1" applyFont="1" applyFill="1"/>
    <xf numFmtId="2" fontId="0" fillId="2" borderId="0" xfId="0" applyNumberFormat="1" applyFill="1" applyAlignment="1">
      <alignment wrapText="1"/>
    </xf>
    <xf numFmtId="1" fontId="13" fillId="2" borderId="0" xfId="0" applyNumberFormat="1" applyFont="1" applyFill="1" applyAlignment="1">
      <alignment horizontal="right"/>
    </xf>
    <xf numFmtId="1" fontId="13" fillId="2" borderId="0" xfId="0" applyNumberFormat="1" applyFont="1" applyFill="1"/>
    <xf numFmtId="165" fontId="0" fillId="2" borderId="0" xfId="0" applyNumberFormat="1" applyFill="1"/>
    <xf numFmtId="2" fontId="0" fillId="2" borderId="0" xfId="0" applyNumberFormat="1" applyFill="1"/>
    <xf numFmtId="164" fontId="0" fillId="2" borderId="0" xfId="0" applyNumberFormat="1" applyFill="1"/>
    <xf numFmtId="2" fontId="19" fillId="2" borderId="0" xfId="0" applyNumberFormat="1" applyFont="1" applyFill="1" applyAlignment="1">
      <alignment horizontal="right" wrapText="1"/>
    </xf>
    <xf numFmtId="2" fontId="19" fillId="2" borderId="1" xfId="0" applyNumberFormat="1" applyFont="1" applyFill="1" applyBorder="1" applyAlignment="1">
      <alignment horizontal="right" wrapText="1"/>
    </xf>
    <xf numFmtId="164" fontId="13" fillId="2" borderId="0" xfId="3" applyNumberFormat="1" applyFont="1" applyFill="1"/>
    <xf numFmtId="164" fontId="9" fillId="2" borderId="0" xfId="0" applyNumberFormat="1" applyFont="1" applyFill="1"/>
    <xf numFmtId="2" fontId="9" fillId="2" borderId="0" xfId="0" applyNumberFormat="1" applyFont="1" applyFill="1"/>
    <xf numFmtId="0" fontId="9" fillId="2" borderId="0" xfId="0" applyFont="1" applyFill="1"/>
    <xf numFmtId="2" fontId="9" fillId="2" borderId="0" xfId="0" applyNumberFormat="1" applyFont="1" applyFill="1" applyAlignment="1">
      <alignment wrapText="1"/>
    </xf>
    <xf numFmtId="2" fontId="9" fillId="2" borderId="0" xfId="0" applyNumberFormat="1" applyFont="1" applyFill="1" applyAlignment="1">
      <alignment horizontal="right"/>
    </xf>
    <xf numFmtId="1" fontId="9" fillId="2" borderId="0" xfId="0" applyNumberFormat="1" applyFont="1" applyFill="1"/>
    <xf numFmtId="165" fontId="9" fillId="2" borderId="0" xfId="0" applyNumberFormat="1" applyFont="1" applyFill="1"/>
    <xf numFmtId="2" fontId="6" fillId="2" borderId="1" xfId="0" applyNumberFormat="1" applyFont="1" applyFill="1" applyBorder="1" applyAlignment="1">
      <alignment horizontal="right" wrapText="1"/>
    </xf>
    <xf numFmtId="2" fontId="9" fillId="2" borderId="0" xfId="0" applyNumberFormat="1" applyFont="1" applyFill="1" applyAlignment="1">
      <alignment horizontal="center"/>
    </xf>
    <xf numFmtId="2" fontId="13" fillId="2" borderId="0" xfId="0" applyNumberFormat="1" applyFont="1" applyFill="1" applyAlignment="1">
      <alignment horizontal="right"/>
    </xf>
    <xf numFmtId="165" fontId="13" fillId="2" borderId="0" xfId="0" applyNumberFormat="1" applyFont="1" applyFill="1"/>
    <xf numFmtId="0" fontId="9" fillId="2" borderId="1" xfId="0" applyFont="1" applyFill="1" applyBorder="1"/>
    <xf numFmtId="0" fontId="9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0" fillId="2" borderId="1" xfId="0" applyFill="1" applyBorder="1" applyAlignment="1">
      <alignment horizontal="right"/>
    </xf>
    <xf numFmtId="165" fontId="13" fillId="2" borderId="0" xfId="0" applyNumberFormat="1" applyFont="1" applyFill="1" applyAlignment="1">
      <alignment horizontal="right"/>
    </xf>
    <xf numFmtId="16" fontId="0" fillId="0" borderId="1" xfId="0" quotePrefix="1" applyNumberFormat="1" applyBorder="1" applyAlignment="1">
      <alignment horizontal="left" vertical="top"/>
    </xf>
    <xf numFmtId="164" fontId="9" fillId="2" borderId="0" xfId="0" applyNumberFormat="1" applyFont="1" applyFill="1" applyAlignment="1">
      <alignment horizontal="left"/>
    </xf>
    <xf numFmtId="4" fontId="0" fillId="2" borderId="0" xfId="0" applyNumberFormat="1" applyFill="1"/>
    <xf numFmtId="1" fontId="0" fillId="2" borderId="0" xfId="0" applyNumberFormat="1" applyFill="1" applyAlignment="1">
      <alignment horizontal="right"/>
    </xf>
    <xf numFmtId="1" fontId="0" fillId="2" borderId="0" xfId="0" applyNumberFormat="1" applyFill="1"/>
    <xf numFmtId="165" fontId="9" fillId="2" borderId="0" xfId="0" applyNumberFormat="1" applyFont="1" applyFill="1" applyAlignment="1">
      <alignment horizontal="center"/>
    </xf>
    <xf numFmtId="0" fontId="38" fillId="0" borderId="0" xfId="0" applyFont="1"/>
    <xf numFmtId="167" fontId="0" fillId="0" borderId="0" xfId="0" applyNumberFormat="1"/>
    <xf numFmtId="164" fontId="19" fillId="0" borderId="0" xfId="0" applyNumberFormat="1" applyFont="1"/>
    <xf numFmtId="2" fontId="6" fillId="0" borderId="0" xfId="0" applyNumberFormat="1" applyFont="1"/>
    <xf numFmtId="2" fontId="17" fillId="0" borderId="2" xfId="0" applyNumberFormat="1" applyFont="1" applyBorder="1" applyAlignment="1">
      <alignment horizontal="center" vertical="top" wrapText="1"/>
    </xf>
    <xf numFmtId="0" fontId="0" fillId="0" borderId="2" xfId="0" applyBorder="1"/>
    <xf numFmtId="0" fontId="18" fillId="0" borderId="1" xfId="0" applyFont="1" applyBorder="1" applyAlignment="1">
      <alignment horizontal="right" wrapText="1"/>
    </xf>
    <xf numFmtId="0" fontId="39" fillId="0" borderId="0" xfId="0" applyFont="1"/>
    <xf numFmtId="49" fontId="39" fillId="0" borderId="4" xfId="0" applyNumberFormat="1" applyFont="1" applyBorder="1"/>
    <xf numFmtId="172" fontId="39" fillId="0" borderId="5" xfId="0" applyNumberFormat="1" applyFont="1" applyBorder="1"/>
    <xf numFmtId="172" fontId="39" fillId="0" borderId="6" xfId="0" applyNumberFormat="1" applyFont="1" applyBorder="1"/>
    <xf numFmtId="49" fontId="0" fillId="0" borderId="7" xfId="0" applyNumberFormat="1" applyBorder="1"/>
    <xf numFmtId="172" fontId="0" fillId="0" borderId="5" xfId="0" applyNumberFormat="1" applyBorder="1"/>
    <xf numFmtId="172" fontId="0" fillId="0" borderId="6" xfId="0" applyNumberFormat="1" applyBorder="1"/>
    <xf numFmtId="49" fontId="0" fillId="0" borderId="6" xfId="0" applyNumberFormat="1" applyBorder="1"/>
    <xf numFmtId="0" fontId="0" fillId="0" borderId="6" xfId="0" applyBorder="1" applyAlignment="1">
      <alignment horizontal="center"/>
    </xf>
    <xf numFmtId="173" fontId="0" fillId="0" borderId="6" xfId="0" applyNumberFormat="1" applyBorder="1" applyAlignment="1">
      <alignment horizontal="center"/>
    </xf>
    <xf numFmtId="174" fontId="0" fillId="0" borderId="6" xfId="0" applyNumberFormat="1" applyBorder="1" applyAlignment="1">
      <alignment horizontal="center"/>
    </xf>
    <xf numFmtId="49" fontId="0" fillId="0" borderId="4" xfId="0" applyNumberFormat="1" applyBorder="1"/>
    <xf numFmtId="0" fontId="0" fillId="0" borderId="4" xfId="0" applyBorder="1" applyAlignment="1">
      <alignment horizontal="center"/>
    </xf>
    <xf numFmtId="173" fontId="0" fillId="0" borderId="4" xfId="0" applyNumberFormat="1" applyBorder="1" applyAlignment="1">
      <alignment horizontal="center"/>
    </xf>
    <xf numFmtId="174" fontId="0" fillId="0" borderId="4" xfId="0" applyNumberFormat="1" applyBorder="1" applyAlignment="1">
      <alignment horizontal="center"/>
    </xf>
    <xf numFmtId="49" fontId="39" fillId="0" borderId="8" xfId="0" applyNumberFormat="1" applyFont="1" applyBorder="1"/>
    <xf numFmtId="0" fontId="39" fillId="0" borderId="9" xfId="0" applyFont="1" applyBorder="1" applyAlignment="1">
      <alignment horizontal="center"/>
    </xf>
    <xf numFmtId="0" fontId="39" fillId="0" borderId="10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175" fontId="0" fillId="0" borderId="6" xfId="0" applyNumberFormat="1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7" fontId="0" fillId="0" borderId="6" xfId="0" applyNumberFormat="1" applyBorder="1" applyAlignment="1">
      <alignment horizontal="center"/>
    </xf>
    <xf numFmtId="177" fontId="0" fillId="0" borderId="4" xfId="0" applyNumberFormat="1" applyBorder="1" applyAlignment="1">
      <alignment horizontal="center"/>
    </xf>
    <xf numFmtId="164" fontId="0" fillId="2" borderId="0" xfId="0" applyNumberFormat="1" applyFill="1" applyAlignment="1">
      <alignment horizontal="right"/>
    </xf>
  </cellXfs>
  <cellStyles count="9">
    <cellStyle name="Comma" xfId="7" builtinId="3"/>
    <cellStyle name="Normal" xfId="0" builtinId="0"/>
    <cellStyle name="Normal 2" xfId="3" xr:uid="{00000000-0005-0000-0000-000032000000}"/>
    <cellStyle name="Normální 2" xfId="8" xr:uid="{D11F0A07-BAD3-4349-AC1A-D9C7C3A4DF51}"/>
    <cellStyle name="Normální 2 2" xfId="1" xr:uid="{E7D30863-33D5-4FD2-BD16-94522E8053BB}"/>
    <cellStyle name="Normální 3 2" xfId="2" xr:uid="{AE92A5F2-2A21-488F-A4E2-B5987CB99ED1}"/>
    <cellStyle name="Normální 6" xfId="5" xr:uid="{CED8B02B-AA2D-4CC4-9518-C29E87EFE407}"/>
    <cellStyle name="Normální 6 2" xfId="6" xr:uid="{FC62227C-27E2-47CC-B326-6A4AF90DA6C9}"/>
    <cellStyle name="Percent 2" xfId="4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2EEC9-B9A9-4873-8FFA-AD7BBC85FEA1}">
  <dimension ref="A1:L9"/>
  <sheetViews>
    <sheetView workbookViewId="0">
      <selection activeCell="L1" sqref="L1"/>
    </sheetView>
  </sheetViews>
  <sheetFormatPr defaultRowHeight="15"/>
  <sheetData>
    <row r="1" spans="1:12">
      <c r="A1" s="40" t="s">
        <v>68</v>
      </c>
      <c r="L1" t="s">
        <v>352</v>
      </c>
    </row>
    <row r="2" spans="1:12">
      <c r="A2" s="40" t="s">
        <v>67</v>
      </c>
    </row>
    <row r="3" spans="1:12">
      <c r="A3" s="41"/>
    </row>
    <row r="4" spans="1:12">
      <c r="A4" s="41" t="s">
        <v>351</v>
      </c>
    </row>
    <row r="5" spans="1:12">
      <c r="A5" s="41" t="s">
        <v>126</v>
      </c>
      <c r="B5" t="s">
        <v>127</v>
      </c>
    </row>
    <row r="6" spans="1:12">
      <c r="A6" s="41"/>
      <c r="B6" t="s">
        <v>128</v>
      </c>
    </row>
    <row r="7" spans="1:12">
      <c r="A7" s="41"/>
      <c r="B7" t="s">
        <v>130</v>
      </c>
    </row>
    <row r="8" spans="1:12">
      <c r="A8" s="41"/>
      <c r="B8" t="s">
        <v>129</v>
      </c>
    </row>
    <row r="9" spans="1:12">
      <c r="A9" s="4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06D79-639A-4AC8-8AD6-9DD99879A2CB}">
  <dimension ref="A1:F63"/>
  <sheetViews>
    <sheetView topLeftCell="A43" workbookViewId="0">
      <selection activeCell="B78" sqref="B78"/>
    </sheetView>
  </sheetViews>
  <sheetFormatPr defaultRowHeight="15"/>
  <cols>
    <col min="1" max="1" width="24.85546875" style="41" customWidth="1"/>
    <col min="2" max="2" width="15" customWidth="1"/>
    <col min="3" max="3" width="10.85546875" customWidth="1"/>
    <col min="4" max="4" width="110" bestFit="1" customWidth="1"/>
    <col min="5" max="5" width="97.28515625" customWidth="1"/>
  </cols>
  <sheetData>
    <row r="1" spans="1:6">
      <c r="A1" s="52" t="s">
        <v>69</v>
      </c>
      <c r="B1" s="53" t="s">
        <v>78</v>
      </c>
      <c r="C1" s="53" t="s">
        <v>70</v>
      </c>
      <c r="D1" s="53" t="s">
        <v>96</v>
      </c>
      <c r="E1" s="80" t="s">
        <v>151</v>
      </c>
    </row>
    <row r="2" spans="1:6" ht="15" customHeight="1">
      <c r="A2" s="41" t="s">
        <v>80</v>
      </c>
      <c r="B2" t="s">
        <v>79</v>
      </c>
      <c r="C2" t="s">
        <v>71</v>
      </c>
      <c r="D2" t="s">
        <v>131</v>
      </c>
    </row>
    <row r="3" spans="1:6" ht="15" customHeight="1">
      <c r="A3" s="41" t="s">
        <v>81</v>
      </c>
      <c r="B3" t="s">
        <v>125</v>
      </c>
      <c r="C3" t="s">
        <v>71</v>
      </c>
      <c r="D3" t="s">
        <v>131</v>
      </c>
    </row>
    <row r="4" spans="1:6" ht="15" customHeight="1">
      <c r="A4" s="41" t="s">
        <v>87</v>
      </c>
      <c r="B4" t="s">
        <v>82</v>
      </c>
      <c r="C4" t="s">
        <v>71</v>
      </c>
      <c r="D4" t="s">
        <v>131</v>
      </c>
    </row>
    <row r="5" spans="1:6" ht="15" customHeight="1">
      <c r="A5" s="42" t="s">
        <v>72</v>
      </c>
      <c r="D5" t="s">
        <v>143</v>
      </c>
      <c r="E5" t="s">
        <v>144</v>
      </c>
    </row>
    <row r="6" spans="1:6" ht="15" customHeight="1">
      <c r="A6" s="43" t="s">
        <v>139</v>
      </c>
      <c r="B6" t="s">
        <v>88</v>
      </c>
      <c r="C6" t="s">
        <v>73</v>
      </c>
      <c r="D6" t="s">
        <v>143</v>
      </c>
      <c r="E6" t="s">
        <v>145</v>
      </c>
    </row>
    <row r="7" spans="1:6" ht="15" customHeight="1">
      <c r="A7" s="41" t="s">
        <v>89</v>
      </c>
      <c r="B7" s="42" t="s">
        <v>2</v>
      </c>
      <c r="D7" t="s">
        <v>143</v>
      </c>
      <c r="E7" t="s">
        <v>146</v>
      </c>
    </row>
    <row r="8" spans="1:6" ht="15" customHeight="1">
      <c r="A8" s="42" t="s">
        <v>89</v>
      </c>
      <c r="B8" t="s">
        <v>83</v>
      </c>
      <c r="C8" t="s">
        <v>74</v>
      </c>
      <c r="D8" t="s">
        <v>143</v>
      </c>
      <c r="E8" t="s">
        <v>147</v>
      </c>
    </row>
    <row r="9" spans="1:6" ht="15" customHeight="1">
      <c r="A9" s="42" t="s">
        <v>84</v>
      </c>
      <c r="C9" s="51" t="s">
        <v>75</v>
      </c>
      <c r="D9" t="s">
        <v>143</v>
      </c>
      <c r="E9" t="s">
        <v>148</v>
      </c>
    </row>
    <row r="10" spans="1:6" ht="15" customHeight="1">
      <c r="A10" s="44" t="s">
        <v>90</v>
      </c>
      <c r="C10" t="s">
        <v>76</v>
      </c>
      <c r="D10" t="s">
        <v>143</v>
      </c>
      <c r="E10" t="s">
        <v>149</v>
      </c>
    </row>
    <row r="11" spans="1:6" ht="15" customHeight="1">
      <c r="A11" s="70" t="s">
        <v>133</v>
      </c>
      <c r="B11" s="79"/>
      <c r="C11" t="s">
        <v>77</v>
      </c>
      <c r="D11" s="78" t="s">
        <v>140</v>
      </c>
    </row>
    <row r="12" spans="1:6" ht="15" customHeight="1">
      <c r="A12" s="41" t="s">
        <v>141</v>
      </c>
      <c r="B12" s="45" t="s">
        <v>91</v>
      </c>
      <c r="C12" t="s">
        <v>74</v>
      </c>
      <c r="D12" s="78" t="s">
        <v>142</v>
      </c>
    </row>
    <row r="13" spans="1:6" ht="15" customHeight="1">
      <c r="A13" s="41" t="s">
        <v>95</v>
      </c>
      <c r="B13" s="46" t="s">
        <v>85</v>
      </c>
      <c r="C13" t="s">
        <v>74</v>
      </c>
      <c r="D13" s="78" t="s">
        <v>138</v>
      </c>
      <c r="E13" s="81" t="s">
        <v>134</v>
      </c>
    </row>
    <row r="14" spans="1:6" ht="15" customHeight="1">
      <c r="A14" s="41" t="s">
        <v>94</v>
      </c>
      <c r="B14" s="46" t="s">
        <v>92</v>
      </c>
      <c r="C14" t="s">
        <v>74</v>
      </c>
      <c r="D14" s="78" t="s">
        <v>138</v>
      </c>
      <c r="E14" s="81" t="s">
        <v>134</v>
      </c>
    </row>
    <row r="15" spans="1:6" ht="15" customHeight="1">
      <c r="A15" s="46" t="s">
        <v>93</v>
      </c>
      <c r="B15" t="s">
        <v>86</v>
      </c>
      <c r="C15" t="s">
        <v>74</v>
      </c>
      <c r="D15" s="78" t="s">
        <v>138</v>
      </c>
      <c r="E15" s="81" t="s">
        <v>134</v>
      </c>
    </row>
    <row r="16" spans="1:6" ht="15" customHeight="1">
      <c r="A16" s="47" t="s">
        <v>7</v>
      </c>
      <c r="C16" t="s">
        <v>74</v>
      </c>
      <c r="D16" s="78" t="s">
        <v>136</v>
      </c>
      <c r="E16" s="82" t="s">
        <v>153</v>
      </c>
      <c r="F16" s="4"/>
    </row>
    <row r="17" spans="1:6" ht="15" customHeight="1">
      <c r="A17" s="47" t="s">
        <v>8</v>
      </c>
      <c r="C17" t="s">
        <v>74</v>
      </c>
      <c r="D17" s="78" t="s">
        <v>136</v>
      </c>
      <c r="E17" s="82" t="s">
        <v>154</v>
      </c>
      <c r="F17" s="4"/>
    </row>
    <row r="18" spans="1:6" ht="15" customHeight="1">
      <c r="A18" s="47" t="s">
        <v>9</v>
      </c>
      <c r="C18" t="s">
        <v>74</v>
      </c>
      <c r="D18" s="78" t="s">
        <v>136</v>
      </c>
      <c r="E18" s="82" t="s">
        <v>155</v>
      </c>
      <c r="F18" s="4"/>
    </row>
    <row r="19" spans="1:6" ht="15" customHeight="1">
      <c r="A19" s="47" t="s">
        <v>10</v>
      </c>
      <c r="C19" t="s">
        <v>74</v>
      </c>
      <c r="D19" s="78" t="s">
        <v>136</v>
      </c>
      <c r="E19" s="82" t="s">
        <v>156</v>
      </c>
      <c r="F19" s="4"/>
    </row>
    <row r="20" spans="1:6" ht="15" customHeight="1">
      <c r="A20" s="47" t="s">
        <v>11</v>
      </c>
      <c r="C20" t="s">
        <v>74</v>
      </c>
      <c r="D20" s="78" t="s">
        <v>136</v>
      </c>
      <c r="E20" s="82" t="s">
        <v>157</v>
      </c>
      <c r="F20" s="4"/>
    </row>
    <row r="21" spans="1:6" ht="15" customHeight="1">
      <c r="A21" s="47" t="s">
        <v>12</v>
      </c>
      <c r="C21" t="s">
        <v>74</v>
      </c>
      <c r="D21" s="78" t="s">
        <v>136</v>
      </c>
      <c r="E21" s="82" t="s">
        <v>158</v>
      </c>
      <c r="F21" s="4"/>
    </row>
    <row r="22" spans="1:6" ht="15" customHeight="1">
      <c r="A22" s="48" t="s">
        <v>150</v>
      </c>
      <c r="D22" s="78" t="s">
        <v>136</v>
      </c>
      <c r="E22" s="83" t="s">
        <v>135</v>
      </c>
      <c r="F22" s="77"/>
    </row>
    <row r="23" spans="1:6" ht="15" customHeight="1">
      <c r="A23" s="49" t="s">
        <v>13</v>
      </c>
      <c r="D23" t="s">
        <v>348</v>
      </c>
      <c r="E23" s="7" t="s">
        <v>159</v>
      </c>
    </row>
    <row r="24" spans="1:6" ht="15" customHeight="1">
      <c r="A24" s="49" t="s">
        <v>14</v>
      </c>
      <c r="D24" t="s">
        <v>348</v>
      </c>
      <c r="E24" s="7" t="s">
        <v>159</v>
      </c>
    </row>
    <row r="25" spans="1:6" ht="15" customHeight="1">
      <c r="A25" s="49" t="s">
        <v>15</v>
      </c>
      <c r="D25" t="s">
        <v>348</v>
      </c>
      <c r="E25" s="7" t="s">
        <v>160</v>
      </c>
    </row>
    <row r="26" spans="1:6" ht="15" customHeight="1">
      <c r="A26" s="44" t="s">
        <v>16</v>
      </c>
      <c r="D26" t="s">
        <v>348</v>
      </c>
      <c r="E26" s="7" t="s">
        <v>159</v>
      </c>
    </row>
    <row r="27" spans="1:6" ht="15" customHeight="1">
      <c r="A27" s="49" t="s">
        <v>17</v>
      </c>
      <c r="D27" t="s">
        <v>348</v>
      </c>
      <c r="E27" s="7" t="s">
        <v>159</v>
      </c>
    </row>
    <row r="28" spans="1:6" ht="15" customHeight="1">
      <c r="A28" s="44" t="s">
        <v>18</v>
      </c>
      <c r="D28" t="s">
        <v>348</v>
      </c>
      <c r="E28" s="7" t="s">
        <v>159</v>
      </c>
    </row>
    <row r="29" spans="1:6" ht="15" customHeight="1">
      <c r="A29" s="44" t="s">
        <v>19</v>
      </c>
      <c r="D29" t="s">
        <v>348</v>
      </c>
      <c r="E29" s="7" t="s">
        <v>159</v>
      </c>
    </row>
    <row r="30" spans="1:6" ht="15" customHeight="1">
      <c r="A30" s="49" t="s">
        <v>20</v>
      </c>
      <c r="D30" t="s">
        <v>348</v>
      </c>
      <c r="E30" s="7" t="s">
        <v>159</v>
      </c>
    </row>
    <row r="31" spans="1:6" ht="15" customHeight="1">
      <c r="A31" s="44" t="s">
        <v>21</v>
      </c>
      <c r="D31" t="s">
        <v>348</v>
      </c>
      <c r="E31" s="7" t="s">
        <v>159</v>
      </c>
    </row>
    <row r="32" spans="1:6" ht="15" customHeight="1">
      <c r="A32" s="49" t="s">
        <v>22</v>
      </c>
      <c r="D32" t="s">
        <v>348</v>
      </c>
      <c r="E32" s="7" t="s">
        <v>159</v>
      </c>
    </row>
    <row r="33" spans="1:5" ht="15" customHeight="1">
      <c r="A33" s="49" t="s">
        <v>23</v>
      </c>
      <c r="D33" t="s">
        <v>348</v>
      </c>
      <c r="E33" s="7" t="s">
        <v>159</v>
      </c>
    </row>
    <row r="34" spans="1:5" ht="15" customHeight="1">
      <c r="A34" s="44" t="s">
        <v>24</v>
      </c>
      <c r="D34" t="s">
        <v>348</v>
      </c>
      <c r="E34" s="7" t="s">
        <v>159</v>
      </c>
    </row>
    <row r="35" spans="1:5" ht="15" customHeight="1">
      <c r="A35" s="4" t="s">
        <v>42</v>
      </c>
      <c r="D35" s="78" t="s">
        <v>137</v>
      </c>
      <c r="E35" s="7"/>
    </row>
    <row r="36" spans="1:5" ht="15" customHeight="1">
      <c r="A36" s="50" t="s">
        <v>25</v>
      </c>
      <c r="D36" s="78" t="s">
        <v>152</v>
      </c>
      <c r="E36" s="7" t="s">
        <v>161</v>
      </c>
    </row>
    <row r="37" spans="1:5" ht="15" customHeight="1">
      <c r="A37" s="50" t="s">
        <v>26</v>
      </c>
      <c r="D37" s="78" t="s">
        <v>152</v>
      </c>
      <c r="E37" s="7" t="s">
        <v>161</v>
      </c>
    </row>
    <row r="38" spans="1:5" ht="15" customHeight="1">
      <c r="A38" s="50" t="s">
        <v>27</v>
      </c>
      <c r="D38" s="78" t="s">
        <v>152</v>
      </c>
      <c r="E38" s="7" t="s">
        <v>161</v>
      </c>
    </row>
    <row r="39" spans="1:5" ht="15" customHeight="1">
      <c r="A39" s="50" t="s">
        <v>28</v>
      </c>
      <c r="D39" s="78" t="s">
        <v>152</v>
      </c>
      <c r="E39" s="7" t="s">
        <v>161</v>
      </c>
    </row>
    <row r="40" spans="1:5" ht="15" customHeight="1">
      <c r="A40" s="50" t="s">
        <v>29</v>
      </c>
      <c r="D40" s="78" t="s">
        <v>152</v>
      </c>
      <c r="E40" s="7" t="s">
        <v>161</v>
      </c>
    </row>
    <row r="41" spans="1:5" ht="15" customHeight="1">
      <c r="A41" s="50" t="s">
        <v>30</v>
      </c>
      <c r="D41" s="78" t="s">
        <v>152</v>
      </c>
      <c r="E41" s="7" t="s">
        <v>161</v>
      </c>
    </row>
    <row r="42" spans="1:5" ht="15" customHeight="1">
      <c r="A42" s="50" t="s">
        <v>31</v>
      </c>
      <c r="D42" s="78" t="s">
        <v>152</v>
      </c>
      <c r="E42" s="7" t="s">
        <v>161</v>
      </c>
    </row>
    <row r="43" spans="1:5" ht="15" customHeight="1">
      <c r="A43" s="50" t="s">
        <v>32</v>
      </c>
      <c r="D43" s="78" t="s">
        <v>152</v>
      </c>
      <c r="E43" s="7" t="s">
        <v>161</v>
      </c>
    </row>
    <row r="44" spans="1:5" ht="15" customHeight="1">
      <c r="A44" s="50" t="s">
        <v>33</v>
      </c>
      <c r="D44" s="78" t="s">
        <v>152</v>
      </c>
      <c r="E44" s="7" t="s">
        <v>161</v>
      </c>
    </row>
    <row r="45" spans="1:5" ht="15" customHeight="1">
      <c r="A45" s="50" t="s">
        <v>34</v>
      </c>
      <c r="D45" s="78" t="s">
        <v>152</v>
      </c>
      <c r="E45" s="7" t="s">
        <v>161</v>
      </c>
    </row>
    <row r="46" spans="1:5" ht="15" customHeight="1">
      <c r="A46" s="50" t="s">
        <v>35</v>
      </c>
      <c r="D46" s="78" t="s">
        <v>152</v>
      </c>
      <c r="E46" s="7" t="s">
        <v>161</v>
      </c>
    </row>
    <row r="47" spans="1:5" ht="15" customHeight="1">
      <c r="A47" s="50" t="s">
        <v>36</v>
      </c>
      <c r="D47" s="78" t="s">
        <v>152</v>
      </c>
      <c r="E47" s="7" t="s">
        <v>161</v>
      </c>
    </row>
    <row r="48" spans="1:5" ht="15" customHeight="1">
      <c r="A48" s="73" t="s">
        <v>37</v>
      </c>
      <c r="D48" s="78"/>
      <c r="E48" s="7"/>
    </row>
    <row r="49" spans="1:5" ht="15" customHeight="1">
      <c r="A49" s="50" t="s">
        <v>25</v>
      </c>
      <c r="D49" s="78" t="s">
        <v>152</v>
      </c>
      <c r="E49" s="7" t="s">
        <v>132</v>
      </c>
    </row>
    <row r="50" spans="1:5" ht="15" customHeight="1">
      <c r="A50" s="50" t="s">
        <v>26</v>
      </c>
      <c r="D50" s="78" t="s">
        <v>152</v>
      </c>
      <c r="E50" s="7" t="s">
        <v>132</v>
      </c>
    </row>
    <row r="51" spans="1:5" ht="15" customHeight="1">
      <c r="A51" s="50" t="s">
        <v>27</v>
      </c>
      <c r="D51" s="78" t="s">
        <v>152</v>
      </c>
      <c r="E51" s="7" t="s">
        <v>132</v>
      </c>
    </row>
    <row r="52" spans="1:5" ht="15" customHeight="1">
      <c r="A52" s="50" t="s">
        <v>28</v>
      </c>
      <c r="D52" s="78" t="s">
        <v>152</v>
      </c>
      <c r="E52" s="7" t="s">
        <v>132</v>
      </c>
    </row>
    <row r="53" spans="1:5" ht="15" customHeight="1">
      <c r="A53" s="50" t="s">
        <v>29</v>
      </c>
      <c r="D53" s="78" t="s">
        <v>152</v>
      </c>
      <c r="E53" s="7" t="s">
        <v>132</v>
      </c>
    </row>
    <row r="54" spans="1:5" ht="15" customHeight="1">
      <c r="A54" s="50" t="s">
        <v>30</v>
      </c>
      <c r="D54" s="78" t="s">
        <v>152</v>
      </c>
      <c r="E54" s="7" t="s">
        <v>132</v>
      </c>
    </row>
    <row r="55" spans="1:5" ht="15" customHeight="1">
      <c r="A55" s="50" t="s">
        <v>31</v>
      </c>
      <c r="D55" s="78" t="s">
        <v>152</v>
      </c>
      <c r="E55" s="7" t="s">
        <v>132</v>
      </c>
    </row>
    <row r="56" spans="1:5" ht="15" customHeight="1">
      <c r="A56" s="50" t="s">
        <v>32</v>
      </c>
      <c r="D56" s="78" t="s">
        <v>152</v>
      </c>
      <c r="E56" s="7" t="s">
        <v>132</v>
      </c>
    </row>
    <row r="57" spans="1:5" ht="15" customHeight="1">
      <c r="A57" s="50" t="s">
        <v>33</v>
      </c>
      <c r="D57" s="78" t="s">
        <v>152</v>
      </c>
      <c r="E57" s="7" t="s">
        <v>132</v>
      </c>
    </row>
    <row r="58" spans="1:5" ht="15" customHeight="1">
      <c r="A58" s="50" t="s">
        <v>34</v>
      </c>
      <c r="D58" s="78" t="s">
        <v>152</v>
      </c>
      <c r="E58" s="7" t="s">
        <v>132</v>
      </c>
    </row>
    <row r="59" spans="1:5" ht="15" customHeight="1">
      <c r="A59" s="50" t="s">
        <v>35</v>
      </c>
      <c r="D59" s="78" t="s">
        <v>152</v>
      </c>
      <c r="E59" s="7" t="s">
        <v>132</v>
      </c>
    </row>
    <row r="60" spans="1:5" ht="15" customHeight="1">
      <c r="A60" s="50" t="s">
        <v>36</v>
      </c>
      <c r="D60" s="78" t="s">
        <v>152</v>
      </c>
      <c r="E60" s="7" t="s">
        <v>132</v>
      </c>
    </row>
    <row r="61" spans="1:5">
      <c r="E61" s="7"/>
    </row>
    <row r="62" spans="1:5">
      <c r="E62" s="7"/>
    </row>
    <row r="63" spans="1:5">
      <c r="E63" s="7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F0BD-5D28-4D68-9214-B55783D83258}">
  <dimension ref="A1:S16"/>
  <sheetViews>
    <sheetView workbookViewId="0">
      <selection activeCell="M28" sqref="M28"/>
    </sheetView>
  </sheetViews>
  <sheetFormatPr defaultRowHeight="15"/>
  <cols>
    <col min="2" max="2" width="18.140625" customWidth="1"/>
    <col min="3" max="3" width="8.140625" customWidth="1"/>
    <col min="4" max="4" width="15.5703125" customWidth="1"/>
    <col min="5" max="5" width="13.28515625" style="62" customWidth="1"/>
    <col min="6" max="6" width="10.7109375" style="62" customWidth="1"/>
    <col min="7" max="7" width="14.140625" customWidth="1"/>
    <col min="8" max="8" width="12" customWidth="1"/>
    <col min="9" max="9" width="15.140625" customWidth="1"/>
    <col min="10" max="10" width="11.42578125" customWidth="1"/>
    <col min="11" max="11" width="20.7109375" customWidth="1"/>
    <col min="12" max="12" width="8.7109375" customWidth="1"/>
    <col min="13" max="13" width="18.140625" customWidth="1"/>
    <col min="14" max="14" width="13.7109375" customWidth="1"/>
    <col min="15" max="15" width="11" customWidth="1"/>
    <col min="16" max="16" width="15.28515625" customWidth="1"/>
    <col min="17" max="17" width="11.42578125" customWidth="1"/>
    <col min="18" max="18" width="13.7109375" customWidth="1"/>
    <col min="19" max="19" width="11.28515625" customWidth="1"/>
  </cols>
  <sheetData>
    <row r="1" spans="1:19" s="55" customFormat="1">
      <c r="A1" s="85"/>
      <c r="B1" s="68" t="s">
        <v>97</v>
      </c>
      <c r="C1" s="68"/>
      <c r="E1" s="69"/>
      <c r="F1" s="69"/>
      <c r="J1" s="85"/>
      <c r="K1" s="68" t="s">
        <v>54</v>
      </c>
      <c r="L1" s="68"/>
    </row>
    <row r="2" spans="1:19" s="55" customFormat="1">
      <c r="A2" s="85"/>
      <c r="B2" s="55" t="s">
        <v>162</v>
      </c>
      <c r="E2" s="69"/>
      <c r="F2" s="69"/>
      <c r="J2" s="85"/>
      <c r="K2" s="55" t="s">
        <v>163</v>
      </c>
    </row>
    <row r="3" spans="1:19" s="56" customFormat="1" ht="30" customHeight="1">
      <c r="A3" s="92"/>
      <c r="B3" s="86" t="s">
        <v>167</v>
      </c>
      <c r="C3" s="86" t="s">
        <v>168</v>
      </c>
      <c r="D3" s="86" t="s">
        <v>98</v>
      </c>
      <c r="E3" s="87" t="s">
        <v>123</v>
      </c>
      <c r="F3" s="87" t="s">
        <v>124</v>
      </c>
      <c r="G3" s="88" t="s">
        <v>166</v>
      </c>
      <c r="H3" s="89" t="s">
        <v>121</v>
      </c>
      <c r="I3" s="90" t="s">
        <v>99</v>
      </c>
      <c r="J3" s="91" t="s">
        <v>100</v>
      </c>
      <c r="K3" s="86" t="s">
        <v>167</v>
      </c>
      <c r="L3" s="86" t="s">
        <v>168</v>
      </c>
      <c r="M3" s="86" t="s">
        <v>98</v>
      </c>
      <c r="N3" s="87" t="s">
        <v>123</v>
      </c>
      <c r="O3" s="87" t="s">
        <v>124</v>
      </c>
      <c r="P3" s="88" t="s">
        <v>166</v>
      </c>
      <c r="Q3" s="89" t="s">
        <v>121</v>
      </c>
      <c r="R3" s="90" t="s">
        <v>99</v>
      </c>
      <c r="S3" s="89" t="s">
        <v>100</v>
      </c>
    </row>
    <row r="4" spans="1:19" s="56" customFormat="1" ht="15" customHeight="1">
      <c r="A4" s="165" t="s">
        <v>101</v>
      </c>
      <c r="B4" s="93">
        <v>45055.416666666664</v>
      </c>
      <c r="C4" s="94">
        <v>0.41666666666666669</v>
      </c>
      <c r="D4" s="95" t="s">
        <v>102</v>
      </c>
      <c r="E4" s="57">
        <v>323.64999999999998</v>
      </c>
      <c r="F4" s="57">
        <v>8.18</v>
      </c>
      <c r="G4" s="93">
        <v>45056.416666666664</v>
      </c>
      <c r="H4" s="96">
        <f t="shared" ref="H4:H11" si="0">+G4-B4</f>
        <v>1</v>
      </c>
      <c r="I4" s="93">
        <v>45058</v>
      </c>
      <c r="J4" s="97">
        <f t="shared" ref="J4:J11" si="1">+I4-B4</f>
        <v>2.5833333333357587</v>
      </c>
      <c r="K4" s="93">
        <v>45062.416666666664</v>
      </c>
      <c r="L4" s="94">
        <v>0.41666666666666669</v>
      </c>
      <c r="M4" s="95" t="s">
        <v>103</v>
      </c>
      <c r="N4" s="58">
        <v>766.01</v>
      </c>
      <c r="O4" s="58">
        <v>5.05</v>
      </c>
      <c r="P4" s="93">
        <v>45063</v>
      </c>
      <c r="Q4" s="96">
        <f>+P4-K4</f>
        <v>0.58333333333575865</v>
      </c>
      <c r="R4" s="93">
        <v>45068</v>
      </c>
      <c r="S4" s="96">
        <f t="shared" ref="S4:S10" si="2">+R4-K4</f>
        <v>5.5833333333357587</v>
      </c>
    </row>
    <row r="5" spans="1:19" s="56" customFormat="1">
      <c r="A5" s="165" t="s">
        <v>104</v>
      </c>
      <c r="B5" s="93">
        <v>45083.416666666664</v>
      </c>
      <c r="C5" s="94">
        <v>0.41666666666666669</v>
      </c>
      <c r="D5" s="95" t="s">
        <v>105</v>
      </c>
      <c r="E5" s="57">
        <v>323.43</v>
      </c>
      <c r="F5" s="57">
        <v>7.98</v>
      </c>
      <c r="G5" s="93">
        <v>45084</v>
      </c>
      <c r="H5" s="96">
        <f t="shared" si="0"/>
        <v>0.58333333333575865</v>
      </c>
      <c r="I5" s="93">
        <v>45093</v>
      </c>
      <c r="J5" s="97">
        <f t="shared" si="1"/>
        <v>9.5833333333357587</v>
      </c>
      <c r="K5" s="93">
        <v>45083.541666666664</v>
      </c>
      <c r="L5" s="94">
        <v>0.54166666666666663</v>
      </c>
      <c r="M5" s="95" t="s">
        <v>105</v>
      </c>
      <c r="N5" s="58">
        <v>765.72</v>
      </c>
      <c r="O5" s="58">
        <v>4.51</v>
      </c>
      <c r="P5" s="93">
        <v>45084</v>
      </c>
      <c r="Q5" s="96">
        <f t="shared" ref="Q5:Q10" si="3">+P5-K5+1</f>
        <v>1.4583333333357587</v>
      </c>
      <c r="R5" s="93">
        <v>45093</v>
      </c>
      <c r="S5" s="96">
        <f t="shared" si="2"/>
        <v>9.4583333333357587</v>
      </c>
    </row>
    <row r="6" spans="1:19" s="56" customFormat="1">
      <c r="A6" s="165" t="s">
        <v>106</v>
      </c>
      <c r="B6" s="93">
        <v>45118.416666666664</v>
      </c>
      <c r="C6" s="94">
        <v>0.41666666666666669</v>
      </c>
      <c r="D6" s="95" t="s">
        <v>107</v>
      </c>
      <c r="E6" s="57">
        <v>322.95999999999998</v>
      </c>
      <c r="F6" s="57">
        <v>7.55</v>
      </c>
      <c r="G6" s="93">
        <v>45121</v>
      </c>
      <c r="H6" s="96">
        <f t="shared" si="0"/>
        <v>2.5833333333357587</v>
      </c>
      <c r="I6" s="93">
        <v>45124</v>
      </c>
      <c r="J6" s="97">
        <f t="shared" si="1"/>
        <v>5.5833333333357587</v>
      </c>
      <c r="K6" s="93">
        <v>45120.541666666664</v>
      </c>
      <c r="L6" s="94">
        <v>0.54166666666666663</v>
      </c>
      <c r="M6" s="95" t="s">
        <v>108</v>
      </c>
      <c r="N6" s="58">
        <v>764.99</v>
      </c>
      <c r="O6" s="58">
        <v>4.05</v>
      </c>
      <c r="P6" s="93">
        <v>45121</v>
      </c>
      <c r="Q6" s="96">
        <f t="shared" si="3"/>
        <v>1.4583333333357587</v>
      </c>
      <c r="R6" s="93">
        <v>45124</v>
      </c>
      <c r="S6" s="96">
        <f t="shared" si="2"/>
        <v>3.4583333333357587</v>
      </c>
    </row>
    <row r="7" spans="1:19" s="56" customFormat="1">
      <c r="A7" s="165" t="s">
        <v>109</v>
      </c>
      <c r="B7" s="93">
        <v>45153.416666666664</v>
      </c>
      <c r="C7" s="94">
        <v>0.41666666666666669</v>
      </c>
      <c r="D7" s="95" t="s">
        <v>110</v>
      </c>
      <c r="E7" s="57">
        <v>322.47000000000003</v>
      </c>
      <c r="F7" s="57">
        <v>7.13</v>
      </c>
      <c r="G7" s="93">
        <v>45154</v>
      </c>
      <c r="H7" s="96">
        <f t="shared" si="0"/>
        <v>0.58333333333575865</v>
      </c>
      <c r="I7" s="93">
        <v>45159</v>
      </c>
      <c r="J7" s="97">
        <f t="shared" si="1"/>
        <v>5.5833333333357587</v>
      </c>
      <c r="K7" s="93">
        <v>45153.541666666664</v>
      </c>
      <c r="L7" s="94">
        <v>0.54166666666666663</v>
      </c>
      <c r="M7" s="95" t="s">
        <v>111</v>
      </c>
      <c r="N7" s="58">
        <v>765.1</v>
      </c>
      <c r="O7" s="58">
        <v>4.1100000000000003</v>
      </c>
      <c r="P7" s="93">
        <v>45154</v>
      </c>
      <c r="Q7" s="96">
        <f t="shared" si="3"/>
        <v>1.4583333333357587</v>
      </c>
      <c r="R7" s="93">
        <v>45159</v>
      </c>
      <c r="S7" s="96">
        <f t="shared" si="2"/>
        <v>5.4583333333357587</v>
      </c>
    </row>
    <row r="8" spans="1:19" s="56" customFormat="1">
      <c r="A8" s="165" t="s">
        <v>112</v>
      </c>
      <c r="B8" s="93">
        <v>45181.375</v>
      </c>
      <c r="C8" s="94">
        <v>0.375</v>
      </c>
      <c r="D8" s="95" t="s">
        <v>107</v>
      </c>
      <c r="E8" s="57">
        <v>322.10000000000002</v>
      </c>
      <c r="F8" s="57">
        <v>6.78</v>
      </c>
      <c r="G8" s="93">
        <v>45184</v>
      </c>
      <c r="H8" s="96">
        <f t="shared" si="0"/>
        <v>2.625</v>
      </c>
      <c r="I8" s="93">
        <v>45187</v>
      </c>
      <c r="J8" s="97">
        <f t="shared" si="1"/>
        <v>5.625</v>
      </c>
      <c r="K8" s="93">
        <v>45181.5</v>
      </c>
      <c r="L8" s="94">
        <v>0.5</v>
      </c>
      <c r="M8" s="95" t="s">
        <v>111</v>
      </c>
      <c r="N8" s="58">
        <v>764.73</v>
      </c>
      <c r="O8" s="58">
        <v>3.84</v>
      </c>
      <c r="P8" s="93">
        <v>45184</v>
      </c>
      <c r="Q8" s="96">
        <f t="shared" si="3"/>
        <v>3.5</v>
      </c>
      <c r="R8" s="93">
        <v>45187</v>
      </c>
      <c r="S8" s="96">
        <f t="shared" si="2"/>
        <v>5.5</v>
      </c>
    </row>
    <row r="9" spans="1:19" s="56" customFormat="1">
      <c r="A9" s="165" t="s">
        <v>113</v>
      </c>
      <c r="B9" s="93">
        <v>45208.375</v>
      </c>
      <c r="C9" s="94">
        <v>0.375</v>
      </c>
      <c r="D9" s="95" t="s">
        <v>103</v>
      </c>
      <c r="E9" s="57">
        <v>321.67</v>
      </c>
      <c r="F9" s="57">
        <v>6.47</v>
      </c>
      <c r="G9" s="93">
        <v>45209</v>
      </c>
      <c r="H9" s="96">
        <f t="shared" si="0"/>
        <v>0.625</v>
      </c>
      <c r="I9" s="93">
        <v>45216</v>
      </c>
      <c r="J9" s="97">
        <f t="shared" si="1"/>
        <v>7.625</v>
      </c>
      <c r="K9" s="93">
        <v>45208.541666666664</v>
      </c>
      <c r="L9" s="94">
        <v>0.54166666666666663</v>
      </c>
      <c r="M9" s="95" t="s">
        <v>103</v>
      </c>
      <c r="N9" s="58">
        <v>764.1</v>
      </c>
      <c r="O9" s="58">
        <v>3.51</v>
      </c>
      <c r="P9" s="93">
        <v>45209</v>
      </c>
      <c r="Q9" s="96">
        <f t="shared" si="3"/>
        <v>1.4583333333357587</v>
      </c>
      <c r="R9" s="93">
        <v>45216</v>
      </c>
      <c r="S9" s="96">
        <f t="shared" si="2"/>
        <v>7.4583333333357587</v>
      </c>
    </row>
    <row r="10" spans="1:19" s="56" customFormat="1">
      <c r="A10" s="165" t="s">
        <v>114</v>
      </c>
      <c r="B10" s="93">
        <v>45244.375</v>
      </c>
      <c r="C10" s="94">
        <v>0.375</v>
      </c>
      <c r="D10" s="95" t="s">
        <v>115</v>
      </c>
      <c r="E10" s="57">
        <v>321.37</v>
      </c>
      <c r="F10" s="57">
        <v>6.24</v>
      </c>
      <c r="G10" s="93">
        <v>45246</v>
      </c>
      <c r="H10" s="96">
        <f t="shared" si="0"/>
        <v>1.625</v>
      </c>
      <c r="I10" s="93">
        <v>45261</v>
      </c>
      <c r="J10" s="97">
        <f t="shared" si="1"/>
        <v>16.625</v>
      </c>
      <c r="K10" s="93">
        <v>45244.541666666664</v>
      </c>
      <c r="L10" s="94">
        <v>0.54166666666666663</v>
      </c>
      <c r="M10" s="95" t="s">
        <v>102</v>
      </c>
      <c r="N10" s="58">
        <v>765.39</v>
      </c>
      <c r="O10" s="58">
        <v>4.32</v>
      </c>
      <c r="P10" s="93">
        <v>45246</v>
      </c>
      <c r="Q10" s="96">
        <f t="shared" si="3"/>
        <v>2.4583333333357587</v>
      </c>
      <c r="R10" s="93">
        <v>45261</v>
      </c>
      <c r="S10" s="96">
        <f t="shared" si="2"/>
        <v>16.458333333335759</v>
      </c>
    </row>
    <row r="11" spans="1:19" s="56" customFormat="1">
      <c r="A11" s="165" t="s">
        <v>122</v>
      </c>
      <c r="B11" s="93">
        <v>45272.375</v>
      </c>
      <c r="C11" s="94">
        <v>0.375</v>
      </c>
      <c r="D11" s="95" t="s">
        <v>115</v>
      </c>
      <c r="E11" s="57">
        <v>321.61</v>
      </c>
      <c r="F11" s="57">
        <v>6.42</v>
      </c>
      <c r="G11" s="93">
        <v>45273</v>
      </c>
      <c r="H11" s="96">
        <f t="shared" si="0"/>
        <v>0.625</v>
      </c>
      <c r="I11" s="93">
        <v>45280</v>
      </c>
      <c r="J11" s="97">
        <f t="shared" si="1"/>
        <v>7.625</v>
      </c>
      <c r="K11" s="93"/>
      <c r="L11" s="95"/>
      <c r="M11" s="95"/>
      <c r="N11" s="58"/>
      <c r="O11" s="58"/>
      <c r="P11" s="93"/>
      <c r="Q11" s="96"/>
      <c r="R11" s="93"/>
      <c r="S11" s="96"/>
    </row>
    <row r="12" spans="1:19" s="56" customFormat="1">
      <c r="A12" s="165" t="s">
        <v>116</v>
      </c>
      <c r="B12" s="93"/>
      <c r="C12" s="95"/>
      <c r="D12" s="95"/>
      <c r="E12" s="57"/>
      <c r="F12" s="57"/>
      <c r="G12" s="93"/>
      <c r="I12" s="93"/>
      <c r="J12" s="98"/>
      <c r="K12" s="93"/>
      <c r="L12" s="95"/>
      <c r="M12" s="95"/>
      <c r="N12" s="58"/>
      <c r="O12" s="58"/>
      <c r="P12" s="93"/>
      <c r="R12" s="93"/>
    </row>
    <row r="13" spans="1:19" s="56" customFormat="1">
      <c r="A13" s="165" t="s">
        <v>117</v>
      </c>
      <c r="B13" s="93">
        <v>45328.375</v>
      </c>
      <c r="C13" s="94">
        <v>0.375</v>
      </c>
      <c r="D13" s="95" t="s">
        <v>115</v>
      </c>
      <c r="E13" s="57">
        <v>323.64</v>
      </c>
      <c r="F13" s="57">
        <v>8.17</v>
      </c>
      <c r="G13" s="93">
        <v>45329</v>
      </c>
      <c r="H13" s="96">
        <f>+G13-B13</f>
        <v>0.625</v>
      </c>
      <c r="I13" s="93">
        <v>45331</v>
      </c>
      <c r="J13" s="97">
        <f>+I13-B13</f>
        <v>2.625</v>
      </c>
      <c r="K13" s="93"/>
      <c r="L13" s="95"/>
      <c r="M13" s="95"/>
      <c r="N13" s="58"/>
      <c r="O13" s="58"/>
      <c r="P13" s="93"/>
      <c r="Q13" s="96"/>
      <c r="R13" s="93"/>
      <c r="S13" s="96"/>
    </row>
    <row r="14" spans="1:19" s="56" customFormat="1">
      <c r="A14" s="165" t="s">
        <v>118</v>
      </c>
      <c r="B14" s="93">
        <v>45363.375</v>
      </c>
      <c r="C14" s="94">
        <v>0.375</v>
      </c>
      <c r="D14" s="95" t="s">
        <v>115</v>
      </c>
      <c r="E14" s="57">
        <v>323.68</v>
      </c>
      <c r="F14" s="57">
        <v>8.2100000000000009</v>
      </c>
      <c r="G14" s="93">
        <v>45366</v>
      </c>
      <c r="H14" s="96">
        <f>+G14-B14</f>
        <v>2.625</v>
      </c>
      <c r="I14" s="93">
        <v>45369</v>
      </c>
      <c r="J14" s="97">
        <f>+I14-B14</f>
        <v>5.625</v>
      </c>
      <c r="K14" s="93"/>
      <c r="L14" s="95"/>
      <c r="M14" s="95"/>
      <c r="N14" s="58"/>
      <c r="O14" s="58"/>
      <c r="P14" s="93"/>
      <c r="Q14" s="96"/>
      <c r="R14" s="93"/>
      <c r="S14" s="96"/>
    </row>
    <row r="15" spans="1:19" s="56" customFormat="1">
      <c r="A15" s="165" t="s">
        <v>119</v>
      </c>
      <c r="B15" s="93">
        <v>45391.375</v>
      </c>
      <c r="C15" s="94">
        <v>0.375</v>
      </c>
      <c r="D15" s="95" t="s">
        <v>107</v>
      </c>
      <c r="E15" s="57">
        <v>323.61</v>
      </c>
      <c r="F15" s="57">
        <v>8.14</v>
      </c>
      <c r="G15" s="93">
        <v>45394</v>
      </c>
      <c r="H15" s="96">
        <f>+G15-B15</f>
        <v>2.625</v>
      </c>
      <c r="I15" s="93">
        <v>45397</v>
      </c>
      <c r="J15" s="97">
        <f>+I15-B15</f>
        <v>5.625</v>
      </c>
      <c r="K15" s="93">
        <v>45391.541666666664</v>
      </c>
      <c r="L15" s="94">
        <v>0.54166666666666663</v>
      </c>
      <c r="M15" s="95" t="s">
        <v>110</v>
      </c>
      <c r="N15" s="58">
        <v>765.91</v>
      </c>
      <c r="O15" s="58">
        <v>4.6399999999999997</v>
      </c>
      <c r="P15" s="93">
        <v>45393</v>
      </c>
      <c r="Q15" s="96">
        <f>+P15-K15+1</f>
        <v>2.4583333333357587</v>
      </c>
      <c r="R15" s="93">
        <v>45397</v>
      </c>
      <c r="S15" s="96">
        <f>+R15-K15</f>
        <v>5.4583333333357587</v>
      </c>
    </row>
    <row r="16" spans="1:19" s="56" customFormat="1">
      <c r="A16" s="165" t="s">
        <v>120</v>
      </c>
      <c r="B16" s="93">
        <v>45426.375</v>
      </c>
      <c r="C16" s="94">
        <v>0.375</v>
      </c>
      <c r="D16" s="95" t="s">
        <v>107</v>
      </c>
      <c r="E16" s="57">
        <v>323.51</v>
      </c>
      <c r="F16" s="57">
        <v>8.14</v>
      </c>
      <c r="G16" s="93">
        <v>45430</v>
      </c>
      <c r="H16" s="96">
        <f>+G16-B16</f>
        <v>3.625</v>
      </c>
      <c r="I16" s="93">
        <v>45432</v>
      </c>
      <c r="J16" s="97">
        <f>+I16-B16</f>
        <v>5.625</v>
      </c>
      <c r="K16" s="93">
        <v>45426.541666666664</v>
      </c>
      <c r="L16" s="94">
        <v>0.54166666666666663</v>
      </c>
      <c r="M16" s="95" t="s">
        <v>110</v>
      </c>
      <c r="N16" s="58">
        <v>765.86</v>
      </c>
      <c r="O16" s="58">
        <v>4.5999999999999996</v>
      </c>
      <c r="P16" s="93">
        <v>45429</v>
      </c>
      <c r="Q16" s="96">
        <f>+P16-K16+1</f>
        <v>3.4583333333357587</v>
      </c>
      <c r="R16" s="93">
        <v>45434</v>
      </c>
      <c r="S16" s="96">
        <f>+R16-K16</f>
        <v>7.4583333333357587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48521-859D-4F5C-A2C2-C42D584C3C64}">
  <dimension ref="A1:BP115"/>
  <sheetViews>
    <sheetView tabSelected="1" topLeftCell="A80" workbookViewId="0">
      <selection activeCell="I116" sqref="I116"/>
    </sheetView>
  </sheetViews>
  <sheetFormatPr defaultRowHeight="15"/>
  <cols>
    <col min="1" max="1" width="13.7109375" customWidth="1"/>
    <col min="2" max="2" width="18.7109375" style="41" customWidth="1"/>
    <col min="3" max="3" width="11.28515625" customWidth="1"/>
    <col min="4" max="4" width="9.7109375" style="75" customWidth="1"/>
    <col min="5" max="5" width="9.7109375" style="63" customWidth="1"/>
    <col min="6" max="6" width="9.7109375" style="76" customWidth="1"/>
    <col min="7" max="9" width="9.7109375" customWidth="1"/>
    <col min="10" max="10" width="11.140625" customWidth="1"/>
    <col min="11" max="11" width="12.28515625" customWidth="1"/>
    <col min="12" max="12" width="13.140625" customWidth="1"/>
    <col min="13" max="13" width="10.140625" customWidth="1"/>
    <col min="50" max="50" width="10.42578125" style="2" customWidth="1"/>
  </cols>
  <sheetData>
    <row r="1" spans="1:68">
      <c r="C1" s="41"/>
      <c r="D1" s="101" t="s">
        <v>169</v>
      </c>
      <c r="H1" s="101" t="s">
        <v>170</v>
      </c>
    </row>
    <row r="2" spans="1:68">
      <c r="D2" s="100" t="s">
        <v>204</v>
      </c>
      <c r="O2" t="s">
        <v>352</v>
      </c>
    </row>
    <row r="3" spans="1:68">
      <c r="D3" s="116" t="s">
        <v>347</v>
      </c>
    </row>
    <row r="4" spans="1:68">
      <c r="D4" s="166" t="s">
        <v>205</v>
      </c>
      <c r="E4" s="129"/>
      <c r="F4" s="130"/>
      <c r="G4" s="131"/>
      <c r="H4" s="131"/>
      <c r="I4" s="131"/>
      <c r="J4" s="131"/>
      <c r="K4" s="131"/>
      <c r="L4" s="131"/>
      <c r="M4" s="131"/>
    </row>
    <row r="5" spans="1:68">
      <c r="D5" s="116"/>
    </row>
    <row r="6" spans="1:68" s="102" customFormat="1" ht="39.950000000000003" customHeight="1">
      <c r="A6" s="104"/>
      <c r="B6" s="104" t="s">
        <v>53</v>
      </c>
      <c r="C6" s="118" t="s">
        <v>38</v>
      </c>
      <c r="D6" s="106" t="s">
        <v>47</v>
      </c>
      <c r="E6" s="106" t="s">
        <v>49</v>
      </c>
      <c r="F6" s="117" t="s">
        <v>48</v>
      </c>
      <c r="G6" s="107" t="s">
        <v>0</v>
      </c>
      <c r="H6" s="108" t="s">
        <v>1</v>
      </c>
      <c r="I6" s="107" t="s">
        <v>2</v>
      </c>
      <c r="J6" s="107" t="s">
        <v>3</v>
      </c>
      <c r="K6" s="107" t="s">
        <v>171</v>
      </c>
      <c r="L6" s="109" t="s">
        <v>40</v>
      </c>
      <c r="M6" s="110" t="s">
        <v>165</v>
      </c>
      <c r="N6" s="105" t="s">
        <v>172</v>
      </c>
      <c r="O6" s="111" t="s">
        <v>4</v>
      </c>
      <c r="P6" s="111" t="s">
        <v>5</v>
      </c>
      <c r="Q6" s="111" t="s">
        <v>6</v>
      </c>
      <c r="R6" s="112" t="s">
        <v>173</v>
      </c>
      <c r="S6" s="112" t="s">
        <v>174</v>
      </c>
      <c r="T6" s="112" t="s">
        <v>175</v>
      </c>
      <c r="U6" s="112" t="s">
        <v>176</v>
      </c>
      <c r="V6" s="112" t="s">
        <v>177</v>
      </c>
      <c r="W6" s="112" t="s">
        <v>178</v>
      </c>
      <c r="X6" s="112" t="s">
        <v>179</v>
      </c>
      <c r="Y6" s="113" t="s">
        <v>180</v>
      </c>
      <c r="Z6" s="113" t="s">
        <v>181</v>
      </c>
      <c r="AA6" s="113" t="s">
        <v>182</v>
      </c>
      <c r="AB6" s="109" t="s">
        <v>183</v>
      </c>
      <c r="AC6" s="113" t="s">
        <v>184</v>
      </c>
      <c r="AD6" s="109" t="s">
        <v>185</v>
      </c>
      <c r="AE6" s="109" t="s">
        <v>186</v>
      </c>
      <c r="AF6" s="113" t="s">
        <v>187</v>
      </c>
      <c r="AG6" s="109" t="s">
        <v>188</v>
      </c>
      <c r="AH6" s="113" t="s">
        <v>189</v>
      </c>
      <c r="AI6" s="113" t="s">
        <v>190</v>
      </c>
      <c r="AJ6" s="109" t="s">
        <v>191</v>
      </c>
      <c r="AK6" s="107" t="s">
        <v>42</v>
      </c>
      <c r="AL6" s="114" t="s">
        <v>192</v>
      </c>
      <c r="AM6" s="114" t="s">
        <v>193</v>
      </c>
      <c r="AN6" s="114" t="s">
        <v>194</v>
      </c>
      <c r="AO6" s="114" t="s">
        <v>195</v>
      </c>
      <c r="AP6" s="114" t="s">
        <v>196</v>
      </c>
      <c r="AQ6" s="114" t="s">
        <v>197</v>
      </c>
      <c r="AR6" s="114" t="s">
        <v>198</v>
      </c>
      <c r="AS6" s="114" t="s">
        <v>199</v>
      </c>
      <c r="AT6" s="114" t="s">
        <v>200</v>
      </c>
      <c r="AU6" s="114" t="s">
        <v>201</v>
      </c>
      <c r="AV6" s="114" t="s">
        <v>202</v>
      </c>
      <c r="AW6" s="114" t="s">
        <v>203</v>
      </c>
      <c r="AX6" s="115" t="s">
        <v>37</v>
      </c>
      <c r="AY6" s="114" t="s">
        <v>192</v>
      </c>
      <c r="AZ6" s="114" t="s">
        <v>193</v>
      </c>
      <c r="BA6" s="114" t="s">
        <v>194</v>
      </c>
      <c r="BB6" s="114" t="s">
        <v>195</v>
      </c>
      <c r="BC6" s="114" t="s">
        <v>196</v>
      </c>
      <c r="BD6" s="114" t="s">
        <v>197</v>
      </c>
      <c r="BE6" s="114" t="s">
        <v>198</v>
      </c>
      <c r="BF6" s="114" t="s">
        <v>199</v>
      </c>
      <c r="BG6" s="114" t="s">
        <v>200</v>
      </c>
      <c r="BH6" s="114" t="s">
        <v>201</v>
      </c>
      <c r="BI6" s="114" t="s">
        <v>202</v>
      </c>
      <c r="BJ6" s="114" t="s">
        <v>203</v>
      </c>
      <c r="BL6" s="103"/>
      <c r="BM6" s="103"/>
      <c r="BN6" s="103"/>
      <c r="BO6" s="103"/>
      <c r="BP6" s="103"/>
    </row>
    <row r="7" spans="1:68">
      <c r="A7" t="s">
        <v>62</v>
      </c>
      <c r="B7" s="54">
        <v>45055</v>
      </c>
      <c r="C7" s="119">
        <v>0</v>
      </c>
      <c r="D7" s="64">
        <v>1.9137844237605579</v>
      </c>
      <c r="E7" s="65">
        <v>0.32329304407769605</v>
      </c>
      <c r="F7" s="125">
        <v>8.7871250082235286E-2</v>
      </c>
      <c r="G7" s="1">
        <v>9.5299999999999994</v>
      </c>
      <c r="H7" s="2">
        <v>243.1</v>
      </c>
      <c r="I7">
        <v>99.2</v>
      </c>
      <c r="J7" s="1">
        <v>9.44</v>
      </c>
      <c r="K7">
        <v>384</v>
      </c>
      <c r="L7" s="1">
        <v>14.89</v>
      </c>
      <c r="M7" s="1">
        <v>1.5</v>
      </c>
      <c r="N7" s="39"/>
      <c r="O7" s="1">
        <v>11.14</v>
      </c>
      <c r="P7" s="1">
        <v>9.7195</v>
      </c>
      <c r="Q7" s="1">
        <v>7.0760000000000005</v>
      </c>
      <c r="R7" s="28">
        <v>3</v>
      </c>
      <c r="S7" s="2">
        <v>2.8</v>
      </c>
      <c r="T7">
        <v>0.02</v>
      </c>
      <c r="U7">
        <v>48</v>
      </c>
      <c r="V7">
        <v>0.04</v>
      </c>
      <c r="W7" s="2">
        <v>31.2</v>
      </c>
      <c r="X7" s="27">
        <v>18</v>
      </c>
      <c r="Y7" s="5">
        <v>8.3999999999999995E-3</v>
      </c>
      <c r="Z7" s="5">
        <v>1.44E-2</v>
      </c>
      <c r="AA7" s="5">
        <v>3.32E-2</v>
      </c>
      <c r="AB7" s="2">
        <v>38.993000000000002</v>
      </c>
      <c r="AC7" s="5">
        <v>6.1000000000000004E-3</v>
      </c>
      <c r="AD7" s="2">
        <v>4.7465999999999999</v>
      </c>
      <c r="AE7" s="2">
        <v>9.0913000000000004</v>
      </c>
      <c r="AF7" s="5">
        <v>2.3E-3</v>
      </c>
      <c r="AG7" s="2">
        <v>9.4885000000000002</v>
      </c>
      <c r="AH7" s="5">
        <v>-6.9999999999999999E-4</v>
      </c>
      <c r="AI7" s="5">
        <v>3.8E-3</v>
      </c>
      <c r="AJ7" s="2">
        <v>2.0590000000000002</v>
      </c>
      <c r="AK7" s="29">
        <v>24.212121212121211</v>
      </c>
      <c r="AL7" s="5">
        <v>2.7721</v>
      </c>
      <c r="AM7" s="5">
        <v>0.17201</v>
      </c>
      <c r="AN7" s="5">
        <v>0.12338</v>
      </c>
      <c r="AO7" s="5">
        <v>2.5645000000000001E-2</v>
      </c>
      <c r="AP7" s="5">
        <v>7.9641E-3</v>
      </c>
      <c r="AQ7" s="5">
        <v>2.5720999999999999E-3</v>
      </c>
      <c r="AR7" s="5"/>
      <c r="AS7" s="5"/>
      <c r="AT7" s="5"/>
      <c r="AU7" s="5"/>
      <c r="AV7" s="5"/>
      <c r="AW7" s="5"/>
      <c r="AX7" s="2">
        <f>AM7*100/P7</f>
        <v>1.7697412418334277</v>
      </c>
      <c r="AY7" s="5">
        <v>2.823</v>
      </c>
      <c r="AZ7" s="5">
        <v>0.20956</v>
      </c>
      <c r="BA7" s="5">
        <v>0.15755</v>
      </c>
      <c r="BB7" s="5">
        <v>5.0199000000000001E-2</v>
      </c>
      <c r="BC7" s="5">
        <v>2.9572000000000001E-2</v>
      </c>
      <c r="BD7" s="5">
        <v>2.1002E-2</v>
      </c>
      <c r="BE7" s="5"/>
      <c r="BF7" s="5"/>
      <c r="BG7" s="5"/>
      <c r="BH7" s="5"/>
      <c r="BI7" s="5"/>
      <c r="BJ7" s="5"/>
    </row>
    <row r="8" spans="1:68">
      <c r="A8" t="s">
        <v>62</v>
      </c>
      <c r="B8" s="54">
        <v>45055</v>
      </c>
      <c r="C8" s="119">
        <v>2.5</v>
      </c>
      <c r="D8" s="64">
        <v>1.6825941411615677</v>
      </c>
      <c r="E8" s="65">
        <v>0.32052731891983377</v>
      </c>
      <c r="F8" s="125">
        <v>0.11651324140414704</v>
      </c>
      <c r="G8" s="1">
        <v>9.52</v>
      </c>
      <c r="H8" s="2">
        <v>247.1</v>
      </c>
      <c r="I8">
        <v>99.4</v>
      </c>
      <c r="J8" s="1">
        <v>9.51</v>
      </c>
      <c r="K8">
        <v>383</v>
      </c>
      <c r="L8" s="1">
        <v>14.63</v>
      </c>
      <c r="M8" s="1">
        <v>1.48</v>
      </c>
      <c r="N8" s="39"/>
      <c r="O8" s="1">
        <v>11.385</v>
      </c>
      <c r="P8" s="1">
        <v>9.42</v>
      </c>
      <c r="Q8" s="1">
        <v>7.0935000000000006</v>
      </c>
      <c r="R8" s="28">
        <v>2</v>
      </c>
      <c r="S8" s="2">
        <v>3</v>
      </c>
      <c r="T8">
        <v>0.01</v>
      </c>
      <c r="U8">
        <v>48</v>
      </c>
      <c r="V8">
        <v>0.02</v>
      </c>
      <c r="W8" s="2">
        <v>33.6</v>
      </c>
      <c r="X8" s="27">
        <v>22</v>
      </c>
      <c r="Y8" s="5">
        <v>1.11E-2</v>
      </c>
      <c r="Z8" s="5">
        <v>1.4200000000000001E-2</v>
      </c>
      <c r="AA8" s="5">
        <v>3.2899999999999999E-2</v>
      </c>
      <c r="AB8" s="2">
        <v>38.770400000000002</v>
      </c>
      <c r="AC8" s="5">
        <v>5.7999999999999996E-3</v>
      </c>
      <c r="AD8" s="2">
        <v>4.6509999999999998</v>
      </c>
      <c r="AE8" s="2">
        <v>9.0114999999999998</v>
      </c>
      <c r="AF8" s="5">
        <v>3.0999999999999999E-3</v>
      </c>
      <c r="AG8" s="2">
        <v>9.2340999999999998</v>
      </c>
      <c r="AH8" s="5">
        <v>-8.9999999999999998E-4</v>
      </c>
      <c r="AI8" s="5">
        <v>2.5000000000000001E-3</v>
      </c>
      <c r="AJ8" s="2">
        <v>2.0390000000000001</v>
      </c>
      <c r="AK8" s="29">
        <v>24.81818181818182</v>
      </c>
      <c r="AL8" s="5">
        <v>2.7675999999999998</v>
      </c>
      <c r="AM8" s="5">
        <v>0.17208000000000001</v>
      </c>
      <c r="AN8" s="5">
        <v>0.12357</v>
      </c>
      <c r="AO8" s="5">
        <v>2.6603999999999999E-2</v>
      </c>
      <c r="AP8" s="5">
        <v>8.4452999999999993E-3</v>
      </c>
      <c r="AQ8" s="5">
        <v>2.9941E-3</v>
      </c>
      <c r="AR8" s="5"/>
      <c r="AS8" s="5"/>
      <c r="AT8" s="5"/>
      <c r="AU8" s="5"/>
      <c r="AV8" s="5"/>
      <c r="AW8" s="5"/>
      <c r="AX8" s="2">
        <f t="shared" ref="AX8:AX71" si="0">AM8*100/P8</f>
        <v>1.8267515923566882</v>
      </c>
      <c r="AY8" s="5">
        <v>2.83</v>
      </c>
      <c r="AZ8" s="5">
        <v>0.20821999999999999</v>
      </c>
      <c r="BA8" s="5">
        <v>0.15637999999999999</v>
      </c>
      <c r="BB8" s="5">
        <v>4.9674999999999997E-2</v>
      </c>
      <c r="BC8" s="5">
        <v>2.92E-2</v>
      </c>
      <c r="BD8" s="5">
        <v>2.0923000000000001E-2</v>
      </c>
      <c r="BE8" s="5"/>
      <c r="BF8" s="5"/>
      <c r="BG8" s="5"/>
      <c r="BH8" s="5"/>
      <c r="BI8" s="5"/>
      <c r="BJ8" s="5"/>
    </row>
    <row r="9" spans="1:68">
      <c r="A9" t="s">
        <v>62</v>
      </c>
      <c r="B9" s="54">
        <v>45055</v>
      </c>
      <c r="C9" s="119">
        <v>5</v>
      </c>
      <c r="D9" s="64">
        <v>2.1969863658185926</v>
      </c>
      <c r="E9" s="65">
        <v>0.32991720221957599</v>
      </c>
      <c r="F9" s="125">
        <v>9.5596035268455837E-2</v>
      </c>
      <c r="G9" s="1">
        <v>8.68</v>
      </c>
      <c r="H9" s="2">
        <v>288</v>
      </c>
      <c r="I9">
        <v>74.599999999999994</v>
      </c>
      <c r="J9" s="1">
        <v>7.96</v>
      </c>
      <c r="K9">
        <v>401</v>
      </c>
      <c r="L9" s="1">
        <v>9.8000000000000007</v>
      </c>
      <c r="M9" s="1">
        <v>1.53</v>
      </c>
      <c r="N9" s="39"/>
      <c r="O9" s="1">
        <v>10.34</v>
      </c>
      <c r="P9" s="1">
        <v>8.8829999999999991</v>
      </c>
      <c r="Q9" s="1">
        <v>6.7394999999999996</v>
      </c>
      <c r="R9" s="28">
        <v>2</v>
      </c>
      <c r="S9" s="2">
        <v>3.3</v>
      </c>
      <c r="T9">
        <v>0.06</v>
      </c>
      <c r="U9">
        <v>48</v>
      </c>
      <c r="V9">
        <v>0.04</v>
      </c>
      <c r="W9" s="2">
        <v>37.799999999999997</v>
      </c>
      <c r="X9" s="27">
        <v>19</v>
      </c>
      <c r="Y9" s="5">
        <v>6.1000000000000004E-3</v>
      </c>
      <c r="Z9" s="5">
        <v>1.4999999999999999E-2</v>
      </c>
      <c r="AA9" s="5">
        <v>3.2000000000000001E-2</v>
      </c>
      <c r="AB9" s="2">
        <v>39.003</v>
      </c>
      <c r="AC9" s="5">
        <v>9.2999999999999992E-3</v>
      </c>
      <c r="AD9" s="2">
        <v>4.7401</v>
      </c>
      <c r="AE9" s="2">
        <v>9.0021000000000004</v>
      </c>
      <c r="AF9" s="5">
        <v>2.2000000000000001E-3</v>
      </c>
      <c r="AG9" s="2">
        <v>9.3611000000000004</v>
      </c>
      <c r="AH9" s="5">
        <v>-8.0000000000000004E-4</v>
      </c>
      <c r="AI9" s="5">
        <v>1.9E-3</v>
      </c>
      <c r="AJ9" s="2">
        <v>3.0790000000000002</v>
      </c>
      <c r="AK9" s="29">
        <v>21.484848484848481</v>
      </c>
      <c r="AL9" s="5">
        <v>2.7353999999999998</v>
      </c>
      <c r="AM9" s="5">
        <v>0.16087000000000001</v>
      </c>
      <c r="AN9" s="5">
        <v>0.11511</v>
      </c>
      <c r="AO9" s="5">
        <v>2.4400999999999999E-2</v>
      </c>
      <c r="AP9" s="5">
        <v>7.6575000000000002E-3</v>
      </c>
      <c r="AQ9" s="5">
        <v>2.9139999999999999E-3</v>
      </c>
      <c r="AR9" s="5"/>
      <c r="AS9" s="5"/>
      <c r="AT9" s="5"/>
      <c r="AU9" s="5"/>
      <c r="AV9" s="5"/>
      <c r="AW9" s="5"/>
      <c r="AX9" s="2">
        <f t="shared" si="0"/>
        <v>1.8109872790723855</v>
      </c>
      <c r="AY9" s="5">
        <v>2.7967</v>
      </c>
      <c r="AZ9" s="5">
        <v>0.19241</v>
      </c>
      <c r="BA9" s="5">
        <v>0.14399999999999999</v>
      </c>
      <c r="BB9" s="5">
        <v>4.5836000000000002E-2</v>
      </c>
      <c r="BC9" s="5">
        <v>2.7378E-2</v>
      </c>
      <c r="BD9" s="5">
        <v>2.0476999999999999E-2</v>
      </c>
      <c r="BE9" s="5"/>
      <c r="BF9" s="5"/>
      <c r="BG9" s="5"/>
      <c r="BH9" s="5"/>
      <c r="BI9" s="5"/>
      <c r="BJ9" s="5"/>
    </row>
    <row r="10" spans="1:68">
      <c r="A10" t="s">
        <v>62</v>
      </c>
      <c r="B10" s="54">
        <v>45055</v>
      </c>
      <c r="C10" s="119">
        <v>7.5</v>
      </c>
      <c r="D10" s="64">
        <v>2.6170213456606373</v>
      </c>
      <c r="E10" s="65">
        <v>0.347691379138304</v>
      </c>
      <c r="F10" s="125">
        <v>9.3035775655958552E-2</v>
      </c>
      <c r="G10" s="1">
        <v>8.4</v>
      </c>
      <c r="H10" s="2">
        <v>294.89999999999998</v>
      </c>
      <c r="I10">
        <v>55.2</v>
      </c>
      <c r="J10" s="1">
        <v>6.11</v>
      </c>
      <c r="K10">
        <v>403</v>
      </c>
      <c r="L10" s="1">
        <v>8.2899999999999991</v>
      </c>
      <c r="M10" s="1">
        <v>1.49</v>
      </c>
      <c r="N10" s="39"/>
      <c r="O10" s="1">
        <v>10.11</v>
      </c>
      <c r="P10" s="1">
        <v>8.7815000000000012</v>
      </c>
      <c r="Q10" s="1">
        <v>6.3674999999999997</v>
      </c>
      <c r="R10" s="28" t="s">
        <v>59</v>
      </c>
      <c r="S10" s="2">
        <v>3.8</v>
      </c>
      <c r="T10">
        <v>0.12</v>
      </c>
      <c r="U10">
        <v>46</v>
      </c>
      <c r="V10">
        <v>0.04</v>
      </c>
      <c r="W10" s="2">
        <v>35.6</v>
      </c>
      <c r="X10" s="27">
        <v>15</v>
      </c>
      <c r="Y10" s="5">
        <v>9.1000000000000004E-3</v>
      </c>
      <c r="Z10" s="5">
        <v>1.4500000000000001E-2</v>
      </c>
      <c r="AA10" s="5">
        <v>3.2899999999999999E-2</v>
      </c>
      <c r="AB10" s="2">
        <v>40.036900000000003</v>
      </c>
      <c r="AC10" s="5">
        <v>1.2200000000000001E-2</v>
      </c>
      <c r="AD10" s="2">
        <v>4.8315000000000001</v>
      </c>
      <c r="AE10" s="2">
        <v>9.0759000000000007</v>
      </c>
      <c r="AF10" s="5">
        <v>1.9E-3</v>
      </c>
      <c r="AG10" s="2">
        <v>9.5792999999999999</v>
      </c>
      <c r="AH10" s="5">
        <v>-5.0000000000000001E-4</v>
      </c>
      <c r="AI10" s="5">
        <v>4.7999999999999996E-3</v>
      </c>
      <c r="AJ10" s="2">
        <v>3.4180000000000001</v>
      </c>
      <c r="AK10" s="29">
        <v>23</v>
      </c>
      <c r="AL10" s="5">
        <v>2.6941999999999999</v>
      </c>
      <c r="AM10" s="5">
        <v>0.15298</v>
      </c>
      <c r="AN10" s="5">
        <v>0.10919</v>
      </c>
      <c r="AO10" s="5">
        <v>2.2905999999999999E-2</v>
      </c>
      <c r="AP10" s="5">
        <v>7.2017000000000001E-3</v>
      </c>
      <c r="AQ10" s="5">
        <v>2.8992000000000002E-3</v>
      </c>
      <c r="AR10" s="5"/>
      <c r="AS10" s="5"/>
      <c r="AT10" s="5"/>
      <c r="AU10" s="5"/>
      <c r="AV10" s="5"/>
      <c r="AW10" s="5"/>
      <c r="AX10" s="2">
        <f t="shared" si="0"/>
        <v>1.742071400102488</v>
      </c>
      <c r="AY10" s="5">
        <v>2.7376999999999998</v>
      </c>
      <c r="AZ10" s="5">
        <v>0.17498</v>
      </c>
      <c r="BA10" s="5">
        <v>0.12950999999999999</v>
      </c>
      <c r="BB10" s="5">
        <v>3.8797999999999999E-2</v>
      </c>
      <c r="BC10" s="5">
        <v>2.2537999999999999E-2</v>
      </c>
      <c r="BD10" s="5">
        <v>1.6954E-2</v>
      </c>
      <c r="BE10" s="5"/>
      <c r="BF10" s="5"/>
      <c r="BG10" s="5"/>
      <c r="BH10" s="5"/>
      <c r="BI10" s="5"/>
      <c r="BJ10" s="5"/>
    </row>
    <row r="11" spans="1:68">
      <c r="A11" t="s">
        <v>62</v>
      </c>
      <c r="B11" s="54">
        <v>45055</v>
      </c>
      <c r="C11" s="119">
        <v>10</v>
      </c>
      <c r="D11" s="64">
        <v>2.8171549010826036</v>
      </c>
      <c r="E11" s="65">
        <v>0.32315074519634429</v>
      </c>
      <c r="F11" s="125">
        <v>9.0101782841739947E-2</v>
      </c>
      <c r="G11" s="1">
        <v>8.26</v>
      </c>
      <c r="H11" s="2">
        <v>296.8</v>
      </c>
      <c r="I11">
        <v>52.8</v>
      </c>
      <c r="J11" s="1">
        <v>5.92</v>
      </c>
      <c r="K11">
        <v>404</v>
      </c>
      <c r="L11" s="1">
        <v>7.74</v>
      </c>
      <c r="M11" s="1">
        <v>1.56</v>
      </c>
      <c r="N11" s="39"/>
      <c r="O11" s="1">
        <v>9.7430000000000003</v>
      </c>
      <c r="P11" s="1">
        <v>8.9809999999999999</v>
      </c>
      <c r="Q11" s="1">
        <v>6.1374999999999993</v>
      </c>
      <c r="R11" s="28" t="s">
        <v>59</v>
      </c>
      <c r="S11" s="2">
        <v>3.6</v>
      </c>
      <c r="T11">
        <v>0.13</v>
      </c>
      <c r="U11">
        <v>47</v>
      </c>
      <c r="V11">
        <v>0.03</v>
      </c>
      <c r="W11" s="2">
        <v>37</v>
      </c>
      <c r="X11" s="27">
        <v>17</v>
      </c>
      <c r="Y11" s="5">
        <v>1.06E-2</v>
      </c>
      <c r="Z11" s="5">
        <v>1.4249999999999999E-2</v>
      </c>
      <c r="AA11" s="5">
        <v>3.245E-2</v>
      </c>
      <c r="AB11" s="2">
        <v>39.36195</v>
      </c>
      <c r="AC11" s="5">
        <v>1.9050000000000001E-2</v>
      </c>
      <c r="AD11" s="2">
        <v>4.7821499999999997</v>
      </c>
      <c r="AE11" s="2">
        <v>8.970600000000001</v>
      </c>
      <c r="AF11" s="5">
        <v>2.5999999999999999E-3</v>
      </c>
      <c r="AG11" s="2">
        <v>9.5238499999999995</v>
      </c>
      <c r="AH11" s="5">
        <v>-3.5E-4</v>
      </c>
      <c r="AI11" s="5">
        <v>3.5000000000000001E-3</v>
      </c>
      <c r="AJ11" s="2">
        <v>3.5150000000000001</v>
      </c>
      <c r="AK11" s="29">
        <v>13.90909090909091</v>
      </c>
      <c r="AL11" s="5">
        <v>2.6848000000000001</v>
      </c>
      <c r="AM11" s="5">
        <v>0.15046999999999999</v>
      </c>
      <c r="AN11" s="5">
        <v>0.10704</v>
      </c>
      <c r="AO11" s="5">
        <v>2.1818000000000001E-2</v>
      </c>
      <c r="AP11" s="5">
        <v>6.1888999999999998E-3</v>
      </c>
      <c r="AQ11" s="5">
        <v>1.637E-3</v>
      </c>
      <c r="AR11" s="5"/>
      <c r="AS11" s="5"/>
      <c r="AT11" s="5"/>
      <c r="AU11" s="5"/>
      <c r="AV11" s="5"/>
      <c r="AW11" s="5"/>
      <c r="AX11" s="2">
        <f t="shared" si="0"/>
        <v>1.6754258991203652</v>
      </c>
      <c r="AY11" s="5">
        <v>2.7054</v>
      </c>
      <c r="AZ11" s="5">
        <v>0.17185</v>
      </c>
      <c r="BA11" s="5">
        <v>0.12623000000000001</v>
      </c>
      <c r="BB11" s="5">
        <v>3.5723999999999999E-2</v>
      </c>
      <c r="BC11" s="5">
        <v>1.9E-2</v>
      </c>
      <c r="BD11" s="5">
        <v>1.298E-2</v>
      </c>
      <c r="BE11" s="5"/>
      <c r="BF11" s="5"/>
      <c r="BG11" s="5"/>
      <c r="BH11" s="5"/>
      <c r="BI11" s="5"/>
      <c r="BJ11" s="5"/>
    </row>
    <row r="12" spans="1:68">
      <c r="A12" t="s">
        <v>62</v>
      </c>
      <c r="B12" s="54">
        <v>45055</v>
      </c>
      <c r="C12" s="119">
        <v>15</v>
      </c>
      <c r="D12" s="64">
        <v>2.655405448944669</v>
      </c>
      <c r="E12" s="65">
        <v>0.32959353383417528</v>
      </c>
      <c r="F12" s="125">
        <v>0.10620354487563305</v>
      </c>
      <c r="G12" s="1">
        <v>8.11</v>
      </c>
      <c r="H12" s="2">
        <v>297</v>
      </c>
      <c r="I12">
        <v>54.5</v>
      </c>
      <c r="J12" s="1">
        <v>6.23</v>
      </c>
      <c r="K12">
        <v>414</v>
      </c>
      <c r="L12" s="1">
        <v>6.97</v>
      </c>
      <c r="M12" s="1">
        <v>1.58</v>
      </c>
      <c r="N12" s="39"/>
      <c r="O12" s="1">
        <v>9.1960000000000015</v>
      </c>
      <c r="P12" s="1">
        <v>8.8520000000000003</v>
      </c>
      <c r="Q12" s="1">
        <v>5.4904999999999999</v>
      </c>
      <c r="R12" s="28" t="s">
        <v>59</v>
      </c>
      <c r="S12" s="2">
        <v>3.1</v>
      </c>
      <c r="T12">
        <v>0.12</v>
      </c>
      <c r="U12">
        <v>49</v>
      </c>
      <c r="V12">
        <v>0.04</v>
      </c>
      <c r="W12" s="2">
        <v>37.799999999999997</v>
      </c>
      <c r="X12" s="27">
        <v>13</v>
      </c>
      <c r="Y12" s="5">
        <v>8.2000000000000007E-3</v>
      </c>
      <c r="Z12" s="5">
        <v>1.32E-2</v>
      </c>
      <c r="AA12" s="5">
        <v>3.1199999999999999E-2</v>
      </c>
      <c r="AB12" s="2">
        <v>40.5122</v>
      </c>
      <c r="AC12" s="5">
        <v>3.95E-2</v>
      </c>
      <c r="AD12" s="2">
        <v>4.8459000000000003</v>
      </c>
      <c r="AE12" s="2">
        <v>9.1507000000000005</v>
      </c>
      <c r="AF12" s="5">
        <v>6.7999999999999996E-3</v>
      </c>
      <c r="AG12" s="2">
        <v>9.7318999999999996</v>
      </c>
      <c r="AH12" s="5">
        <v>-6.9999999999999999E-4</v>
      </c>
      <c r="AI12" s="5">
        <v>8.0000000000000002E-3</v>
      </c>
      <c r="AJ12" s="2">
        <v>3.5259999999999998</v>
      </c>
      <c r="AK12" s="29">
        <v>6.6363636363636376</v>
      </c>
      <c r="AL12" s="5">
        <v>2.577</v>
      </c>
      <c r="AM12" s="5">
        <v>0.13125000000000001</v>
      </c>
      <c r="AN12" s="5">
        <v>9.2151999999999998E-2</v>
      </c>
      <c r="AO12" s="5">
        <v>1.7259E-2</v>
      </c>
      <c r="AP12" s="5">
        <v>4.6481999999999999E-3</v>
      </c>
      <c r="AQ12" s="5">
        <v>1.1535E-3</v>
      </c>
      <c r="AR12" s="5"/>
      <c r="AS12" s="5"/>
      <c r="AT12" s="5"/>
      <c r="AU12" s="5"/>
      <c r="AV12" s="5"/>
      <c r="AW12" s="5"/>
      <c r="AX12" s="2">
        <f t="shared" si="0"/>
        <v>1.4827157704473566</v>
      </c>
      <c r="AY12" s="5">
        <v>2.5878000000000001</v>
      </c>
      <c r="AZ12" s="5">
        <v>0.14174999999999999</v>
      </c>
      <c r="BA12" s="5">
        <v>0.10148</v>
      </c>
      <c r="BB12" s="5">
        <v>2.4188999999999999E-2</v>
      </c>
      <c r="BC12" s="5">
        <v>1.1504E-2</v>
      </c>
      <c r="BD12" s="5">
        <v>7.1238999999999999E-3</v>
      </c>
      <c r="BE12" s="5"/>
      <c r="BF12" s="5"/>
      <c r="BG12" s="5"/>
      <c r="BH12" s="5"/>
      <c r="BI12" s="5"/>
      <c r="BJ12" s="5"/>
    </row>
    <row r="13" spans="1:68">
      <c r="A13" t="s">
        <v>62</v>
      </c>
      <c r="B13" s="54">
        <v>45055</v>
      </c>
      <c r="C13" s="119">
        <v>20</v>
      </c>
      <c r="D13" s="64">
        <v>2.6748162015358519</v>
      </c>
      <c r="E13" s="65">
        <v>0.31713024455167815</v>
      </c>
      <c r="F13" s="125">
        <v>9.1352112778691597E-2</v>
      </c>
      <c r="G13" s="1">
        <v>8.02</v>
      </c>
      <c r="H13" s="2">
        <v>297.3</v>
      </c>
      <c r="I13">
        <v>54.7</v>
      </c>
      <c r="J13" s="1">
        <v>6.3</v>
      </c>
      <c r="K13">
        <v>415</v>
      </c>
      <c r="L13" s="1">
        <v>6.71</v>
      </c>
      <c r="M13" s="1">
        <v>1.62</v>
      </c>
      <c r="N13" s="39"/>
      <c r="O13" s="1">
        <v>8.9714999999999989</v>
      </c>
      <c r="P13" s="1">
        <v>8.8814999999999991</v>
      </c>
      <c r="Q13" s="1">
        <v>5.4435000000000002</v>
      </c>
      <c r="R13" s="28" t="s">
        <v>59</v>
      </c>
      <c r="S13" s="2">
        <v>2.4</v>
      </c>
      <c r="T13">
        <v>0.13</v>
      </c>
      <c r="U13">
        <v>50</v>
      </c>
      <c r="V13">
        <v>0.05</v>
      </c>
      <c r="W13" s="2">
        <v>32.799999999999997</v>
      </c>
      <c r="X13" s="27">
        <v>13</v>
      </c>
      <c r="Y13" s="5">
        <v>1.11E-2</v>
      </c>
      <c r="Z13" s="5">
        <v>1.26E-2</v>
      </c>
      <c r="AA13" s="5">
        <v>3.2199999999999999E-2</v>
      </c>
      <c r="AB13" s="2">
        <v>41.622300000000003</v>
      </c>
      <c r="AC13" s="5">
        <v>1.21E-2</v>
      </c>
      <c r="AD13" s="2">
        <v>5.0262000000000002</v>
      </c>
      <c r="AE13" s="2">
        <v>9.4306999999999999</v>
      </c>
      <c r="AF13" s="5">
        <v>1.32E-2</v>
      </c>
      <c r="AG13" s="2">
        <v>10.006</v>
      </c>
      <c r="AH13" s="5">
        <v>-5.9999999999999995E-4</v>
      </c>
      <c r="AI13" s="5">
        <v>3.8999999999999998E-3</v>
      </c>
      <c r="AJ13" s="2">
        <v>3.6560000000000001</v>
      </c>
      <c r="AK13" s="29">
        <v>6.9393939393939394</v>
      </c>
      <c r="AL13" s="5">
        <v>2.5672999999999999</v>
      </c>
      <c r="AM13" s="5">
        <v>0.13063</v>
      </c>
      <c r="AN13" s="5">
        <v>9.1644000000000003E-2</v>
      </c>
      <c r="AO13" s="5">
        <v>1.7097000000000001E-2</v>
      </c>
      <c r="AP13" s="5">
        <v>4.5113999999999996E-3</v>
      </c>
      <c r="AQ13" s="5">
        <v>1.1163E-3</v>
      </c>
      <c r="AR13" s="5"/>
      <c r="AS13" s="5"/>
      <c r="AT13" s="5"/>
      <c r="AU13" s="5"/>
      <c r="AV13" s="5"/>
      <c r="AW13" s="5"/>
      <c r="AX13" s="2">
        <f t="shared" si="0"/>
        <v>1.4708101109046896</v>
      </c>
      <c r="AY13" s="5">
        <v>2.5819999999999999</v>
      </c>
      <c r="AZ13" s="5">
        <v>0.14132</v>
      </c>
      <c r="BA13" s="5">
        <v>0.10120999999999999</v>
      </c>
      <c r="BB13" s="5">
        <v>2.4603E-2</v>
      </c>
      <c r="BC13" s="5">
        <v>1.2187999999999999E-2</v>
      </c>
      <c r="BD13" s="5">
        <v>7.9088000000000006E-3</v>
      </c>
      <c r="BE13" s="5"/>
      <c r="BF13" s="5"/>
      <c r="BG13" s="5"/>
      <c r="BH13" s="5"/>
      <c r="BI13" s="5"/>
      <c r="BJ13" s="5"/>
    </row>
    <row r="14" spans="1:68">
      <c r="A14" t="s">
        <v>62</v>
      </c>
      <c r="B14" s="54">
        <v>45055</v>
      </c>
      <c r="C14" s="132">
        <v>30</v>
      </c>
      <c r="D14" s="133">
        <v>2.9253281008489034</v>
      </c>
      <c r="E14" s="146">
        <v>0.32369213063527202</v>
      </c>
      <c r="F14" s="135">
        <v>9.4210427698974558E-2</v>
      </c>
      <c r="G14" s="131">
        <v>7.83</v>
      </c>
      <c r="H14" s="145">
        <v>300.2</v>
      </c>
      <c r="I14" s="131">
        <v>40.200000000000003</v>
      </c>
      <c r="J14" s="144">
        <v>4.6500000000000004</v>
      </c>
      <c r="K14" s="131">
        <v>419</v>
      </c>
      <c r="L14" s="144">
        <v>6.54</v>
      </c>
      <c r="M14" s="144">
        <v>1.75</v>
      </c>
      <c r="N14" s="167"/>
      <c r="O14" s="144">
        <v>10.065</v>
      </c>
      <c r="P14" s="144">
        <v>9.1380000000000017</v>
      </c>
      <c r="Q14" s="144">
        <v>4.9930000000000003</v>
      </c>
      <c r="R14" s="168">
        <v>2</v>
      </c>
      <c r="S14" s="145">
        <v>2.6</v>
      </c>
      <c r="T14" s="131">
        <v>0.47</v>
      </c>
      <c r="U14" s="131">
        <v>50</v>
      </c>
      <c r="V14" s="131">
        <v>0.06</v>
      </c>
      <c r="W14" s="145">
        <v>37.6</v>
      </c>
      <c r="X14" s="169">
        <v>13</v>
      </c>
      <c r="Y14" s="143">
        <v>7.3000000000000001E-3</v>
      </c>
      <c r="Z14" s="143">
        <v>1.3599999999999999E-2</v>
      </c>
      <c r="AA14" s="143">
        <v>3.44E-2</v>
      </c>
      <c r="AB14" s="145">
        <v>42.557499999999997</v>
      </c>
      <c r="AC14" s="143">
        <v>1.77E-2</v>
      </c>
      <c r="AD14" s="145">
        <v>5.0266999999999999</v>
      </c>
      <c r="AE14" s="145">
        <v>9.3940000000000001</v>
      </c>
      <c r="AF14" s="143">
        <v>0.32969999999999999</v>
      </c>
      <c r="AG14" s="145">
        <v>9.9475999999999996</v>
      </c>
      <c r="AH14" s="143">
        <v>-6.9999999999999999E-4</v>
      </c>
      <c r="AI14" s="143">
        <v>8.6999999999999994E-3</v>
      </c>
      <c r="AJ14" s="145">
        <v>3.895</v>
      </c>
      <c r="AK14" s="202">
        <v>32.393939393939391</v>
      </c>
      <c r="AL14" s="143">
        <v>2.3620000000000001</v>
      </c>
      <c r="AM14" s="143">
        <v>0.13358</v>
      </c>
      <c r="AN14" s="143">
        <v>9.3942999999999999E-2</v>
      </c>
      <c r="AO14" s="143">
        <v>1.7929E-2</v>
      </c>
      <c r="AP14" s="143">
        <v>4.9267E-3</v>
      </c>
      <c r="AQ14" s="143">
        <v>1.338E-3</v>
      </c>
      <c r="AR14" s="143"/>
      <c r="AS14" s="143"/>
      <c r="AT14" s="143"/>
      <c r="AU14" s="143"/>
      <c r="AV14" s="143"/>
      <c r="AW14" s="143"/>
      <c r="AX14" s="145">
        <f t="shared" si="0"/>
        <v>1.4618078354125628</v>
      </c>
      <c r="AY14" s="143">
        <v>2.4045999999999998</v>
      </c>
      <c r="AZ14" s="143">
        <v>0.17022000000000001</v>
      </c>
      <c r="BA14" s="143">
        <v>0.12928999999999999</v>
      </c>
      <c r="BB14" s="143">
        <v>4.8656999999999999E-2</v>
      </c>
      <c r="BC14" s="143">
        <v>3.3267999999999999E-2</v>
      </c>
      <c r="BD14" s="143">
        <v>2.6343999999999999E-2</v>
      </c>
      <c r="BE14" s="143"/>
      <c r="BF14" s="143"/>
      <c r="BG14" s="143"/>
      <c r="BH14" s="143"/>
      <c r="BI14" s="143"/>
      <c r="BJ14" s="143"/>
    </row>
    <row r="15" spans="1:68">
      <c r="A15" t="s">
        <v>62</v>
      </c>
      <c r="B15" s="54">
        <v>45083</v>
      </c>
      <c r="C15" s="119">
        <v>0</v>
      </c>
      <c r="D15" s="99">
        <v>0.27469345466453221</v>
      </c>
      <c r="E15" s="84">
        <v>0.36889840867909474</v>
      </c>
      <c r="F15" s="126" t="s">
        <v>51</v>
      </c>
      <c r="G15" s="8">
        <v>8.65</v>
      </c>
      <c r="H15" s="9">
        <v>242</v>
      </c>
      <c r="I15" s="9">
        <v>62.8</v>
      </c>
      <c r="J15" s="8">
        <v>5.37</v>
      </c>
      <c r="K15" s="10">
        <v>403</v>
      </c>
      <c r="L15" s="8">
        <v>19.600000000000001</v>
      </c>
      <c r="M15" s="8">
        <v>1.56</v>
      </c>
      <c r="N15" s="24"/>
      <c r="O15" s="1">
        <v>9.5655000000000001</v>
      </c>
      <c r="P15" s="1">
        <v>8.9700000000000006</v>
      </c>
      <c r="Q15" s="1">
        <v>6.7594999999999992</v>
      </c>
      <c r="R15" s="33">
        <v>4</v>
      </c>
      <c r="S15" s="9">
        <v>2.4</v>
      </c>
      <c r="T15" s="8">
        <v>0.04</v>
      </c>
      <c r="U15" s="31">
        <v>48</v>
      </c>
      <c r="V15" s="8">
        <v>0.04</v>
      </c>
      <c r="W15" s="9">
        <v>22.3</v>
      </c>
      <c r="X15" s="31">
        <v>11</v>
      </c>
      <c r="Y15" s="5">
        <v>2.2100000000000002E-2</v>
      </c>
      <c r="Z15" s="5">
        <v>1.32E-2</v>
      </c>
      <c r="AA15" s="5">
        <v>3.4200000000000001E-2</v>
      </c>
      <c r="AB15" s="2">
        <v>32.9773</v>
      </c>
      <c r="AC15" s="5">
        <v>1.84E-2</v>
      </c>
      <c r="AD15" s="2">
        <v>4.8772000000000002</v>
      </c>
      <c r="AE15" s="2">
        <v>9.6575000000000006</v>
      </c>
      <c r="AF15" s="5">
        <v>3.7000000000000002E-3</v>
      </c>
      <c r="AG15" s="2">
        <v>8.7949999999999999</v>
      </c>
      <c r="AH15" s="5">
        <v>-6.9999999999999999E-4</v>
      </c>
      <c r="AI15" s="5">
        <v>8.6999999999999994E-3</v>
      </c>
      <c r="AJ15" s="2">
        <v>0.185</v>
      </c>
      <c r="AK15" s="2">
        <v>9.6666666666666679</v>
      </c>
      <c r="AL15" s="5">
        <v>2.7702</v>
      </c>
      <c r="AM15" s="5">
        <v>0.15873999999999999</v>
      </c>
      <c r="AN15" s="5">
        <v>0.11135</v>
      </c>
      <c r="AO15" s="5">
        <v>2.0735E-2</v>
      </c>
      <c r="AP15" s="5">
        <v>6.5516999999999997E-3</v>
      </c>
      <c r="AQ15" s="5">
        <v>2.5715999999999998E-3</v>
      </c>
      <c r="AR15" s="5"/>
      <c r="AS15" s="5"/>
      <c r="AT15" s="5"/>
      <c r="AU15" s="5"/>
      <c r="AV15" s="5"/>
      <c r="AW15" s="5"/>
      <c r="AX15" s="2">
        <f t="shared" si="0"/>
        <v>1.7696767001114824</v>
      </c>
      <c r="AY15" s="5">
        <v>2.7892999999999999</v>
      </c>
      <c r="AZ15" s="5">
        <v>0.17635999999999999</v>
      </c>
      <c r="BA15" s="5">
        <v>0.12639</v>
      </c>
      <c r="BB15" s="5">
        <v>2.9963E-2</v>
      </c>
      <c r="BC15" s="5">
        <v>1.3228E-2</v>
      </c>
      <c r="BD15" s="5">
        <v>7.5697999999999998E-3</v>
      </c>
      <c r="BE15" s="5"/>
      <c r="BF15" s="5"/>
      <c r="BG15" s="5"/>
      <c r="BH15" s="5"/>
      <c r="BI15" s="5"/>
      <c r="BJ15" s="5"/>
    </row>
    <row r="16" spans="1:68">
      <c r="A16" t="s">
        <v>62</v>
      </c>
      <c r="B16" s="54">
        <v>45083</v>
      </c>
      <c r="C16" s="119">
        <v>2.5</v>
      </c>
      <c r="D16" s="99">
        <v>0.2941194474721287</v>
      </c>
      <c r="E16" s="84">
        <v>0.32130087736723295</v>
      </c>
      <c r="F16" s="126" t="s">
        <v>51</v>
      </c>
      <c r="G16" s="8">
        <v>8.69</v>
      </c>
      <c r="H16" s="9">
        <v>242.1</v>
      </c>
      <c r="I16" s="9">
        <v>63</v>
      </c>
      <c r="J16" s="8">
        <v>5.41</v>
      </c>
      <c r="K16" s="10">
        <v>404</v>
      </c>
      <c r="L16" s="8">
        <v>19.36</v>
      </c>
      <c r="M16" s="8">
        <v>1.58</v>
      </c>
      <c r="N16" s="24"/>
      <c r="O16" s="1">
        <v>9.8140000000000001</v>
      </c>
      <c r="P16" s="1">
        <v>9.0380000000000003</v>
      </c>
      <c r="Q16" s="1">
        <v>6.649</v>
      </c>
      <c r="R16" s="33" t="s">
        <v>59</v>
      </c>
      <c r="S16" s="9">
        <v>2.5</v>
      </c>
      <c r="T16" s="8">
        <v>0.05</v>
      </c>
      <c r="U16" s="31">
        <v>49.5</v>
      </c>
      <c r="V16" s="8">
        <v>0.02</v>
      </c>
      <c r="W16" s="9">
        <v>24.1</v>
      </c>
      <c r="X16" s="31">
        <v>11</v>
      </c>
      <c r="Y16" s="5">
        <v>2.2800000000000001E-2</v>
      </c>
      <c r="Z16" s="5">
        <v>1.52E-2</v>
      </c>
      <c r="AA16" s="5">
        <v>3.3500000000000002E-2</v>
      </c>
      <c r="AB16" s="2">
        <v>32.235399999999998</v>
      </c>
      <c r="AC16" s="5">
        <v>1.8499999999999999E-2</v>
      </c>
      <c r="AD16" s="2">
        <v>4.7911000000000001</v>
      </c>
      <c r="AE16" s="2">
        <v>9.5208999999999993</v>
      </c>
      <c r="AF16" s="5">
        <v>3.5000000000000001E-3</v>
      </c>
      <c r="AG16" s="2">
        <v>8.6394000000000002</v>
      </c>
      <c r="AH16" s="5">
        <v>-5.9999999999999995E-4</v>
      </c>
      <c r="AI16" s="5">
        <v>4.4999999999999997E-3</v>
      </c>
      <c r="AJ16" s="2">
        <v>0.13200000000000001</v>
      </c>
      <c r="AK16" s="2">
        <v>8.7575757575757578</v>
      </c>
      <c r="AL16" s="5">
        <v>2.7627999999999999</v>
      </c>
      <c r="AM16" s="5">
        <v>0.15977</v>
      </c>
      <c r="AN16" s="5">
        <v>0.11224000000000001</v>
      </c>
      <c r="AO16" s="5">
        <v>2.1742999999999998E-2</v>
      </c>
      <c r="AP16" s="5">
        <v>7.2722000000000004E-3</v>
      </c>
      <c r="AQ16" s="5">
        <v>3.1771999999999998E-3</v>
      </c>
      <c r="AR16" s="5"/>
      <c r="AS16" s="5"/>
      <c r="AT16" s="5"/>
      <c r="AU16" s="5"/>
      <c r="AV16" s="5"/>
      <c r="AW16" s="5"/>
      <c r="AX16" s="2">
        <f t="shared" si="0"/>
        <v>1.767758353618057</v>
      </c>
      <c r="AY16" s="5">
        <v>2.8148</v>
      </c>
      <c r="AZ16" s="5">
        <v>0.17727000000000001</v>
      </c>
      <c r="BA16" s="5">
        <v>0.1273</v>
      </c>
      <c r="BB16" s="5">
        <v>3.1328000000000002E-2</v>
      </c>
      <c r="BC16" s="5">
        <v>1.4452E-2</v>
      </c>
      <c r="BD16" s="5">
        <v>8.1309999999999993E-3</v>
      </c>
      <c r="BE16" s="5"/>
      <c r="BF16" s="5"/>
      <c r="BG16" s="5"/>
      <c r="BH16" s="5"/>
      <c r="BI16" s="5"/>
      <c r="BJ16" s="5"/>
    </row>
    <row r="17" spans="1:62">
      <c r="A17" t="s">
        <v>62</v>
      </c>
      <c r="B17" s="54">
        <v>45083</v>
      </c>
      <c r="C17" s="119">
        <v>5</v>
      </c>
      <c r="D17" s="64">
        <v>1.3239213083540631</v>
      </c>
      <c r="E17" s="84">
        <v>0.31838178575513143</v>
      </c>
      <c r="F17" s="126" t="s">
        <v>51</v>
      </c>
      <c r="G17" s="8">
        <v>7.69</v>
      </c>
      <c r="H17" s="9">
        <v>279.89999999999998</v>
      </c>
      <c r="I17" s="9">
        <v>35.6</v>
      </c>
      <c r="J17" s="8">
        <v>3.54</v>
      </c>
      <c r="K17" s="10">
        <v>406</v>
      </c>
      <c r="L17" s="8">
        <v>12.41</v>
      </c>
      <c r="M17" s="8">
        <v>1.59</v>
      </c>
      <c r="N17" s="24"/>
      <c r="O17" s="1">
        <v>9.4905000000000008</v>
      </c>
      <c r="P17" s="1">
        <v>8.5664999999999996</v>
      </c>
      <c r="Q17" s="1">
        <v>6.5324999999999998</v>
      </c>
      <c r="R17" s="33" t="s">
        <v>59</v>
      </c>
      <c r="S17" s="9">
        <v>2.7</v>
      </c>
      <c r="T17" s="8">
        <v>0.1</v>
      </c>
      <c r="U17" s="31">
        <v>48</v>
      </c>
      <c r="V17" s="8">
        <v>7.0000000000000007E-2</v>
      </c>
      <c r="W17" s="9">
        <v>27.8</v>
      </c>
      <c r="X17" s="31">
        <v>18</v>
      </c>
      <c r="Y17" s="5">
        <v>1.32E-2</v>
      </c>
      <c r="Z17" s="5">
        <v>1.4800000000000001E-2</v>
      </c>
      <c r="AA17" s="5">
        <v>3.4200000000000001E-2</v>
      </c>
      <c r="AB17" s="2">
        <v>32.676000000000002</v>
      </c>
      <c r="AC17" s="5">
        <v>1.15E-2</v>
      </c>
      <c r="AD17" s="2">
        <v>4.4236000000000004</v>
      </c>
      <c r="AE17" s="2">
        <v>9.3134999999999994</v>
      </c>
      <c r="AF17" s="5">
        <v>2.8999999999999998E-3</v>
      </c>
      <c r="AG17" s="2">
        <v>8.6448999999999998</v>
      </c>
      <c r="AH17" s="5">
        <v>-5.9999999999999995E-4</v>
      </c>
      <c r="AI17" s="5">
        <v>6.1000000000000004E-3</v>
      </c>
      <c r="AJ17" s="2">
        <v>1.5649999999999999</v>
      </c>
      <c r="AK17" s="2">
        <v>12.09090909090909</v>
      </c>
      <c r="AL17" s="5">
        <v>2.7534999999999998</v>
      </c>
      <c r="AM17" s="5">
        <v>0.16234000000000001</v>
      </c>
      <c r="AN17" s="5">
        <v>0.11632000000000001</v>
      </c>
      <c r="AO17" s="5">
        <v>2.5524000000000002E-2</v>
      </c>
      <c r="AP17" s="5">
        <v>8.7375999999999999E-3</v>
      </c>
      <c r="AQ17" s="5">
        <v>3.8427999999999999E-3</v>
      </c>
      <c r="AR17" s="5"/>
      <c r="AS17" s="5"/>
      <c r="AT17" s="5"/>
      <c r="AU17" s="5"/>
      <c r="AV17" s="5"/>
      <c r="AW17" s="5"/>
      <c r="AX17" s="2">
        <f t="shared" si="0"/>
        <v>1.8950563240529974</v>
      </c>
      <c r="AY17" s="5">
        <v>2.7740999999999998</v>
      </c>
      <c r="AZ17" s="5">
        <v>0.17963999999999999</v>
      </c>
      <c r="BA17" s="5">
        <v>0.13124</v>
      </c>
      <c r="BB17" s="5">
        <v>3.4098000000000003E-2</v>
      </c>
      <c r="BC17" s="5">
        <v>1.5883999999999999E-2</v>
      </c>
      <c r="BD17" s="5">
        <v>1.0144E-2</v>
      </c>
      <c r="BE17" s="5"/>
      <c r="BF17" s="5"/>
      <c r="BG17" s="5"/>
      <c r="BH17" s="5"/>
      <c r="BI17" s="5"/>
      <c r="BJ17" s="5"/>
    </row>
    <row r="18" spans="1:62">
      <c r="A18" t="s">
        <v>62</v>
      </c>
      <c r="B18" s="54">
        <v>45083</v>
      </c>
      <c r="C18" s="119">
        <v>7.5</v>
      </c>
      <c r="D18" s="64">
        <v>2.7450293322010797</v>
      </c>
      <c r="E18" s="84">
        <v>0.30462619398162882</v>
      </c>
      <c r="F18" s="126" t="s">
        <v>51</v>
      </c>
      <c r="G18" s="8">
        <v>7.52</v>
      </c>
      <c r="H18" s="9">
        <v>283.2</v>
      </c>
      <c r="I18" s="9">
        <v>13.9</v>
      </c>
      <c r="J18" s="8">
        <v>1.51</v>
      </c>
      <c r="K18" s="10">
        <v>402</v>
      </c>
      <c r="L18" s="8">
        <v>8.66</v>
      </c>
      <c r="M18" s="8">
        <v>1.55</v>
      </c>
      <c r="N18" s="24"/>
      <c r="O18" s="1">
        <v>8.9409999999999989</v>
      </c>
      <c r="P18" s="1">
        <v>8.1685000000000016</v>
      </c>
      <c r="Q18" s="1">
        <v>6.2520000000000007</v>
      </c>
      <c r="R18" s="33" t="s">
        <v>59</v>
      </c>
      <c r="S18" s="9">
        <v>3.1</v>
      </c>
      <c r="T18" s="8">
        <v>0.05</v>
      </c>
      <c r="U18" s="31">
        <v>47</v>
      </c>
      <c r="V18" s="8">
        <v>0.1</v>
      </c>
      <c r="W18" s="9">
        <v>27</v>
      </c>
      <c r="X18" s="31">
        <v>15</v>
      </c>
      <c r="Y18" s="5">
        <v>1.3100000000000001E-2</v>
      </c>
      <c r="Z18" s="5">
        <v>1.4E-2</v>
      </c>
      <c r="AA18" s="5">
        <v>3.3099999999999997E-2</v>
      </c>
      <c r="AB18" s="2">
        <v>32.200400000000002</v>
      </c>
      <c r="AC18" s="5">
        <v>1.47E-2</v>
      </c>
      <c r="AD18" s="2">
        <v>4.8963999999999999</v>
      </c>
      <c r="AE18" s="2">
        <v>9.3085000000000004</v>
      </c>
      <c r="AF18" s="5">
        <v>3.5999999999999999E-3</v>
      </c>
      <c r="AG18" s="2">
        <v>8.8153000000000006</v>
      </c>
      <c r="AH18" s="5">
        <v>-5.0000000000000001E-4</v>
      </c>
      <c r="AI18" s="5">
        <v>1.17E-2</v>
      </c>
      <c r="AJ18" s="2">
        <v>3.5249999999999999</v>
      </c>
      <c r="AK18" s="2">
        <v>10.575757575757576</v>
      </c>
      <c r="AL18" s="5">
        <v>2.7229000000000001</v>
      </c>
      <c r="AM18" s="5">
        <v>0.15462000000000001</v>
      </c>
      <c r="AN18" s="5">
        <v>0.11068</v>
      </c>
      <c r="AO18" s="5">
        <v>2.4681000000000002E-2</v>
      </c>
      <c r="AP18" s="5">
        <v>8.6006999999999993E-3</v>
      </c>
      <c r="AQ18" s="5">
        <v>4.2934000000000002E-3</v>
      </c>
      <c r="AR18" s="5"/>
      <c r="AS18" s="5"/>
      <c r="AT18" s="5"/>
      <c r="AU18" s="5"/>
      <c r="AV18" s="5"/>
      <c r="AW18" s="5"/>
      <c r="AX18" s="2">
        <f t="shared" si="0"/>
        <v>1.8928811899369526</v>
      </c>
      <c r="AY18" s="5">
        <v>2.7366999999999999</v>
      </c>
      <c r="AZ18" s="5">
        <v>0.16295000000000001</v>
      </c>
      <c r="BA18" s="5">
        <v>0.1174</v>
      </c>
      <c r="BB18" s="5">
        <v>2.7053000000000001E-2</v>
      </c>
      <c r="BC18" s="5">
        <v>1.0527999999999999E-2</v>
      </c>
      <c r="BD18" s="5">
        <v>5.8865999999999996E-3</v>
      </c>
      <c r="BE18" s="5"/>
      <c r="BF18" s="5"/>
      <c r="BG18" s="5"/>
      <c r="BH18" s="5"/>
      <c r="BI18" s="5"/>
      <c r="BJ18" s="5"/>
    </row>
    <row r="19" spans="1:62">
      <c r="A19" t="s">
        <v>62</v>
      </c>
      <c r="B19" s="54">
        <v>45083</v>
      </c>
      <c r="C19" s="119">
        <v>10</v>
      </c>
      <c r="E19" s="84"/>
      <c r="F19" s="126"/>
      <c r="G19" s="8">
        <v>7.48</v>
      </c>
      <c r="H19" s="9">
        <v>281.7</v>
      </c>
      <c r="I19" s="9">
        <v>25.3</v>
      </c>
      <c r="J19" s="8">
        <v>2.81</v>
      </c>
      <c r="K19" s="10">
        <v>403</v>
      </c>
      <c r="L19" s="8">
        <v>7.79</v>
      </c>
      <c r="M19" s="8">
        <v>1.6</v>
      </c>
      <c r="N19" s="24"/>
      <c r="O19" s="1">
        <v>8.9735000000000014</v>
      </c>
      <c r="P19" s="1">
        <v>8.7204999999999995</v>
      </c>
      <c r="Q19" s="1">
        <v>6.0945</v>
      </c>
      <c r="R19" s="33" t="s">
        <v>59</v>
      </c>
      <c r="S19" s="9">
        <v>3.3</v>
      </c>
      <c r="T19" s="8">
        <v>0.03</v>
      </c>
      <c r="U19" s="31">
        <v>50</v>
      </c>
      <c r="V19" s="8">
        <v>0.04</v>
      </c>
      <c r="W19" s="9">
        <v>27</v>
      </c>
      <c r="X19" s="31">
        <v>15</v>
      </c>
      <c r="Y19" s="5">
        <v>3.0200000000000001E-2</v>
      </c>
      <c r="Z19" s="5">
        <v>1.2E-2</v>
      </c>
      <c r="AA19" s="5">
        <v>3.1199999999999999E-2</v>
      </c>
      <c r="AB19" s="2">
        <v>32.2804</v>
      </c>
      <c r="AC19" s="5">
        <v>2.64E-2</v>
      </c>
      <c r="AD19" s="2">
        <v>4.8707000000000003</v>
      </c>
      <c r="AE19" s="2">
        <v>9.3176000000000005</v>
      </c>
      <c r="AF19" s="5">
        <v>2.3999999999999998E-3</v>
      </c>
      <c r="AG19" s="2">
        <v>8.8392999999999997</v>
      </c>
      <c r="AH19" s="5">
        <v>2.9999999999999997E-4</v>
      </c>
      <c r="AI19" s="5">
        <v>4.4999999999999997E-3</v>
      </c>
      <c r="AJ19" s="2">
        <v>3.7109999999999999</v>
      </c>
      <c r="AK19" s="2">
        <v>11.181818181818183</v>
      </c>
      <c r="AL19" s="5">
        <v>2.7294999999999998</v>
      </c>
      <c r="AM19" s="5">
        <v>0.15343000000000001</v>
      </c>
      <c r="AN19" s="5">
        <v>0.10921</v>
      </c>
      <c r="AO19" s="5">
        <v>2.2876000000000001E-2</v>
      </c>
      <c r="AP19" s="5">
        <v>5.9290000000000002E-3</v>
      </c>
      <c r="AQ19" s="5">
        <v>1.5173000000000001E-3</v>
      </c>
      <c r="AR19" s="5"/>
      <c r="AS19" s="5"/>
      <c r="AT19" s="5"/>
      <c r="AU19" s="5"/>
      <c r="AV19" s="5"/>
      <c r="AW19" s="5"/>
      <c r="AX19" s="2">
        <f t="shared" si="0"/>
        <v>1.7594174645949203</v>
      </c>
      <c r="AY19" s="5">
        <v>2.7330999999999999</v>
      </c>
      <c r="AZ19" s="5">
        <v>0.17013</v>
      </c>
      <c r="BA19" s="5">
        <v>0.12382</v>
      </c>
      <c r="BB19" s="5">
        <v>3.1143000000000001E-2</v>
      </c>
      <c r="BC19" s="5">
        <v>1.3093E-2</v>
      </c>
      <c r="BD19" s="5">
        <v>7.8720999999999999E-3</v>
      </c>
      <c r="BE19" s="5"/>
      <c r="BF19" s="5"/>
      <c r="BG19" s="5"/>
      <c r="BH19" s="5"/>
      <c r="BI19" s="5"/>
      <c r="BJ19" s="5"/>
    </row>
    <row r="20" spans="1:62">
      <c r="A20" t="s">
        <v>62</v>
      </c>
      <c r="B20" s="54">
        <v>45083</v>
      </c>
      <c r="C20" s="119">
        <v>15</v>
      </c>
      <c r="D20" s="64">
        <v>2.7205799812697595</v>
      </c>
      <c r="E20" s="84">
        <v>0.41060037957541656</v>
      </c>
      <c r="F20" s="126" t="s">
        <v>51</v>
      </c>
      <c r="G20" s="8">
        <v>7.49</v>
      </c>
      <c r="H20" s="9">
        <v>279.8</v>
      </c>
      <c r="I20" s="9">
        <v>35.5</v>
      </c>
      <c r="J20" s="8">
        <v>4.01</v>
      </c>
      <c r="K20" s="10">
        <v>414</v>
      </c>
      <c r="L20" s="8">
        <v>7.11</v>
      </c>
      <c r="M20" s="8">
        <v>1.66</v>
      </c>
      <c r="N20" s="24"/>
      <c r="O20" s="1">
        <v>8.3620000000000001</v>
      </c>
      <c r="P20" s="1">
        <v>8.4220000000000006</v>
      </c>
      <c r="Q20" s="1">
        <v>5.2605000000000004</v>
      </c>
      <c r="R20" s="33" t="s">
        <v>59</v>
      </c>
      <c r="S20" s="9">
        <v>3.4</v>
      </c>
      <c r="T20" s="8">
        <v>0.03</v>
      </c>
      <c r="U20" s="31">
        <v>48</v>
      </c>
      <c r="V20" s="8">
        <v>0.09</v>
      </c>
      <c r="W20" s="9">
        <v>30</v>
      </c>
      <c r="X20" s="31">
        <v>10</v>
      </c>
      <c r="Y20" s="5">
        <v>1.29E-2</v>
      </c>
      <c r="Z20" s="5">
        <v>1.4500000000000001E-2</v>
      </c>
      <c r="AA20" s="5">
        <v>0.03</v>
      </c>
      <c r="AB20" s="2">
        <v>33.093499999999999</v>
      </c>
      <c r="AC20" s="5">
        <v>1.15E-2</v>
      </c>
      <c r="AD20" s="2">
        <v>4.6226000000000003</v>
      </c>
      <c r="AE20" s="2">
        <v>9.6991999999999994</v>
      </c>
      <c r="AF20" s="5">
        <v>1.1000000000000001E-3</v>
      </c>
      <c r="AG20" s="2">
        <v>9.0259999999999998</v>
      </c>
      <c r="AH20" s="5">
        <v>-5.9999999999999995E-4</v>
      </c>
      <c r="AI20" s="5">
        <v>1.12E-2</v>
      </c>
      <c r="AJ20" s="2">
        <v>3.661</v>
      </c>
      <c r="AK20" s="2">
        <v>8.7575757575757578</v>
      </c>
      <c r="AL20" s="5">
        <v>2.5748000000000002</v>
      </c>
      <c r="AM20" s="5">
        <v>0.13097</v>
      </c>
      <c r="AN20" s="5">
        <v>9.1955999999999996E-2</v>
      </c>
      <c r="AO20" s="5">
        <v>1.7607000000000001E-2</v>
      </c>
      <c r="AP20" s="5">
        <v>4.4793999999999997E-3</v>
      </c>
      <c r="AQ20" s="5">
        <v>1.0962000000000001E-3</v>
      </c>
      <c r="AR20" s="5"/>
      <c r="AS20" s="5"/>
      <c r="AT20" s="5"/>
      <c r="AU20" s="5"/>
      <c r="AV20" s="5"/>
      <c r="AW20" s="5"/>
      <c r="AX20" s="2">
        <f t="shared" si="0"/>
        <v>1.5550938019472809</v>
      </c>
      <c r="AY20" s="5">
        <v>2.6002999999999998</v>
      </c>
      <c r="AZ20" s="5">
        <v>0.13994999999999999</v>
      </c>
      <c r="BA20" s="5">
        <v>9.9854999999999999E-2</v>
      </c>
      <c r="BB20" s="5">
        <v>2.1347999999999999E-2</v>
      </c>
      <c r="BC20" s="5">
        <v>8.3613000000000003E-3</v>
      </c>
      <c r="BD20" s="5">
        <v>4.7717000000000002E-3</v>
      </c>
      <c r="BE20" s="5"/>
      <c r="BF20" s="5"/>
      <c r="BG20" s="5"/>
      <c r="BH20" s="5"/>
      <c r="BI20" s="5"/>
      <c r="BJ20" s="5"/>
    </row>
    <row r="21" spans="1:62">
      <c r="A21" t="s">
        <v>62</v>
      </c>
      <c r="B21" s="54">
        <v>45083</v>
      </c>
      <c r="C21" s="119">
        <v>20</v>
      </c>
      <c r="D21" s="64">
        <v>2.7781931296691651</v>
      </c>
      <c r="E21" s="84">
        <v>0.30595986104984407</v>
      </c>
      <c r="F21" s="126" t="s">
        <v>51</v>
      </c>
      <c r="G21" s="8">
        <v>7.48</v>
      </c>
      <c r="H21" s="9">
        <v>279</v>
      </c>
      <c r="I21" s="9">
        <v>36.4</v>
      </c>
      <c r="J21" s="8">
        <v>4.1500000000000004</v>
      </c>
      <c r="K21" s="10">
        <v>415</v>
      </c>
      <c r="L21" s="8">
        <v>6.74</v>
      </c>
      <c r="M21" s="8">
        <v>1.64</v>
      </c>
      <c r="N21" s="24"/>
      <c r="O21" s="1">
        <v>8.1810000000000009</v>
      </c>
      <c r="P21" s="1">
        <v>7.9574999999999996</v>
      </c>
      <c r="Q21" s="1">
        <v>5.13</v>
      </c>
      <c r="R21" s="33" t="s">
        <v>59</v>
      </c>
      <c r="S21" s="9">
        <v>2.8</v>
      </c>
      <c r="T21" s="8">
        <v>0.06</v>
      </c>
      <c r="U21" s="31">
        <v>51</v>
      </c>
      <c r="V21" s="8">
        <v>0.05</v>
      </c>
      <c r="W21" s="9">
        <v>30.4</v>
      </c>
      <c r="X21" s="31">
        <v>10</v>
      </c>
      <c r="Y21" s="5">
        <v>1.06E-2</v>
      </c>
      <c r="Z21" s="5">
        <v>1.26E-2</v>
      </c>
      <c r="AA21" s="5">
        <v>2.98E-2</v>
      </c>
      <c r="AB21" s="2">
        <v>32.724800000000002</v>
      </c>
      <c r="AC21" s="5">
        <v>7.7000000000000002E-3</v>
      </c>
      <c r="AD21" s="2">
        <v>4.9561999999999999</v>
      </c>
      <c r="AE21" s="2">
        <v>9.5113000000000003</v>
      </c>
      <c r="AF21" s="5">
        <v>1.1000000000000001E-3</v>
      </c>
      <c r="AG21" s="2">
        <v>9.0055999999999994</v>
      </c>
      <c r="AH21" s="5">
        <v>-8.0000000000000004E-4</v>
      </c>
      <c r="AI21" s="5">
        <v>1.34E-2</v>
      </c>
      <c r="AJ21" s="2">
        <v>3.718</v>
      </c>
      <c r="AK21" s="2">
        <v>8.7575757575757578</v>
      </c>
      <c r="AL21" s="5">
        <v>2.5611999999999999</v>
      </c>
      <c r="AM21" s="5">
        <v>0.12917000000000001</v>
      </c>
      <c r="AN21" s="5">
        <v>9.0427999999999994E-2</v>
      </c>
      <c r="AO21" s="5">
        <v>1.7090000000000001E-2</v>
      </c>
      <c r="AP21" s="5">
        <v>4.3483000000000003E-3</v>
      </c>
      <c r="AQ21" s="5">
        <v>1.0581E-3</v>
      </c>
      <c r="AR21" s="5"/>
      <c r="AS21" s="5"/>
      <c r="AT21" s="5"/>
      <c r="AU21" s="5"/>
      <c r="AV21" s="5"/>
      <c r="AW21" s="5"/>
      <c r="AX21" s="2">
        <f t="shared" si="0"/>
        <v>1.6232485076971412</v>
      </c>
      <c r="AY21" s="5">
        <v>2.5573999999999999</v>
      </c>
      <c r="AZ21" s="5">
        <v>0.13819999999999999</v>
      </c>
      <c r="BA21" s="5">
        <v>9.8113000000000006E-2</v>
      </c>
      <c r="BB21" s="5">
        <v>2.1904E-2</v>
      </c>
      <c r="BC21" s="5">
        <v>9.2753999999999996E-3</v>
      </c>
      <c r="BD21" s="5">
        <v>5.6033000000000003E-3</v>
      </c>
      <c r="BE21" s="5"/>
      <c r="BF21" s="5"/>
      <c r="BG21" s="5"/>
      <c r="BH21" s="5"/>
      <c r="BI21" s="5"/>
      <c r="BJ21" s="5"/>
    </row>
    <row r="22" spans="1:62">
      <c r="A22" t="s">
        <v>62</v>
      </c>
      <c r="B22" s="54">
        <v>45083</v>
      </c>
      <c r="C22" s="132">
        <v>30</v>
      </c>
      <c r="D22" s="133">
        <v>5.0078165340969409</v>
      </c>
      <c r="E22" s="134">
        <v>0.33548453439385029</v>
      </c>
      <c r="F22" s="135" t="s">
        <v>51</v>
      </c>
      <c r="G22" s="136">
        <v>7.34</v>
      </c>
      <c r="H22" s="137">
        <v>279.89999999999998</v>
      </c>
      <c r="I22" s="137">
        <v>4.7</v>
      </c>
      <c r="J22" s="138">
        <v>0.53</v>
      </c>
      <c r="K22" s="136">
        <v>424</v>
      </c>
      <c r="L22" s="138">
        <v>6.57</v>
      </c>
      <c r="M22" s="138">
        <v>2.06</v>
      </c>
      <c r="N22" s="139"/>
      <c r="O22" s="140">
        <v>10.395</v>
      </c>
      <c r="P22" s="140">
        <v>8.0724999999999998</v>
      </c>
      <c r="Q22" s="140">
        <v>4.4335000000000004</v>
      </c>
      <c r="R22" s="141">
        <v>3</v>
      </c>
      <c r="S22" s="137">
        <v>2.1</v>
      </c>
      <c r="T22" s="138">
        <v>0.46</v>
      </c>
      <c r="U22" s="142">
        <v>45</v>
      </c>
      <c r="V22" s="138">
        <v>0.05</v>
      </c>
      <c r="W22" s="137">
        <v>30.2</v>
      </c>
      <c r="X22" s="142">
        <v>13</v>
      </c>
      <c r="Y22" s="143">
        <v>5.8999999999999999E-3</v>
      </c>
      <c r="Z22" s="143">
        <v>1.2999999999999999E-2</v>
      </c>
      <c r="AA22" s="143">
        <v>3.2099999999999997E-2</v>
      </c>
      <c r="AB22" s="145">
        <v>34.090000000000003</v>
      </c>
      <c r="AC22" s="143">
        <v>3.1399999999999997E-2</v>
      </c>
      <c r="AD22" s="145">
        <v>4.7450999999999999</v>
      </c>
      <c r="AE22" s="145">
        <v>10.084300000000001</v>
      </c>
      <c r="AF22" s="143">
        <v>0.91830000000000001</v>
      </c>
      <c r="AG22" s="145">
        <v>9.2604000000000006</v>
      </c>
      <c r="AH22" s="143">
        <v>-8.0000000000000004E-4</v>
      </c>
      <c r="AI22" s="143">
        <v>7.1999999999999998E-3</v>
      </c>
      <c r="AJ22" s="145">
        <v>4.4660000000000002</v>
      </c>
      <c r="AK22" s="145">
        <v>47.848484848484851</v>
      </c>
      <c r="AL22" s="143">
        <v>1.8861000000000001</v>
      </c>
      <c r="AM22" s="143">
        <v>0.13314999999999999</v>
      </c>
      <c r="AN22" s="143">
        <v>9.3268000000000004E-2</v>
      </c>
      <c r="AO22" s="143">
        <v>1.8086999999999999E-2</v>
      </c>
      <c r="AP22" s="143">
        <v>4.7698000000000003E-3</v>
      </c>
      <c r="AQ22" s="143">
        <v>1.3232000000000001E-3</v>
      </c>
      <c r="AR22" s="143"/>
      <c r="AS22" s="143"/>
      <c r="AT22" s="143"/>
      <c r="AU22" s="143"/>
      <c r="AV22" s="143"/>
      <c r="AW22" s="143"/>
      <c r="AX22" s="145">
        <f t="shared" si="0"/>
        <v>1.6494270672034685</v>
      </c>
      <c r="AY22" s="143">
        <v>1.9597</v>
      </c>
      <c r="AZ22" s="143">
        <v>0.19825000000000001</v>
      </c>
      <c r="BA22" s="143">
        <v>0.15812999999999999</v>
      </c>
      <c r="BB22" s="143">
        <v>7.3402999999999996E-2</v>
      </c>
      <c r="BC22" s="143">
        <v>5.1477000000000002E-2</v>
      </c>
      <c r="BD22" s="143">
        <v>3.9628999999999998E-2</v>
      </c>
      <c r="BE22" s="143"/>
      <c r="BF22" s="143"/>
      <c r="BG22" s="143"/>
      <c r="BH22" s="143"/>
      <c r="BI22" s="143"/>
      <c r="BJ22" s="143"/>
    </row>
    <row r="23" spans="1:62">
      <c r="A23" t="s">
        <v>62</v>
      </c>
      <c r="B23" s="54">
        <v>45118</v>
      </c>
      <c r="C23" s="119">
        <v>0</v>
      </c>
      <c r="D23" s="99">
        <v>1.1739940054333196</v>
      </c>
      <c r="E23" s="65">
        <v>0.37103978584811181</v>
      </c>
      <c r="F23" s="127">
        <v>8.1438834573900318E-2</v>
      </c>
      <c r="G23" s="8">
        <v>9.08</v>
      </c>
      <c r="H23" s="9">
        <v>227.3</v>
      </c>
      <c r="I23" s="9">
        <v>138.80000000000001</v>
      </c>
      <c r="J23" s="8">
        <v>11.12</v>
      </c>
      <c r="K23" s="10">
        <v>390</v>
      </c>
      <c r="L23" s="8">
        <v>24.1</v>
      </c>
      <c r="M23" s="8">
        <v>1.49</v>
      </c>
      <c r="N23" s="24"/>
      <c r="O23" s="1">
        <v>10.965</v>
      </c>
      <c r="P23" s="1">
        <v>9.2624999999999993</v>
      </c>
      <c r="Q23" s="1">
        <v>7.8665000000000003</v>
      </c>
      <c r="R23" s="20">
        <v>5.8000000000000003E-2</v>
      </c>
      <c r="S23" s="9">
        <v>3</v>
      </c>
      <c r="T23" s="8">
        <v>0.05</v>
      </c>
      <c r="U23" s="31">
        <v>51</v>
      </c>
      <c r="V23" s="8">
        <v>0.05</v>
      </c>
      <c r="W23" s="9">
        <v>29</v>
      </c>
      <c r="X23" s="31">
        <v>12</v>
      </c>
      <c r="Y23" s="5">
        <v>1.175E-2</v>
      </c>
      <c r="Z23" s="5">
        <v>1.985E-2</v>
      </c>
      <c r="AA23" s="5">
        <v>3.2100000000000004E-2</v>
      </c>
      <c r="AB23" s="2">
        <v>33.427850000000007</v>
      </c>
      <c r="AC23" s="5">
        <v>1.915E-2</v>
      </c>
      <c r="AD23" s="2">
        <v>4.6636499999999996</v>
      </c>
      <c r="AE23" s="2">
        <v>9.6068999999999996</v>
      </c>
      <c r="AF23" s="5">
        <v>1.0500000000000002E-3</v>
      </c>
      <c r="AG23" s="2">
        <v>10.599550000000001</v>
      </c>
      <c r="AH23" s="5">
        <v>-4.4999999999999999E-4</v>
      </c>
      <c r="AI23" s="5">
        <v>2.2499999999999998E-3</v>
      </c>
      <c r="AJ23" s="2">
        <v>0.495</v>
      </c>
      <c r="AK23" s="2">
        <v>18.2</v>
      </c>
      <c r="AL23" s="5">
        <v>2.5972</v>
      </c>
      <c r="AM23" s="5">
        <v>0.14377999999999999</v>
      </c>
      <c r="AN23" s="5">
        <v>9.7800999999999999E-2</v>
      </c>
      <c r="AO23" s="5">
        <v>1.6279999999999999E-2</v>
      </c>
      <c r="AP23" s="5">
        <v>5.6166999999999996E-3</v>
      </c>
      <c r="AQ23" s="5">
        <v>2.6568999999999998E-3</v>
      </c>
      <c r="AR23" s="5">
        <v>1.9608E-3</v>
      </c>
      <c r="AS23" s="5">
        <v>1.5292000000000001E-3</v>
      </c>
      <c r="AT23" s="5">
        <v>1.0939000000000001E-3</v>
      </c>
      <c r="AU23" s="5">
        <v>9.6369000000000001E-4</v>
      </c>
      <c r="AV23" s="5">
        <v>8.9169E-4</v>
      </c>
      <c r="AW23" s="5">
        <v>7.7295E-4</v>
      </c>
      <c r="AX23" s="2">
        <f t="shared" si="0"/>
        <v>1.5522807017543858</v>
      </c>
      <c r="AY23" s="5">
        <v>2.6476000000000002</v>
      </c>
      <c r="AZ23" s="5">
        <v>0.17654</v>
      </c>
      <c r="BA23" s="5">
        <v>0.12545999999999999</v>
      </c>
      <c r="BB23" s="5">
        <v>3.4071999999999998E-2</v>
      </c>
      <c r="BC23" s="5">
        <v>1.9987999999999999E-2</v>
      </c>
      <c r="BD23" s="5">
        <v>1.4071E-2</v>
      </c>
      <c r="BE23" s="5">
        <v>1.2024999999999999E-2</v>
      </c>
      <c r="BF23" s="5">
        <v>9.8329000000000003E-3</v>
      </c>
      <c r="BG23" s="5">
        <v>8.8252999999999995E-3</v>
      </c>
      <c r="BH23" s="5">
        <v>8.2488000000000006E-3</v>
      </c>
      <c r="BI23" s="5">
        <v>7.7733999999999998E-3</v>
      </c>
      <c r="BJ23" s="5">
        <v>6.9113000000000004E-3</v>
      </c>
    </row>
    <row r="24" spans="1:62">
      <c r="A24" t="s">
        <v>62</v>
      </c>
      <c r="B24" s="54">
        <v>45118</v>
      </c>
      <c r="C24" s="119">
        <v>2.5</v>
      </c>
      <c r="D24" s="99">
        <v>1.1222936920228785</v>
      </c>
      <c r="E24" s="65">
        <v>0.36876947865256643</v>
      </c>
      <c r="F24" s="127">
        <v>7.890537076738588E-2</v>
      </c>
      <c r="G24" s="8">
        <v>9.08</v>
      </c>
      <c r="H24" s="9">
        <v>230.5</v>
      </c>
      <c r="I24" s="9">
        <v>139</v>
      </c>
      <c r="J24" s="8">
        <v>11.16</v>
      </c>
      <c r="K24" s="10">
        <v>390</v>
      </c>
      <c r="L24" s="8">
        <v>23.97</v>
      </c>
      <c r="M24" s="8">
        <v>1.44</v>
      </c>
      <c r="N24" s="24"/>
      <c r="O24" s="1">
        <v>10.845000000000001</v>
      </c>
      <c r="P24" s="1">
        <v>9.1780000000000008</v>
      </c>
      <c r="Q24" s="1">
        <v>7.8129999999999997</v>
      </c>
      <c r="R24" s="20">
        <v>5.0999999999999997E-2</v>
      </c>
      <c r="S24" s="9">
        <v>2.9</v>
      </c>
      <c r="T24" s="8">
        <v>0.32</v>
      </c>
      <c r="U24" s="31">
        <v>52</v>
      </c>
      <c r="V24" s="8">
        <v>0.03</v>
      </c>
      <c r="W24" s="9">
        <v>32.6</v>
      </c>
      <c r="X24" s="31">
        <v>9</v>
      </c>
      <c r="Y24" s="5">
        <v>1.235E-2</v>
      </c>
      <c r="Z24" s="5">
        <v>1.84E-2</v>
      </c>
      <c r="AA24" s="5">
        <v>3.2299999999999995E-2</v>
      </c>
      <c r="AB24" s="2">
        <v>33.0441</v>
      </c>
      <c r="AC24" s="5">
        <v>1.7399999999999999E-2</v>
      </c>
      <c r="AD24" s="2">
        <v>4.6768000000000001</v>
      </c>
      <c r="AE24" s="2">
        <v>9.6471</v>
      </c>
      <c r="AF24" s="5">
        <v>9.5E-4</v>
      </c>
      <c r="AG24" s="2">
        <v>10.58445</v>
      </c>
      <c r="AH24" s="5">
        <v>-4.4999999999999999E-4</v>
      </c>
      <c r="AI24" s="5">
        <v>5.1999999999999998E-3</v>
      </c>
      <c r="AJ24" s="2">
        <v>0.497</v>
      </c>
      <c r="AK24" s="2">
        <v>17.8</v>
      </c>
      <c r="AL24" s="5">
        <v>2.5931999999999999</v>
      </c>
      <c r="AM24" s="5">
        <v>0.14363999999999999</v>
      </c>
      <c r="AN24" s="5">
        <v>9.7396999999999997E-2</v>
      </c>
      <c r="AO24" s="5">
        <v>1.7014000000000001E-2</v>
      </c>
      <c r="AP24" s="5">
        <v>6.1916999999999996E-3</v>
      </c>
      <c r="AQ24" s="5">
        <v>3.2363000000000001E-3</v>
      </c>
      <c r="AR24" s="5">
        <v>2.4594999999999999E-3</v>
      </c>
      <c r="AS24" s="5">
        <v>1.9778999999999999E-3</v>
      </c>
      <c r="AT24" s="5">
        <v>1.5616E-3</v>
      </c>
      <c r="AU24" s="5">
        <v>1.3914000000000001E-3</v>
      </c>
      <c r="AV24" s="5">
        <v>1.3423E-3</v>
      </c>
      <c r="AW24" s="5">
        <v>1.2469E-3</v>
      </c>
      <c r="AX24" s="2">
        <f t="shared" si="0"/>
        <v>1.5650468511658311</v>
      </c>
      <c r="AY24" s="5">
        <v>2.6448999999999998</v>
      </c>
      <c r="AZ24" s="5">
        <v>0.17677999999999999</v>
      </c>
      <c r="BA24" s="5">
        <v>0.12548999999999999</v>
      </c>
      <c r="BB24" s="5">
        <v>3.4596000000000002E-2</v>
      </c>
      <c r="BC24" s="5">
        <v>2.0511999999999999E-2</v>
      </c>
      <c r="BD24" s="5">
        <v>1.4066E-2</v>
      </c>
      <c r="BE24" s="5">
        <v>1.2008E-2</v>
      </c>
      <c r="BF24" s="5">
        <v>9.9196000000000006E-3</v>
      </c>
      <c r="BG24" s="5">
        <v>8.7837999999999996E-3</v>
      </c>
      <c r="BH24" s="5">
        <v>8.0514000000000002E-3</v>
      </c>
      <c r="BI24" s="5">
        <v>7.6647E-3</v>
      </c>
      <c r="BJ24" s="5">
        <v>6.7143000000000003E-3</v>
      </c>
    </row>
    <row r="25" spans="1:62">
      <c r="A25" t="s">
        <v>62</v>
      </c>
      <c r="B25" s="54">
        <v>45118</v>
      </c>
      <c r="C25" s="119">
        <v>5</v>
      </c>
      <c r="D25" s="64">
        <v>1.5021807844304804</v>
      </c>
      <c r="E25" s="65">
        <v>0.35479154396037377</v>
      </c>
      <c r="F25" s="127">
        <v>9.1425620667672375E-2</v>
      </c>
      <c r="G25" s="8">
        <v>8.5</v>
      </c>
      <c r="H25" s="9">
        <v>259</v>
      </c>
      <c r="I25" s="9">
        <v>93.2</v>
      </c>
      <c r="J25" s="8">
        <v>8.52</v>
      </c>
      <c r="K25" s="10">
        <v>409</v>
      </c>
      <c r="L25" s="8">
        <v>17.41</v>
      </c>
      <c r="M25" s="8">
        <v>1.66</v>
      </c>
      <c r="N25" s="24"/>
      <c r="O25" s="1">
        <v>12.46</v>
      </c>
      <c r="P25" s="1">
        <v>8.5984999999999996</v>
      </c>
      <c r="Q25" s="1">
        <v>8.5190000000000001</v>
      </c>
      <c r="R25" s="20">
        <v>5.1999999999999998E-2</v>
      </c>
      <c r="S25" s="9">
        <v>3.5</v>
      </c>
      <c r="T25" s="8">
        <v>0.03</v>
      </c>
      <c r="U25" s="31">
        <v>49</v>
      </c>
      <c r="V25" s="8">
        <v>0.03</v>
      </c>
      <c r="W25" s="9">
        <v>32.799999999999997</v>
      </c>
      <c r="X25" s="31">
        <v>19</v>
      </c>
      <c r="Y25" s="5">
        <v>8.6E-3</v>
      </c>
      <c r="Z25" s="5">
        <v>1.7899999999999999E-2</v>
      </c>
      <c r="AA25" s="5">
        <v>3.4699999999999995E-2</v>
      </c>
      <c r="AB25" s="2">
        <v>35.646749999999997</v>
      </c>
      <c r="AC25" s="5">
        <v>1.7300000000000003E-2</v>
      </c>
      <c r="AD25" s="2">
        <v>4.61395</v>
      </c>
      <c r="AE25" s="2">
        <v>9.3407</v>
      </c>
      <c r="AF25" s="5">
        <v>6.0000000000000006E-4</v>
      </c>
      <c r="AG25" s="2">
        <v>10.441849999999999</v>
      </c>
      <c r="AH25" s="5">
        <v>-4.4999999999999999E-4</v>
      </c>
      <c r="AI25" s="5">
        <v>5.0000000000000001E-3</v>
      </c>
      <c r="AJ25" s="2">
        <v>1.0965</v>
      </c>
      <c r="AK25" s="2">
        <v>39.4</v>
      </c>
      <c r="AL25" s="5">
        <v>2.6511</v>
      </c>
      <c r="AM25" s="5">
        <v>0.15246999999999999</v>
      </c>
      <c r="AN25" s="5">
        <v>0.10654</v>
      </c>
      <c r="AO25" s="5">
        <v>2.0441999999999998E-2</v>
      </c>
      <c r="AP25" s="5">
        <v>6.0096000000000004E-3</v>
      </c>
      <c r="AQ25" s="5">
        <v>2.7994999999999999E-3</v>
      </c>
      <c r="AR25" s="5">
        <v>2.0747000000000001E-3</v>
      </c>
      <c r="AS25" s="5">
        <v>1.3542000000000001E-3</v>
      </c>
      <c r="AT25" s="5">
        <v>1.0552000000000001E-3</v>
      </c>
      <c r="AU25" s="5">
        <v>9.4985999999999996E-4</v>
      </c>
      <c r="AV25" s="5">
        <v>8.3589999999999999E-4</v>
      </c>
      <c r="AW25" s="5">
        <v>7.3957000000000005E-4</v>
      </c>
      <c r="AX25" s="2">
        <f t="shared" si="0"/>
        <v>1.7732162586497646</v>
      </c>
      <c r="AY25" s="5">
        <v>2.7563</v>
      </c>
      <c r="AZ25" s="5">
        <v>0.24024999999999999</v>
      </c>
      <c r="BA25" s="5">
        <v>0.18168000000000001</v>
      </c>
      <c r="BB25" s="5">
        <v>6.7040000000000002E-2</v>
      </c>
      <c r="BC25" s="5">
        <v>4.3577999999999999E-2</v>
      </c>
      <c r="BD25" s="5">
        <v>3.0294000000000001E-2</v>
      </c>
      <c r="BE25" s="5">
        <v>2.7352999999999999E-2</v>
      </c>
      <c r="BF25" s="5">
        <v>2.1863E-2</v>
      </c>
      <c r="BG25" s="5">
        <v>1.9904000000000002E-2</v>
      </c>
      <c r="BH25" s="5">
        <v>1.8103999999999999E-2</v>
      </c>
      <c r="BI25" s="5">
        <v>1.6632000000000001E-2</v>
      </c>
      <c r="BJ25" s="5">
        <v>1.4411E-2</v>
      </c>
    </row>
    <row r="26" spans="1:62">
      <c r="A26" t="s">
        <v>62</v>
      </c>
      <c r="B26" s="54">
        <v>45118</v>
      </c>
      <c r="C26" s="119">
        <v>7.5</v>
      </c>
      <c r="D26" s="64">
        <v>2.5170330182714249</v>
      </c>
      <c r="E26" s="65">
        <v>0.36773624854094955</v>
      </c>
      <c r="F26" s="127">
        <v>7.7860673352013604E-2</v>
      </c>
      <c r="G26" s="8">
        <v>7.49</v>
      </c>
      <c r="H26" s="9">
        <v>268.7</v>
      </c>
      <c r="I26" s="9">
        <v>4.0999999999999996</v>
      </c>
      <c r="J26" s="8">
        <v>0.44</v>
      </c>
      <c r="K26" s="10">
        <v>410</v>
      </c>
      <c r="L26" s="8">
        <v>9.77</v>
      </c>
      <c r="M26" s="8">
        <v>1.73</v>
      </c>
      <c r="N26" s="24"/>
      <c r="O26" s="1">
        <v>10.265000000000001</v>
      </c>
      <c r="P26" s="1">
        <v>8.3874999999999993</v>
      </c>
      <c r="Q26" s="1">
        <v>8.3335000000000008</v>
      </c>
      <c r="R26" s="20">
        <v>0.159</v>
      </c>
      <c r="S26" s="9">
        <v>3.5</v>
      </c>
      <c r="T26" s="8">
        <v>0.09</v>
      </c>
      <c r="U26" s="31">
        <v>48</v>
      </c>
      <c r="V26" s="8">
        <v>0.04</v>
      </c>
      <c r="W26" s="9">
        <v>33.200000000000003</v>
      </c>
      <c r="X26" s="31">
        <v>22</v>
      </c>
      <c r="Y26" s="5">
        <v>7.6E-3</v>
      </c>
      <c r="Z26" s="5">
        <v>1.7399999999999999E-2</v>
      </c>
      <c r="AA26" s="5">
        <v>3.5250000000000004E-2</v>
      </c>
      <c r="AB26" s="2">
        <v>37.129099999999994</v>
      </c>
      <c r="AC26" s="5">
        <v>1.8250000000000002E-2</v>
      </c>
      <c r="AD26" s="2">
        <v>4.7201000000000004</v>
      </c>
      <c r="AE26" s="2">
        <v>9.1789500000000004</v>
      </c>
      <c r="AF26" s="5">
        <v>7.2649999999999992E-2</v>
      </c>
      <c r="AG26" s="2">
        <v>10.50855</v>
      </c>
      <c r="AH26" s="5">
        <v>-6.0000000000000006E-4</v>
      </c>
      <c r="AI26" s="5">
        <v>4.8000000000000004E-3</v>
      </c>
      <c r="AJ26" s="2">
        <v>2.7145000000000001</v>
      </c>
      <c r="AK26" s="2">
        <v>30.3</v>
      </c>
      <c r="AL26" s="5">
        <v>2.6579999999999999</v>
      </c>
      <c r="AM26" s="5">
        <v>0.16089000000000001</v>
      </c>
      <c r="AN26" s="5">
        <v>0.11491999999999999</v>
      </c>
      <c r="AO26" s="5">
        <v>2.648E-2</v>
      </c>
      <c r="AP26" s="5">
        <v>1.0187999999999999E-2</v>
      </c>
      <c r="AQ26" s="5">
        <v>5.4622000000000004E-3</v>
      </c>
      <c r="AR26" s="5">
        <v>4.3477999999999998E-3</v>
      </c>
      <c r="AS26" s="5">
        <v>3.2166999999999999E-3</v>
      </c>
      <c r="AT26" s="5">
        <v>2.6773999999999999E-3</v>
      </c>
      <c r="AU26" s="5">
        <v>2.4004E-3</v>
      </c>
      <c r="AV26" s="5">
        <v>2.1852999999999998E-3</v>
      </c>
      <c r="AW26" s="5">
        <v>1.7676E-3</v>
      </c>
      <c r="AX26" s="2">
        <f t="shared" si="0"/>
        <v>1.9182116244411331</v>
      </c>
      <c r="AY26" s="5">
        <v>2.7275999999999998</v>
      </c>
      <c r="AZ26" s="5">
        <v>0.20449000000000001</v>
      </c>
      <c r="BA26" s="5">
        <v>0.15353</v>
      </c>
      <c r="BB26" s="5">
        <v>5.2477999999999997E-2</v>
      </c>
      <c r="BC26" s="5">
        <v>3.1577000000000001E-2</v>
      </c>
      <c r="BD26" s="5">
        <v>2.1999000000000001E-2</v>
      </c>
      <c r="BE26" s="5">
        <v>1.9869000000000001E-2</v>
      </c>
      <c r="BF26" s="5">
        <v>1.6274E-2</v>
      </c>
      <c r="BG26" s="5">
        <v>1.4690999999999999E-2</v>
      </c>
      <c r="BH26" s="5">
        <v>1.3584000000000001E-2</v>
      </c>
      <c r="BI26" s="5">
        <v>1.273E-2</v>
      </c>
      <c r="BJ26" s="5">
        <v>1.1181E-2</v>
      </c>
    </row>
    <row r="27" spans="1:62">
      <c r="A27" t="s">
        <v>62</v>
      </c>
      <c r="B27" s="54">
        <v>45118</v>
      </c>
      <c r="C27" s="119">
        <v>10</v>
      </c>
      <c r="D27" s="64">
        <v>3.1913514790223765</v>
      </c>
      <c r="E27" s="65">
        <v>0.30886164508109804</v>
      </c>
      <c r="F27" s="127">
        <v>6.7792670683192197E-2</v>
      </c>
      <c r="G27" s="8">
        <v>7.44</v>
      </c>
      <c r="H27" s="9">
        <v>265.8</v>
      </c>
      <c r="I27" s="9">
        <v>3.4</v>
      </c>
      <c r="J27" s="8">
        <v>0.38</v>
      </c>
      <c r="K27" s="10">
        <v>404</v>
      </c>
      <c r="L27" s="8">
        <v>8.24</v>
      </c>
      <c r="M27" s="8">
        <v>1.64</v>
      </c>
      <c r="N27" s="24"/>
      <c r="O27" s="1">
        <v>8.4550000000000001</v>
      </c>
      <c r="P27" s="1">
        <v>7.7545000000000002</v>
      </c>
      <c r="Q27" s="1">
        <v>8.1615000000000002</v>
      </c>
      <c r="R27" s="20">
        <v>0.08</v>
      </c>
      <c r="S27" s="9">
        <v>3</v>
      </c>
      <c r="T27" s="8">
        <v>0.05</v>
      </c>
      <c r="U27" s="31">
        <v>47</v>
      </c>
      <c r="V27" s="8">
        <v>0.05</v>
      </c>
      <c r="W27" s="9">
        <v>33</v>
      </c>
      <c r="X27" s="31">
        <v>17</v>
      </c>
      <c r="Y27" s="5">
        <v>7.7499999999999999E-3</v>
      </c>
      <c r="Z27" s="5">
        <v>1.7100000000000001E-2</v>
      </c>
      <c r="AA27" s="5">
        <v>3.2800000000000003E-2</v>
      </c>
      <c r="AB27" s="2">
        <v>36.263100000000001</v>
      </c>
      <c r="AC27" s="5">
        <v>2.0999999999999998E-2</v>
      </c>
      <c r="AD27" s="2">
        <v>4.7343999999999999</v>
      </c>
      <c r="AE27" s="2">
        <v>9.0980999999999987</v>
      </c>
      <c r="AF27" s="5">
        <v>5.5150000000000005E-2</v>
      </c>
      <c r="AG27" s="2">
        <v>10.52125</v>
      </c>
      <c r="AH27" s="5">
        <v>-4.4999999999999999E-4</v>
      </c>
      <c r="AI27" s="5">
        <v>6.0499999999999998E-3</v>
      </c>
      <c r="AJ27" s="2">
        <v>3.8105000000000002</v>
      </c>
      <c r="AK27" s="2">
        <v>13.9</v>
      </c>
      <c r="AL27" s="5">
        <v>2.6941999999999999</v>
      </c>
      <c r="AM27" s="5">
        <v>0.15265000000000001</v>
      </c>
      <c r="AN27" s="5">
        <v>0.10818999999999999</v>
      </c>
      <c r="AO27" s="5">
        <v>2.2107000000000002E-2</v>
      </c>
      <c r="AP27" s="5">
        <v>6.2337E-3</v>
      </c>
      <c r="AQ27" s="5">
        <v>2.1148E-3</v>
      </c>
      <c r="AR27" s="5">
        <v>1.3385000000000001E-3</v>
      </c>
      <c r="AS27" s="5">
        <v>6.9141000000000005E-4</v>
      </c>
      <c r="AT27" s="5">
        <v>3.4618000000000002E-4</v>
      </c>
      <c r="AU27" s="5">
        <v>2.9898000000000001E-4</v>
      </c>
      <c r="AV27" s="5">
        <v>1.9311999999999999E-4</v>
      </c>
      <c r="AW27" s="5">
        <v>7.8201000000000006E-5</v>
      </c>
      <c r="AX27" s="2">
        <f t="shared" si="0"/>
        <v>1.9685343993810047</v>
      </c>
      <c r="AY27" s="5">
        <v>2.7267000000000001</v>
      </c>
      <c r="AZ27" s="5">
        <v>0.17541999999999999</v>
      </c>
      <c r="BA27" s="5">
        <v>0.12853000000000001</v>
      </c>
      <c r="BB27" s="5">
        <v>3.5763999999999997E-2</v>
      </c>
      <c r="BC27" s="5">
        <v>1.7017999999999998E-2</v>
      </c>
      <c r="BD27" s="5">
        <v>1.0399E-2</v>
      </c>
      <c r="BE27" s="5">
        <v>8.7408999999999994E-3</v>
      </c>
      <c r="BF27" s="5">
        <v>6.9608999999999999E-3</v>
      </c>
      <c r="BG27" s="5">
        <v>6.0806000000000002E-3</v>
      </c>
      <c r="BH27" s="5">
        <v>5.6915000000000004E-3</v>
      </c>
      <c r="BI27" s="5">
        <v>5.2871999999999997E-3</v>
      </c>
      <c r="BJ27" s="5">
        <v>4.6224999999999999E-3</v>
      </c>
    </row>
    <row r="28" spans="1:62">
      <c r="A28" t="s">
        <v>62</v>
      </c>
      <c r="B28" s="54">
        <v>45118</v>
      </c>
      <c r="C28" s="119">
        <v>15</v>
      </c>
      <c r="D28" s="64">
        <v>3.3356885645028647</v>
      </c>
      <c r="E28" s="65">
        <v>0.33273239758688633</v>
      </c>
      <c r="F28" s="127">
        <v>7.6302962913030251E-2</v>
      </c>
      <c r="G28" s="8">
        <v>7.41</v>
      </c>
      <c r="H28" s="9">
        <v>270.10000000000002</v>
      </c>
      <c r="I28" s="9">
        <v>28.3</v>
      </c>
      <c r="J28" s="8">
        <v>3.26</v>
      </c>
      <c r="K28" s="10">
        <v>412</v>
      </c>
      <c r="L28" s="8">
        <v>7.22</v>
      </c>
      <c r="M28" s="8">
        <v>1.69</v>
      </c>
      <c r="N28" s="24"/>
      <c r="O28" s="1">
        <v>7.8280000000000003</v>
      </c>
      <c r="P28" s="1">
        <v>7.4254999999999995</v>
      </c>
      <c r="Q28" s="1">
        <v>7.5694999999999997</v>
      </c>
      <c r="R28" s="20">
        <v>6.0000000000000001E-3</v>
      </c>
      <c r="S28" s="9">
        <v>2.8</v>
      </c>
      <c r="T28" s="8">
        <v>0.01</v>
      </c>
      <c r="U28" s="31">
        <v>50</v>
      </c>
      <c r="V28" s="8">
        <v>0.04</v>
      </c>
      <c r="W28" s="9">
        <v>34.4</v>
      </c>
      <c r="X28" s="31">
        <v>14</v>
      </c>
      <c r="Y28" s="5">
        <v>8.7500000000000008E-3</v>
      </c>
      <c r="Z28" s="5">
        <v>1.545E-2</v>
      </c>
      <c r="AA28" s="5">
        <v>0.03</v>
      </c>
      <c r="AB28" s="2">
        <v>35.489699999999999</v>
      </c>
      <c r="AC28" s="5">
        <v>2.2749999999999999E-2</v>
      </c>
      <c r="AD28" s="2">
        <v>4.7588500000000007</v>
      </c>
      <c r="AE28" s="2">
        <v>9.0645999999999987</v>
      </c>
      <c r="AF28" s="5">
        <v>4.6499999999999996E-3</v>
      </c>
      <c r="AG28" s="2">
        <v>10.61505</v>
      </c>
      <c r="AH28" s="5">
        <v>-3.5E-4</v>
      </c>
      <c r="AI28" s="5">
        <v>8.3499999999999998E-3</v>
      </c>
      <c r="AJ28" s="2">
        <v>3.8970000000000002</v>
      </c>
      <c r="AK28" s="2">
        <v>8.4499999999999993</v>
      </c>
      <c r="AL28" s="5">
        <v>2.6006999999999998</v>
      </c>
      <c r="AM28" s="5">
        <v>0.13830999999999999</v>
      </c>
      <c r="AN28" s="5">
        <v>9.7475999999999993E-2</v>
      </c>
      <c r="AO28" s="5">
        <v>1.9230000000000001E-2</v>
      </c>
      <c r="AP28" s="5">
        <v>5.6863E-3</v>
      </c>
      <c r="AQ28" s="5">
        <v>1.8481999999999999E-3</v>
      </c>
      <c r="AR28" s="5">
        <v>1.0915E-3</v>
      </c>
      <c r="AS28" s="5">
        <v>5.0591999999999998E-4</v>
      </c>
      <c r="AT28" s="5">
        <v>2.8276000000000001E-4</v>
      </c>
      <c r="AU28" s="5">
        <v>2.1791000000000001E-4</v>
      </c>
      <c r="AV28" s="5">
        <v>8.5830999999999999E-5</v>
      </c>
      <c r="AW28" s="5">
        <v>3.1470999999999997E-5</v>
      </c>
      <c r="AX28" s="2">
        <f t="shared" si="0"/>
        <v>1.8626355127600835</v>
      </c>
      <c r="AY28" s="5">
        <v>2.6280999999999999</v>
      </c>
      <c r="AZ28" s="5">
        <v>0.15259</v>
      </c>
      <c r="BA28" s="5">
        <v>0.11032</v>
      </c>
      <c r="BB28" s="5">
        <v>2.8434999999999998E-2</v>
      </c>
      <c r="BC28" s="5">
        <v>1.2956000000000001E-2</v>
      </c>
      <c r="BD28" s="5">
        <v>7.4687E-3</v>
      </c>
      <c r="BE28" s="5">
        <v>6.1812000000000004E-3</v>
      </c>
      <c r="BF28" s="5">
        <v>4.9462000000000004E-3</v>
      </c>
      <c r="BG28" s="5">
        <v>4.1803999999999999E-3</v>
      </c>
      <c r="BH28" s="5">
        <v>3.9072000000000004E-3</v>
      </c>
      <c r="BI28" s="5">
        <v>3.6654000000000001E-3</v>
      </c>
      <c r="BJ28" s="5">
        <v>3.2743999999999998E-3</v>
      </c>
    </row>
    <row r="29" spans="1:62">
      <c r="A29" t="s">
        <v>62</v>
      </c>
      <c r="B29" s="54">
        <v>45118</v>
      </c>
      <c r="C29" s="119">
        <v>20</v>
      </c>
      <c r="D29" s="64">
        <v>3.4481368352165784</v>
      </c>
      <c r="E29" s="65">
        <v>0.30756973089825862</v>
      </c>
      <c r="F29" s="127">
        <v>6.9373346706768743E-2</v>
      </c>
      <c r="G29" s="8">
        <v>7.37</v>
      </c>
      <c r="H29" s="9">
        <v>272.3</v>
      </c>
      <c r="I29" s="9">
        <v>24.5</v>
      </c>
      <c r="J29" s="8">
        <v>2.85</v>
      </c>
      <c r="K29" s="10">
        <v>416</v>
      </c>
      <c r="L29" s="8">
        <v>6.81</v>
      </c>
      <c r="M29" s="8">
        <v>1.68</v>
      </c>
      <c r="N29" s="24"/>
      <c r="O29" s="1">
        <v>7.4969999999999999</v>
      </c>
      <c r="P29" s="1">
        <v>7.2970000000000006</v>
      </c>
      <c r="Q29" s="1">
        <v>7.0114999999999998</v>
      </c>
      <c r="R29" s="20">
        <v>1.4E-2</v>
      </c>
      <c r="S29" s="9">
        <v>3.4</v>
      </c>
      <c r="T29" s="8">
        <v>0.06</v>
      </c>
      <c r="U29" s="31">
        <v>48</v>
      </c>
      <c r="V29" s="8">
        <v>7.0000000000000007E-2</v>
      </c>
      <c r="W29" s="9">
        <v>36</v>
      </c>
      <c r="X29" s="31">
        <v>12</v>
      </c>
      <c r="Y29" s="5">
        <v>8.6500000000000014E-3</v>
      </c>
      <c r="Z29" s="5">
        <v>1.4149999999999999E-2</v>
      </c>
      <c r="AA29" s="5">
        <v>3.0600000000000002E-2</v>
      </c>
      <c r="AB29" s="2">
        <v>36.096599999999995</v>
      </c>
      <c r="AC29" s="5">
        <v>2.4250000000000001E-2</v>
      </c>
      <c r="AD29" s="2">
        <v>4.8460000000000001</v>
      </c>
      <c r="AE29" s="2">
        <v>9.3543000000000003</v>
      </c>
      <c r="AF29" s="5">
        <v>4.7850000000000004E-2</v>
      </c>
      <c r="AG29" s="2">
        <v>10.979199999999999</v>
      </c>
      <c r="AH29" s="5">
        <v>-5.0000000000000001E-4</v>
      </c>
      <c r="AI29" s="5">
        <v>8.2000000000000007E-3</v>
      </c>
      <c r="AJ29" s="2">
        <v>4.0139999999999993</v>
      </c>
      <c r="AK29" s="2">
        <v>10.9</v>
      </c>
      <c r="AL29" s="5">
        <v>2.4809999999999999</v>
      </c>
      <c r="AM29" s="5">
        <v>0.12742000000000001</v>
      </c>
      <c r="AN29" s="5">
        <v>8.8250999999999996E-2</v>
      </c>
      <c r="AO29" s="5">
        <v>1.4432E-2</v>
      </c>
      <c r="AP29" s="5">
        <v>2.8210000000000002E-3</v>
      </c>
      <c r="AQ29" s="5">
        <v>9.7894999999999992E-4</v>
      </c>
      <c r="AR29" s="5">
        <v>3.1137E-4</v>
      </c>
      <c r="AS29" s="5">
        <v>-1.6546E-4</v>
      </c>
      <c r="AT29" s="5">
        <v>-2.4795999999999998E-4</v>
      </c>
      <c r="AU29" s="5">
        <v>-2.7323000000000001E-4</v>
      </c>
      <c r="AV29" s="5">
        <v>-4.3249E-4</v>
      </c>
      <c r="AW29" s="5">
        <v>-5.2357E-4</v>
      </c>
      <c r="AX29" s="2">
        <f t="shared" si="0"/>
        <v>1.7461970672879266</v>
      </c>
      <c r="AY29" s="5">
        <v>2.5044</v>
      </c>
      <c r="AZ29" s="5">
        <v>0.14315</v>
      </c>
      <c r="BA29" s="5">
        <v>0.10344</v>
      </c>
      <c r="BB29" s="5">
        <v>2.7094E-2</v>
      </c>
      <c r="BC29" s="5">
        <v>1.3022000000000001E-2</v>
      </c>
      <c r="BD29" s="5">
        <v>7.9612999999999993E-3</v>
      </c>
      <c r="BE29" s="5">
        <v>6.5469999999999999E-3</v>
      </c>
      <c r="BF29" s="5">
        <v>5.2433000000000002E-3</v>
      </c>
      <c r="BG29" s="5">
        <v>4.4483999999999999E-3</v>
      </c>
      <c r="BH29" s="5">
        <v>4.1265E-3</v>
      </c>
      <c r="BI29" s="5">
        <v>3.8958E-3</v>
      </c>
      <c r="BJ29" s="5">
        <v>3.4188999999999999E-3</v>
      </c>
    </row>
    <row r="30" spans="1:62">
      <c r="A30" t="s">
        <v>62</v>
      </c>
      <c r="B30" s="54">
        <v>45118</v>
      </c>
      <c r="C30" s="132">
        <v>30</v>
      </c>
      <c r="D30" s="133">
        <v>17.600000000000001</v>
      </c>
      <c r="E30" s="146">
        <v>0.35370727182390366</v>
      </c>
      <c r="F30" s="147">
        <v>6.9561702496876848E-2</v>
      </c>
      <c r="G30" s="136">
        <v>7.14</v>
      </c>
      <c r="H30" s="148">
        <v>-138.9</v>
      </c>
      <c r="I30" s="149">
        <v>2.7</v>
      </c>
      <c r="J30" s="150">
        <v>0.31</v>
      </c>
      <c r="K30" s="151">
        <v>551</v>
      </c>
      <c r="L30" s="150">
        <v>6.65</v>
      </c>
      <c r="M30" s="150">
        <v>3.2</v>
      </c>
      <c r="N30" s="149"/>
      <c r="O30" s="150">
        <v>11.574999999999999</v>
      </c>
      <c r="P30" s="152">
        <v>8.9205000000000005</v>
      </c>
      <c r="Q30" s="152">
        <v>8.4954999999999998</v>
      </c>
      <c r="R30" s="153">
        <v>3.4000000000000002E-2</v>
      </c>
      <c r="S30" s="149">
        <v>1.7</v>
      </c>
      <c r="T30" s="150">
        <v>3.9</v>
      </c>
      <c r="U30" s="154">
        <v>37</v>
      </c>
      <c r="V30" s="150">
        <v>0.56000000000000005</v>
      </c>
      <c r="W30" s="149">
        <v>39</v>
      </c>
      <c r="X30" s="154">
        <v>88</v>
      </c>
      <c r="Y30" s="155">
        <v>6.4999999999999997E-3</v>
      </c>
      <c r="Z30" s="155">
        <v>1.6750000000000001E-2</v>
      </c>
      <c r="AA30" s="155">
        <v>5.9200000000000003E-2</v>
      </c>
      <c r="AB30" s="149">
        <v>40.299050000000001</v>
      </c>
      <c r="AC30" s="155">
        <v>4.12845</v>
      </c>
      <c r="AD30" s="149">
        <v>5.2340999999999998</v>
      </c>
      <c r="AE30" s="149">
        <v>9.9850999999999992</v>
      </c>
      <c r="AF30" s="155">
        <v>6.0427</v>
      </c>
      <c r="AG30" s="149">
        <v>10.95575</v>
      </c>
      <c r="AH30" s="155">
        <v>-4.4999999999999999E-4</v>
      </c>
      <c r="AI30" s="155">
        <v>7.3500000000000006E-3</v>
      </c>
      <c r="AJ30" s="149">
        <v>6.4634999999999998</v>
      </c>
      <c r="AK30" s="149">
        <v>100.9</v>
      </c>
      <c r="AL30" s="155">
        <v>1.4158999999999999</v>
      </c>
      <c r="AM30" s="155">
        <v>0.25336999999999998</v>
      </c>
      <c r="AN30" s="155">
        <v>0.19347</v>
      </c>
      <c r="AO30" s="143">
        <v>5.7632999999999997E-2</v>
      </c>
      <c r="AP30" s="143">
        <v>1.7558000000000001E-2</v>
      </c>
      <c r="AQ30" s="143">
        <v>6.4383000000000001E-3</v>
      </c>
      <c r="AR30" s="143">
        <v>4.2062000000000002E-3</v>
      </c>
      <c r="AS30" s="143">
        <v>2.4361999999999999E-3</v>
      </c>
      <c r="AT30" s="143">
        <v>1.4119E-3</v>
      </c>
      <c r="AU30" s="143">
        <v>1.1410999999999999E-3</v>
      </c>
      <c r="AV30" s="143">
        <v>9.9039000000000006E-4</v>
      </c>
      <c r="AW30" s="143">
        <v>5.6218999999999996E-4</v>
      </c>
      <c r="AX30" s="145">
        <f t="shared" si="0"/>
        <v>2.8403116417241185</v>
      </c>
      <c r="AY30" s="159">
        <v>1.8011999999999999</v>
      </c>
      <c r="AZ30" s="159">
        <v>0.57228999999999997</v>
      </c>
      <c r="BA30" s="159">
        <v>0.50456999999999996</v>
      </c>
      <c r="BB30" s="159">
        <v>0.26173999999999997</v>
      </c>
      <c r="BC30" s="159">
        <v>0.13858999999999999</v>
      </c>
      <c r="BD30" s="159">
        <v>8.7096999999999994E-2</v>
      </c>
      <c r="BE30" s="159">
        <v>7.2197999999999998E-2</v>
      </c>
      <c r="BF30" s="159">
        <v>5.6931000000000002E-2</v>
      </c>
      <c r="BG30" s="159">
        <v>4.6924E-2</v>
      </c>
      <c r="BH30" s="159">
        <v>4.3985999999999997E-2</v>
      </c>
      <c r="BI30" s="159">
        <v>4.1346000000000001E-2</v>
      </c>
      <c r="BJ30" s="159">
        <v>3.4915000000000002E-2</v>
      </c>
    </row>
    <row r="31" spans="1:62">
      <c r="A31" t="s">
        <v>62</v>
      </c>
      <c r="B31" s="54">
        <v>45153</v>
      </c>
      <c r="C31" s="119">
        <v>0</v>
      </c>
      <c r="D31" s="64">
        <v>1.5289003148477431</v>
      </c>
      <c r="E31" s="65">
        <v>0.3512601155387341</v>
      </c>
      <c r="F31" s="128">
        <v>0.10744262219400191</v>
      </c>
      <c r="G31" s="8">
        <v>8.9499999999999993</v>
      </c>
      <c r="H31" s="9">
        <v>218.4</v>
      </c>
      <c r="I31" s="9">
        <v>115.9</v>
      </c>
      <c r="J31" s="8">
        <v>9.36</v>
      </c>
      <c r="K31" s="10">
        <v>375</v>
      </c>
      <c r="L31" s="8">
        <v>23.65</v>
      </c>
      <c r="M31" s="8">
        <v>1.31</v>
      </c>
      <c r="N31" s="24"/>
      <c r="O31" s="1">
        <v>12.64</v>
      </c>
      <c r="P31" s="1">
        <v>10.86</v>
      </c>
      <c r="Q31" s="1">
        <v>5.84</v>
      </c>
      <c r="R31" s="20">
        <v>3.6999999999999998E-2</v>
      </c>
      <c r="S31" s="9">
        <v>0.7</v>
      </c>
      <c r="T31" s="8">
        <v>0.09</v>
      </c>
      <c r="U31" s="31">
        <v>48</v>
      </c>
      <c r="V31" s="8">
        <v>0.04</v>
      </c>
      <c r="W31" s="9">
        <v>35.6</v>
      </c>
      <c r="X31" s="31">
        <v>4</v>
      </c>
      <c r="Y31" s="5">
        <v>1.6250000000000001E-2</v>
      </c>
      <c r="Z31" s="5">
        <v>1.405E-2</v>
      </c>
      <c r="AA31" s="5">
        <v>3.09E-2</v>
      </c>
      <c r="AB31" s="2">
        <v>31.476199999999999</v>
      </c>
      <c r="AC31" s="5">
        <v>6.5049999999999997E-2</v>
      </c>
      <c r="AD31" s="2">
        <v>5.0394000000000005</v>
      </c>
      <c r="AE31" s="2">
        <v>9.6921500000000016</v>
      </c>
      <c r="AF31" s="5">
        <v>2.2000000000000001E-3</v>
      </c>
      <c r="AG31" s="2">
        <v>10.327349999999999</v>
      </c>
      <c r="AH31" s="5">
        <v>-1.0500000000000002E-3</v>
      </c>
      <c r="AI31" s="5">
        <v>8.8000000000000005E-3</v>
      </c>
      <c r="AJ31" s="2">
        <v>0.745</v>
      </c>
      <c r="AK31" s="2">
        <v>6.1935483870967749</v>
      </c>
      <c r="AL31" s="5">
        <v>2.3443000000000001</v>
      </c>
      <c r="AM31" s="5">
        <v>0.13370000000000001</v>
      </c>
      <c r="AN31" s="5">
        <v>8.9990000000000001E-2</v>
      </c>
      <c r="AO31" s="5">
        <v>1.5440000000000001E-2</v>
      </c>
      <c r="AP31" s="5">
        <v>5.8497999999999996E-3</v>
      </c>
      <c r="AQ31" s="5">
        <v>2.8067000000000001E-3</v>
      </c>
      <c r="AR31" s="5">
        <v>2.4036999999999999E-3</v>
      </c>
      <c r="AS31" s="5">
        <v>1.6298E-3</v>
      </c>
      <c r="AT31" s="5">
        <v>1.2149999999999999E-3</v>
      </c>
      <c r="AU31" s="5">
        <v>1.1225E-3</v>
      </c>
      <c r="AV31" s="5">
        <v>1.0265999999999999E-3</v>
      </c>
      <c r="AW31" s="5">
        <v>7.8916999999999995E-4</v>
      </c>
      <c r="AX31" s="2">
        <f t="shared" si="0"/>
        <v>1.2311233885819524</v>
      </c>
      <c r="AY31" s="5">
        <v>2.4224000000000001</v>
      </c>
      <c r="AZ31" s="5">
        <v>0.17136000000000001</v>
      </c>
      <c r="BA31" s="5">
        <v>0.12558</v>
      </c>
      <c r="BB31" s="5">
        <v>3.1420999999999998E-2</v>
      </c>
      <c r="BC31" s="5">
        <v>1.7704999999999999E-2</v>
      </c>
      <c r="BD31" s="5">
        <v>1.2427000000000001E-2</v>
      </c>
      <c r="BE31" s="5">
        <v>1.0742E-2</v>
      </c>
      <c r="BF31" s="5">
        <v>8.9616999999999995E-3</v>
      </c>
      <c r="BG31" s="5">
        <v>8.0584999999999997E-3</v>
      </c>
      <c r="BH31" s="5">
        <v>7.7348E-3</v>
      </c>
      <c r="BI31" s="5">
        <v>7.9535999999999995E-4</v>
      </c>
      <c r="BJ31" s="5">
        <v>6.7000000000000002E-3</v>
      </c>
    </row>
    <row r="32" spans="1:62">
      <c r="A32" t="s">
        <v>62</v>
      </c>
      <c r="B32" s="54">
        <v>45153</v>
      </c>
      <c r="C32" s="119">
        <v>2.5</v>
      </c>
      <c r="D32" s="64">
        <v>1.4519657027962909</v>
      </c>
      <c r="E32" s="65">
        <v>0.34778479439311494</v>
      </c>
      <c r="F32" s="128">
        <v>0.11629989825727963</v>
      </c>
      <c r="G32" s="8">
        <v>9.1300000000000008</v>
      </c>
      <c r="H32" s="9">
        <v>218.2</v>
      </c>
      <c r="I32" s="9">
        <v>120.5</v>
      </c>
      <c r="J32" s="8">
        <v>10.4</v>
      </c>
      <c r="K32" s="10">
        <v>371</v>
      </c>
      <c r="L32" s="8">
        <v>20.22</v>
      </c>
      <c r="M32" s="8">
        <v>1.31</v>
      </c>
      <c r="N32" s="24"/>
      <c r="O32" s="1">
        <v>12.74</v>
      </c>
      <c r="P32" s="1">
        <v>10.315</v>
      </c>
      <c r="Q32" s="1">
        <v>5.9075000000000006</v>
      </c>
      <c r="R32" s="20">
        <v>3.6999999999999998E-2</v>
      </c>
      <c r="S32" s="9">
        <v>0.6</v>
      </c>
      <c r="T32" s="8">
        <v>0.05</v>
      </c>
      <c r="U32" s="31">
        <v>47</v>
      </c>
      <c r="V32" s="8">
        <v>0.03</v>
      </c>
      <c r="W32" s="9">
        <v>35.4</v>
      </c>
      <c r="X32" s="31">
        <v>4</v>
      </c>
      <c r="Y32" s="5">
        <v>9.4999999999999998E-3</v>
      </c>
      <c r="Z32" s="5">
        <v>1.4749999999999999E-2</v>
      </c>
      <c r="AA32" s="5">
        <v>3.075E-2</v>
      </c>
      <c r="AB32" s="2">
        <v>31.31625</v>
      </c>
      <c r="AC32" s="5">
        <v>5.3E-3</v>
      </c>
      <c r="AD32" s="2">
        <v>4.9001999999999999</v>
      </c>
      <c r="AE32" s="2">
        <v>9.5968999999999998</v>
      </c>
      <c r="AF32" s="5">
        <v>1E-3</v>
      </c>
      <c r="AG32" s="2">
        <v>10.2372</v>
      </c>
      <c r="AH32" s="5">
        <v>-1.0500000000000002E-3</v>
      </c>
      <c r="AI32" s="5">
        <v>5.4999999999999992E-4</v>
      </c>
      <c r="AJ32" s="2">
        <v>0.70899999999999996</v>
      </c>
      <c r="AK32" s="2">
        <v>8.7741935483870961</v>
      </c>
      <c r="AL32" s="5">
        <v>2.3451</v>
      </c>
      <c r="AM32" s="5">
        <v>0.13633000000000001</v>
      </c>
      <c r="AN32" s="5">
        <v>9.2219999999999996E-2</v>
      </c>
      <c r="AO32" s="5">
        <v>1.6545000000000001E-2</v>
      </c>
      <c r="AP32" s="5">
        <v>6.4054000000000003E-3</v>
      </c>
      <c r="AQ32" s="5">
        <v>2.7732999999999998E-3</v>
      </c>
      <c r="AR32" s="5">
        <v>2.2831000000000001E-3</v>
      </c>
      <c r="AS32" s="5">
        <v>1.5935999999999999E-3</v>
      </c>
      <c r="AT32" s="5">
        <v>1.2888999999999999E-3</v>
      </c>
      <c r="AU32" s="5">
        <v>1.1249000000000001E-3</v>
      </c>
      <c r="AV32" s="5">
        <v>1.0104000000000001E-3</v>
      </c>
      <c r="AW32" s="5">
        <v>7.8773000000000005E-4</v>
      </c>
      <c r="AX32" s="2">
        <f t="shared" si="0"/>
        <v>1.3216674745516239</v>
      </c>
      <c r="AY32" s="5">
        <v>2.3957999999999999</v>
      </c>
      <c r="AZ32" s="5">
        <v>0.16175</v>
      </c>
      <c r="BA32" s="5">
        <v>0.11533</v>
      </c>
      <c r="BB32" s="5">
        <v>3.3159000000000001E-2</v>
      </c>
      <c r="BC32" s="5">
        <v>2.0039999999999999E-2</v>
      </c>
      <c r="BD32" s="5">
        <v>1.4437E-2</v>
      </c>
      <c r="BE32" s="5">
        <v>1.2813E-2</v>
      </c>
      <c r="BF32" s="5">
        <v>1.0939000000000001E-2</v>
      </c>
      <c r="BG32" s="5">
        <v>9.9664000000000003E-3</v>
      </c>
      <c r="BH32" s="5">
        <v>9.5267000000000008E-3</v>
      </c>
      <c r="BI32" s="5">
        <v>7.3943000000000004E-3</v>
      </c>
      <c r="BJ32" s="5">
        <v>8.3736999999999995E-3</v>
      </c>
    </row>
    <row r="33" spans="1:67">
      <c r="A33" t="s">
        <v>62</v>
      </c>
      <c r="B33" s="54">
        <v>45153</v>
      </c>
      <c r="C33" s="119">
        <v>5</v>
      </c>
      <c r="D33" s="64">
        <v>1.8669754817360744</v>
      </c>
      <c r="E33" s="65">
        <v>0.34528229106575781</v>
      </c>
      <c r="F33" s="128">
        <v>0.1262624649018215</v>
      </c>
      <c r="G33" s="8">
        <v>8.69</v>
      </c>
      <c r="H33" s="9">
        <v>231.6</v>
      </c>
      <c r="I33" s="9">
        <v>84.7</v>
      </c>
      <c r="J33" s="8">
        <v>7.54</v>
      </c>
      <c r="K33" s="10">
        <v>379</v>
      </c>
      <c r="L33" s="8">
        <v>18.72</v>
      </c>
      <c r="M33" s="8">
        <v>1.38</v>
      </c>
      <c r="N33" s="24"/>
      <c r="O33" s="1">
        <v>12.84</v>
      </c>
      <c r="P33" s="1">
        <v>11.7</v>
      </c>
      <c r="Q33" s="1">
        <v>6.0935000000000006</v>
      </c>
      <c r="R33" s="20">
        <v>3.7999999999999999E-2</v>
      </c>
      <c r="S33" s="9">
        <v>1</v>
      </c>
      <c r="T33" s="8">
        <v>0.09</v>
      </c>
      <c r="U33" s="31">
        <v>46</v>
      </c>
      <c r="V33" s="8">
        <v>0.05</v>
      </c>
      <c r="W33" s="9">
        <v>25.8</v>
      </c>
      <c r="X33" s="31">
        <v>5</v>
      </c>
      <c r="Y33" s="5">
        <v>9.7999999999999997E-3</v>
      </c>
      <c r="Z33" s="5">
        <v>1.7649999999999999E-2</v>
      </c>
      <c r="AA33" s="5">
        <v>3.0550000000000001E-2</v>
      </c>
      <c r="AB33" s="2">
        <v>31.9663</v>
      </c>
      <c r="AC33" s="5">
        <v>5.1999999999999998E-3</v>
      </c>
      <c r="AD33" s="2">
        <v>4.9653999999999998</v>
      </c>
      <c r="AE33" s="2">
        <v>9.6067499999999999</v>
      </c>
      <c r="AF33" s="5">
        <v>6.0000000000000006E-4</v>
      </c>
      <c r="AG33" s="2">
        <v>10.244</v>
      </c>
      <c r="AH33" s="5">
        <v>-1.15E-3</v>
      </c>
      <c r="AI33" s="5">
        <v>7.5000000000000002E-4</v>
      </c>
      <c r="AJ33" s="2">
        <v>0.90850000000000009</v>
      </c>
      <c r="AK33" s="2">
        <v>9.0967741935483861</v>
      </c>
      <c r="AL33" s="5">
        <v>2.3294999999999999</v>
      </c>
      <c r="AM33" s="5">
        <v>0.1353</v>
      </c>
      <c r="AN33" s="5">
        <v>9.2103000000000004E-2</v>
      </c>
      <c r="AO33" s="5">
        <v>1.6785000000000001E-2</v>
      </c>
      <c r="AP33" s="5">
        <v>6.3572000000000004E-3</v>
      </c>
      <c r="AQ33" s="5">
        <v>2.9569000000000002E-3</v>
      </c>
      <c r="AR33" s="5">
        <v>2.2897999999999998E-3</v>
      </c>
      <c r="AS33" s="5">
        <v>1.6479000000000001E-3</v>
      </c>
      <c r="AT33" s="5">
        <v>1.3565999999999999E-3</v>
      </c>
      <c r="AU33" s="5">
        <v>1.2803000000000001E-3</v>
      </c>
      <c r="AV33" s="5">
        <v>1.1854000000000001E-3</v>
      </c>
      <c r="AW33" s="5">
        <v>1.0414000000000001E-3</v>
      </c>
      <c r="AX33" s="2">
        <f t="shared" si="0"/>
        <v>1.1564102564102565</v>
      </c>
      <c r="AY33" s="5">
        <v>2.3734999999999999</v>
      </c>
      <c r="AZ33" s="5">
        <v>0.16003999999999999</v>
      </c>
      <c r="BA33" s="5">
        <v>0.11393</v>
      </c>
      <c r="BB33" s="5">
        <v>3.2194E-2</v>
      </c>
      <c r="BC33" s="5">
        <v>1.9084E-2</v>
      </c>
      <c r="BD33" s="5">
        <v>1.3535E-2</v>
      </c>
      <c r="BE33" s="5">
        <v>1.2106E-2</v>
      </c>
      <c r="BF33" s="5">
        <v>1.0246E-2</v>
      </c>
      <c r="BG33" s="5">
        <v>9.3594000000000004E-3</v>
      </c>
      <c r="BH33" s="5">
        <v>8.9765000000000001E-3</v>
      </c>
      <c r="BI33" s="5">
        <v>9.0947000000000007E-3</v>
      </c>
      <c r="BJ33" s="5">
        <v>7.8239E-3</v>
      </c>
    </row>
    <row r="34" spans="1:67">
      <c r="A34" t="s">
        <v>62</v>
      </c>
      <c r="B34" s="54">
        <v>45153</v>
      </c>
      <c r="C34" s="119">
        <v>7.5</v>
      </c>
      <c r="D34" s="64">
        <v>2.8582284033816432</v>
      </c>
      <c r="E34" s="65">
        <v>0.31550517504646364</v>
      </c>
      <c r="F34" s="128">
        <v>0.10834327919906006</v>
      </c>
      <c r="G34" s="8">
        <v>7.81</v>
      </c>
      <c r="H34" s="9">
        <v>257.39999999999998</v>
      </c>
      <c r="I34" s="9">
        <v>3.4</v>
      </c>
      <c r="J34" s="8">
        <v>0.35</v>
      </c>
      <c r="K34" s="10">
        <v>438</v>
      </c>
      <c r="L34" s="8">
        <v>11.98</v>
      </c>
      <c r="M34" s="8">
        <v>1.99</v>
      </c>
      <c r="N34" s="24"/>
      <c r="O34" s="1">
        <v>11.615</v>
      </c>
      <c r="P34" s="1">
        <v>10.635000000000002</v>
      </c>
      <c r="Q34" s="1">
        <v>6.8595000000000006</v>
      </c>
      <c r="R34" s="20">
        <v>0.16800000000000001</v>
      </c>
      <c r="S34" s="9">
        <v>1.2</v>
      </c>
      <c r="T34" s="8">
        <v>0.27</v>
      </c>
      <c r="U34" s="31">
        <v>45</v>
      </c>
      <c r="V34" s="8">
        <v>0.04</v>
      </c>
      <c r="W34" s="9">
        <v>26.6</v>
      </c>
      <c r="X34" s="31">
        <v>18</v>
      </c>
      <c r="Y34" s="5">
        <v>7.4999999999999997E-3</v>
      </c>
      <c r="Z34" s="5">
        <v>1.43E-2</v>
      </c>
      <c r="AA34" s="5">
        <v>3.4949999999999995E-2</v>
      </c>
      <c r="AB34" s="2">
        <v>40.351349999999996</v>
      </c>
      <c r="AC34" s="5">
        <v>5.1999999999999998E-3</v>
      </c>
      <c r="AD34" s="2">
        <v>4.9467499999999998</v>
      </c>
      <c r="AE34" s="2">
        <v>9.2982499999999995</v>
      </c>
      <c r="AF34" s="5">
        <v>1.2E-2</v>
      </c>
      <c r="AG34" s="2">
        <v>10.163399999999999</v>
      </c>
      <c r="AH34" s="5">
        <v>-1.1000000000000001E-3</v>
      </c>
      <c r="AI34" s="5">
        <v>1.1000000000000001E-3</v>
      </c>
      <c r="AJ34" s="2">
        <v>2.774</v>
      </c>
      <c r="AK34" s="2">
        <v>18.774193548387096</v>
      </c>
      <c r="AL34" s="5">
        <v>2.5047999999999999</v>
      </c>
      <c r="AM34" s="5">
        <v>0.15656999999999999</v>
      </c>
      <c r="AN34" s="5">
        <v>0.11179</v>
      </c>
      <c r="AO34" s="5">
        <v>2.7063E-2</v>
      </c>
      <c r="AP34" s="5">
        <v>1.1337E-2</v>
      </c>
      <c r="AQ34" s="5">
        <v>5.7850000000000002E-3</v>
      </c>
      <c r="AR34" s="5">
        <v>4.8246000000000001E-3</v>
      </c>
      <c r="AS34" s="5">
        <v>3.6863999999999998E-3</v>
      </c>
      <c r="AT34" s="5">
        <v>3.0217E-3</v>
      </c>
      <c r="AU34" s="5">
        <v>2.8690999999999999E-3</v>
      </c>
      <c r="AV34" s="5">
        <v>2.7437E-3</v>
      </c>
      <c r="AW34" s="5">
        <v>2.4294999999999998E-3</v>
      </c>
      <c r="AX34" s="2">
        <f t="shared" si="0"/>
        <v>1.4722143864598021</v>
      </c>
      <c r="AY34" s="5">
        <v>2.5276999999999998</v>
      </c>
      <c r="AZ34" s="5">
        <v>0.18714</v>
      </c>
      <c r="BA34" s="5">
        <v>0.14097999999999999</v>
      </c>
      <c r="BB34" s="5">
        <v>5.2879000000000002E-2</v>
      </c>
      <c r="BC34" s="5">
        <v>3.4750999999999997E-2</v>
      </c>
      <c r="BD34" s="5">
        <v>2.3855999999999999E-2</v>
      </c>
      <c r="BE34" s="5">
        <v>2.0555E-2</v>
      </c>
      <c r="BF34" s="5">
        <v>1.7031000000000001E-2</v>
      </c>
      <c r="BG34" s="5">
        <v>1.5084999999999999E-2</v>
      </c>
      <c r="BH34" s="5">
        <v>8.9765000000000001E-3</v>
      </c>
      <c r="BI34" s="5">
        <v>8.5839999999999996E-3</v>
      </c>
      <c r="BJ34" s="5">
        <v>1.2454E-2</v>
      </c>
    </row>
    <row r="35" spans="1:67">
      <c r="A35" t="s">
        <v>62</v>
      </c>
      <c r="B35" s="54">
        <v>45153</v>
      </c>
      <c r="C35" s="119">
        <v>10</v>
      </c>
      <c r="D35" s="64">
        <v>3.6368998690993917</v>
      </c>
      <c r="E35" s="65">
        <v>0.31592782593077073</v>
      </c>
      <c r="F35" s="128">
        <v>0.11050725274023653</v>
      </c>
      <c r="G35" s="8">
        <v>7.77</v>
      </c>
      <c r="H35" s="9">
        <v>259</v>
      </c>
      <c r="I35" s="9">
        <v>2.8</v>
      </c>
      <c r="J35" s="8">
        <v>0.31</v>
      </c>
      <c r="K35" s="10">
        <v>435</v>
      </c>
      <c r="L35" s="8">
        <v>9.1999999999999993</v>
      </c>
      <c r="M35" s="8">
        <v>2.08</v>
      </c>
      <c r="N35" s="24"/>
      <c r="O35" s="1">
        <v>11.59</v>
      </c>
      <c r="P35" s="1">
        <v>9.6649999999999991</v>
      </c>
      <c r="Q35" s="1">
        <v>6.9994999999999994</v>
      </c>
      <c r="R35" s="20">
        <v>0.27800000000000002</v>
      </c>
      <c r="S35" s="9">
        <v>1.5</v>
      </c>
      <c r="T35" s="8">
        <v>0.2</v>
      </c>
      <c r="U35" s="31">
        <v>46</v>
      </c>
      <c r="V35" s="8">
        <v>0.03</v>
      </c>
      <c r="W35" s="9">
        <v>27</v>
      </c>
      <c r="X35" s="31">
        <v>14</v>
      </c>
      <c r="Y35" s="5">
        <v>3.15E-3</v>
      </c>
      <c r="Z35" s="5">
        <v>1.4450000000000001E-2</v>
      </c>
      <c r="AA35" s="5">
        <v>3.8199999999999998E-2</v>
      </c>
      <c r="AB35" s="2">
        <v>40.262699999999995</v>
      </c>
      <c r="AC35" s="5">
        <v>9.9500000000000005E-3</v>
      </c>
      <c r="AD35" s="2">
        <v>4.9844999999999997</v>
      </c>
      <c r="AE35" s="2">
        <v>9.1873500000000003</v>
      </c>
      <c r="AF35" s="5">
        <v>0.28749999999999998</v>
      </c>
      <c r="AG35" s="2">
        <v>10.148499999999999</v>
      </c>
      <c r="AH35" s="5">
        <v>-1.1000000000000001E-3</v>
      </c>
      <c r="AI35" s="5">
        <v>2.8500000000000001E-3</v>
      </c>
      <c r="AJ35" s="2">
        <v>3.7565</v>
      </c>
      <c r="AK35" s="2">
        <v>30.709677419354843</v>
      </c>
      <c r="AL35" s="5">
        <v>2.5299999999999998</v>
      </c>
      <c r="AM35" s="5">
        <v>0.16239999999999999</v>
      </c>
      <c r="AN35" s="5">
        <v>0.11845</v>
      </c>
      <c r="AO35" s="5">
        <v>2.5267000000000001E-2</v>
      </c>
      <c r="AP35" s="5">
        <v>8.3108000000000001E-3</v>
      </c>
      <c r="AQ35" s="5">
        <v>3.4045999999999998E-3</v>
      </c>
      <c r="AR35" s="5">
        <v>2.6053999999999999E-3</v>
      </c>
      <c r="AS35" s="5">
        <v>1.7805E-3</v>
      </c>
      <c r="AT35" s="5">
        <v>1.2773999999999999E-3</v>
      </c>
      <c r="AU35" s="5">
        <v>1.2631000000000001E-3</v>
      </c>
      <c r="AV35" s="5">
        <v>1.1516E-3</v>
      </c>
      <c r="AW35" s="5">
        <v>8.8977999999999995E-4</v>
      </c>
      <c r="AX35" s="2">
        <f t="shared" si="0"/>
        <v>1.6802897051215726</v>
      </c>
      <c r="AY35" s="5">
        <v>2.5817999999999999</v>
      </c>
      <c r="AZ35" s="5">
        <v>0.21709999999999999</v>
      </c>
      <c r="BA35" s="5">
        <v>0.16799</v>
      </c>
      <c r="BB35" s="5">
        <v>6.9649000000000003E-2</v>
      </c>
      <c r="BC35" s="5">
        <v>4.7212999999999998E-2</v>
      </c>
      <c r="BD35" s="5">
        <v>3.3581E-2</v>
      </c>
      <c r="BE35" s="5">
        <v>3.0120000000000001E-2</v>
      </c>
      <c r="BF35" s="5">
        <v>2.5198000000000002E-2</v>
      </c>
      <c r="BG35" s="5">
        <v>2.2485000000000002E-2</v>
      </c>
      <c r="BH35" s="5">
        <v>1.4441000000000001E-2</v>
      </c>
      <c r="BI35" s="5">
        <v>1.3743999999999999E-2</v>
      </c>
      <c r="BJ35" s="5">
        <v>1.7777000000000001E-2</v>
      </c>
    </row>
    <row r="36" spans="1:67">
      <c r="A36" t="s">
        <v>62</v>
      </c>
      <c r="B36" s="54">
        <v>45153</v>
      </c>
      <c r="C36" s="119">
        <v>15</v>
      </c>
      <c r="D36" s="64">
        <v>3.9238684459181927</v>
      </c>
      <c r="E36" s="65">
        <v>0.31612712572073659</v>
      </c>
      <c r="F36" s="128">
        <v>0.10927220671942721</v>
      </c>
      <c r="G36" s="8">
        <v>7.64</v>
      </c>
      <c r="H36" s="9">
        <v>260.10000000000002</v>
      </c>
      <c r="I36" s="9">
        <v>2.2999999999999998</v>
      </c>
      <c r="J36" s="8">
        <v>0.27</v>
      </c>
      <c r="K36" s="10">
        <v>418</v>
      </c>
      <c r="L36" s="8">
        <v>7.47</v>
      </c>
      <c r="M36" s="8">
        <v>1.8</v>
      </c>
      <c r="N36" s="24"/>
      <c r="O36" s="1">
        <v>10.55</v>
      </c>
      <c r="P36" s="1">
        <v>9.5444999999999993</v>
      </c>
      <c r="Q36" s="1">
        <v>7.0750000000000002</v>
      </c>
      <c r="R36" s="20">
        <v>4.5999999999999999E-2</v>
      </c>
      <c r="S36" s="9">
        <v>0.8</v>
      </c>
      <c r="T36" s="8">
        <v>0.17</v>
      </c>
      <c r="U36" s="31">
        <v>45</v>
      </c>
      <c r="V36" s="8">
        <v>0.04</v>
      </c>
      <c r="W36" s="9">
        <v>28</v>
      </c>
      <c r="X36" s="31">
        <v>16</v>
      </c>
      <c r="Y36" s="5">
        <v>2.2499999999999998E-3</v>
      </c>
      <c r="Z36" s="5">
        <v>1.3100000000000001E-2</v>
      </c>
      <c r="AA36" s="5">
        <v>3.2350000000000004E-2</v>
      </c>
      <c r="AB36" s="2">
        <v>37.567999999999998</v>
      </c>
      <c r="AC36" s="5">
        <v>3.3600000000000005E-2</v>
      </c>
      <c r="AD36" s="2">
        <v>4.9977499999999999</v>
      </c>
      <c r="AE36" s="2">
        <v>9.2744</v>
      </c>
      <c r="AF36" s="5">
        <v>0.14945</v>
      </c>
      <c r="AG36" s="2">
        <v>10.285550000000001</v>
      </c>
      <c r="AH36" s="5">
        <v>-1.0999999999999998E-3</v>
      </c>
      <c r="AI36" s="5">
        <v>1.4E-3</v>
      </c>
      <c r="AJ36" s="2">
        <v>4.1040000000000001</v>
      </c>
      <c r="AK36" s="2">
        <v>13.290322580645162</v>
      </c>
      <c r="AL36" s="5">
        <v>2.5158</v>
      </c>
      <c r="AM36" s="5">
        <v>0.14588000000000001</v>
      </c>
      <c r="AN36" s="5">
        <v>0.10405</v>
      </c>
      <c r="AO36" s="5">
        <v>2.197E-2</v>
      </c>
      <c r="AP36" s="5">
        <v>7.2030999999999996E-3</v>
      </c>
      <c r="AQ36" s="5">
        <v>2.9239999999999999E-3</v>
      </c>
      <c r="AR36" s="5">
        <v>2.1329000000000001E-3</v>
      </c>
      <c r="AS36" s="5">
        <v>1.5005999999999999E-3</v>
      </c>
      <c r="AT36" s="5">
        <v>1.1191E-3</v>
      </c>
      <c r="AU36" s="5">
        <v>1.0095E-3</v>
      </c>
      <c r="AV36" s="5">
        <v>9.8228000000000009E-4</v>
      </c>
      <c r="AW36" s="5">
        <v>7.8487000000000001E-4</v>
      </c>
      <c r="AX36" s="2">
        <f t="shared" si="0"/>
        <v>1.5284195086175287</v>
      </c>
      <c r="AY36" s="5">
        <v>2.5585</v>
      </c>
      <c r="AZ36" s="5">
        <v>0.17759</v>
      </c>
      <c r="BA36" s="5">
        <v>0.13189000000000001</v>
      </c>
      <c r="BB36" s="5">
        <v>4.1843999999999999E-2</v>
      </c>
      <c r="BC36" s="5">
        <v>2.3316E-2</v>
      </c>
      <c r="BD36" s="5">
        <v>1.5639E-2</v>
      </c>
      <c r="BE36" s="5">
        <v>1.4082000000000001E-2</v>
      </c>
      <c r="BF36" s="5">
        <v>1.1698E-2</v>
      </c>
      <c r="BG36" s="5">
        <v>1.0616E-2</v>
      </c>
      <c r="BH36" s="5">
        <v>2.1198000000000002E-2</v>
      </c>
      <c r="BI36" s="5">
        <v>0.02</v>
      </c>
      <c r="BJ36" s="5">
        <v>8.5368000000000006E-3</v>
      </c>
    </row>
    <row r="37" spans="1:67">
      <c r="A37" t="s">
        <v>62</v>
      </c>
      <c r="B37" s="54">
        <v>45153</v>
      </c>
      <c r="C37" s="119">
        <v>20</v>
      </c>
      <c r="D37" s="64">
        <v>4.5596366274979143</v>
      </c>
      <c r="E37" s="65">
        <v>0.30891132353423978</v>
      </c>
      <c r="F37" s="128">
        <v>0.11694213142858385</v>
      </c>
      <c r="G37" s="8">
        <v>7.5</v>
      </c>
      <c r="H37" s="9">
        <v>261.89999999999998</v>
      </c>
      <c r="I37" s="9">
        <v>2.2000000000000002</v>
      </c>
      <c r="J37" s="8">
        <v>0.25</v>
      </c>
      <c r="K37" s="10">
        <v>422</v>
      </c>
      <c r="L37" s="8">
        <v>6.93</v>
      </c>
      <c r="M37" s="8">
        <v>1.86</v>
      </c>
      <c r="N37" s="24"/>
      <c r="O37" s="1">
        <v>10.25</v>
      </c>
      <c r="P37" s="1">
        <v>9.6470000000000002</v>
      </c>
      <c r="Q37" s="1">
        <v>6.4729999999999999</v>
      </c>
      <c r="R37" s="20">
        <v>7.0000000000000007E-2</v>
      </c>
      <c r="S37" s="9">
        <v>0.9</v>
      </c>
      <c r="T37" s="8">
        <v>0.36</v>
      </c>
      <c r="U37" s="31">
        <v>46</v>
      </c>
      <c r="V37" s="8">
        <v>0.05</v>
      </c>
      <c r="W37" s="9">
        <v>28.6</v>
      </c>
      <c r="X37" s="31">
        <v>8</v>
      </c>
      <c r="Y37" s="5">
        <v>3.4499999999999999E-3</v>
      </c>
      <c r="Z37" s="5">
        <v>1.24E-2</v>
      </c>
      <c r="AA37" s="5">
        <v>3.0449999999999998E-2</v>
      </c>
      <c r="AB37" s="2">
        <v>37.315350000000002</v>
      </c>
      <c r="AC37" s="5">
        <v>9.7999999999999997E-3</v>
      </c>
      <c r="AD37" s="2">
        <v>5.0806500000000003</v>
      </c>
      <c r="AE37" s="2">
        <v>9.4832000000000001</v>
      </c>
      <c r="AF37" s="5">
        <v>0.35755000000000003</v>
      </c>
      <c r="AG37" s="2">
        <v>10.422700000000001</v>
      </c>
      <c r="AH37" s="5">
        <v>-1.0500000000000002E-3</v>
      </c>
      <c r="AI37" s="5">
        <v>1.5499999999999999E-3</v>
      </c>
      <c r="AJ37" s="2">
        <v>4.3215000000000003</v>
      </c>
      <c r="AK37" s="2">
        <v>8.129032258064516</v>
      </c>
      <c r="AL37" s="5">
        <v>2.3128000000000002</v>
      </c>
      <c r="AM37" s="5">
        <v>0.13979</v>
      </c>
      <c r="AN37" s="5">
        <v>0.10034</v>
      </c>
      <c r="AO37" s="5">
        <v>2.0251000000000002E-2</v>
      </c>
      <c r="AP37" s="5">
        <v>7.0604999999999999E-3</v>
      </c>
      <c r="AQ37" s="5">
        <v>3.1018E-3</v>
      </c>
      <c r="AR37" s="5">
        <v>2.5392000000000001E-3</v>
      </c>
      <c r="AS37" s="5">
        <v>1.8067000000000001E-3</v>
      </c>
      <c r="AT37" s="5">
        <v>1.5106E-3</v>
      </c>
      <c r="AU37" s="5">
        <v>1.4744000000000001E-3</v>
      </c>
      <c r="AV37" s="5">
        <v>1.4272E-3</v>
      </c>
      <c r="AW37" s="5">
        <v>1.2293E-3</v>
      </c>
      <c r="AX37" s="2">
        <f t="shared" si="0"/>
        <v>1.4490515186068207</v>
      </c>
      <c r="AY37" s="5">
        <v>2.3540000000000001</v>
      </c>
      <c r="AZ37" s="5">
        <v>0.16694000000000001</v>
      </c>
      <c r="BA37" s="5">
        <v>0.12573999999999999</v>
      </c>
      <c r="BB37" s="5">
        <v>3.6662E-2</v>
      </c>
      <c r="BC37" s="5">
        <v>1.9559E-2</v>
      </c>
      <c r="BD37" s="5">
        <v>1.2401000000000001E-2</v>
      </c>
      <c r="BE37" s="5">
        <v>1.0813E-2</v>
      </c>
      <c r="BF37" s="5">
        <v>8.8538999999999996E-3</v>
      </c>
      <c r="BG37" s="5">
        <v>7.8038999999999999E-3</v>
      </c>
      <c r="BH37" s="5">
        <v>9.9892999999999996E-3</v>
      </c>
      <c r="BI37" s="5">
        <v>9.5458000000000001E-3</v>
      </c>
      <c r="BJ37" s="5">
        <v>6.1231000000000002E-3</v>
      </c>
    </row>
    <row r="38" spans="1:67">
      <c r="A38" t="s">
        <v>62</v>
      </c>
      <c r="B38" s="54">
        <v>45153</v>
      </c>
      <c r="C38" s="132">
        <v>29</v>
      </c>
      <c r="D38" s="133">
        <v>10.672964792451104</v>
      </c>
      <c r="E38" s="146">
        <v>0.32402737368793744</v>
      </c>
      <c r="F38" s="156">
        <v>0.1058031111509736</v>
      </c>
      <c r="G38" s="157" t="s">
        <v>66</v>
      </c>
      <c r="H38" s="157" t="s">
        <v>66</v>
      </c>
      <c r="I38" s="137">
        <v>2.2000000000000002</v>
      </c>
      <c r="J38" s="157" t="s">
        <v>66</v>
      </c>
      <c r="K38" s="157" t="s">
        <v>66</v>
      </c>
      <c r="L38" s="157" t="s">
        <v>66</v>
      </c>
      <c r="M38" s="138">
        <v>2.31</v>
      </c>
      <c r="N38" s="137"/>
      <c r="O38" s="144">
        <v>11.18</v>
      </c>
      <c r="P38" s="144">
        <v>9.9460000000000015</v>
      </c>
      <c r="Q38" s="144">
        <v>6.2475000000000005</v>
      </c>
      <c r="R38" s="158">
        <v>4.9000000000000002E-2</v>
      </c>
      <c r="S38" s="137">
        <v>0.6</v>
      </c>
      <c r="T38" s="138">
        <v>1.8</v>
      </c>
      <c r="U38" s="142">
        <v>41</v>
      </c>
      <c r="V38" s="138">
        <v>0.05</v>
      </c>
      <c r="W38" s="137">
        <v>28</v>
      </c>
      <c r="X38" s="142">
        <v>9</v>
      </c>
      <c r="Y38" s="143">
        <v>4.0499999999999998E-3</v>
      </c>
      <c r="Z38" s="143">
        <v>1.3250000000000001E-2</v>
      </c>
      <c r="AA38" s="143">
        <v>3.065E-2</v>
      </c>
      <c r="AB38" s="145">
        <v>38.964100000000002</v>
      </c>
      <c r="AC38" s="143">
        <v>0.22750000000000001</v>
      </c>
      <c r="AD38" s="145">
        <v>5.2433499999999995</v>
      </c>
      <c r="AE38" s="145">
        <v>9.7684999999999995</v>
      </c>
      <c r="AF38" s="143">
        <v>1.5065999999999999</v>
      </c>
      <c r="AG38" s="145">
        <v>10.45885</v>
      </c>
      <c r="AH38" s="143">
        <v>-1E-3</v>
      </c>
      <c r="AI38" s="143">
        <v>8.9999999999999998E-4</v>
      </c>
      <c r="AJ38" s="145">
        <v>5.3</v>
      </c>
      <c r="AK38" s="137">
        <v>20.06451612903226</v>
      </c>
      <c r="AL38" s="143">
        <v>1.7553000000000001</v>
      </c>
      <c r="AM38" s="159">
        <v>0.15226999999999999</v>
      </c>
      <c r="AN38" s="159">
        <v>0.10972999999999999</v>
      </c>
      <c r="AO38" s="159">
        <v>2.3806999999999998E-2</v>
      </c>
      <c r="AP38" s="159">
        <v>7.9985000000000004E-3</v>
      </c>
      <c r="AQ38" s="159">
        <v>3.7889E-3</v>
      </c>
      <c r="AR38" s="159">
        <v>2.9807000000000002E-3</v>
      </c>
      <c r="AS38" s="159">
        <v>2.2645E-3</v>
      </c>
      <c r="AT38" s="159">
        <v>1.8220000000000001E-3</v>
      </c>
      <c r="AU38" s="159">
        <v>1.7748E-3</v>
      </c>
      <c r="AV38" s="159">
        <v>1.7275999999999999E-3</v>
      </c>
      <c r="AW38" s="159">
        <v>1.4873E-3</v>
      </c>
      <c r="AX38" s="137">
        <f t="shared" si="0"/>
        <v>1.5309672230042224</v>
      </c>
      <c r="AY38" s="159">
        <v>1.8113999999999999</v>
      </c>
      <c r="AZ38" s="159">
        <v>0.20687</v>
      </c>
      <c r="BA38" s="159">
        <v>0.16103999999999999</v>
      </c>
      <c r="BB38" s="159">
        <v>6.2102999999999998E-2</v>
      </c>
      <c r="BC38" s="159">
        <v>3.4327000000000003E-2</v>
      </c>
      <c r="BD38" s="159">
        <v>2.2092000000000001E-2</v>
      </c>
      <c r="BE38" s="159">
        <v>1.9067000000000001E-2</v>
      </c>
      <c r="BF38" s="159">
        <v>1.5571E-2</v>
      </c>
      <c r="BG38" s="159">
        <v>1.3421000000000001E-2</v>
      </c>
      <c r="BH38" s="159">
        <v>7.2478999999999998E-3</v>
      </c>
      <c r="BI38" s="159">
        <v>6.8450000000000004E-3</v>
      </c>
      <c r="BJ38" s="159">
        <v>1.0592000000000001E-2</v>
      </c>
      <c r="BK38" s="10"/>
      <c r="BL38" s="10"/>
      <c r="BM38" s="10"/>
      <c r="BN38" s="10"/>
      <c r="BO38" s="10"/>
    </row>
    <row r="39" spans="1:67">
      <c r="A39" t="s">
        <v>62</v>
      </c>
      <c r="B39" s="54">
        <v>45181</v>
      </c>
      <c r="C39" s="119">
        <v>0</v>
      </c>
      <c r="D39" s="64">
        <v>1.6913774167807774</v>
      </c>
      <c r="E39" s="65">
        <v>0.34844379822925181</v>
      </c>
      <c r="F39" s="127">
        <v>0.10680961924499485</v>
      </c>
      <c r="G39" s="8">
        <v>9.1300000000000008</v>
      </c>
      <c r="H39" s="9">
        <v>136.30000000000001</v>
      </c>
      <c r="I39" s="9">
        <v>129</v>
      </c>
      <c r="J39" s="8">
        <v>10.68</v>
      </c>
      <c r="K39" s="10">
        <v>365</v>
      </c>
      <c r="L39" s="8">
        <v>21.95</v>
      </c>
      <c r="M39" s="8">
        <v>1.4</v>
      </c>
      <c r="N39" s="24"/>
      <c r="O39">
        <v>10.84</v>
      </c>
      <c r="P39">
        <v>10.14</v>
      </c>
      <c r="Q39">
        <v>5.7520000000000007</v>
      </c>
      <c r="R39" s="20">
        <v>3.5000000000000003E-2</v>
      </c>
      <c r="S39" s="9">
        <v>1.1000000000000001</v>
      </c>
      <c r="T39" s="8">
        <v>0.01</v>
      </c>
      <c r="U39" s="31">
        <v>47</v>
      </c>
      <c r="V39" s="8">
        <v>0.03</v>
      </c>
      <c r="W39" s="9">
        <v>30.6</v>
      </c>
      <c r="X39" s="31">
        <v>11</v>
      </c>
      <c r="Y39" s="5">
        <v>1.2449999999999999E-2</v>
      </c>
      <c r="Z39" s="5">
        <v>-9.049999999999999E-3</v>
      </c>
      <c r="AA39" s="5">
        <v>3.065E-2</v>
      </c>
      <c r="AB39" s="2">
        <v>30.152749999999997</v>
      </c>
      <c r="AC39" s="5">
        <v>1.43E-2</v>
      </c>
      <c r="AD39" s="2">
        <v>5.0824499999999997</v>
      </c>
      <c r="AE39" s="2">
        <v>9.399049999999999</v>
      </c>
      <c r="AF39" s="5">
        <v>2.15E-3</v>
      </c>
      <c r="AG39" s="2">
        <v>9.5680499999999995</v>
      </c>
      <c r="AH39" s="5">
        <v>-8.9999999999999998E-4</v>
      </c>
      <c r="AI39" s="5">
        <v>1.29E-2</v>
      </c>
      <c r="AJ39" s="2">
        <v>0.79900000000000004</v>
      </c>
      <c r="AK39" s="2">
        <v>4.5810000000000004</v>
      </c>
      <c r="AL39" s="5">
        <v>2.0802</v>
      </c>
      <c r="AM39" s="5">
        <v>0.12823000000000001</v>
      </c>
      <c r="AN39" s="5">
        <v>8.4806000000000006E-2</v>
      </c>
      <c r="AO39" s="5">
        <v>1.4309000000000001E-2</v>
      </c>
      <c r="AP39" s="5">
        <v>4.6844E-3</v>
      </c>
      <c r="AQ39" s="5">
        <v>1.7886E-3</v>
      </c>
      <c r="AR39" s="5">
        <v>1.3747E-3</v>
      </c>
      <c r="AS39" s="5">
        <v>6.9046000000000005E-4</v>
      </c>
      <c r="AT39" s="5">
        <v>3.2854E-4</v>
      </c>
      <c r="AU39" s="5">
        <v>3.4475E-4</v>
      </c>
      <c r="AV39" s="5">
        <v>2.2887999999999999E-4</v>
      </c>
      <c r="AW39" s="5">
        <v>1.9932000000000001E-4</v>
      </c>
      <c r="AX39" s="2">
        <f t="shared" si="0"/>
        <v>1.2645956607495068</v>
      </c>
      <c r="AY39" s="5">
        <v>2.1076000000000001</v>
      </c>
      <c r="AZ39" s="5">
        <v>0.13682</v>
      </c>
      <c r="BA39" s="5">
        <v>9.2668E-2</v>
      </c>
      <c r="BB39" s="5">
        <v>2.0462999999999999E-2</v>
      </c>
      <c r="BC39" s="5">
        <v>1.0526000000000001E-2</v>
      </c>
      <c r="BD39" s="5">
        <v>6.7400999999999997E-3</v>
      </c>
      <c r="BE39" s="5">
        <v>5.6972999999999998E-3</v>
      </c>
      <c r="BF39" s="5">
        <v>4.7402E-3</v>
      </c>
      <c r="BG39" s="5">
        <v>4.1412999999999997E-3</v>
      </c>
      <c r="BH39" s="5">
        <v>4.0096999999999997E-3</v>
      </c>
      <c r="BI39" s="5">
        <v>3.8700000000000002E-3</v>
      </c>
      <c r="BJ39" s="5">
        <v>3.5596E-3</v>
      </c>
    </row>
    <row r="40" spans="1:67">
      <c r="A40" t="s">
        <v>62</v>
      </c>
      <c r="B40" s="54">
        <v>45181</v>
      </c>
      <c r="C40" s="119">
        <v>2.5</v>
      </c>
      <c r="D40" s="64">
        <v>1.6188349512788633</v>
      </c>
      <c r="E40" s="65">
        <v>0.35348428126122361</v>
      </c>
      <c r="F40" s="127">
        <v>0.11258746008028798</v>
      </c>
      <c r="G40" s="8">
        <v>9.1199999999999992</v>
      </c>
      <c r="H40" s="9">
        <v>143.80000000000001</v>
      </c>
      <c r="I40" s="9">
        <v>126</v>
      </c>
      <c r="J40" s="8">
        <v>10.5</v>
      </c>
      <c r="K40" s="10">
        <v>366</v>
      </c>
      <c r="L40" s="8">
        <v>21.64</v>
      </c>
      <c r="M40" s="8">
        <v>1.38</v>
      </c>
      <c r="N40" s="24"/>
      <c r="O40">
        <v>10.7</v>
      </c>
      <c r="P40">
        <v>9.9909999999999997</v>
      </c>
      <c r="Q40">
        <v>5.8380000000000001</v>
      </c>
      <c r="R40" s="20">
        <v>3.5000000000000003E-2</v>
      </c>
      <c r="S40" s="9">
        <v>1.3</v>
      </c>
      <c r="T40" s="8">
        <v>0.01</v>
      </c>
      <c r="U40" s="31">
        <v>49</v>
      </c>
      <c r="V40" s="8">
        <v>0.03</v>
      </c>
      <c r="W40" s="9">
        <v>31</v>
      </c>
      <c r="X40" s="31">
        <v>16</v>
      </c>
      <c r="Y40" s="5">
        <v>1.0999999999999999E-2</v>
      </c>
      <c r="Z40" s="5">
        <v>-9.1999999999999998E-3</v>
      </c>
      <c r="AA40" s="5">
        <v>3.0600000000000002E-2</v>
      </c>
      <c r="AB40" s="2">
        <v>30.453650000000003</v>
      </c>
      <c r="AC40" s="5">
        <v>9.7000000000000003E-3</v>
      </c>
      <c r="AD40" s="2">
        <v>4.8121</v>
      </c>
      <c r="AE40" s="2">
        <v>9.5049500000000009</v>
      </c>
      <c r="AF40" s="5">
        <v>1.1000000000000001E-3</v>
      </c>
      <c r="AG40" s="2">
        <v>9.6198499999999996</v>
      </c>
      <c r="AH40">
        <v>-8.9999999999999998E-4</v>
      </c>
      <c r="AI40" s="5">
        <v>3.1999999999999997E-3</v>
      </c>
      <c r="AJ40" s="2">
        <v>0.79049999999999998</v>
      </c>
      <c r="AK40" s="2">
        <v>4.5810000000000004</v>
      </c>
      <c r="AL40" s="5">
        <v>2.0777999999999999</v>
      </c>
      <c r="AM40" s="5">
        <v>0.12659999999999999</v>
      </c>
      <c r="AN40" s="5">
        <v>8.3676E-2</v>
      </c>
      <c r="AO40" s="5">
        <v>1.4187999999999999E-2</v>
      </c>
      <c r="AP40" s="5">
        <v>4.9572000000000001E-3</v>
      </c>
      <c r="AQ40" s="5">
        <v>2.2372999999999998E-3</v>
      </c>
      <c r="AR40" s="5">
        <v>1.6436999999999999E-3</v>
      </c>
      <c r="AS40" s="5">
        <v>1.0767000000000001E-3</v>
      </c>
      <c r="AT40" s="5">
        <v>6.5136000000000002E-4</v>
      </c>
      <c r="AU40" s="5">
        <v>6.8760000000000002E-4</v>
      </c>
      <c r="AV40" s="5">
        <v>6.0510999999999996E-4</v>
      </c>
      <c r="AW40" s="5">
        <v>6.3657999999999998E-4</v>
      </c>
      <c r="AX40" s="2">
        <f t="shared" si="0"/>
        <v>1.2671404263837454</v>
      </c>
      <c r="AY40" s="5">
        <v>2.1021999999999998</v>
      </c>
      <c r="AZ40" s="5">
        <v>0.13661999999999999</v>
      </c>
      <c r="BA40" s="5">
        <v>9.2654E-2</v>
      </c>
      <c r="BB40" s="5">
        <v>2.1003000000000001E-2</v>
      </c>
      <c r="BC40" s="5">
        <v>1.1103999999999999E-2</v>
      </c>
      <c r="BD40" s="5">
        <v>7.4944E-3</v>
      </c>
      <c r="BE40" s="5">
        <v>6.5135999999999996E-3</v>
      </c>
      <c r="BF40" s="5">
        <v>5.5418000000000004E-3</v>
      </c>
      <c r="BG40" s="5">
        <v>4.9176000000000003E-3</v>
      </c>
      <c r="BH40" s="5">
        <v>4.8183999999999996E-3</v>
      </c>
      <c r="BI40" s="5">
        <v>4.6349E-3</v>
      </c>
      <c r="BJ40" s="5">
        <v>4.3420999999999998E-3</v>
      </c>
    </row>
    <row r="41" spans="1:67">
      <c r="A41" t="s">
        <v>62</v>
      </c>
      <c r="B41" s="54">
        <v>45181</v>
      </c>
      <c r="C41" s="119">
        <v>5</v>
      </c>
      <c r="D41" s="64">
        <v>1.8093173669196487</v>
      </c>
      <c r="E41" s="65">
        <v>0.34903829955644344</v>
      </c>
      <c r="F41" s="127">
        <v>0.10000024848700501</v>
      </c>
      <c r="G41" s="8">
        <v>8.4700000000000006</v>
      </c>
      <c r="H41" s="9">
        <v>170.9</v>
      </c>
      <c r="I41" s="9">
        <v>73.599999999999994</v>
      </c>
      <c r="J41" s="8">
        <v>6.35</v>
      </c>
      <c r="K41" s="10">
        <v>377</v>
      </c>
      <c r="L41" s="8">
        <v>19.88</v>
      </c>
      <c r="M41" s="8">
        <v>1.37</v>
      </c>
      <c r="N41" s="24"/>
      <c r="O41">
        <v>10.66</v>
      </c>
      <c r="P41">
        <v>9.6509999999999998</v>
      </c>
      <c r="Q41">
        <v>6.0335000000000001</v>
      </c>
      <c r="R41" s="20">
        <v>3.6999999999999998E-2</v>
      </c>
      <c r="S41" s="9">
        <v>1.3</v>
      </c>
      <c r="T41" s="8">
        <v>0.05</v>
      </c>
      <c r="U41" s="31">
        <v>48</v>
      </c>
      <c r="V41" s="8">
        <v>0.02</v>
      </c>
      <c r="W41" s="9">
        <v>27.4</v>
      </c>
      <c r="X41" s="31">
        <v>18</v>
      </c>
      <c r="Y41" s="5">
        <v>9.9500000000000005E-3</v>
      </c>
      <c r="Z41" s="5">
        <v>-7.9499999999999987E-3</v>
      </c>
      <c r="AA41" s="5">
        <v>3.175E-2</v>
      </c>
      <c r="AB41" s="2">
        <v>31.319949999999999</v>
      </c>
      <c r="AC41" s="5">
        <v>1.085E-2</v>
      </c>
      <c r="AD41" s="2">
        <v>4.8787000000000003</v>
      </c>
      <c r="AE41" s="2">
        <v>9.58995</v>
      </c>
      <c r="AF41" s="5">
        <v>7.9999999999999993E-4</v>
      </c>
      <c r="AG41" s="2">
        <v>9.7253499999999988</v>
      </c>
      <c r="AH41">
        <v>-9.5000000000000011E-4</v>
      </c>
      <c r="AI41" s="5">
        <v>1.9499999999999999E-3</v>
      </c>
      <c r="AJ41" s="2">
        <v>0.91250000000000009</v>
      </c>
      <c r="AK41" s="2">
        <v>5.548</v>
      </c>
      <c r="AL41" s="5">
        <v>2.0935000000000001</v>
      </c>
      <c r="AM41" s="5">
        <v>0.12678</v>
      </c>
      <c r="AN41" s="5">
        <v>8.4862999999999994E-2</v>
      </c>
      <c r="AO41" s="5">
        <v>1.4879E-2</v>
      </c>
      <c r="AP41" s="5">
        <v>5.2166000000000001E-3</v>
      </c>
      <c r="AQ41" s="5">
        <v>2.0051000000000001E-3</v>
      </c>
      <c r="AR41" s="5">
        <v>1.5644999999999999E-3</v>
      </c>
      <c r="AS41" s="5">
        <v>9.9087000000000003E-4</v>
      </c>
      <c r="AT41" s="5">
        <v>6.9284000000000001E-4</v>
      </c>
      <c r="AU41" s="5">
        <v>6.3657999999999998E-4</v>
      </c>
      <c r="AV41" s="5">
        <v>6.2560999999999997E-4</v>
      </c>
      <c r="AW41" s="5">
        <v>5.8889000000000001E-4</v>
      </c>
      <c r="AX41" s="2">
        <f t="shared" si="0"/>
        <v>1.3136462542741687</v>
      </c>
      <c r="AY41" s="5">
        <v>2.1355</v>
      </c>
      <c r="AZ41" s="5">
        <v>0.13994999999999999</v>
      </c>
      <c r="BA41" s="5">
        <v>9.6375000000000002E-2</v>
      </c>
      <c r="BB41" s="5">
        <v>2.2674E-2</v>
      </c>
      <c r="BC41" s="5">
        <v>1.1648E-2</v>
      </c>
      <c r="BD41" s="5">
        <v>7.6188999999999996E-3</v>
      </c>
      <c r="BE41" s="5">
        <v>6.6099000000000002E-3</v>
      </c>
      <c r="BF41" s="5">
        <v>5.5513000000000003E-3</v>
      </c>
      <c r="BG41" s="5">
        <v>4.8732999999999997E-3</v>
      </c>
      <c r="BH41" s="5">
        <v>4.7946000000000004E-3</v>
      </c>
      <c r="BI41" s="5">
        <v>4.6325000000000003E-3</v>
      </c>
      <c r="BJ41" s="5">
        <v>4.2719999999999998E-3</v>
      </c>
    </row>
    <row r="42" spans="1:67">
      <c r="A42" t="s">
        <v>62</v>
      </c>
      <c r="B42" s="54">
        <v>45181</v>
      </c>
      <c r="C42" s="119">
        <v>7.5</v>
      </c>
      <c r="D42" s="64">
        <v>2.4691967885383805</v>
      </c>
      <c r="E42" s="65">
        <v>0.38750819797264946</v>
      </c>
      <c r="F42" s="127">
        <v>0.10455421859960791</v>
      </c>
      <c r="G42" s="8">
        <v>7.79</v>
      </c>
      <c r="H42" s="9">
        <v>189</v>
      </c>
      <c r="I42" s="9">
        <v>4.9000000000000004</v>
      </c>
      <c r="J42" s="8">
        <v>0.47</v>
      </c>
      <c r="K42" s="10">
        <v>425</v>
      </c>
      <c r="L42" s="8">
        <v>14.93</v>
      </c>
      <c r="M42" s="8">
        <v>1.79</v>
      </c>
      <c r="N42" s="24"/>
      <c r="O42">
        <v>9.8354999999999997</v>
      </c>
      <c r="P42">
        <v>9.1095000000000006</v>
      </c>
      <c r="Q42">
        <v>6.3804999999999996</v>
      </c>
      <c r="R42" s="20">
        <v>8.5000000000000006E-2</v>
      </c>
      <c r="S42" s="9">
        <v>1.5</v>
      </c>
      <c r="T42" s="8">
        <v>0.21</v>
      </c>
      <c r="U42" s="31">
        <v>45</v>
      </c>
      <c r="V42" s="8">
        <v>0.03</v>
      </c>
      <c r="W42" s="9">
        <v>25</v>
      </c>
      <c r="X42" s="31">
        <v>19</v>
      </c>
      <c r="Y42" s="5">
        <v>1.8099999999999998E-2</v>
      </c>
      <c r="Z42" s="5">
        <v>-9.1000000000000004E-3</v>
      </c>
      <c r="AA42" s="5">
        <v>3.3799999999999997E-2</v>
      </c>
      <c r="AB42" s="2">
        <v>35.853549999999998</v>
      </c>
      <c r="AC42" s="5">
        <v>1.1050000000000001E-2</v>
      </c>
      <c r="AD42" s="2">
        <v>4.8731</v>
      </c>
      <c r="AE42" s="2">
        <v>9.3878500000000003</v>
      </c>
      <c r="AF42" s="5">
        <v>9.049999999999999E-3</v>
      </c>
      <c r="AG42" s="2">
        <v>9.6207499999999992</v>
      </c>
      <c r="AH42">
        <v>-8.5000000000000006E-4</v>
      </c>
      <c r="AI42" s="5">
        <v>3.1349999999999996E-2</v>
      </c>
      <c r="AJ42" s="2">
        <v>1.8975</v>
      </c>
      <c r="AK42" s="2">
        <v>12</v>
      </c>
      <c r="AL42" s="5">
        <v>2.2016</v>
      </c>
      <c r="AM42" s="5">
        <v>0.13983000000000001</v>
      </c>
      <c r="AN42" s="5">
        <v>9.6472000000000002E-2</v>
      </c>
      <c r="AO42" s="5">
        <v>1.8561000000000001E-2</v>
      </c>
      <c r="AP42" s="5">
        <v>5.9905000000000002E-3</v>
      </c>
      <c r="AQ42" s="5">
        <v>2.2215999999999998E-3</v>
      </c>
      <c r="AR42" s="5">
        <v>1.5206E-3</v>
      </c>
      <c r="AS42" s="5">
        <v>8.9692999999999999E-4</v>
      </c>
      <c r="AT42" s="5">
        <v>5.9462000000000002E-4</v>
      </c>
      <c r="AU42" s="5">
        <v>5.7268E-4</v>
      </c>
      <c r="AV42" s="5">
        <v>5.3215000000000001E-4</v>
      </c>
      <c r="AW42" s="5">
        <v>4.4775000000000001E-4</v>
      </c>
      <c r="AX42" s="2">
        <f t="shared" si="0"/>
        <v>1.5349909435205005</v>
      </c>
      <c r="AY42" s="5">
        <v>2.2385999999999999</v>
      </c>
      <c r="AZ42" s="5">
        <v>0.15806000000000001</v>
      </c>
      <c r="BA42" s="5">
        <v>0.11267000000000001</v>
      </c>
      <c r="BB42" s="5">
        <v>3.0259999999999999E-2</v>
      </c>
      <c r="BC42" s="5">
        <v>1.5795E-2</v>
      </c>
      <c r="BD42" s="5">
        <v>1.0160000000000001E-2</v>
      </c>
      <c r="BE42" s="5">
        <v>8.8339000000000004E-3</v>
      </c>
      <c r="BF42" s="5">
        <v>7.1764000000000003E-3</v>
      </c>
      <c r="BG42" s="5">
        <v>6.2757000000000004E-3</v>
      </c>
      <c r="BH42" s="5">
        <v>6.0438999999999996E-3</v>
      </c>
      <c r="BI42" s="5">
        <v>5.7926000000000002E-3</v>
      </c>
      <c r="BJ42" s="5">
        <v>5.2370999999999997E-3</v>
      </c>
    </row>
    <row r="43" spans="1:67">
      <c r="A43" t="s">
        <v>62</v>
      </c>
      <c r="B43" s="54">
        <v>45181</v>
      </c>
      <c r="C43" s="119">
        <v>10</v>
      </c>
      <c r="D43" s="64">
        <v>2.8437749288963379</v>
      </c>
      <c r="E43" s="65">
        <v>0.37471861259074357</v>
      </c>
      <c r="F43" s="128">
        <v>0.10093650449118217</v>
      </c>
      <c r="G43" s="8">
        <v>7.72</v>
      </c>
      <c r="H43" s="9">
        <v>190.1</v>
      </c>
      <c r="I43" s="9">
        <v>2.7</v>
      </c>
      <c r="J43" s="8">
        <v>0.28999999999999998</v>
      </c>
      <c r="K43" s="10">
        <v>432</v>
      </c>
      <c r="L43" s="8">
        <v>10</v>
      </c>
      <c r="M43" s="8">
        <v>2.08</v>
      </c>
      <c r="N43" s="24"/>
      <c r="O43">
        <v>9.1014999999999997</v>
      </c>
      <c r="P43">
        <v>8.2420000000000009</v>
      </c>
      <c r="Q43">
        <v>6.5795000000000003</v>
      </c>
      <c r="R43" s="20">
        <v>0.156</v>
      </c>
      <c r="S43" s="9">
        <v>1.6</v>
      </c>
      <c r="T43" s="8">
        <v>0.27</v>
      </c>
      <c r="U43" s="31">
        <v>43</v>
      </c>
      <c r="V43" s="8">
        <v>0.01</v>
      </c>
      <c r="W43" s="9">
        <v>29</v>
      </c>
      <c r="X43" s="31">
        <v>23</v>
      </c>
      <c r="Y43" s="5">
        <v>3.7000000000000002E-3</v>
      </c>
      <c r="Z43" s="5">
        <v>-1.0999999999999999E-2</v>
      </c>
      <c r="AA43" s="5">
        <v>3.5900000000000001E-2</v>
      </c>
      <c r="AB43" s="2">
        <v>38.988</v>
      </c>
      <c r="AC43" s="5">
        <v>1.065E-2</v>
      </c>
      <c r="AD43" s="2">
        <v>4.9076500000000003</v>
      </c>
      <c r="AE43" s="2">
        <v>9.2517500000000013</v>
      </c>
      <c r="AF43" s="5">
        <v>0.34475</v>
      </c>
      <c r="AG43" s="2">
        <v>9.6487999999999996</v>
      </c>
      <c r="AH43">
        <v>-1.0500000000000002E-3</v>
      </c>
      <c r="AI43" s="5">
        <v>3.5500000000000002E-3</v>
      </c>
      <c r="AJ43" s="2">
        <v>3.3914999999999997</v>
      </c>
      <c r="AK43" s="2">
        <v>20.064599999999999</v>
      </c>
      <c r="AL43" s="5">
        <v>2.2484999999999999</v>
      </c>
      <c r="AM43" s="5">
        <v>0.14856</v>
      </c>
      <c r="AN43" s="5">
        <v>0.10457</v>
      </c>
      <c r="AO43" s="5">
        <v>2.1909999999999999E-2</v>
      </c>
      <c r="AP43" s="5">
        <v>6.8078000000000001E-3</v>
      </c>
      <c r="AQ43" s="5">
        <v>2.4643E-3</v>
      </c>
      <c r="AR43" s="5">
        <v>1.7466999999999999E-3</v>
      </c>
      <c r="AS43" s="5">
        <v>9.880100000000001E-4</v>
      </c>
      <c r="AT43" s="5">
        <v>6.0462999999999999E-4</v>
      </c>
      <c r="AU43" s="5">
        <v>5.8031000000000001E-4</v>
      </c>
      <c r="AV43" s="5">
        <v>5.5789999999999995E-4</v>
      </c>
      <c r="AW43" s="5">
        <v>4.6967999999999999E-4</v>
      </c>
      <c r="AX43" s="2">
        <f t="shared" si="0"/>
        <v>1.8024751273962629</v>
      </c>
      <c r="AY43" s="5">
        <v>2.3229000000000002</v>
      </c>
      <c r="AZ43" s="5">
        <v>0.18318999999999999</v>
      </c>
      <c r="BA43" s="5">
        <v>0.13678999999999999</v>
      </c>
      <c r="BB43" s="5">
        <v>4.8623E-2</v>
      </c>
      <c r="BC43" s="5">
        <v>3.0425000000000001E-2</v>
      </c>
      <c r="BD43" s="5">
        <v>2.0677999999999998E-2</v>
      </c>
      <c r="BE43" s="5">
        <v>1.7929E-2</v>
      </c>
      <c r="BF43" s="5">
        <v>1.469E-2</v>
      </c>
      <c r="BG43" s="5">
        <v>1.2792E-2</v>
      </c>
      <c r="BH43" s="5">
        <v>1.2222E-2</v>
      </c>
      <c r="BI43" s="5">
        <v>1.1689E-2</v>
      </c>
      <c r="BJ43" s="5">
        <v>1.044E-2</v>
      </c>
    </row>
    <row r="44" spans="1:67">
      <c r="A44" t="s">
        <v>62</v>
      </c>
      <c r="B44" s="54">
        <v>45181</v>
      </c>
      <c r="C44" s="119">
        <v>15</v>
      </c>
      <c r="D44" s="64">
        <v>3.3819311753296608</v>
      </c>
      <c r="E44" s="65">
        <v>0.32419707015516763</v>
      </c>
      <c r="F44" s="127">
        <v>0.11166193690254907</v>
      </c>
      <c r="G44" s="8">
        <v>7.6</v>
      </c>
      <c r="H44" s="9">
        <v>187.6</v>
      </c>
      <c r="I44" s="9">
        <v>2.2999999999999998</v>
      </c>
      <c r="J44" s="8">
        <v>0.26</v>
      </c>
      <c r="K44" s="10">
        <v>421</v>
      </c>
      <c r="L44" s="8">
        <v>7.75</v>
      </c>
      <c r="M44" s="8">
        <v>1.96</v>
      </c>
      <c r="N44" s="24"/>
      <c r="O44">
        <v>8.2459999999999987</v>
      </c>
      <c r="P44">
        <v>7.7669999999999995</v>
      </c>
      <c r="Q44">
        <v>7.2095000000000002</v>
      </c>
      <c r="R44" s="20">
        <v>0.111</v>
      </c>
      <c r="S44" s="9">
        <v>1.4</v>
      </c>
      <c r="T44" s="8">
        <v>0.19</v>
      </c>
      <c r="U44" s="31">
        <v>46</v>
      </c>
      <c r="V44" s="8">
        <v>0.02</v>
      </c>
      <c r="W44" s="9">
        <v>28.8</v>
      </c>
      <c r="X44" s="31">
        <v>22</v>
      </c>
      <c r="Y44" s="5">
        <v>8.6E-3</v>
      </c>
      <c r="Z44" s="5">
        <v>-1.095E-2</v>
      </c>
      <c r="AA44" s="5">
        <v>3.7100000000000001E-2</v>
      </c>
      <c r="AB44" s="2">
        <v>38.097999999999999</v>
      </c>
      <c r="AC44" s="5">
        <v>1.21E-2</v>
      </c>
      <c r="AD44" s="2">
        <v>5.0382499999999997</v>
      </c>
      <c r="AE44" s="2">
        <v>9.1299500000000009</v>
      </c>
      <c r="AF44" s="5">
        <v>0.24209999999999998</v>
      </c>
      <c r="AG44" s="2">
        <v>9.6113499999999998</v>
      </c>
      <c r="AH44">
        <v>-1E-3</v>
      </c>
      <c r="AI44" s="5">
        <v>4.2500000000000003E-3</v>
      </c>
      <c r="AJ44" s="2">
        <v>4.0465</v>
      </c>
      <c r="AK44" s="2">
        <v>7.48</v>
      </c>
      <c r="AL44" s="5">
        <v>2.4664000000000001</v>
      </c>
      <c r="AM44" s="5">
        <v>0.15046999999999999</v>
      </c>
      <c r="AN44" s="5">
        <v>0.10678</v>
      </c>
      <c r="AO44" s="5">
        <v>2.2839999999999999E-2</v>
      </c>
      <c r="AP44" s="5">
        <v>7.0571999999999996E-3</v>
      </c>
      <c r="AQ44" s="5">
        <v>2.6779E-3</v>
      </c>
      <c r="AR44" s="5">
        <v>1.8282000000000001E-3</v>
      </c>
      <c r="AS44" s="5">
        <v>1.1372999999999999E-3</v>
      </c>
      <c r="AT44" s="5">
        <v>8.1061999999999996E-4</v>
      </c>
      <c r="AU44" s="5">
        <v>8.1824999999999997E-4</v>
      </c>
      <c r="AV44" s="5">
        <v>7.2526999999999997E-4</v>
      </c>
      <c r="AW44" s="5">
        <v>7.2621999999999997E-4</v>
      </c>
      <c r="AX44" s="2">
        <f t="shared" si="0"/>
        <v>1.9372988283764645</v>
      </c>
      <c r="AY44" s="5">
        <v>2.5070999999999999</v>
      </c>
      <c r="AZ44" s="5">
        <v>0.17158999999999999</v>
      </c>
      <c r="BA44" s="5">
        <v>0.125</v>
      </c>
      <c r="BB44" s="5">
        <v>3.4793999999999999E-2</v>
      </c>
      <c r="BC44" s="5">
        <v>1.653E-2</v>
      </c>
      <c r="BD44" s="5">
        <v>1.0057999999999999E-2</v>
      </c>
      <c r="BE44" s="5">
        <v>8.5959000000000001E-3</v>
      </c>
      <c r="BF44" s="5">
        <v>6.9413000000000001E-3</v>
      </c>
      <c r="BG44" s="5">
        <v>5.9728999999999997E-3</v>
      </c>
      <c r="BH44" s="5">
        <v>5.7597000000000004E-3</v>
      </c>
      <c r="BI44" s="5">
        <v>5.4688000000000002E-3</v>
      </c>
      <c r="BJ44" s="5">
        <v>4.9852999999999998E-3</v>
      </c>
    </row>
    <row r="45" spans="1:67">
      <c r="A45" t="s">
        <v>62</v>
      </c>
      <c r="B45" s="54">
        <v>45181</v>
      </c>
      <c r="C45" s="119">
        <v>20</v>
      </c>
      <c r="D45" s="64">
        <v>3.9282541134839897</v>
      </c>
      <c r="E45" s="65">
        <v>0.32459029761913877</v>
      </c>
      <c r="F45" s="127">
        <v>0.1067585751409663</v>
      </c>
      <c r="G45" s="8">
        <v>7.43</v>
      </c>
      <c r="H45" s="9">
        <v>177.8</v>
      </c>
      <c r="I45" s="9">
        <v>2.1</v>
      </c>
      <c r="J45" s="8">
        <v>0.24</v>
      </c>
      <c r="K45" s="10">
        <v>419</v>
      </c>
      <c r="L45" s="8">
        <v>6.99</v>
      </c>
      <c r="M45" s="8">
        <v>1.91</v>
      </c>
      <c r="N45" s="24"/>
      <c r="O45">
        <v>8.2074999999999996</v>
      </c>
      <c r="P45">
        <v>7.6254999999999997</v>
      </c>
      <c r="Q45">
        <v>6.7249999999999996</v>
      </c>
      <c r="R45" s="20">
        <v>8.2000000000000003E-2</v>
      </c>
      <c r="S45" s="9">
        <v>1.5</v>
      </c>
      <c r="T45" s="8">
        <v>0.44</v>
      </c>
      <c r="U45" s="31">
        <v>47</v>
      </c>
      <c r="V45" s="8">
        <v>0.08</v>
      </c>
      <c r="W45" s="9">
        <v>26.4</v>
      </c>
      <c r="X45" s="31">
        <v>22</v>
      </c>
      <c r="Y45" s="5">
        <v>1.3500000000000001E-3</v>
      </c>
      <c r="Z45" s="5">
        <v>-9.7000000000000003E-3</v>
      </c>
      <c r="AA45" s="5">
        <v>3.2000000000000001E-2</v>
      </c>
      <c r="AB45" s="2">
        <v>36.427149999999997</v>
      </c>
      <c r="AC45" s="5">
        <v>1.8299999999999997E-2</v>
      </c>
      <c r="AD45" s="2">
        <v>5.0721499999999997</v>
      </c>
      <c r="AE45" s="2">
        <v>9.43675</v>
      </c>
      <c r="AF45" s="5">
        <v>0.38480000000000003</v>
      </c>
      <c r="AG45" s="2">
        <v>9.8777500000000007</v>
      </c>
      <c r="AH45">
        <v>-1E-3</v>
      </c>
      <c r="AI45" s="5">
        <v>2.4999999999999996E-3</v>
      </c>
      <c r="AJ45" s="2">
        <v>4.3375000000000004</v>
      </c>
      <c r="AK45" s="2">
        <v>8.4499999999999993</v>
      </c>
      <c r="AL45" s="5">
        <v>2.2323</v>
      </c>
      <c r="AM45" s="5">
        <v>0.13643</v>
      </c>
      <c r="AN45" s="5">
        <v>9.6022999999999997E-2</v>
      </c>
      <c r="AO45" s="5">
        <v>1.9306E-2</v>
      </c>
      <c r="AP45" s="5">
        <v>5.8979999999999996E-3</v>
      </c>
      <c r="AQ45" s="5">
        <v>2.1137999999999999E-3</v>
      </c>
      <c r="AR45" s="5">
        <v>1.5721000000000001E-3</v>
      </c>
      <c r="AS45" s="5">
        <v>9.6989000000000005E-4</v>
      </c>
      <c r="AT45" s="5">
        <v>6.5565000000000003E-4</v>
      </c>
      <c r="AU45" s="5">
        <v>6.8473999999999998E-4</v>
      </c>
      <c r="AV45" s="5">
        <v>6.8378000000000004E-4</v>
      </c>
      <c r="AW45" s="5">
        <v>6.5660000000000002E-4</v>
      </c>
      <c r="AX45" s="2">
        <f t="shared" si="0"/>
        <v>1.7891285817323452</v>
      </c>
      <c r="AY45" s="5">
        <v>2.2804000000000002</v>
      </c>
      <c r="AZ45" s="5">
        <v>0.15853999999999999</v>
      </c>
      <c r="BA45" s="5">
        <v>0.11538</v>
      </c>
      <c r="BB45" s="5">
        <v>3.2284E-2</v>
      </c>
      <c r="BC45" s="5">
        <v>1.5814000000000002E-2</v>
      </c>
      <c r="BD45" s="5">
        <v>9.7213000000000004E-3</v>
      </c>
      <c r="BE45" s="5">
        <v>8.4376E-3</v>
      </c>
      <c r="BF45" s="5">
        <v>6.8215999999999997E-3</v>
      </c>
      <c r="BG45" s="5">
        <v>5.9604999999999997E-3</v>
      </c>
      <c r="BH45" s="5">
        <v>5.7210999999999998E-3</v>
      </c>
      <c r="BI45" s="5">
        <v>5.4349999999999997E-3</v>
      </c>
      <c r="BJ45" s="5">
        <v>5.0707E-3</v>
      </c>
    </row>
    <row r="46" spans="1:67">
      <c r="A46" t="s">
        <v>62</v>
      </c>
      <c r="B46" s="54">
        <v>45181</v>
      </c>
      <c r="C46" s="132">
        <v>29</v>
      </c>
      <c r="D46" s="133">
        <v>16.657061950838056</v>
      </c>
      <c r="E46" s="146">
        <v>0.36464654083531439</v>
      </c>
      <c r="F46" s="147">
        <v>0.10598991190882279</v>
      </c>
      <c r="G46" s="136">
        <v>7.23</v>
      </c>
      <c r="H46" s="137">
        <v>100.3</v>
      </c>
      <c r="I46" s="137">
        <v>1.8</v>
      </c>
      <c r="J46" s="138">
        <v>0.21</v>
      </c>
      <c r="K46" s="136">
        <v>438</v>
      </c>
      <c r="L46" s="138">
        <v>6.76</v>
      </c>
      <c r="M46" s="138">
        <v>3.25</v>
      </c>
      <c r="N46" s="137"/>
      <c r="O46" s="131">
        <v>11.035</v>
      </c>
      <c r="P46" s="131">
        <v>8.9024999999999999</v>
      </c>
      <c r="Q46" s="131">
        <v>8.9915000000000003</v>
      </c>
      <c r="R46" s="158">
        <v>4.8000000000000001E-2</v>
      </c>
      <c r="S46" s="137">
        <v>0.8</v>
      </c>
      <c r="T46" s="138">
        <v>4.5999999999999996</v>
      </c>
      <c r="U46" s="142">
        <v>30</v>
      </c>
      <c r="V46" s="138">
        <v>0.11</v>
      </c>
      <c r="W46" s="137">
        <v>32.799999999999997</v>
      </c>
      <c r="X46" s="142">
        <v>60</v>
      </c>
      <c r="Y46" s="143">
        <v>2.7499999999999998E-3</v>
      </c>
      <c r="Z46" s="143">
        <v>-1.125E-2</v>
      </c>
      <c r="AA46" s="143">
        <v>4.3999999999999997E-2</v>
      </c>
      <c r="AB46" s="145">
        <v>40.747150000000005</v>
      </c>
      <c r="AC46" s="143">
        <v>3.4291499999999999</v>
      </c>
      <c r="AD46" s="145">
        <v>5.1883499999999998</v>
      </c>
      <c r="AE46" s="145">
        <v>9.9067499999999988</v>
      </c>
      <c r="AF46" s="143">
        <v>3.4040499999999998</v>
      </c>
      <c r="AG46" s="145">
        <v>9.7188999999999997</v>
      </c>
      <c r="AH46" s="131">
        <v>-8.9999999999999998E-4</v>
      </c>
      <c r="AI46" s="143">
        <v>8.8999999999999999E-3</v>
      </c>
      <c r="AJ46" s="145">
        <v>6.3460000000000001</v>
      </c>
      <c r="AK46" s="137">
        <v>104.9</v>
      </c>
      <c r="AL46" s="143">
        <v>1.1433</v>
      </c>
      <c r="AM46" s="159">
        <v>0.20574000000000001</v>
      </c>
      <c r="AN46" s="159">
        <v>0.15165000000000001</v>
      </c>
      <c r="AO46" s="159">
        <v>4.0637E-2</v>
      </c>
      <c r="AP46" s="159">
        <v>1.261E-2</v>
      </c>
      <c r="AQ46" s="159">
        <v>4.8509E-3</v>
      </c>
      <c r="AR46" s="159">
        <v>3.4256E-3</v>
      </c>
      <c r="AS46" s="159">
        <v>2.1299999999999999E-3</v>
      </c>
      <c r="AT46" s="159">
        <v>1.4733999999999999E-3</v>
      </c>
      <c r="AU46" s="159">
        <v>1.3638000000000001E-3</v>
      </c>
      <c r="AV46" s="159">
        <v>1.3056000000000001E-3</v>
      </c>
      <c r="AW46" s="159">
        <v>1.1206E-3</v>
      </c>
      <c r="AX46" s="137">
        <f t="shared" si="0"/>
        <v>2.3110362257792758</v>
      </c>
      <c r="AY46" s="159">
        <v>1.4834000000000001</v>
      </c>
      <c r="AZ46" s="159">
        <v>0.49962000000000001</v>
      </c>
      <c r="BA46" s="159">
        <v>0.44096000000000002</v>
      </c>
      <c r="BB46" s="159">
        <v>0.25485999999999998</v>
      </c>
      <c r="BC46" s="159">
        <v>0.14621999999999999</v>
      </c>
      <c r="BD46" s="159">
        <v>9.4608999999999999E-2</v>
      </c>
      <c r="BE46" s="159">
        <v>7.9722000000000001E-2</v>
      </c>
      <c r="BF46" s="159">
        <v>6.3700999999999994E-2</v>
      </c>
      <c r="BG46" s="159">
        <v>5.2851000000000002E-2</v>
      </c>
      <c r="BH46" s="159">
        <v>4.9796E-2</v>
      </c>
      <c r="BI46" s="159">
        <v>4.7035E-2</v>
      </c>
      <c r="BJ46" s="159">
        <v>4.0321999999999997E-2</v>
      </c>
      <c r="BK46" s="10"/>
      <c r="BL46" s="10"/>
      <c r="BM46" s="10"/>
      <c r="BN46" s="10"/>
      <c r="BO46" s="10"/>
    </row>
    <row r="47" spans="1:67" s="38" customFormat="1">
      <c r="A47" t="s">
        <v>62</v>
      </c>
      <c r="B47" s="54">
        <v>45181</v>
      </c>
      <c r="C47" s="160">
        <v>30</v>
      </c>
      <c r="D47" s="133">
        <v>27.164919014848493</v>
      </c>
      <c r="E47" s="146">
        <v>0.40800319173677124</v>
      </c>
      <c r="F47" s="147">
        <v>0.10204980180952912</v>
      </c>
      <c r="G47" s="151">
        <v>7</v>
      </c>
      <c r="H47" s="149">
        <v>-156.30000000000001</v>
      </c>
      <c r="I47" s="151">
        <v>1.8</v>
      </c>
      <c r="J47" s="151">
        <v>0.2</v>
      </c>
      <c r="K47" s="151">
        <v>657</v>
      </c>
      <c r="L47" s="150">
        <v>6.87</v>
      </c>
      <c r="M47" s="157" t="s">
        <v>66</v>
      </c>
      <c r="N47" s="161"/>
      <c r="O47" s="157" t="s">
        <v>66</v>
      </c>
      <c r="P47" s="157" t="s">
        <v>66</v>
      </c>
      <c r="Q47" s="157" t="s">
        <v>66</v>
      </c>
      <c r="R47" s="157" t="s">
        <v>66</v>
      </c>
      <c r="S47" s="157" t="s">
        <v>66</v>
      </c>
      <c r="T47" s="157" t="s">
        <v>66</v>
      </c>
      <c r="U47" s="157" t="s">
        <v>66</v>
      </c>
      <c r="V47" s="157" t="s">
        <v>66</v>
      </c>
      <c r="W47" s="157" t="s">
        <v>66</v>
      </c>
      <c r="X47" s="157" t="s">
        <v>66</v>
      </c>
      <c r="Y47" s="170" t="s">
        <v>66</v>
      </c>
      <c r="Z47" s="170" t="s">
        <v>66</v>
      </c>
      <c r="AA47" s="170" t="s">
        <v>66</v>
      </c>
      <c r="AB47" s="162" t="s">
        <v>66</v>
      </c>
      <c r="AC47" s="170" t="s">
        <v>66</v>
      </c>
      <c r="AD47" s="162" t="s">
        <v>66</v>
      </c>
      <c r="AE47" s="162" t="s">
        <v>66</v>
      </c>
      <c r="AF47" s="170" t="s">
        <v>66</v>
      </c>
      <c r="AG47" s="162" t="s">
        <v>66</v>
      </c>
      <c r="AH47" s="157" t="s">
        <v>66</v>
      </c>
      <c r="AI47" s="157" t="s">
        <v>66</v>
      </c>
      <c r="AJ47" s="162" t="s">
        <v>66</v>
      </c>
      <c r="AK47" s="162" t="s">
        <v>66</v>
      </c>
      <c r="AL47" s="170" t="s">
        <v>66</v>
      </c>
      <c r="AM47" s="170" t="s">
        <v>66</v>
      </c>
      <c r="AN47" s="170" t="s">
        <v>66</v>
      </c>
      <c r="AO47" s="170" t="s">
        <v>66</v>
      </c>
      <c r="AP47" s="170" t="s">
        <v>66</v>
      </c>
      <c r="AQ47" s="170" t="s">
        <v>66</v>
      </c>
      <c r="AR47" s="170" t="s">
        <v>66</v>
      </c>
      <c r="AS47" s="170" t="s">
        <v>66</v>
      </c>
      <c r="AT47" s="170" t="s">
        <v>66</v>
      </c>
      <c r="AU47" s="170" t="s">
        <v>66</v>
      </c>
      <c r="AV47" s="170" t="s">
        <v>66</v>
      </c>
      <c r="AW47" s="170" t="s">
        <v>66</v>
      </c>
      <c r="AX47" s="162"/>
      <c r="AY47" s="170" t="s">
        <v>66</v>
      </c>
      <c r="AZ47" s="170" t="s">
        <v>66</v>
      </c>
      <c r="BA47" s="170" t="s">
        <v>66</v>
      </c>
      <c r="BB47" s="170" t="s">
        <v>66</v>
      </c>
      <c r="BC47" s="170" t="s">
        <v>66</v>
      </c>
      <c r="BD47" s="170" t="s">
        <v>66</v>
      </c>
      <c r="BE47" s="170" t="s">
        <v>66</v>
      </c>
      <c r="BF47" s="170" t="s">
        <v>66</v>
      </c>
      <c r="BG47" s="170" t="s">
        <v>66</v>
      </c>
      <c r="BH47" s="170" t="s">
        <v>66</v>
      </c>
      <c r="BI47" s="170" t="s">
        <v>66</v>
      </c>
      <c r="BJ47" s="170" t="s">
        <v>66</v>
      </c>
    </row>
    <row r="48" spans="1:67">
      <c r="A48" t="s">
        <v>62</v>
      </c>
      <c r="B48" s="54">
        <v>45208</v>
      </c>
      <c r="C48" s="119">
        <v>0</v>
      </c>
      <c r="D48" s="64">
        <v>2.2390683423158326</v>
      </c>
      <c r="E48" s="65">
        <v>0.42847578479207704</v>
      </c>
      <c r="F48" s="125">
        <v>8.7173821099974708E-2</v>
      </c>
      <c r="G48" s="8">
        <v>8.74</v>
      </c>
      <c r="H48" s="9">
        <v>63</v>
      </c>
      <c r="I48" s="9">
        <v>90.7</v>
      </c>
      <c r="J48" s="8">
        <v>8.27</v>
      </c>
      <c r="K48" s="10">
        <v>383</v>
      </c>
      <c r="L48" s="8">
        <v>16.96</v>
      </c>
      <c r="M48" s="8">
        <v>1.66</v>
      </c>
      <c r="N48" s="24"/>
      <c r="O48">
        <v>11.75</v>
      </c>
      <c r="P48">
        <v>10.25</v>
      </c>
      <c r="Q48">
        <v>5.2359999999999998</v>
      </c>
      <c r="R48" s="12">
        <v>3.3000000000000002E-2</v>
      </c>
      <c r="S48" s="9">
        <v>1</v>
      </c>
      <c r="T48" s="8">
        <v>0.04</v>
      </c>
      <c r="U48" s="31">
        <v>47</v>
      </c>
      <c r="V48" s="8">
        <v>0.51</v>
      </c>
      <c r="W48" s="9">
        <f>2*15.4</f>
        <v>30.8</v>
      </c>
      <c r="X48" s="31">
        <v>0</v>
      </c>
      <c r="Y48" s="5">
        <v>1.575E-2</v>
      </c>
      <c r="Z48" s="5">
        <v>0</v>
      </c>
      <c r="AA48" s="5">
        <v>3.3700000000000001E-2</v>
      </c>
      <c r="AB48" s="2">
        <v>28.868500000000001</v>
      </c>
      <c r="AC48" s="5">
        <v>2.0650000000000002E-2</v>
      </c>
      <c r="AD48" s="2">
        <v>4.9507999999999992</v>
      </c>
      <c r="AE48" s="2">
        <v>11.43075</v>
      </c>
      <c r="AF48" s="5">
        <v>1.2999999999999999E-3</v>
      </c>
      <c r="AG48" s="2">
        <v>10.307549999999999</v>
      </c>
      <c r="AH48" s="5">
        <v>0</v>
      </c>
      <c r="AI48" s="5">
        <v>2.7000000000000001E-3</v>
      </c>
      <c r="AJ48" s="2">
        <v>1.1850000000000001</v>
      </c>
      <c r="AK48" s="2">
        <v>11.03225806451613</v>
      </c>
      <c r="AL48" s="5">
        <v>1.8118000000000001</v>
      </c>
      <c r="AM48" s="5">
        <v>0.12670999999999999</v>
      </c>
      <c r="AN48" s="5">
        <v>8.4825999999999999E-2</v>
      </c>
      <c r="AO48" s="5">
        <v>1.5158E-2</v>
      </c>
      <c r="AP48" s="5">
        <v>5.9132999999999998E-3</v>
      </c>
      <c r="AQ48" s="5">
        <v>3.4361000000000001E-3</v>
      </c>
      <c r="AR48" s="5">
        <v>2.9507000000000001E-3</v>
      </c>
      <c r="AS48" s="5">
        <v>2.6450000000000002E-3</v>
      </c>
      <c r="AT48" s="5">
        <v>2.2655000000000002E-3</v>
      </c>
      <c r="AU48" s="5">
        <v>2.2254000000000002E-3</v>
      </c>
      <c r="AV48" s="5">
        <v>2.0198999999999998E-3</v>
      </c>
      <c r="AW48" s="5">
        <v>1.9326E-3</v>
      </c>
      <c r="AX48" s="2">
        <f t="shared" si="0"/>
        <v>1.2361951219512195</v>
      </c>
      <c r="AY48" s="5">
        <v>1.8334999999999999</v>
      </c>
      <c r="AZ48" s="5">
        <v>0.1449</v>
      </c>
      <c r="BA48" s="5">
        <v>0.10156999999999999</v>
      </c>
      <c r="BB48" s="5">
        <v>2.768E-2</v>
      </c>
      <c r="BC48" s="5">
        <v>1.6809999999999999E-2</v>
      </c>
      <c r="BD48" s="5">
        <v>1.2854000000000001E-2</v>
      </c>
      <c r="BE48" s="5">
        <v>1.1693E-2</v>
      </c>
      <c r="BF48" s="5">
        <v>1.0331999999999999E-2</v>
      </c>
      <c r="BG48" s="5">
        <v>9.7928000000000008E-3</v>
      </c>
      <c r="BH48" s="5">
        <v>9.5557999999999997E-3</v>
      </c>
      <c r="BI48" s="5">
        <v>9.325E-3</v>
      </c>
      <c r="BJ48" s="5">
        <v>8.8506000000000001E-3</v>
      </c>
    </row>
    <row r="49" spans="1:67">
      <c r="A49" t="s">
        <v>62</v>
      </c>
      <c r="B49" s="54">
        <v>45208</v>
      </c>
      <c r="C49" s="119">
        <v>2.5</v>
      </c>
      <c r="D49" s="64">
        <v>2.183101351660774</v>
      </c>
      <c r="E49" s="65">
        <v>0.38734179205453795</v>
      </c>
      <c r="F49" s="125">
        <v>0.10729649773430722</v>
      </c>
      <c r="G49" s="8">
        <v>8.77</v>
      </c>
      <c r="H49" s="9">
        <v>66.7</v>
      </c>
      <c r="I49" s="9">
        <v>89.1</v>
      </c>
      <c r="J49" s="8">
        <v>8.1199999999999992</v>
      </c>
      <c r="K49" s="10">
        <v>380</v>
      </c>
      <c r="L49" s="8">
        <v>16.940000000000001</v>
      </c>
      <c r="M49" s="8">
        <v>1.63</v>
      </c>
      <c r="N49" s="24"/>
      <c r="O49">
        <v>11.73</v>
      </c>
      <c r="P49">
        <v>10.25</v>
      </c>
      <c r="Q49">
        <v>5.3049999999999997</v>
      </c>
      <c r="R49" s="12">
        <v>3.5000000000000003E-2</v>
      </c>
      <c r="S49" s="9">
        <v>1.3</v>
      </c>
      <c r="T49" s="8">
        <v>0.06</v>
      </c>
      <c r="U49" s="31">
        <v>47</v>
      </c>
      <c r="V49" s="8">
        <v>0.28000000000000003</v>
      </c>
      <c r="W49" s="9">
        <f>2*15.5</f>
        <v>31</v>
      </c>
      <c r="X49" s="31">
        <v>4</v>
      </c>
      <c r="Y49" s="5">
        <v>1.15E-2</v>
      </c>
      <c r="Z49" s="5">
        <v>0</v>
      </c>
      <c r="AA49" s="5">
        <v>3.3399999999999999E-2</v>
      </c>
      <c r="AB49" s="2">
        <v>28.6447</v>
      </c>
      <c r="AC49" s="5">
        <v>2.1749999999999999E-2</v>
      </c>
      <c r="AD49" s="2">
        <v>4.9118499999999994</v>
      </c>
      <c r="AE49" s="2">
        <v>11.26675</v>
      </c>
      <c r="AF49" s="5">
        <v>7.9999999999999993E-4</v>
      </c>
      <c r="AG49" s="2">
        <v>10.21505</v>
      </c>
      <c r="AH49" s="5">
        <v>0</v>
      </c>
      <c r="AI49" s="5">
        <v>5.1000000000000004E-3</v>
      </c>
      <c r="AJ49" s="2">
        <v>1.1865000000000001</v>
      </c>
      <c r="AK49" s="2">
        <v>11.354838709677418</v>
      </c>
      <c r="AL49" s="5">
        <v>1.8124</v>
      </c>
      <c r="AM49" s="5">
        <v>0.12731999999999999</v>
      </c>
      <c r="AN49" s="5">
        <v>8.5521E-2</v>
      </c>
      <c r="AO49" s="5">
        <v>1.6532000000000002E-2</v>
      </c>
      <c r="AP49" s="5">
        <v>7.5240000000000003E-3</v>
      </c>
      <c r="AQ49" s="5">
        <v>4.8346999999999999E-3</v>
      </c>
      <c r="AR49" s="5">
        <v>4.4913000000000002E-3</v>
      </c>
      <c r="AS49" s="5">
        <v>3.9830000000000004E-3</v>
      </c>
      <c r="AT49" s="5">
        <v>3.7198000000000001E-3</v>
      </c>
      <c r="AU49" s="5">
        <v>3.6135E-3</v>
      </c>
      <c r="AV49" s="5">
        <v>3.4323000000000001E-3</v>
      </c>
      <c r="AW49" s="5">
        <v>3.3598E-3</v>
      </c>
      <c r="AX49" s="2">
        <f t="shared" si="0"/>
        <v>1.2421463414634146</v>
      </c>
      <c r="AY49" s="5">
        <v>1.8369</v>
      </c>
      <c r="AZ49" s="5">
        <v>0.14459</v>
      </c>
      <c r="BA49" s="5">
        <v>0.10144</v>
      </c>
      <c r="BB49" s="5">
        <v>2.8167000000000001E-2</v>
      </c>
      <c r="BC49" s="5">
        <v>1.7271999999999999E-2</v>
      </c>
      <c r="BD49" s="5">
        <v>1.3273E-2</v>
      </c>
      <c r="BE49" s="5">
        <v>1.23E-2</v>
      </c>
      <c r="BF49" s="5">
        <v>1.0633E-2</v>
      </c>
      <c r="BG49" s="5">
        <v>1.0109999999999999E-2</v>
      </c>
      <c r="BH49" s="5">
        <v>9.8925000000000003E-3</v>
      </c>
      <c r="BI49" s="5">
        <v>9.6010999999999996E-3</v>
      </c>
      <c r="BJ49" s="5">
        <v>9.2034000000000005E-3</v>
      </c>
    </row>
    <row r="50" spans="1:67">
      <c r="A50" t="s">
        <v>62</v>
      </c>
      <c r="B50" s="54">
        <v>45208</v>
      </c>
      <c r="C50" s="119">
        <v>5</v>
      </c>
      <c r="D50" s="64">
        <v>2.2922967277354367</v>
      </c>
      <c r="E50" s="65">
        <v>0.39567673717333812</v>
      </c>
      <c r="F50" s="125">
        <v>9.3333587945275839E-2</v>
      </c>
      <c r="G50" s="8">
        <v>8.7799999999999994</v>
      </c>
      <c r="H50" s="9">
        <v>69.2</v>
      </c>
      <c r="I50" s="9">
        <v>87.9</v>
      </c>
      <c r="J50" s="8">
        <v>8.01</v>
      </c>
      <c r="K50" s="10">
        <v>380</v>
      </c>
      <c r="L50" s="8">
        <v>16.93</v>
      </c>
      <c r="M50" s="8">
        <v>1.61</v>
      </c>
      <c r="N50" s="24"/>
      <c r="O50">
        <v>11.88</v>
      </c>
      <c r="P50">
        <v>10.199999999999999</v>
      </c>
      <c r="Q50">
        <v>5.383</v>
      </c>
      <c r="R50" s="12">
        <v>2.8000000000000001E-2</v>
      </c>
      <c r="S50" s="9">
        <v>1.3</v>
      </c>
      <c r="T50" s="8">
        <v>0.06</v>
      </c>
      <c r="U50" s="31">
        <v>48</v>
      </c>
      <c r="V50" s="8">
        <v>0.09</v>
      </c>
      <c r="W50" s="9">
        <f>2*14.9</f>
        <v>29.8</v>
      </c>
      <c r="X50" s="31">
        <v>4</v>
      </c>
      <c r="Y50" s="5">
        <v>1.09E-2</v>
      </c>
      <c r="Z50" s="5">
        <v>0</v>
      </c>
      <c r="AA50" s="5">
        <v>3.3299999999999996E-2</v>
      </c>
      <c r="AB50" s="2">
        <v>29.110900000000001</v>
      </c>
      <c r="AC50" s="5">
        <v>1.6550000000000002E-2</v>
      </c>
      <c r="AD50" s="2">
        <v>4.9022000000000006</v>
      </c>
      <c r="AE50" s="2">
        <v>11.25305</v>
      </c>
      <c r="AF50" s="5">
        <v>6.0000000000000006E-4</v>
      </c>
      <c r="AG50" s="2">
        <v>10.140750000000001</v>
      </c>
      <c r="AH50" s="5">
        <v>0</v>
      </c>
      <c r="AI50" s="5">
        <v>1.4499999999999999E-3</v>
      </c>
      <c r="AJ50" s="2">
        <v>1.1879999999999999</v>
      </c>
      <c r="AK50" s="2">
        <v>12.32258064516129</v>
      </c>
      <c r="AL50" s="5">
        <v>1.8025</v>
      </c>
      <c r="AM50" s="5">
        <v>0.12651000000000001</v>
      </c>
      <c r="AN50" s="5">
        <v>8.4839999999999999E-2</v>
      </c>
      <c r="AO50" s="5">
        <v>1.5890999999999999E-2</v>
      </c>
      <c r="AP50" s="5">
        <v>6.7886999999999999E-3</v>
      </c>
      <c r="AQ50" s="5">
        <v>3.7602999999999998E-3</v>
      </c>
      <c r="AR50" s="5">
        <v>3.3793E-3</v>
      </c>
      <c r="AS50" s="5">
        <v>3.0011999999999999E-3</v>
      </c>
      <c r="AT50" s="5">
        <v>2.6765000000000001E-3</v>
      </c>
      <c r="AU50" s="5">
        <v>2.5444E-3</v>
      </c>
      <c r="AV50" s="5">
        <v>2.3655999999999998E-3</v>
      </c>
      <c r="AW50" s="5">
        <v>2.2855000000000002E-3</v>
      </c>
      <c r="AX50" s="2">
        <f t="shared" si="0"/>
        <v>1.240294117647059</v>
      </c>
      <c r="AY50" s="5">
        <v>1.8386</v>
      </c>
      <c r="AZ50" s="5">
        <v>0.14666000000000001</v>
      </c>
      <c r="BA50" s="5">
        <v>0.10369</v>
      </c>
      <c r="BB50" s="5">
        <v>3.1018E-2</v>
      </c>
      <c r="BC50" s="5">
        <v>2.0211E-2</v>
      </c>
      <c r="BD50" s="5">
        <v>1.5982E-2</v>
      </c>
      <c r="BE50" s="5">
        <v>1.474E-2</v>
      </c>
      <c r="BF50" s="5">
        <v>1.3243E-2</v>
      </c>
      <c r="BG50" s="5">
        <v>1.2515E-2</v>
      </c>
      <c r="BH50" s="5">
        <v>1.2231000000000001E-2</v>
      </c>
      <c r="BI50" s="5">
        <v>1.1795999999999999E-2</v>
      </c>
      <c r="BJ50" s="5">
        <v>1.1320999999999999E-2</v>
      </c>
    </row>
    <row r="51" spans="1:67">
      <c r="A51" t="s">
        <v>62</v>
      </c>
      <c r="B51" s="54">
        <v>45208</v>
      </c>
      <c r="C51" s="119">
        <v>7.5</v>
      </c>
      <c r="D51" s="64">
        <v>2.2605720870503898</v>
      </c>
      <c r="E51" s="65">
        <v>0.36217300343936798</v>
      </c>
      <c r="F51" s="125">
        <v>0.10002464121470289</v>
      </c>
      <c r="G51" s="8">
        <v>8.76</v>
      </c>
      <c r="H51" s="9">
        <v>71.099999999999994</v>
      </c>
      <c r="I51" s="9">
        <v>86.4</v>
      </c>
      <c r="J51" s="8">
        <v>7.88</v>
      </c>
      <c r="K51" s="10">
        <v>381</v>
      </c>
      <c r="L51" s="8">
        <v>16.91</v>
      </c>
      <c r="M51" s="8">
        <v>1.67</v>
      </c>
      <c r="N51" s="24"/>
      <c r="O51">
        <v>12.05</v>
      </c>
      <c r="P51">
        <v>10.050000000000001</v>
      </c>
      <c r="Q51">
        <v>5.4459999999999997</v>
      </c>
      <c r="R51" s="12">
        <v>4.2000000000000003E-2</v>
      </c>
      <c r="S51" s="9">
        <v>1.3</v>
      </c>
      <c r="T51" s="8">
        <v>0.08</v>
      </c>
      <c r="U51" s="31">
        <v>48</v>
      </c>
      <c r="V51" s="8">
        <v>0.6</v>
      </c>
      <c r="W51" s="9">
        <f>2*15.4</f>
        <v>30.8</v>
      </c>
      <c r="X51" s="31">
        <v>3</v>
      </c>
      <c r="Y51" s="5">
        <v>1.0100000000000001E-2</v>
      </c>
      <c r="Z51" s="5">
        <v>0</v>
      </c>
      <c r="AA51" s="5">
        <v>3.3299999999999996E-2</v>
      </c>
      <c r="AB51" s="2">
        <v>29.315950000000001</v>
      </c>
      <c r="AC51" s="5">
        <v>1.55E-2</v>
      </c>
      <c r="AD51" s="2">
        <v>4.9601500000000005</v>
      </c>
      <c r="AE51" s="2">
        <v>11.368549999999999</v>
      </c>
      <c r="AF51" s="5">
        <v>5.4999999999999992E-4</v>
      </c>
      <c r="AG51" s="2">
        <v>10.288250000000001</v>
      </c>
      <c r="AH51" s="5">
        <v>0</v>
      </c>
      <c r="AI51" s="5">
        <v>2.3499999999999997E-3</v>
      </c>
      <c r="AJ51" s="2">
        <v>1.29</v>
      </c>
      <c r="AK51" s="2">
        <v>13.93548387096774</v>
      </c>
      <c r="AL51" s="5">
        <v>1.8152999999999999</v>
      </c>
      <c r="AM51" s="5">
        <v>0.12853000000000001</v>
      </c>
      <c r="AN51" s="5">
        <v>8.6753999999999998E-2</v>
      </c>
      <c r="AO51" s="5">
        <v>1.702E-2</v>
      </c>
      <c r="AP51" s="5">
        <v>7.4552999999999998E-3</v>
      </c>
      <c r="AQ51" s="5">
        <v>4.5481000000000002E-3</v>
      </c>
      <c r="AR51" s="5">
        <v>4.2315E-3</v>
      </c>
      <c r="AS51" s="5">
        <v>3.6968999999999999E-3</v>
      </c>
      <c r="AT51" s="5">
        <v>3.4943000000000001E-3</v>
      </c>
      <c r="AU51" s="5">
        <v>3.3945999999999998E-3</v>
      </c>
      <c r="AV51" s="5">
        <v>3.1962000000000002E-3</v>
      </c>
      <c r="AW51" s="5">
        <v>3.2667999999999998E-3</v>
      </c>
      <c r="AX51" s="2">
        <f t="shared" si="0"/>
        <v>1.2789054726368159</v>
      </c>
      <c r="AY51" s="5">
        <v>1.8524</v>
      </c>
      <c r="AZ51" s="5">
        <v>0.15634000000000001</v>
      </c>
      <c r="BA51" s="5">
        <v>0.11359</v>
      </c>
      <c r="BB51" s="5">
        <v>4.0480000000000002E-2</v>
      </c>
      <c r="BC51" s="5">
        <v>2.9239999999999999E-2</v>
      </c>
      <c r="BD51" s="5">
        <v>2.4388E-2</v>
      </c>
      <c r="BE51" s="5">
        <v>2.2988000000000001E-2</v>
      </c>
      <c r="BF51" s="5">
        <v>2.1066000000000001E-2</v>
      </c>
      <c r="BG51" s="5">
        <v>2.0112000000000001E-2</v>
      </c>
      <c r="BH51" s="5">
        <v>1.9796999999999999E-2</v>
      </c>
      <c r="BI51" s="5">
        <v>1.9401999999999999E-2</v>
      </c>
      <c r="BJ51" s="5">
        <v>1.8745999999999999E-2</v>
      </c>
    </row>
    <row r="52" spans="1:67">
      <c r="A52" t="s">
        <v>62</v>
      </c>
      <c r="B52" s="54">
        <v>45208</v>
      </c>
      <c r="C52" s="119">
        <v>10</v>
      </c>
      <c r="D52" s="64">
        <v>2.9484543672421015</v>
      </c>
      <c r="E52" s="65">
        <v>0.36513405904825458</v>
      </c>
      <c r="F52" s="125">
        <v>7.9974799839592256E-2</v>
      </c>
      <c r="G52" s="8">
        <v>7.62</v>
      </c>
      <c r="H52" s="9">
        <v>92.6</v>
      </c>
      <c r="I52" s="9">
        <v>3.6</v>
      </c>
      <c r="J52" s="8">
        <v>0.37</v>
      </c>
      <c r="K52" s="10">
        <v>437</v>
      </c>
      <c r="L52" s="8">
        <v>11.01</v>
      </c>
      <c r="M52" s="8">
        <v>2.12</v>
      </c>
      <c r="N52" s="24"/>
      <c r="O52">
        <v>10.45</v>
      </c>
      <c r="P52">
        <v>9.3079999999999998</v>
      </c>
      <c r="Q52">
        <v>5.7290000000000001</v>
      </c>
      <c r="R52" s="12">
        <v>6.6000000000000003E-2</v>
      </c>
      <c r="S52" s="9">
        <v>1.4</v>
      </c>
      <c r="T52" s="8">
        <v>0.32</v>
      </c>
      <c r="U52" s="31">
        <v>47</v>
      </c>
      <c r="V52" s="8">
        <v>7.0000000000000007E-2</v>
      </c>
      <c r="W52" s="9">
        <f>2*16.3</f>
        <v>32.6</v>
      </c>
      <c r="X52" s="31">
        <v>27</v>
      </c>
      <c r="Y52" s="5">
        <v>7.6499999999999997E-3</v>
      </c>
      <c r="Z52" s="5">
        <v>0</v>
      </c>
      <c r="AA52" s="5">
        <v>3.2100000000000004E-2</v>
      </c>
      <c r="AB52" s="2">
        <v>33.593199999999996</v>
      </c>
      <c r="AC52" s="5">
        <v>2.7E-2</v>
      </c>
      <c r="AD52" s="2">
        <v>4.9671000000000003</v>
      </c>
      <c r="AE52" s="2">
        <v>11.023299999999999</v>
      </c>
      <c r="AF52" s="5">
        <v>0.28975000000000001</v>
      </c>
      <c r="AG52" s="2">
        <v>10.379449999999999</v>
      </c>
      <c r="AH52" s="5">
        <v>0</v>
      </c>
      <c r="AI52" s="5">
        <v>2.9499999999999999E-3</v>
      </c>
      <c r="AJ52" s="2">
        <v>2.8490000000000002</v>
      </c>
      <c r="AK52" s="2">
        <v>33.612903225806448</v>
      </c>
      <c r="AL52" s="5">
        <v>1.9292</v>
      </c>
      <c r="AM52" s="5">
        <v>0.15196000000000001</v>
      </c>
      <c r="AN52" s="5">
        <v>0.10802</v>
      </c>
      <c r="AO52" s="5">
        <v>2.7089999999999999E-2</v>
      </c>
      <c r="AP52" s="5">
        <v>1.2463E-2</v>
      </c>
      <c r="AQ52" s="5">
        <v>7.3543000000000002E-3</v>
      </c>
      <c r="AR52" s="5">
        <v>6.4383000000000001E-3</v>
      </c>
      <c r="AS52" s="5">
        <v>5.2934000000000002E-3</v>
      </c>
      <c r="AT52" s="5">
        <v>4.7326E-3</v>
      </c>
      <c r="AU52" s="5">
        <v>4.4774999999999997E-3</v>
      </c>
      <c r="AV52" s="5">
        <v>4.1833E-3</v>
      </c>
      <c r="AW52" s="5">
        <v>3.9921000000000002E-3</v>
      </c>
      <c r="AX52" s="2">
        <f t="shared" si="0"/>
        <v>1.6325741297808338</v>
      </c>
      <c r="AY52" s="5">
        <v>1.9722999999999999</v>
      </c>
      <c r="AZ52" s="5">
        <v>0.18734000000000001</v>
      </c>
      <c r="BA52" s="5">
        <v>0.14215</v>
      </c>
      <c r="BB52" s="5">
        <v>5.8160000000000003E-2</v>
      </c>
      <c r="BC52" s="5">
        <v>3.9974000000000003E-2</v>
      </c>
      <c r="BD52" s="5">
        <v>2.8202999999999999E-2</v>
      </c>
      <c r="BE52" s="5">
        <v>2.4983999999999999E-2</v>
      </c>
      <c r="BF52" s="5">
        <v>2.0993000000000001E-2</v>
      </c>
      <c r="BG52" s="5">
        <v>1.8452E-2</v>
      </c>
      <c r="BH52" s="5">
        <v>1.7538999999999999E-2</v>
      </c>
      <c r="BI52" s="5">
        <v>1.6626999999999999E-2</v>
      </c>
      <c r="BJ52" s="5">
        <v>1.4858E-2</v>
      </c>
    </row>
    <row r="53" spans="1:67">
      <c r="A53" t="s">
        <v>62</v>
      </c>
      <c r="B53" s="54">
        <v>45208</v>
      </c>
      <c r="C53" s="119">
        <v>15</v>
      </c>
      <c r="D53" s="64">
        <v>3.8223209513287459</v>
      </c>
      <c r="E53" s="65">
        <v>0.31875252973351825</v>
      </c>
      <c r="F53" s="125">
        <v>8.4731073966515594E-2</v>
      </c>
      <c r="G53" s="8">
        <v>7.51</v>
      </c>
      <c r="H53" s="9">
        <v>94.9</v>
      </c>
      <c r="I53" s="9">
        <v>2.7</v>
      </c>
      <c r="J53" s="8">
        <v>0.3</v>
      </c>
      <c r="K53" s="10">
        <v>428</v>
      </c>
      <c r="L53" s="8">
        <v>8</v>
      </c>
      <c r="M53" s="8">
        <v>2.11</v>
      </c>
      <c r="N53" s="24"/>
      <c r="O53">
        <v>8.9649999999999999</v>
      </c>
      <c r="P53">
        <v>8.4550000000000001</v>
      </c>
      <c r="Q53">
        <v>6.6639999999999997</v>
      </c>
      <c r="R53" s="12">
        <v>9.0999999999999998E-2</v>
      </c>
      <c r="S53" s="9">
        <v>1.5</v>
      </c>
      <c r="T53" s="8">
        <v>0.36</v>
      </c>
      <c r="U53" s="31">
        <v>46</v>
      </c>
      <c r="V53" s="8">
        <v>0.11</v>
      </c>
      <c r="W53" s="9">
        <f>2*15.1</f>
        <v>30.2</v>
      </c>
      <c r="X53" s="31">
        <v>10</v>
      </c>
      <c r="Y53" s="5">
        <v>6.6499999999999997E-3</v>
      </c>
      <c r="Z53" s="5">
        <v>0</v>
      </c>
      <c r="AA53" s="5">
        <v>3.85E-2</v>
      </c>
      <c r="AB53" s="2">
        <v>34.644149999999996</v>
      </c>
      <c r="AC53" s="5">
        <v>3.8150000000000003E-2</v>
      </c>
      <c r="AD53" s="2">
        <v>4.9394999999999998</v>
      </c>
      <c r="AE53" s="2">
        <v>10.513400000000001</v>
      </c>
      <c r="AF53" s="5">
        <v>0.38580000000000003</v>
      </c>
      <c r="AG53" s="2">
        <v>10.11755</v>
      </c>
      <c r="AH53" s="5">
        <v>0</v>
      </c>
      <c r="AI53" s="5">
        <v>4.7499999999999999E-3</v>
      </c>
      <c r="AJ53" s="2">
        <v>4.2125000000000004</v>
      </c>
      <c r="AK53" s="2">
        <v>31.354838709677423</v>
      </c>
      <c r="AL53" s="5">
        <v>2.2780999999999998</v>
      </c>
      <c r="AM53" s="5">
        <v>0.15379999999999999</v>
      </c>
      <c r="AN53" s="5">
        <v>0.10961</v>
      </c>
      <c r="AO53" s="5">
        <v>2.5118000000000001E-2</v>
      </c>
      <c r="AP53" s="5">
        <v>8.7680999999999992E-3</v>
      </c>
      <c r="AQ53" s="5">
        <v>4.3225E-3</v>
      </c>
      <c r="AR53" s="5">
        <v>3.8376E-3</v>
      </c>
      <c r="AS53" s="5">
        <v>2.9868999999999998E-3</v>
      </c>
      <c r="AT53" s="5">
        <v>2.8644E-3</v>
      </c>
      <c r="AU53" s="5">
        <v>2.7331999999999999E-3</v>
      </c>
      <c r="AV53" s="5">
        <v>2.542E-3</v>
      </c>
      <c r="AW53" s="5">
        <v>2.5325E-3</v>
      </c>
      <c r="AX53" s="2">
        <f t="shared" si="0"/>
        <v>1.8190419869899466</v>
      </c>
      <c r="AY53" s="5">
        <v>2.3138000000000001</v>
      </c>
      <c r="AZ53" s="5">
        <v>0.17963000000000001</v>
      </c>
      <c r="BA53" s="5">
        <v>0.13396</v>
      </c>
      <c r="BB53" s="5">
        <v>4.4714999999999998E-2</v>
      </c>
      <c r="BC53" s="5">
        <v>2.5177000000000001E-2</v>
      </c>
      <c r="BD53" s="5">
        <v>1.7367E-2</v>
      </c>
      <c r="BE53" s="5">
        <v>1.5441E-2</v>
      </c>
      <c r="BF53" s="5">
        <v>1.3088000000000001E-2</v>
      </c>
      <c r="BG53" s="5">
        <v>1.1743E-2</v>
      </c>
      <c r="BH53" s="5">
        <v>1.1285999999999999E-2</v>
      </c>
      <c r="BI53" s="5">
        <v>1.0800000000000001E-2</v>
      </c>
      <c r="BJ53" s="5">
        <v>9.9149000000000008E-3</v>
      </c>
    </row>
    <row r="54" spans="1:67">
      <c r="A54" t="s">
        <v>62</v>
      </c>
      <c r="B54" s="54">
        <v>45208</v>
      </c>
      <c r="C54" s="119">
        <v>20</v>
      </c>
      <c r="D54" s="64">
        <v>5.0592523617477632</v>
      </c>
      <c r="E54" s="65">
        <v>0.35020667374267206</v>
      </c>
      <c r="F54" s="125">
        <v>7.492913020769662E-2</v>
      </c>
      <c r="G54" s="8">
        <v>7.37</v>
      </c>
      <c r="H54" s="9">
        <v>95.5</v>
      </c>
      <c r="I54" s="9">
        <v>2.2999999999999998</v>
      </c>
      <c r="J54" s="8">
        <v>0.27</v>
      </c>
      <c r="K54" s="10">
        <v>425</v>
      </c>
      <c r="L54" s="8">
        <v>7.11</v>
      </c>
      <c r="M54" s="8">
        <v>2.11</v>
      </c>
      <c r="N54" s="24"/>
      <c r="O54">
        <v>8.9120000000000008</v>
      </c>
      <c r="P54">
        <v>8.4179999999999993</v>
      </c>
      <c r="Q54">
        <v>6.4119999999999999</v>
      </c>
      <c r="R54" s="12">
        <v>4.8000000000000001E-2</v>
      </c>
      <c r="S54" s="9">
        <v>1.3</v>
      </c>
      <c r="T54" s="8">
        <v>0.6</v>
      </c>
      <c r="U54" s="31">
        <v>45</v>
      </c>
      <c r="V54" s="8">
        <v>0.06</v>
      </c>
      <c r="W54" s="9">
        <f>2*16.9</f>
        <v>33.799999999999997</v>
      </c>
      <c r="X54" s="31">
        <v>17</v>
      </c>
      <c r="Y54" s="5">
        <v>5.1500000000000001E-3</v>
      </c>
      <c r="Z54" s="5">
        <v>0</v>
      </c>
      <c r="AA54" s="5">
        <v>3.3149999999999999E-2</v>
      </c>
      <c r="AB54" s="2">
        <v>33.532300000000006</v>
      </c>
      <c r="AC54" s="5">
        <v>7.7499999999999999E-2</v>
      </c>
      <c r="AD54" s="2">
        <v>5.0878499999999995</v>
      </c>
      <c r="AE54" s="2">
        <v>11.1516</v>
      </c>
      <c r="AF54" s="5">
        <v>0.50160000000000005</v>
      </c>
      <c r="AG54" s="2">
        <v>10.366150000000001</v>
      </c>
      <c r="AH54" s="5">
        <v>0</v>
      </c>
      <c r="AI54" s="5">
        <v>3.5000000000000001E-3</v>
      </c>
      <c r="AJ54" s="2">
        <v>4.593</v>
      </c>
      <c r="AK54" s="2">
        <v>21.354838709677423</v>
      </c>
      <c r="AL54" s="5">
        <v>2.0430999999999999</v>
      </c>
      <c r="AM54" s="5">
        <v>0.15223</v>
      </c>
      <c r="AN54" s="5">
        <v>0.1104</v>
      </c>
      <c r="AO54" s="5">
        <v>2.9166000000000001E-2</v>
      </c>
      <c r="AP54" s="5">
        <v>1.3358E-2</v>
      </c>
      <c r="AQ54" s="5">
        <v>8.5211000000000002E-3</v>
      </c>
      <c r="AR54" s="5">
        <v>7.6027000000000004E-3</v>
      </c>
      <c r="AS54" s="5">
        <v>6.5459999999999997E-3</v>
      </c>
      <c r="AT54" s="5">
        <v>6.0920999999999996E-3</v>
      </c>
      <c r="AU54" s="5">
        <v>5.8837000000000004E-3</v>
      </c>
      <c r="AV54" s="5">
        <v>5.6252000000000003E-3</v>
      </c>
      <c r="AW54" s="5">
        <v>5.3524999999999996E-3</v>
      </c>
      <c r="AX54" s="2">
        <f t="shared" si="0"/>
        <v>1.8083867902114519</v>
      </c>
      <c r="AY54" s="5">
        <v>2.0767000000000002</v>
      </c>
      <c r="AZ54" s="5">
        <v>0.17971999999999999</v>
      </c>
      <c r="BA54" s="5">
        <v>0.13600999999999999</v>
      </c>
      <c r="BB54" s="5">
        <v>4.8149999999999998E-2</v>
      </c>
      <c r="BC54" s="5">
        <v>2.7421000000000001E-2</v>
      </c>
      <c r="BD54" s="5">
        <v>1.8867999999999999E-2</v>
      </c>
      <c r="BE54" s="5">
        <v>1.686E-2</v>
      </c>
      <c r="BF54" s="5">
        <v>1.4026E-2</v>
      </c>
      <c r="BG54" s="5">
        <v>1.2739E-2</v>
      </c>
      <c r="BH54" s="5">
        <v>1.2152E-2</v>
      </c>
      <c r="BI54" s="5">
        <v>1.1568E-2</v>
      </c>
      <c r="BJ54" s="5">
        <v>1.0687E-2</v>
      </c>
    </row>
    <row r="55" spans="1:67">
      <c r="A55" t="s">
        <v>62</v>
      </c>
      <c r="B55" s="54">
        <v>45208</v>
      </c>
      <c r="C55" s="119">
        <v>25</v>
      </c>
      <c r="D55" s="64">
        <v>5.9521061567625839</v>
      </c>
      <c r="E55" s="65">
        <v>0.32118157840007316</v>
      </c>
      <c r="F55" s="125">
        <v>8.546260727679407E-2</v>
      </c>
      <c r="G55" s="10">
        <v>7.27</v>
      </c>
      <c r="H55" s="9">
        <v>93.6</v>
      </c>
      <c r="I55" s="9">
        <v>2.1</v>
      </c>
      <c r="J55" s="8">
        <v>0.24</v>
      </c>
      <c r="K55" s="10">
        <v>427</v>
      </c>
      <c r="L55" s="8">
        <v>6.84</v>
      </c>
      <c r="M55" s="8">
        <v>2.17</v>
      </c>
      <c r="N55" s="9"/>
      <c r="O55">
        <v>9.3109999999999999</v>
      </c>
      <c r="P55">
        <v>8.3759999999999994</v>
      </c>
      <c r="Q55">
        <v>6.3150000000000004</v>
      </c>
      <c r="R55" s="12">
        <v>4.2000000000000003E-2</v>
      </c>
      <c r="S55" s="9">
        <v>1.2</v>
      </c>
      <c r="T55" s="8">
        <v>0.7</v>
      </c>
      <c r="U55" s="31">
        <v>44</v>
      </c>
      <c r="V55" s="8">
        <v>0.24</v>
      </c>
      <c r="W55" s="9">
        <f>2*17</f>
        <v>34</v>
      </c>
      <c r="X55" s="31">
        <v>9</v>
      </c>
      <c r="Y55" s="5">
        <v>6.6499999999999997E-3</v>
      </c>
      <c r="Z55" s="5">
        <v>0</v>
      </c>
      <c r="AA55" s="5">
        <v>3.2799999999999996E-2</v>
      </c>
      <c r="AB55" s="2">
        <v>33.6327</v>
      </c>
      <c r="AC55" s="5">
        <v>0.10994999999999999</v>
      </c>
      <c r="AD55" s="2">
        <v>5.0913000000000004</v>
      </c>
      <c r="AE55" s="2">
        <v>11.0617</v>
      </c>
      <c r="AF55" s="5">
        <v>0.60855000000000004</v>
      </c>
      <c r="AG55" s="2">
        <v>10.412700000000001</v>
      </c>
      <c r="AH55" s="5">
        <v>0</v>
      </c>
      <c r="AI55" s="5">
        <v>1.9E-3</v>
      </c>
      <c r="AJ55" s="2">
        <v>4.7324999999999999</v>
      </c>
      <c r="AK55" s="9">
        <v>25.870967741935484</v>
      </c>
      <c r="AL55" s="5">
        <v>1.8995</v>
      </c>
      <c r="AM55" s="5">
        <v>0.14832000000000001</v>
      </c>
      <c r="AN55" s="5">
        <v>0.10677</v>
      </c>
      <c r="AO55" s="5">
        <v>2.6078E-2</v>
      </c>
      <c r="AP55" s="5">
        <v>1.0939000000000001E-2</v>
      </c>
      <c r="AQ55" s="5">
        <v>7.3400000000000002E-3</v>
      </c>
      <c r="AR55" s="5">
        <v>6.8493E-3</v>
      </c>
      <c r="AS55" s="5">
        <v>6.2547000000000002E-3</v>
      </c>
      <c r="AT55" s="5">
        <v>6.0305999999999997E-3</v>
      </c>
      <c r="AU55" s="5">
        <v>5.9233000000000003E-3</v>
      </c>
      <c r="AV55" s="5">
        <v>5.8459999999999996E-3</v>
      </c>
      <c r="AW55" s="5">
        <v>5.7545000000000001E-3</v>
      </c>
      <c r="AX55" s="2">
        <f t="shared" si="0"/>
        <v>1.7707736389684816</v>
      </c>
      <c r="AY55" s="5">
        <v>1.9532</v>
      </c>
      <c r="AZ55" s="5">
        <v>0.19009999999999999</v>
      </c>
      <c r="BA55" s="5">
        <v>0.14560999999999999</v>
      </c>
      <c r="BB55" s="5">
        <v>5.5014E-2</v>
      </c>
      <c r="BC55" s="5">
        <v>3.2254999999999999E-2</v>
      </c>
      <c r="BD55" s="5">
        <v>2.2882E-2</v>
      </c>
      <c r="BE55" s="5">
        <v>2.0538000000000001E-2</v>
      </c>
      <c r="BF55" s="5">
        <v>1.7403999999999999E-2</v>
      </c>
      <c r="BG55" s="5">
        <v>1.5730999999999998E-2</v>
      </c>
      <c r="BH55" s="5">
        <v>1.5153E-2</v>
      </c>
      <c r="BI55" s="5">
        <v>1.4526000000000001E-2</v>
      </c>
      <c r="BJ55" s="5">
        <v>1.3459E-2</v>
      </c>
      <c r="BK55" s="10"/>
      <c r="BL55" s="10"/>
      <c r="BM55" s="10"/>
      <c r="BN55" s="10"/>
      <c r="BO55" s="10"/>
    </row>
    <row r="56" spans="1:67">
      <c r="A56" t="s">
        <v>62</v>
      </c>
      <c r="B56" s="54">
        <v>45208</v>
      </c>
      <c r="C56" s="119">
        <v>27.5</v>
      </c>
      <c r="D56" s="64">
        <v>7.3536837868224687</v>
      </c>
      <c r="E56" s="65">
        <v>0.35800195833031756</v>
      </c>
      <c r="F56" s="125">
        <v>8.8978422015849643E-2</v>
      </c>
      <c r="G56" s="10">
        <v>7.23</v>
      </c>
      <c r="H56" s="9">
        <v>90.5</v>
      </c>
      <c r="I56" s="9">
        <v>2</v>
      </c>
      <c r="J56" s="8">
        <v>0.23</v>
      </c>
      <c r="K56" s="10">
        <v>430</v>
      </c>
      <c r="L56" s="8">
        <v>6.83</v>
      </c>
      <c r="M56" s="8">
        <v>2.2000000000000002</v>
      </c>
      <c r="N56" s="9"/>
      <c r="O56">
        <v>10.33</v>
      </c>
      <c r="P56">
        <v>9.1470000000000002</v>
      </c>
      <c r="Q56">
        <v>6.45</v>
      </c>
      <c r="R56" s="12">
        <v>2.1999999999999999E-2</v>
      </c>
      <c r="S56" s="9">
        <v>1.1000000000000001</v>
      </c>
      <c r="T56" s="8">
        <v>1.5</v>
      </c>
      <c r="U56" s="31">
        <v>42</v>
      </c>
      <c r="V56" s="8">
        <v>0.15</v>
      </c>
      <c r="W56" s="9">
        <f>2*17.2</f>
        <v>34.4</v>
      </c>
      <c r="X56" s="31">
        <v>43</v>
      </c>
      <c r="Y56" s="5">
        <v>5.5499999999999994E-3</v>
      </c>
      <c r="Z56" s="5">
        <v>0</v>
      </c>
      <c r="AA56" s="5">
        <v>3.2750000000000001E-2</v>
      </c>
      <c r="AB56" s="2">
        <v>33.611450000000005</v>
      </c>
      <c r="AC56" s="5">
        <v>0.22905</v>
      </c>
      <c r="AD56" s="2">
        <v>5.1098999999999997</v>
      </c>
      <c r="AE56" s="2">
        <v>11.069199999999999</v>
      </c>
      <c r="AF56" s="5">
        <v>0.78849999999999998</v>
      </c>
      <c r="AG56" s="2">
        <v>10.43215</v>
      </c>
      <c r="AH56" s="5">
        <v>0</v>
      </c>
      <c r="AI56" s="5">
        <v>3.3E-3</v>
      </c>
      <c r="AJ56" s="2">
        <v>4.9139999999999997</v>
      </c>
      <c r="AK56" s="9">
        <v>36.838709677419352</v>
      </c>
      <c r="AL56" s="5">
        <v>1.7501</v>
      </c>
      <c r="AM56" s="5">
        <v>0.18151</v>
      </c>
      <c r="AN56" s="5">
        <v>0.13703000000000001</v>
      </c>
      <c r="AO56" s="5">
        <v>4.7111E-2</v>
      </c>
      <c r="AP56" s="5">
        <v>2.5756000000000001E-2</v>
      </c>
      <c r="AQ56" s="5">
        <v>1.8155000000000001E-2</v>
      </c>
      <c r="AR56" s="5">
        <v>1.6257000000000001E-2</v>
      </c>
      <c r="AS56" s="5">
        <v>1.4142999999999999E-2</v>
      </c>
      <c r="AT56" s="5">
        <v>1.2988E-2</v>
      </c>
      <c r="AU56" s="5">
        <v>1.2511E-2</v>
      </c>
      <c r="AV56" s="5">
        <v>1.1971000000000001E-2</v>
      </c>
      <c r="AW56" s="5">
        <v>1.1296E-2</v>
      </c>
      <c r="AX56" s="2">
        <f t="shared" si="0"/>
        <v>1.984366458948289</v>
      </c>
      <c r="AY56" s="5">
        <v>1.8036000000000001</v>
      </c>
      <c r="AZ56" s="5">
        <v>0.22717000000000001</v>
      </c>
      <c r="BA56" s="5">
        <v>0.18029000000000001</v>
      </c>
      <c r="BB56" s="5">
        <v>7.9403000000000001E-2</v>
      </c>
      <c r="BC56" s="5">
        <v>4.9887000000000001E-2</v>
      </c>
      <c r="BD56" s="5">
        <v>3.7282000000000003E-2</v>
      </c>
      <c r="BE56" s="5">
        <v>3.4077999999999997E-2</v>
      </c>
      <c r="BF56" s="5">
        <v>2.9656999999999999E-2</v>
      </c>
      <c r="BG56" s="5">
        <v>2.7490000000000001E-2</v>
      </c>
      <c r="BH56" s="5">
        <v>2.6598E-2</v>
      </c>
      <c r="BI56" s="5">
        <v>2.564E-2</v>
      </c>
      <c r="BJ56" s="5">
        <v>2.4108999999999998E-2</v>
      </c>
      <c r="BK56" s="10"/>
      <c r="BL56" s="10"/>
      <c r="BM56" s="10"/>
      <c r="BN56" s="10"/>
      <c r="BO56" s="10"/>
    </row>
    <row r="57" spans="1:67">
      <c r="A57" t="s">
        <v>62</v>
      </c>
      <c r="B57" s="54">
        <v>45208</v>
      </c>
      <c r="C57" s="163">
        <v>29</v>
      </c>
      <c r="D57" s="133">
        <v>22.806363274745593</v>
      </c>
      <c r="E57" s="146">
        <v>0.40378412926242241</v>
      </c>
      <c r="F57" s="135">
        <v>0.11211098177214637</v>
      </c>
      <c r="G57" s="136">
        <v>6.91</v>
      </c>
      <c r="H57" s="137">
        <v>-128.6</v>
      </c>
      <c r="I57" s="137">
        <v>1.9</v>
      </c>
      <c r="J57" s="138">
        <v>0.22</v>
      </c>
      <c r="K57" s="136">
        <v>598</v>
      </c>
      <c r="L57" s="138">
        <v>7.07</v>
      </c>
      <c r="M57" s="138">
        <v>4.21</v>
      </c>
      <c r="N57" s="137"/>
      <c r="O57" s="131">
        <v>16.059999999999999</v>
      </c>
      <c r="P57" s="131">
        <v>11.71</v>
      </c>
      <c r="Q57" s="131">
        <v>12.79</v>
      </c>
      <c r="R57" s="164">
        <v>1.2E-2</v>
      </c>
      <c r="S57" s="137">
        <v>1.9</v>
      </c>
      <c r="T57" s="138">
        <f>25*0.31</f>
        <v>7.75</v>
      </c>
      <c r="U57" s="142">
        <v>26</v>
      </c>
      <c r="V57" s="138">
        <v>0.24</v>
      </c>
      <c r="W57" s="137">
        <f>2*22.2</f>
        <v>44.4</v>
      </c>
      <c r="X57" s="142">
        <v>353</v>
      </c>
      <c r="Y57" s="143">
        <v>6.7000000000000002E-3</v>
      </c>
      <c r="Z57" s="143">
        <v>0</v>
      </c>
      <c r="AA57" s="143">
        <v>8.4900000000000003E-2</v>
      </c>
      <c r="AB57" s="145">
        <v>38.060699999999997</v>
      </c>
      <c r="AC57" s="143">
        <v>9.6161999999999992</v>
      </c>
      <c r="AD57" s="145">
        <v>5.7167000000000003</v>
      </c>
      <c r="AE57" s="145">
        <v>12.021100000000001</v>
      </c>
      <c r="AF57" s="143">
        <v>4.1700999999999997</v>
      </c>
      <c r="AG57" s="145">
        <v>10.2658</v>
      </c>
      <c r="AH57" s="143">
        <v>0</v>
      </c>
      <c r="AI57" s="143">
        <v>2.8999999999999998E-3</v>
      </c>
      <c r="AJ57" s="145">
        <v>7.27</v>
      </c>
      <c r="AK57" s="137">
        <v>210.38709677419357</v>
      </c>
      <c r="AL57" s="143">
        <v>1.1186</v>
      </c>
      <c r="AM57" s="143">
        <v>0.42316999999999999</v>
      </c>
      <c r="AN57" s="143">
        <v>0.34217999999999998</v>
      </c>
      <c r="AO57" s="143">
        <v>0.14571999999999999</v>
      </c>
      <c r="AP57" s="143">
        <v>5.6189000000000003E-2</v>
      </c>
      <c r="AQ57" s="143">
        <v>2.6287999999999999E-2</v>
      </c>
      <c r="AR57" s="143">
        <v>1.9927E-2</v>
      </c>
      <c r="AS57" s="143">
        <v>1.4553E-2</v>
      </c>
      <c r="AT57" s="143">
        <v>1.1834000000000001E-2</v>
      </c>
      <c r="AU57" s="143">
        <v>1.1252E-2</v>
      </c>
      <c r="AV57" s="143">
        <v>1.0572E-2</v>
      </c>
      <c r="AW57" s="143">
        <v>9.4967000000000003E-3</v>
      </c>
      <c r="AX57" s="145">
        <f t="shared" si="0"/>
        <v>3.6137489325362937</v>
      </c>
      <c r="AY57" s="143">
        <v>1.9319</v>
      </c>
      <c r="AZ57" s="143">
        <v>1.1022000000000001</v>
      </c>
      <c r="BA57" s="143">
        <v>1.0092000000000001</v>
      </c>
      <c r="BB57" s="143">
        <v>0.51810999999999996</v>
      </c>
      <c r="BC57" s="143">
        <v>0.25575999999999999</v>
      </c>
      <c r="BD57" s="143">
        <v>0.15417</v>
      </c>
      <c r="BE57" s="143">
        <v>0.12775</v>
      </c>
      <c r="BF57" s="143">
        <v>0.10058</v>
      </c>
      <c r="BG57" s="143">
        <v>8.4260000000000002E-2</v>
      </c>
      <c r="BH57" s="143">
        <v>7.9493999999999995E-2</v>
      </c>
      <c r="BI57" s="143">
        <v>7.5056999999999999E-2</v>
      </c>
      <c r="BJ57" s="143">
        <v>6.5158999999999995E-2</v>
      </c>
      <c r="BK57" s="10"/>
      <c r="BL57" s="10"/>
      <c r="BM57" s="10"/>
      <c r="BN57" s="10"/>
      <c r="BO57" s="10"/>
    </row>
    <row r="58" spans="1:67">
      <c r="A58" t="s">
        <v>62</v>
      </c>
      <c r="B58" s="54">
        <v>45244</v>
      </c>
      <c r="C58" s="123">
        <v>0</v>
      </c>
      <c r="D58" s="64">
        <v>2.6408201545405339</v>
      </c>
      <c r="E58" s="65">
        <v>0.36249316251003538</v>
      </c>
      <c r="F58" s="127">
        <v>0.10536142102892357</v>
      </c>
      <c r="G58" s="8">
        <v>7.9</v>
      </c>
      <c r="H58" s="9">
        <v>105.1</v>
      </c>
      <c r="I58" s="9">
        <v>82.2</v>
      </c>
      <c r="J58" s="9">
        <v>8.76</v>
      </c>
      <c r="K58" s="9">
        <v>396</v>
      </c>
      <c r="L58" s="9">
        <v>9.93</v>
      </c>
      <c r="M58" s="8">
        <v>1.82</v>
      </c>
      <c r="N58" s="24"/>
      <c r="O58">
        <v>10.199999999999999</v>
      </c>
      <c r="P58">
        <v>9.4149999999999991</v>
      </c>
      <c r="Q58">
        <v>4.4089999999999998</v>
      </c>
      <c r="R58" s="12">
        <v>5.1999999999999998E-2</v>
      </c>
      <c r="S58" s="9">
        <v>0.7</v>
      </c>
      <c r="T58" s="8">
        <v>0.28000000000000003</v>
      </c>
      <c r="U58" s="31">
        <v>47</v>
      </c>
      <c r="V58" s="8">
        <v>0.04</v>
      </c>
      <c r="W58" s="9">
        <f>2*14.7</f>
        <v>29.4</v>
      </c>
      <c r="X58" s="31">
        <v>9</v>
      </c>
      <c r="Y58" s="5">
        <v>0.01</v>
      </c>
      <c r="Z58" s="5">
        <v>0</v>
      </c>
      <c r="AA58" s="5">
        <v>3.1300000000000001E-2</v>
      </c>
      <c r="AB58" s="2">
        <v>33.299999999999997</v>
      </c>
      <c r="AC58" s="5">
        <v>2.5999999999999999E-2</v>
      </c>
      <c r="AD58" s="2">
        <v>4.734</v>
      </c>
      <c r="AE58" s="2">
        <v>9.1020000000000003</v>
      </c>
      <c r="AF58" s="5">
        <v>1.2999999999999999E-3</v>
      </c>
      <c r="AG58" s="2">
        <v>9.8916000000000004</v>
      </c>
      <c r="AH58" s="5">
        <v>0</v>
      </c>
      <c r="AI58">
        <v>2.7099999999999999E-2</v>
      </c>
      <c r="AJ58" s="2">
        <v>1.958</v>
      </c>
      <c r="AK58" s="2">
        <f>(0.039-0.0158)/0.0031</f>
        <v>7.4838709677419351</v>
      </c>
      <c r="AL58" s="5">
        <v>1.5253000000000001</v>
      </c>
      <c r="AM58" s="5">
        <v>0.13392000000000001</v>
      </c>
      <c r="AN58" s="5">
        <v>9.2262999999999998E-2</v>
      </c>
      <c r="AO58" s="5">
        <v>1.8938E-2</v>
      </c>
      <c r="AP58" s="5">
        <v>8.8315000000000008E-3</v>
      </c>
      <c r="AQ58" s="5">
        <v>6.3825000000000002E-3</v>
      </c>
      <c r="AR58" s="5">
        <v>5.9909999999999998E-3</v>
      </c>
      <c r="AS58" s="5">
        <v>5.2481000000000003E-3</v>
      </c>
      <c r="AT58" s="5">
        <v>5.208E-3</v>
      </c>
      <c r="AU58" s="5">
        <v>5.2462000000000003E-3</v>
      </c>
      <c r="AV58" s="5">
        <v>5.1698999999999998E-3</v>
      </c>
      <c r="AW58" s="5">
        <v>5.2732999999999999E-3</v>
      </c>
      <c r="AX58" s="2">
        <f t="shared" si="0"/>
        <v>1.4224110462028681</v>
      </c>
      <c r="AY58" s="5">
        <v>1.54</v>
      </c>
      <c r="AZ58" s="5">
        <v>0.14652999999999999</v>
      </c>
      <c r="BA58" s="5">
        <v>0.10349999999999999</v>
      </c>
      <c r="BB58" s="5">
        <v>2.7383000000000001E-2</v>
      </c>
      <c r="BC58" s="5">
        <v>1.5151E-2</v>
      </c>
      <c r="BD58" s="5">
        <v>1.0617E-2</v>
      </c>
      <c r="BE58" s="5">
        <v>9.4909999999999994E-3</v>
      </c>
      <c r="BF58" s="5">
        <v>8.3618000000000008E-3</v>
      </c>
      <c r="BG58" s="5">
        <v>7.7394999999999999E-3</v>
      </c>
      <c r="BH58" s="5">
        <v>7.6222E-3</v>
      </c>
      <c r="BI58" s="5">
        <v>7.4015000000000001E-3</v>
      </c>
      <c r="BJ58" s="5">
        <v>7.1893E-3</v>
      </c>
    </row>
    <row r="59" spans="1:67">
      <c r="A59" t="s">
        <v>62</v>
      </c>
      <c r="B59" s="54">
        <v>45244</v>
      </c>
      <c r="C59" s="123">
        <v>2.5</v>
      </c>
      <c r="D59" s="64">
        <v>2.6032819806074414</v>
      </c>
      <c r="E59" s="65">
        <v>0.33841089832772786</v>
      </c>
      <c r="F59" s="127">
        <v>0.10347001342278137</v>
      </c>
      <c r="G59" s="8">
        <v>7.89</v>
      </c>
      <c r="H59" s="2">
        <v>106</v>
      </c>
      <c r="I59">
        <v>81.900000000000006</v>
      </c>
      <c r="J59">
        <v>8.73</v>
      </c>
      <c r="K59">
        <v>396</v>
      </c>
      <c r="L59" s="8">
        <v>9.93</v>
      </c>
      <c r="M59" s="8">
        <v>1.81</v>
      </c>
      <c r="N59" s="24"/>
      <c r="O59">
        <v>10.029999999999999</v>
      </c>
      <c r="P59">
        <v>9.4710000000000001</v>
      </c>
      <c r="Q59">
        <v>4.5490000000000004</v>
      </c>
      <c r="R59" s="12">
        <v>4.3999999999999997E-2</v>
      </c>
      <c r="S59" s="9">
        <v>0.7</v>
      </c>
      <c r="T59" s="8">
        <v>0.28000000000000003</v>
      </c>
      <c r="U59" s="31">
        <v>48</v>
      </c>
      <c r="V59" s="8">
        <v>0.05</v>
      </c>
      <c r="W59" s="9">
        <f>2*15.3</f>
        <v>30.6</v>
      </c>
      <c r="X59" s="31">
        <v>9</v>
      </c>
      <c r="Y59" s="5">
        <v>1.0999999999999999E-2</v>
      </c>
      <c r="Z59" s="5">
        <v>0</v>
      </c>
      <c r="AA59" s="5">
        <v>3.2000000000000001E-2</v>
      </c>
      <c r="AB59" s="2">
        <v>33.777000000000001</v>
      </c>
      <c r="AC59" s="5">
        <v>2.4E-2</v>
      </c>
      <c r="AD59" s="2">
        <v>4.83</v>
      </c>
      <c r="AE59" s="2">
        <v>9.4689999999999994</v>
      </c>
      <c r="AF59" s="5">
        <v>6.9999999999999999E-4</v>
      </c>
      <c r="AG59" s="2">
        <v>10.1265</v>
      </c>
      <c r="AH59" s="5">
        <v>0</v>
      </c>
      <c r="AI59">
        <v>6.1999999999999998E-3</v>
      </c>
      <c r="AJ59" s="2">
        <v>1.9239999999999999</v>
      </c>
      <c r="AK59" s="2">
        <f>(0.037-0.0158)/0.0031</f>
        <v>6.8387096774193541</v>
      </c>
      <c r="AL59" s="5">
        <v>1.5218</v>
      </c>
      <c r="AM59" s="5">
        <v>0.13469999999999999</v>
      </c>
      <c r="AN59" s="5">
        <v>9.3007999999999993E-2</v>
      </c>
      <c r="AO59" s="5">
        <v>2.0143999999999999E-2</v>
      </c>
      <c r="AP59" s="5">
        <v>1.0096000000000001E-2</v>
      </c>
      <c r="AQ59" s="5">
        <v>7.4038999999999997E-3</v>
      </c>
      <c r="AR59" s="5">
        <v>6.9008000000000003E-3</v>
      </c>
      <c r="AS59" s="5">
        <v>6.1983999999999997E-3</v>
      </c>
      <c r="AT59" s="5">
        <v>6.0400999999999996E-3</v>
      </c>
      <c r="AU59" s="5">
        <v>5.9648000000000001E-3</v>
      </c>
      <c r="AV59" s="5">
        <v>5.8402999999999997E-3</v>
      </c>
      <c r="AW59" s="5">
        <v>6.0315000000000004E-3</v>
      </c>
      <c r="AX59" s="2">
        <f t="shared" si="0"/>
        <v>1.4222363002850806</v>
      </c>
      <c r="AY59" s="5">
        <v>1.5406</v>
      </c>
      <c r="AZ59" s="5">
        <v>0.14671000000000001</v>
      </c>
      <c r="BA59" s="5">
        <v>0.10398</v>
      </c>
      <c r="BB59" s="5">
        <v>2.7829E-2</v>
      </c>
      <c r="BC59" s="5">
        <v>1.5916E-2</v>
      </c>
      <c r="BD59" s="5">
        <v>1.1897E-2</v>
      </c>
      <c r="BE59" s="5">
        <v>1.0855E-2</v>
      </c>
      <c r="BF59" s="5">
        <v>9.4170999999999994E-3</v>
      </c>
      <c r="BG59" s="5">
        <v>8.9092000000000008E-3</v>
      </c>
      <c r="BH59" s="5">
        <v>8.7795000000000008E-3</v>
      </c>
      <c r="BI59" s="5">
        <v>8.5835000000000009E-3</v>
      </c>
      <c r="BJ59" s="5">
        <v>8.3537000000000004E-3</v>
      </c>
    </row>
    <row r="60" spans="1:67">
      <c r="A60" t="s">
        <v>62</v>
      </c>
      <c r="B60" s="54">
        <v>45244</v>
      </c>
      <c r="C60" s="123">
        <v>5</v>
      </c>
      <c r="D60" s="64">
        <v>2.7189502805854273</v>
      </c>
      <c r="E60" s="65">
        <v>0.39488935744859843</v>
      </c>
      <c r="F60" s="127">
        <v>0.12754342993327358</v>
      </c>
      <c r="G60" s="8">
        <v>7.88</v>
      </c>
      <c r="H60" s="2">
        <v>107</v>
      </c>
      <c r="I60">
        <v>81.5</v>
      </c>
      <c r="J60">
        <v>8.68</v>
      </c>
      <c r="K60" s="10">
        <v>396</v>
      </c>
      <c r="L60" s="8">
        <v>9.93</v>
      </c>
      <c r="M60" s="8">
        <v>1.79</v>
      </c>
      <c r="N60" s="24"/>
      <c r="O60">
        <v>10.14</v>
      </c>
      <c r="P60">
        <v>9.3670000000000009</v>
      </c>
      <c r="Q60">
        <v>4.5590000000000002</v>
      </c>
      <c r="R60" s="12">
        <v>4.2999999999999997E-2</v>
      </c>
      <c r="S60" s="9">
        <v>0.6</v>
      </c>
      <c r="T60" s="8">
        <v>0.28000000000000003</v>
      </c>
      <c r="U60" s="31">
        <v>47</v>
      </c>
      <c r="V60" s="8">
        <v>0.08</v>
      </c>
      <c r="W60" s="9">
        <f>2*15.4</f>
        <v>30.8</v>
      </c>
      <c r="X60" s="31">
        <v>5</v>
      </c>
      <c r="Y60" s="5">
        <v>1.0999999999999999E-2</v>
      </c>
      <c r="Z60" s="5">
        <v>0</v>
      </c>
      <c r="AA60" s="5">
        <v>3.4000000000000002E-2</v>
      </c>
      <c r="AB60" s="2">
        <v>35.395000000000003</v>
      </c>
      <c r="AC60" s="5">
        <v>2.1999999999999999E-2</v>
      </c>
      <c r="AD60" s="2">
        <v>4.9989999999999997</v>
      </c>
      <c r="AE60" s="2">
        <v>10.036</v>
      </c>
      <c r="AF60" s="5">
        <v>5.9999999999999995E-4</v>
      </c>
      <c r="AG60" s="2">
        <v>10.788600000000001</v>
      </c>
      <c r="AH60" s="5">
        <v>0</v>
      </c>
      <c r="AI60">
        <v>3.8E-3</v>
      </c>
      <c r="AJ60" s="2">
        <v>1.9510000000000001</v>
      </c>
      <c r="AK60" s="2">
        <f>(0.038-0.0158)/0.0031</f>
        <v>7.161290322580645</v>
      </c>
      <c r="AL60" s="5">
        <v>1.5206999999999999</v>
      </c>
      <c r="AM60" s="5">
        <v>0.13492999999999999</v>
      </c>
      <c r="AN60" s="5">
        <v>9.3102000000000004E-2</v>
      </c>
      <c r="AO60" s="5">
        <v>2.0684999999999999E-2</v>
      </c>
      <c r="AP60" s="5">
        <v>1.0982E-2</v>
      </c>
      <c r="AQ60" s="5">
        <v>8.3789999999999993E-3</v>
      </c>
      <c r="AR60" s="5">
        <v>7.8664000000000008E-3</v>
      </c>
      <c r="AS60" s="5">
        <v>7.1320999999999997E-3</v>
      </c>
      <c r="AT60" s="5">
        <v>6.9417999999999997E-3</v>
      </c>
      <c r="AU60" s="5">
        <v>6.9021999999999998E-3</v>
      </c>
      <c r="AV60" s="5">
        <v>6.7616000000000004E-3</v>
      </c>
      <c r="AW60" s="5">
        <v>6.8611999999999996E-3</v>
      </c>
      <c r="AX60" s="2">
        <f t="shared" si="0"/>
        <v>1.4404825451051562</v>
      </c>
      <c r="AY60" s="5">
        <v>1.5412999999999999</v>
      </c>
      <c r="AZ60" s="5">
        <v>0.14881</v>
      </c>
      <c r="BA60" s="5">
        <v>0.10574</v>
      </c>
      <c r="BB60" s="5">
        <v>2.9884999999999998E-2</v>
      </c>
      <c r="BC60" s="5">
        <v>1.8176000000000001E-2</v>
      </c>
      <c r="BD60" s="5">
        <v>1.4193000000000001E-2</v>
      </c>
      <c r="BE60" s="5">
        <v>1.3063999999999999E-2</v>
      </c>
      <c r="BF60" s="5">
        <v>1.1518E-2</v>
      </c>
      <c r="BG60" s="5">
        <v>1.1057000000000001E-2</v>
      </c>
      <c r="BH60" s="5">
        <v>1.0907999999999999E-2</v>
      </c>
      <c r="BI60" s="5">
        <v>1.0710000000000001E-2</v>
      </c>
      <c r="BJ60" s="5">
        <v>1.0541E-2</v>
      </c>
    </row>
    <row r="61" spans="1:67">
      <c r="A61" t="s">
        <v>62</v>
      </c>
      <c r="B61" s="54">
        <v>45244</v>
      </c>
      <c r="C61" s="123">
        <v>7.5</v>
      </c>
      <c r="D61" s="64">
        <v>2.6435000174868373</v>
      </c>
      <c r="E61" s="65">
        <v>0.33680511440821653</v>
      </c>
      <c r="F61" s="127">
        <v>0.11088009622229568</v>
      </c>
      <c r="G61" s="8">
        <v>7.87</v>
      </c>
      <c r="H61" s="2">
        <v>107.7</v>
      </c>
      <c r="I61">
        <v>81.2</v>
      </c>
      <c r="J61" s="8">
        <v>8.65</v>
      </c>
      <c r="K61" s="10">
        <v>396</v>
      </c>
      <c r="L61" s="8">
        <v>9.92</v>
      </c>
      <c r="M61" s="8">
        <v>1.74</v>
      </c>
      <c r="N61" s="24"/>
      <c r="O61">
        <v>10.47</v>
      </c>
      <c r="P61">
        <v>9.2520000000000007</v>
      </c>
      <c r="Q61">
        <v>4.5940000000000003</v>
      </c>
      <c r="R61" s="12">
        <v>4.3999999999999997E-2</v>
      </c>
      <c r="S61" s="9">
        <v>0.6</v>
      </c>
      <c r="T61" s="8">
        <v>0.28000000000000003</v>
      </c>
      <c r="U61" s="31">
        <v>49</v>
      </c>
      <c r="V61" s="8">
        <v>0.04</v>
      </c>
      <c r="W61" s="9">
        <f>2*15.6</f>
        <v>31.2</v>
      </c>
      <c r="X61" s="31">
        <v>7</v>
      </c>
      <c r="Y61" s="5">
        <v>8.0000000000000002E-3</v>
      </c>
      <c r="Z61" s="5">
        <v>0</v>
      </c>
      <c r="AA61" s="5">
        <v>3.2800000000000003E-2</v>
      </c>
      <c r="AB61" s="2">
        <v>34.963000000000001</v>
      </c>
      <c r="AC61" s="5">
        <v>2.1000000000000001E-2</v>
      </c>
      <c r="AD61" s="2">
        <v>4.9329999999999998</v>
      </c>
      <c r="AE61" s="2">
        <v>9.6809999999999992</v>
      </c>
      <c r="AF61" s="5">
        <v>4.0000000000000002E-4</v>
      </c>
      <c r="AG61" s="2">
        <v>10.237500000000001</v>
      </c>
      <c r="AH61" s="5">
        <v>0</v>
      </c>
      <c r="AI61">
        <v>2.7000000000000001E-3</v>
      </c>
      <c r="AJ61" s="2">
        <v>1.9570000000000001</v>
      </c>
      <c r="AK61" s="2">
        <f>(0.045-0.0158)/0.0031</f>
        <v>9.4193548387096762</v>
      </c>
      <c r="AL61" s="5">
        <v>1.5212000000000001</v>
      </c>
      <c r="AM61" s="5">
        <v>0.13567000000000001</v>
      </c>
      <c r="AN61" s="5">
        <v>9.3956999999999999E-2</v>
      </c>
      <c r="AO61" s="5">
        <v>2.1725000000000001E-2</v>
      </c>
      <c r="AP61" s="5">
        <v>1.2189E-2</v>
      </c>
      <c r="AQ61" s="5">
        <v>9.5134E-3</v>
      </c>
      <c r="AR61" s="5">
        <v>9.0145999999999993E-3</v>
      </c>
      <c r="AS61" s="5">
        <v>8.2287999999999997E-3</v>
      </c>
      <c r="AT61" s="5">
        <v>8.0342E-3</v>
      </c>
      <c r="AU61" s="5">
        <v>7.9831999999999993E-3</v>
      </c>
      <c r="AV61" s="5">
        <v>7.8588000000000009E-3</v>
      </c>
      <c r="AW61" s="5">
        <v>7.9675000000000006E-3</v>
      </c>
      <c r="AX61" s="2">
        <f t="shared" si="0"/>
        <v>1.466385646346736</v>
      </c>
      <c r="AY61" s="5">
        <v>1.5425</v>
      </c>
      <c r="AZ61" s="5">
        <v>0.14815</v>
      </c>
      <c r="BA61" s="5">
        <v>0.10514</v>
      </c>
      <c r="BB61" s="5">
        <v>3.0124000000000001E-2</v>
      </c>
      <c r="BC61" s="5">
        <v>1.8296E-2</v>
      </c>
      <c r="BD61" s="5">
        <v>1.4102E-2</v>
      </c>
      <c r="BE61" s="5">
        <v>1.3032E-2</v>
      </c>
      <c r="BF61" s="5">
        <v>1.1623E-2</v>
      </c>
      <c r="BG61" s="5">
        <v>1.0904E-2</v>
      </c>
      <c r="BH61" s="5">
        <v>1.0817E-2</v>
      </c>
      <c r="BI61" s="5">
        <v>1.0503E-2</v>
      </c>
      <c r="BJ61" s="5">
        <v>1.0300999999999999E-2</v>
      </c>
    </row>
    <row r="62" spans="1:67">
      <c r="A62" t="s">
        <v>62</v>
      </c>
      <c r="B62" s="54">
        <v>45244</v>
      </c>
      <c r="C62" s="123">
        <v>10</v>
      </c>
      <c r="D62" s="64">
        <v>2.6794554985906629</v>
      </c>
      <c r="E62" s="65">
        <v>0.35513058593842745</v>
      </c>
      <c r="F62" s="127">
        <v>0.11691800655642853</v>
      </c>
      <c r="G62" s="8">
        <v>7.88</v>
      </c>
      <c r="H62" s="2">
        <v>108</v>
      </c>
      <c r="I62" s="9">
        <v>81</v>
      </c>
      <c r="J62" s="8">
        <v>8.6300000000000008</v>
      </c>
      <c r="K62" s="10">
        <v>396</v>
      </c>
      <c r="L62" s="8">
        <v>9.91</v>
      </c>
      <c r="M62" s="8">
        <v>1.77</v>
      </c>
      <c r="N62" s="24"/>
      <c r="O62">
        <v>10.15</v>
      </c>
      <c r="P62">
        <v>9.5670000000000002</v>
      </c>
      <c r="Q62">
        <v>4.444</v>
      </c>
      <c r="R62" s="12">
        <v>4.5999999999999999E-2</v>
      </c>
      <c r="S62" s="9">
        <v>0.7</v>
      </c>
      <c r="T62" s="8">
        <v>0.16</v>
      </c>
      <c r="U62" s="31">
        <v>47</v>
      </c>
      <c r="V62" s="8">
        <v>7.0000000000000007E-2</v>
      </c>
      <c r="W62" s="9">
        <f>2*15.5</f>
        <v>31</v>
      </c>
      <c r="X62" s="31">
        <v>10</v>
      </c>
      <c r="Y62" s="5">
        <v>8.9999999999999993E-3</v>
      </c>
      <c r="Z62" s="5">
        <v>0</v>
      </c>
      <c r="AA62" s="5">
        <v>3.2300000000000002E-2</v>
      </c>
      <c r="AB62" s="2">
        <v>34.094000000000001</v>
      </c>
      <c r="AC62" s="5">
        <v>2.1000000000000001E-2</v>
      </c>
      <c r="AD62" s="2">
        <v>4.9059999999999997</v>
      </c>
      <c r="AE62" s="2">
        <v>9.4209999999999994</v>
      </c>
      <c r="AF62" s="5">
        <v>4.0000000000000002E-4</v>
      </c>
      <c r="AG62" s="2">
        <v>10.2193</v>
      </c>
      <c r="AH62" s="5">
        <v>0</v>
      </c>
      <c r="AI62">
        <v>2.2000000000000001E-3</v>
      </c>
      <c r="AJ62" s="2">
        <v>1.97</v>
      </c>
      <c r="AK62" s="2">
        <f>(0.038-0.0158)/0.0031</f>
        <v>7.161290322580645</v>
      </c>
      <c r="AL62" s="5">
        <v>1.5257000000000001</v>
      </c>
      <c r="AM62" s="5">
        <v>0.13807</v>
      </c>
      <c r="AN62" s="5">
        <v>9.6411999999999998E-2</v>
      </c>
      <c r="AO62" s="5">
        <v>2.3986E-2</v>
      </c>
      <c r="AP62" s="5">
        <v>1.4109E-2</v>
      </c>
      <c r="AQ62" s="5">
        <v>1.1424E-2</v>
      </c>
      <c r="AR62" s="5">
        <v>1.0836999999999999E-2</v>
      </c>
      <c r="AS62" s="5">
        <v>1.0135E-2</v>
      </c>
      <c r="AT62" s="5">
        <v>9.8061999999999993E-3</v>
      </c>
      <c r="AU62" s="5">
        <v>9.7579999999999993E-3</v>
      </c>
      <c r="AV62" s="5">
        <v>9.5606000000000007E-3</v>
      </c>
      <c r="AW62" s="5">
        <v>9.7017000000000006E-3</v>
      </c>
      <c r="AX62" s="2">
        <f t="shared" si="0"/>
        <v>1.4431901327479879</v>
      </c>
      <c r="AY62" s="5">
        <v>1.5412999999999999</v>
      </c>
      <c r="AZ62" s="5">
        <v>0.14777999999999999</v>
      </c>
      <c r="BA62" s="5">
        <v>0.10496999999999999</v>
      </c>
      <c r="BB62" s="5">
        <v>2.9838E-2</v>
      </c>
      <c r="BC62" s="5">
        <v>1.8259000000000001E-2</v>
      </c>
      <c r="BD62" s="5">
        <v>1.404E-2</v>
      </c>
      <c r="BE62" s="5">
        <v>1.3065E-2</v>
      </c>
      <c r="BF62" s="5">
        <v>1.1492E-2</v>
      </c>
      <c r="BG62" s="5">
        <v>1.0902999999999999E-2</v>
      </c>
      <c r="BH62" s="5">
        <v>1.0749E-2</v>
      </c>
      <c r="BI62" s="5">
        <v>1.0500000000000001E-2</v>
      </c>
      <c r="BJ62" s="5">
        <v>1.0297000000000001E-2</v>
      </c>
    </row>
    <row r="63" spans="1:67">
      <c r="A63" t="s">
        <v>62</v>
      </c>
      <c r="B63" s="54">
        <v>45244</v>
      </c>
      <c r="C63" s="123">
        <v>15</v>
      </c>
      <c r="D63" s="64">
        <v>3.1423948049955461</v>
      </c>
      <c r="E63" s="65">
        <v>0.34225974881712179</v>
      </c>
      <c r="F63" s="127">
        <v>0.11234778235073636</v>
      </c>
      <c r="G63" s="8">
        <v>7.42</v>
      </c>
      <c r="H63" s="9">
        <v>116.8</v>
      </c>
      <c r="I63" s="9">
        <v>3.4</v>
      </c>
      <c r="J63" s="8">
        <v>0.38</v>
      </c>
      <c r="K63" s="10">
        <v>430</v>
      </c>
      <c r="L63" s="8">
        <v>8.01</v>
      </c>
      <c r="M63" s="8">
        <v>1.8</v>
      </c>
      <c r="N63" s="24"/>
      <c r="O63">
        <v>9.5589999999999993</v>
      </c>
      <c r="P63">
        <v>8.8160000000000007</v>
      </c>
      <c r="Q63">
        <v>5.0190000000000001</v>
      </c>
      <c r="R63" s="12">
        <v>6.3E-2</v>
      </c>
      <c r="S63" s="9">
        <v>0.9</v>
      </c>
      <c r="T63" s="8">
        <v>0.28000000000000003</v>
      </c>
      <c r="U63" s="31">
        <v>47</v>
      </c>
      <c r="V63" s="8">
        <v>0.05</v>
      </c>
      <c r="W63" s="9">
        <f>2*17.5</f>
        <v>35</v>
      </c>
      <c r="X63" s="31">
        <v>8</v>
      </c>
      <c r="Y63" s="5">
        <v>8.9999999999999993E-3</v>
      </c>
      <c r="Z63" s="5">
        <v>0</v>
      </c>
      <c r="AA63" s="5">
        <v>3.5999999999999997E-2</v>
      </c>
      <c r="AB63" s="2">
        <v>37.267000000000003</v>
      </c>
      <c r="AC63" s="5">
        <v>3.2000000000000001E-2</v>
      </c>
      <c r="AD63" s="2">
        <v>4.6230000000000002</v>
      </c>
      <c r="AE63" s="2">
        <v>9.6460000000000008</v>
      </c>
      <c r="AF63" s="5">
        <v>0.2414</v>
      </c>
      <c r="AG63" s="2">
        <v>10.5459</v>
      </c>
      <c r="AH63" s="5">
        <v>0</v>
      </c>
      <c r="AI63">
        <v>2.2000000000000001E-3</v>
      </c>
      <c r="AJ63" s="2">
        <v>2.9390000000000001</v>
      </c>
      <c r="AK63" s="2">
        <f>(0.094-0.0158)/0.0031</f>
        <v>25.2258064516129</v>
      </c>
      <c r="AL63" s="5">
        <v>1.6820999999999999</v>
      </c>
      <c r="AM63" s="5">
        <v>0.14627000000000001</v>
      </c>
      <c r="AN63" s="5">
        <v>0.10345</v>
      </c>
      <c r="AO63" s="5">
        <v>2.5288000000000001E-2</v>
      </c>
      <c r="AP63" s="5">
        <v>1.3067E-2</v>
      </c>
      <c r="AQ63" s="5">
        <v>9.7436999999999992E-3</v>
      </c>
      <c r="AR63" s="5">
        <v>9.1409999999999998E-3</v>
      </c>
      <c r="AS63" s="5">
        <v>8.2711999999999994E-3</v>
      </c>
      <c r="AT63" s="5">
        <v>8.0280000000000004E-3</v>
      </c>
      <c r="AU63" s="5">
        <v>7.9474000000000003E-3</v>
      </c>
      <c r="AV63" s="5">
        <v>7.8472999999999998E-3</v>
      </c>
      <c r="AW63" s="5">
        <v>7.9950999999999998E-3</v>
      </c>
      <c r="AX63" s="2">
        <f t="shared" si="0"/>
        <v>1.6591424682395643</v>
      </c>
      <c r="AY63" s="5">
        <v>1.7159</v>
      </c>
      <c r="AZ63" s="5">
        <v>0.17230000000000001</v>
      </c>
      <c r="BA63" s="5">
        <v>0.12819</v>
      </c>
      <c r="BB63" s="5">
        <v>4.7501000000000002E-2</v>
      </c>
      <c r="BC63" s="5">
        <v>3.2601999999999999E-2</v>
      </c>
      <c r="BD63" s="5">
        <v>2.4749E-2</v>
      </c>
      <c r="BE63" s="5">
        <v>2.2383E-2</v>
      </c>
      <c r="BF63" s="5">
        <v>1.9501999999999999E-2</v>
      </c>
      <c r="BG63" s="5">
        <v>1.7786E-2</v>
      </c>
      <c r="BH63" s="5">
        <v>1.7403999999999999E-2</v>
      </c>
      <c r="BI63" s="5">
        <v>1.6844999999999999E-2</v>
      </c>
      <c r="BJ63" s="5">
        <v>1.5925999999999999E-2</v>
      </c>
    </row>
    <row r="64" spans="1:67">
      <c r="A64" t="s">
        <v>62</v>
      </c>
      <c r="B64" s="54">
        <v>45244</v>
      </c>
      <c r="C64" s="123">
        <v>20</v>
      </c>
      <c r="D64" s="64">
        <v>4.6362703922843505</v>
      </c>
      <c r="E64" s="65">
        <v>0.34387981276814378</v>
      </c>
      <c r="F64" s="127">
        <v>0.10005529781927618</v>
      </c>
      <c r="G64" s="8">
        <v>7.31</v>
      </c>
      <c r="H64" s="9">
        <v>116.3</v>
      </c>
      <c r="I64" s="9">
        <v>2.4</v>
      </c>
      <c r="J64" s="8">
        <v>0.28000000000000003</v>
      </c>
      <c r="K64" s="10">
        <v>429</v>
      </c>
      <c r="L64" s="8">
        <v>7.11</v>
      </c>
      <c r="M64" s="8">
        <v>1.82</v>
      </c>
      <c r="N64" s="24"/>
      <c r="O64">
        <v>8.7680000000000007</v>
      </c>
      <c r="P64">
        <v>8.2129999999999992</v>
      </c>
      <c r="Q64">
        <v>6.1459999999999999</v>
      </c>
      <c r="R64" s="12">
        <v>3.3000000000000002E-2</v>
      </c>
      <c r="S64" s="9">
        <v>1</v>
      </c>
      <c r="T64" s="8">
        <f>0.09*25</f>
        <v>2.25</v>
      </c>
      <c r="U64" s="31">
        <v>44</v>
      </c>
      <c r="V64" s="8">
        <v>0.1</v>
      </c>
      <c r="W64" s="9">
        <f>2*14.9</f>
        <v>29.8</v>
      </c>
      <c r="X64" s="31">
        <v>11</v>
      </c>
      <c r="Y64" s="5">
        <v>6.0000000000000001E-3</v>
      </c>
      <c r="Z64" s="5">
        <v>0</v>
      </c>
      <c r="AA64" s="5">
        <v>3.7199999999999997E-2</v>
      </c>
      <c r="AB64" s="2">
        <v>38.976999999999997</v>
      </c>
      <c r="AC64" s="5">
        <v>6.3E-2</v>
      </c>
      <c r="AD64" s="2">
        <v>5.141</v>
      </c>
      <c r="AE64" s="2">
        <v>9.8580000000000005</v>
      </c>
      <c r="AF64" s="5">
        <v>0.91269999999999996</v>
      </c>
      <c r="AG64" s="2">
        <v>10.856999999999999</v>
      </c>
      <c r="AH64" s="5">
        <v>0</v>
      </c>
      <c r="AI64">
        <v>3.8999999999999998E-3</v>
      </c>
      <c r="AJ64" s="2">
        <v>4.383</v>
      </c>
      <c r="AK64" s="2">
        <f>(0.072-0.0158)/0.0031</f>
        <v>18.129032258064516</v>
      </c>
      <c r="AL64" s="5">
        <v>1.8771</v>
      </c>
      <c r="AM64" s="5">
        <v>0.15017</v>
      </c>
      <c r="AN64" s="5">
        <v>0.10842</v>
      </c>
      <c r="AO64" s="5">
        <v>2.8462000000000001E-2</v>
      </c>
      <c r="AP64" s="5">
        <v>1.4383999999999999E-2</v>
      </c>
      <c r="AQ64" s="5">
        <v>1.0756E-2</v>
      </c>
      <c r="AR64" s="5">
        <v>1.0036E-2</v>
      </c>
      <c r="AS64" s="5">
        <v>9.2963999999999998E-3</v>
      </c>
      <c r="AT64" s="5">
        <v>9.0127000000000002E-3</v>
      </c>
      <c r="AU64" s="5">
        <v>9.0002999999999993E-3</v>
      </c>
      <c r="AV64" s="5">
        <v>8.7790000000000003E-3</v>
      </c>
      <c r="AW64" s="5">
        <v>8.9897999999999992E-3</v>
      </c>
      <c r="AX64" s="2">
        <f t="shared" si="0"/>
        <v>1.8284427127724341</v>
      </c>
      <c r="AY64" s="5">
        <v>1.9214</v>
      </c>
      <c r="AZ64" s="5">
        <v>0.18082000000000001</v>
      </c>
      <c r="BA64" s="5">
        <v>0.13675000000000001</v>
      </c>
      <c r="BB64" s="5">
        <v>5.0250000000000003E-2</v>
      </c>
      <c r="BC64" s="5">
        <v>3.2264000000000001E-2</v>
      </c>
      <c r="BD64" s="5">
        <v>2.5287E-2</v>
      </c>
      <c r="BE64" s="5">
        <v>2.3557000000000002E-2</v>
      </c>
      <c r="BF64" s="5">
        <v>2.1226999999999999E-2</v>
      </c>
      <c r="BG64" s="5">
        <v>2.0233000000000001E-2</v>
      </c>
      <c r="BH64" s="5">
        <v>1.9914999999999999E-2</v>
      </c>
      <c r="BI64" s="5">
        <v>1.9479E-2</v>
      </c>
      <c r="BJ64" s="5">
        <v>1.9033000000000001E-2</v>
      </c>
    </row>
    <row r="65" spans="1:67">
      <c r="A65" t="s">
        <v>62</v>
      </c>
      <c r="B65" s="54">
        <v>45244</v>
      </c>
      <c r="C65" s="123">
        <v>25</v>
      </c>
      <c r="D65" s="64">
        <v>5.8625679085082218</v>
      </c>
      <c r="E65" s="65">
        <v>0.36744324685923546</v>
      </c>
      <c r="F65" s="127">
        <v>0.10299337366769148</v>
      </c>
      <c r="G65" s="10">
        <v>7.24</v>
      </c>
      <c r="H65" s="9">
        <v>112.2</v>
      </c>
      <c r="I65" s="9">
        <v>2</v>
      </c>
      <c r="J65" s="8">
        <v>0.23</v>
      </c>
      <c r="K65" s="10">
        <v>441</v>
      </c>
      <c r="L65" s="8">
        <v>6.98</v>
      </c>
      <c r="M65" s="8">
        <v>1.83</v>
      </c>
      <c r="N65" s="9"/>
      <c r="O65">
        <v>9.3510000000000009</v>
      </c>
      <c r="P65">
        <v>8.5470000000000006</v>
      </c>
      <c r="Q65">
        <v>6.2539999999999996</v>
      </c>
      <c r="R65" s="12">
        <v>2.7E-2</v>
      </c>
      <c r="S65" s="9">
        <v>0.8</v>
      </c>
      <c r="T65" s="8">
        <f>0.14*25</f>
        <v>3.5000000000000004</v>
      </c>
      <c r="U65" s="31">
        <v>43</v>
      </c>
      <c r="V65" s="8">
        <v>7.0000000000000007E-2</v>
      </c>
      <c r="W65" s="9">
        <f>2*16.2</f>
        <v>32.4</v>
      </c>
      <c r="X65" s="31">
        <v>12</v>
      </c>
      <c r="Y65" s="5">
        <v>6.0000000000000001E-3</v>
      </c>
      <c r="Z65" s="5">
        <v>0</v>
      </c>
      <c r="AA65" s="5">
        <v>3.9899999999999998E-2</v>
      </c>
      <c r="AB65" s="2">
        <v>40.113999999999997</v>
      </c>
      <c r="AC65" s="5">
        <v>0.108</v>
      </c>
      <c r="AD65" s="2">
        <v>5.1989999999999998</v>
      </c>
      <c r="AE65" s="2">
        <v>10.119999999999999</v>
      </c>
      <c r="AF65" s="5">
        <v>2.0943999999999998</v>
      </c>
      <c r="AG65" s="2">
        <v>11.0002</v>
      </c>
      <c r="AH65" s="5">
        <v>0</v>
      </c>
      <c r="AI65">
        <v>2.3E-3</v>
      </c>
      <c r="AJ65" s="2">
        <v>4.6929999999999996</v>
      </c>
      <c r="AK65" s="2">
        <f>(0.086-0.0158)/0.0031</f>
        <v>22.645161290322577</v>
      </c>
      <c r="AL65" s="5">
        <v>1.6180000000000001</v>
      </c>
      <c r="AM65" s="5">
        <v>0.16123000000000001</v>
      </c>
      <c r="AN65" s="5">
        <v>0.11694</v>
      </c>
      <c r="AO65" s="5">
        <v>3.1583E-2</v>
      </c>
      <c r="AP65" s="5">
        <v>1.6244000000000001E-2</v>
      </c>
      <c r="AQ65" s="5">
        <v>1.2137E-2</v>
      </c>
      <c r="AR65" s="5">
        <v>1.1343000000000001E-2</v>
      </c>
      <c r="AS65" s="5">
        <v>1.0572E-2</v>
      </c>
      <c r="AT65" s="5">
        <v>1.0322E-2</v>
      </c>
      <c r="AU65" s="5">
        <v>1.0246E-2</v>
      </c>
      <c r="AV65" s="5">
        <v>1.0144E-2</v>
      </c>
      <c r="AW65" s="5">
        <v>1.0262E-2</v>
      </c>
      <c r="AX65" s="2">
        <f t="shared" si="0"/>
        <v>1.8863928863928865</v>
      </c>
      <c r="AY65" s="5">
        <v>1.6684000000000001</v>
      </c>
      <c r="AZ65" s="5">
        <v>0.20272000000000001</v>
      </c>
      <c r="BA65" s="5">
        <v>0.15598999999999999</v>
      </c>
      <c r="BB65" s="5">
        <v>6.3005000000000005E-2</v>
      </c>
      <c r="BC65" s="5">
        <v>4.2266999999999999E-2</v>
      </c>
      <c r="BD65" s="5">
        <v>3.4459999999999998E-2</v>
      </c>
      <c r="BE65" s="5">
        <v>3.2382000000000001E-2</v>
      </c>
      <c r="BF65" s="5">
        <v>2.9737E-2</v>
      </c>
      <c r="BG65" s="5">
        <v>2.8493000000000001E-2</v>
      </c>
      <c r="BH65" s="5">
        <v>2.8160000000000001E-2</v>
      </c>
      <c r="BI65" s="5">
        <v>2.7483E-2</v>
      </c>
      <c r="BJ65" s="5">
        <v>2.708E-2</v>
      </c>
      <c r="BK65" s="10"/>
      <c r="BL65" s="10"/>
      <c r="BM65" s="10"/>
      <c r="BN65" s="10"/>
      <c r="BO65" s="10"/>
    </row>
    <row r="66" spans="1:67">
      <c r="A66" t="s">
        <v>62</v>
      </c>
      <c r="B66" s="54">
        <v>45244</v>
      </c>
      <c r="C66" s="160">
        <v>29</v>
      </c>
      <c r="D66" s="133">
        <v>27.735016798162086</v>
      </c>
      <c r="E66" s="146">
        <v>0.40852778978095955</v>
      </c>
      <c r="F66" s="147">
        <v>0.10824550505075542</v>
      </c>
      <c r="G66" s="136">
        <v>6.96</v>
      </c>
      <c r="H66" s="137">
        <v>-124.1</v>
      </c>
      <c r="I66" s="137">
        <v>1.9</v>
      </c>
      <c r="J66" s="138">
        <v>0.22</v>
      </c>
      <c r="K66" s="136">
        <v>636</v>
      </c>
      <c r="L66" s="138">
        <v>7.2</v>
      </c>
      <c r="M66" s="138">
        <v>4.5</v>
      </c>
      <c r="N66" s="137"/>
      <c r="O66" s="131">
        <v>21.36</v>
      </c>
      <c r="P66" s="131">
        <v>14.05</v>
      </c>
      <c r="Q66" s="131">
        <v>16.43</v>
      </c>
      <c r="R66" s="164">
        <v>3.4000000000000002E-2</v>
      </c>
      <c r="S66" s="137">
        <v>0.1</v>
      </c>
      <c r="T66" s="138">
        <f>0.48*25</f>
        <v>12</v>
      </c>
      <c r="U66" s="142">
        <v>10</v>
      </c>
      <c r="V66" s="138">
        <v>0</v>
      </c>
      <c r="W66" s="137">
        <f>2*22.7</f>
        <v>45.4</v>
      </c>
      <c r="X66" s="142">
        <v>404</v>
      </c>
      <c r="Y66" s="143">
        <v>1.0999999999999999E-2</v>
      </c>
      <c r="Z66" s="143">
        <v>0</v>
      </c>
      <c r="AA66" s="143">
        <v>0.1076</v>
      </c>
      <c r="AB66" s="145">
        <v>44.767000000000003</v>
      </c>
      <c r="AC66" s="143">
        <v>13.625</v>
      </c>
      <c r="AD66" s="145">
        <v>5.7539999999999996</v>
      </c>
      <c r="AE66" s="145">
        <v>10.938000000000001</v>
      </c>
      <c r="AF66" s="143">
        <v>10.089499999999999</v>
      </c>
      <c r="AG66" s="145">
        <v>10.716900000000001</v>
      </c>
      <c r="AH66" s="143">
        <v>0</v>
      </c>
      <c r="AI66" s="131">
        <v>5.1999999999999998E-3</v>
      </c>
      <c r="AJ66" s="145">
        <v>7.7460000000000004</v>
      </c>
      <c r="AK66" s="145">
        <f>(1.632-0.0158)/0.0031</f>
        <v>521.35483870967744</v>
      </c>
      <c r="AL66" s="143">
        <v>1.2142999999999999</v>
      </c>
      <c r="AM66" s="143">
        <v>0.60502999999999996</v>
      </c>
      <c r="AN66" s="143">
        <v>0.49467</v>
      </c>
      <c r="AO66" s="143">
        <v>0.22525000000000001</v>
      </c>
      <c r="AP66" s="143">
        <v>8.7339E-2</v>
      </c>
      <c r="AQ66" s="143">
        <v>4.1410000000000002E-2</v>
      </c>
      <c r="AR66" s="143">
        <v>3.1599000000000002E-2</v>
      </c>
      <c r="AS66" s="143">
        <v>2.3746E-2</v>
      </c>
      <c r="AT66" s="143">
        <v>2.0449999999999999E-2</v>
      </c>
      <c r="AU66" s="143">
        <v>1.9637999999999999E-2</v>
      </c>
      <c r="AV66" s="143">
        <v>1.8931E-2</v>
      </c>
      <c r="AW66" s="143">
        <v>1.7805999999999999E-2</v>
      </c>
      <c r="AX66" s="145">
        <f t="shared" si="0"/>
        <v>4.3062633451957284</v>
      </c>
      <c r="AY66" s="143">
        <v>2.0899000000000001</v>
      </c>
      <c r="AZ66" s="143">
        <v>1.3465</v>
      </c>
      <c r="BA66" s="143">
        <v>1.2237</v>
      </c>
      <c r="BB66" s="143">
        <v>0.67544999999999999</v>
      </c>
      <c r="BC66" s="143">
        <v>0.35453000000000001</v>
      </c>
      <c r="BD66" s="143">
        <v>0.22375</v>
      </c>
      <c r="BE66" s="143">
        <v>0.18898999999999999</v>
      </c>
      <c r="BF66" s="143">
        <v>0.15465999999999999</v>
      </c>
      <c r="BG66" s="143">
        <v>0.13383</v>
      </c>
      <c r="BH66" s="143">
        <v>0.12781999999999999</v>
      </c>
      <c r="BI66" s="143">
        <v>0.12203</v>
      </c>
      <c r="BJ66" s="143">
        <v>0.10901</v>
      </c>
      <c r="BK66" s="10"/>
      <c r="BL66" s="10"/>
      <c r="BM66" s="10"/>
      <c r="BN66" s="10"/>
      <c r="BO66" s="10"/>
    </row>
    <row r="67" spans="1:67">
      <c r="A67" t="s">
        <v>62</v>
      </c>
      <c r="B67" s="54">
        <v>45272</v>
      </c>
      <c r="C67" s="123">
        <v>0</v>
      </c>
      <c r="D67" s="64">
        <v>3.1611869035725677</v>
      </c>
      <c r="E67" s="65">
        <v>0.35937806774742537</v>
      </c>
      <c r="F67" s="127">
        <v>9.2928723156829013E-2</v>
      </c>
      <c r="G67" s="8">
        <v>7.74</v>
      </c>
      <c r="H67" s="9">
        <v>232.9</v>
      </c>
      <c r="I67" s="9">
        <v>84.3</v>
      </c>
      <c r="J67" s="9">
        <v>10.27</v>
      </c>
      <c r="K67" s="9">
        <v>399</v>
      </c>
      <c r="L67" s="9">
        <v>4.7300000000000004</v>
      </c>
      <c r="M67" s="8">
        <v>1.85</v>
      </c>
      <c r="N67" s="24"/>
      <c r="O67" s="1">
        <v>9.0704999999999991</v>
      </c>
      <c r="P67" s="1">
        <v>8.6980000000000004</v>
      </c>
      <c r="Q67" s="1">
        <v>4.2170000000000005</v>
      </c>
      <c r="R67" s="12">
        <v>3.4000000000000002E-2</v>
      </c>
      <c r="S67" s="9">
        <v>1.2</v>
      </c>
      <c r="T67" s="8">
        <v>0.36</v>
      </c>
      <c r="U67" s="31">
        <v>46</v>
      </c>
      <c r="V67" s="8">
        <v>7.0000000000000007E-2</v>
      </c>
      <c r="W67" s="9">
        <f>2*19.2</f>
        <v>38.4</v>
      </c>
      <c r="X67" s="31">
        <v>8</v>
      </c>
      <c r="Y67" s="5">
        <v>6.5500000000000003E-3</v>
      </c>
      <c r="Z67" s="5">
        <v>1.7750000000000002E-2</v>
      </c>
      <c r="AA67" s="5">
        <v>3.2199999999999999E-2</v>
      </c>
      <c r="AB67" s="2">
        <v>35.785200000000003</v>
      </c>
      <c r="AC67" s="5">
        <v>2.5250000000000002E-2</v>
      </c>
      <c r="AD67" s="2">
        <v>4.7112999999999996</v>
      </c>
      <c r="AE67" s="2">
        <v>9.9410000000000007</v>
      </c>
      <c r="AF67" s="5">
        <v>5.8050000000000004E-2</v>
      </c>
      <c r="AG67" s="2">
        <v>8.1963000000000008</v>
      </c>
      <c r="AH67" s="35">
        <v>0</v>
      </c>
      <c r="AI67" s="36">
        <v>3.6200000000000003E-2</v>
      </c>
      <c r="AJ67" s="2">
        <v>2.3639999999999999</v>
      </c>
      <c r="AK67" s="2">
        <f>(0.035-0.0158)/0.0031</f>
        <v>6.1935483870967749</v>
      </c>
      <c r="AL67" s="5">
        <v>1.2743</v>
      </c>
      <c r="AM67" s="5">
        <v>9.5550999999999997E-2</v>
      </c>
      <c r="AN67" s="5">
        <v>7.9477000000000006E-2</v>
      </c>
      <c r="AO67" s="5">
        <v>1.4111E-2</v>
      </c>
      <c r="AP67" s="5">
        <v>3.8609999999999998E-3</v>
      </c>
      <c r="AQ67" s="5">
        <v>8.0729E-4</v>
      </c>
      <c r="AR67" s="5">
        <v>2.0552E-4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2">
        <f t="shared" si="0"/>
        <v>1.0985398942285582</v>
      </c>
      <c r="AY67" s="5">
        <v>1.2835000000000001</v>
      </c>
      <c r="AZ67" s="5">
        <v>0.10424</v>
      </c>
      <c r="BA67" s="5">
        <v>8.7859000000000007E-2</v>
      </c>
      <c r="BB67" s="5">
        <v>2.2048000000000002E-2</v>
      </c>
      <c r="BC67" s="5">
        <v>1.1481999999999999E-2</v>
      </c>
      <c r="BD67" s="5">
        <v>7.587E-3</v>
      </c>
      <c r="BE67" s="5">
        <v>6.5164999999999997E-3</v>
      </c>
      <c r="BF67" s="5">
        <v>5.7054000000000002E-3</v>
      </c>
      <c r="BG67" s="5">
        <v>5.2399999999999999E-3</v>
      </c>
      <c r="BH67" s="5">
        <v>5.0917000000000002E-3</v>
      </c>
      <c r="BI67" s="5">
        <v>4.9362E-3</v>
      </c>
      <c r="BJ67" s="5">
        <v>4.7140000000000003E-3</v>
      </c>
    </row>
    <row r="68" spans="1:67">
      <c r="A68" t="s">
        <v>62</v>
      </c>
      <c r="B68" s="54">
        <v>45272</v>
      </c>
      <c r="C68" s="123">
        <v>2.5</v>
      </c>
      <c r="D68" s="64">
        <v>3.0761565859853146</v>
      </c>
      <c r="E68" s="65">
        <v>0.33520400615429646</v>
      </c>
      <c r="F68" s="127">
        <v>9.3141175119864694E-2</v>
      </c>
      <c r="G68" s="8">
        <v>7.68</v>
      </c>
      <c r="H68" s="2">
        <v>233.3</v>
      </c>
      <c r="I68">
        <v>83.6</v>
      </c>
      <c r="J68">
        <v>10.18</v>
      </c>
      <c r="K68">
        <v>400</v>
      </c>
      <c r="L68" s="8">
        <v>4.74</v>
      </c>
      <c r="M68" s="8">
        <v>1.85</v>
      </c>
      <c r="N68" s="24"/>
      <c r="O68" s="1">
        <v>9.2554999999999996</v>
      </c>
      <c r="P68" s="1">
        <v>8.6684999999999999</v>
      </c>
      <c r="Q68" s="1">
        <v>4.2070000000000007</v>
      </c>
      <c r="R68" s="12">
        <v>3.4000000000000002E-2</v>
      </c>
      <c r="S68" s="9">
        <v>1.4</v>
      </c>
      <c r="T68" s="8">
        <v>0.37</v>
      </c>
      <c r="U68" s="31">
        <v>42</v>
      </c>
      <c r="V68" s="8">
        <v>0.05</v>
      </c>
      <c r="W68" s="9">
        <f>2*19.7</f>
        <v>39.4</v>
      </c>
      <c r="X68" s="31">
        <v>16</v>
      </c>
      <c r="Y68" s="5">
        <v>5.5499999999999994E-3</v>
      </c>
      <c r="Z68" s="5">
        <v>1.5350000000000001E-2</v>
      </c>
      <c r="AA68" s="5">
        <v>3.2100000000000004E-2</v>
      </c>
      <c r="AB68" s="2">
        <v>35.517849999999996</v>
      </c>
      <c r="AC68" s="5">
        <v>1.585E-2</v>
      </c>
      <c r="AD68" s="2">
        <v>4.7393999999999998</v>
      </c>
      <c r="AE68" s="2">
        <v>9.9846500000000002</v>
      </c>
      <c r="AF68" s="5">
        <v>5.425E-2</v>
      </c>
      <c r="AG68" s="2">
        <v>8.2282499999999992</v>
      </c>
      <c r="AH68" s="35">
        <v>0</v>
      </c>
      <c r="AI68" s="35">
        <v>3.5000000000000001E-3</v>
      </c>
      <c r="AJ68" s="2">
        <v>2.3250000000000002</v>
      </c>
      <c r="AK68" s="2">
        <f>(0.029-0.0158)/0.0031</f>
        <v>4.258064516129032</v>
      </c>
      <c r="AL68" s="5">
        <v>1.2757000000000001</v>
      </c>
      <c r="AM68" s="5">
        <v>9.6032000000000006E-2</v>
      </c>
      <c r="AN68" s="5">
        <v>7.9894000000000007E-2</v>
      </c>
      <c r="AO68" s="5">
        <v>1.4604000000000001E-2</v>
      </c>
      <c r="AP68" s="5">
        <v>4.333E-3</v>
      </c>
      <c r="AQ68" s="5">
        <v>1.1548999999999999E-3</v>
      </c>
      <c r="AR68" s="5">
        <v>4.4870000000000001E-4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2">
        <f t="shared" si="0"/>
        <v>1.1078271904020305</v>
      </c>
      <c r="AY68" s="5">
        <v>1.2856000000000001</v>
      </c>
      <c r="AZ68" s="5">
        <v>0.10503</v>
      </c>
      <c r="BA68" s="5">
        <v>8.8700000000000001E-2</v>
      </c>
      <c r="BB68" s="5">
        <v>2.3033999999999999E-2</v>
      </c>
      <c r="BC68" s="5">
        <v>1.2788000000000001E-2</v>
      </c>
      <c r="BD68" s="5">
        <v>8.9440000000000006E-3</v>
      </c>
      <c r="BE68" s="5">
        <v>7.9831999999999993E-3</v>
      </c>
      <c r="BF68" s="5">
        <v>7.1421000000000002E-3</v>
      </c>
      <c r="BG68" s="5">
        <v>6.7654000000000004E-3</v>
      </c>
      <c r="BH68" s="5">
        <v>6.6122999999999998E-3</v>
      </c>
      <c r="BI68" s="5">
        <v>6.5575E-3</v>
      </c>
      <c r="BJ68" s="5">
        <v>6.3027999999999999E-3</v>
      </c>
    </row>
    <row r="69" spans="1:67">
      <c r="A69" t="s">
        <v>62</v>
      </c>
      <c r="B69" s="54">
        <v>45272</v>
      </c>
      <c r="C69" s="123">
        <v>5</v>
      </c>
      <c r="D69" s="64">
        <v>3.0413691941980847</v>
      </c>
      <c r="E69" s="65">
        <v>0.38005500240574502</v>
      </c>
      <c r="F69" s="127">
        <v>9.5382856084354095E-2</v>
      </c>
      <c r="G69" s="8">
        <v>7.72</v>
      </c>
      <c r="H69" s="2">
        <v>233.7</v>
      </c>
      <c r="I69">
        <v>83.1</v>
      </c>
      <c r="J69">
        <v>10.11</v>
      </c>
      <c r="K69" s="10">
        <v>400</v>
      </c>
      <c r="L69" s="8">
        <v>4.7300000000000004</v>
      </c>
      <c r="M69" s="8">
        <v>1.83</v>
      </c>
      <c r="N69" s="24"/>
      <c r="O69" s="1">
        <v>9.1524999999999999</v>
      </c>
      <c r="P69" s="1">
        <v>8.8855000000000004</v>
      </c>
      <c r="Q69" s="1">
        <v>4.1535000000000002</v>
      </c>
      <c r="R69" s="12">
        <v>4.1000000000000002E-2</v>
      </c>
      <c r="S69" s="9">
        <v>1.4</v>
      </c>
      <c r="T69" s="8">
        <v>0.35</v>
      </c>
      <c r="U69" s="31">
        <v>42</v>
      </c>
      <c r="V69" s="8">
        <v>0.06</v>
      </c>
      <c r="W69" s="9">
        <f>2*20.2</f>
        <v>40.4</v>
      </c>
      <c r="X69" s="31">
        <v>11</v>
      </c>
      <c r="Y69" s="5">
        <v>5.6500000000000005E-3</v>
      </c>
      <c r="Z69" s="5">
        <v>1.5450000000000002E-2</v>
      </c>
      <c r="AA69" s="5">
        <v>3.175E-2</v>
      </c>
      <c r="AB69" s="2">
        <v>35.049549999999996</v>
      </c>
      <c r="AC69" s="5">
        <v>1.5100000000000001E-2</v>
      </c>
      <c r="AD69" s="2">
        <v>4.6808999999999994</v>
      </c>
      <c r="AE69" s="2">
        <v>9.7810999999999986</v>
      </c>
      <c r="AF69" s="5">
        <v>5.2850000000000001E-2</v>
      </c>
      <c r="AG69" s="2">
        <v>8.1128</v>
      </c>
      <c r="AH69" s="35">
        <v>0</v>
      </c>
      <c r="AI69" s="35">
        <v>2.5999999999999999E-3</v>
      </c>
      <c r="AJ69" s="2">
        <v>2.294</v>
      </c>
      <c r="AK69" s="2">
        <f>(0.028-0.0158)/0.0031</f>
        <v>3.9354838709677415</v>
      </c>
      <c r="AL69" s="5">
        <v>1.2774000000000001</v>
      </c>
      <c r="AM69" s="5">
        <v>9.6116999999999994E-2</v>
      </c>
      <c r="AN69" s="5">
        <v>7.9955999999999999E-2</v>
      </c>
      <c r="AO69" s="5">
        <v>1.4543E-2</v>
      </c>
      <c r="AP69" s="5">
        <v>4.3378000000000002E-3</v>
      </c>
      <c r="AQ69" s="5">
        <v>1.1845E-3</v>
      </c>
      <c r="AR69" s="5">
        <v>4.8399000000000001E-4</v>
      </c>
      <c r="AS69" s="5">
        <v>-2.3842E-5</v>
      </c>
      <c r="AT69" s="5">
        <v>0</v>
      </c>
      <c r="AU69" s="5">
        <v>0</v>
      </c>
      <c r="AV69" s="5">
        <v>0</v>
      </c>
      <c r="AW69" s="5">
        <v>0</v>
      </c>
      <c r="AX69" s="2">
        <f t="shared" si="0"/>
        <v>1.0817286590512631</v>
      </c>
      <c r="AY69" s="5">
        <v>1.2842</v>
      </c>
      <c r="AZ69" s="5">
        <v>0.10569000000000001</v>
      </c>
      <c r="BA69" s="5">
        <v>8.9082999999999996E-2</v>
      </c>
      <c r="BB69" s="5">
        <v>2.3418999999999999E-2</v>
      </c>
      <c r="BC69" s="5">
        <v>1.2666999999999999E-2</v>
      </c>
      <c r="BD69" s="5">
        <v>8.8448999999999993E-3</v>
      </c>
      <c r="BE69" s="5">
        <v>7.8639999999999995E-3</v>
      </c>
      <c r="BF69" s="5">
        <v>6.7754E-3</v>
      </c>
      <c r="BG69" s="5">
        <v>6.4377999999999996E-3</v>
      </c>
      <c r="BH69" s="5">
        <v>6.3433999999999999E-3</v>
      </c>
      <c r="BI69" s="5">
        <v>6.1402000000000002E-3</v>
      </c>
      <c r="BJ69" s="5">
        <v>6.0753999999999999E-3</v>
      </c>
    </row>
    <row r="70" spans="1:67">
      <c r="A70" t="s">
        <v>62</v>
      </c>
      <c r="B70" s="54">
        <v>45272</v>
      </c>
      <c r="C70" s="123">
        <v>7.5</v>
      </c>
      <c r="D70" s="64">
        <v>3.1020732846818007</v>
      </c>
      <c r="E70" s="65">
        <v>0.38450993460784899</v>
      </c>
      <c r="F70" s="127">
        <v>0.10009596779105163</v>
      </c>
      <c r="G70" s="8">
        <v>7.74</v>
      </c>
      <c r="H70" s="2">
        <v>233.8</v>
      </c>
      <c r="I70">
        <v>82.6</v>
      </c>
      <c r="J70" s="8">
        <v>10.050000000000001</v>
      </c>
      <c r="K70" s="10">
        <v>401</v>
      </c>
      <c r="L70" s="8">
        <v>4.7300000000000004</v>
      </c>
      <c r="M70" s="8">
        <v>1.76</v>
      </c>
      <c r="N70" s="24"/>
      <c r="O70" s="1">
        <v>9.2725000000000009</v>
      </c>
      <c r="P70" s="1">
        <v>8.8940000000000001</v>
      </c>
      <c r="Q70" s="1">
        <v>4.1370000000000005</v>
      </c>
      <c r="R70" s="12">
        <v>4.3999999999999997E-2</v>
      </c>
      <c r="S70" s="9">
        <v>1.2</v>
      </c>
      <c r="T70" s="8">
        <v>0.36</v>
      </c>
      <c r="U70" s="31">
        <v>47</v>
      </c>
      <c r="V70" s="8">
        <v>0.04</v>
      </c>
      <c r="W70" s="9">
        <f>2*19.9</f>
        <v>39.799999999999997</v>
      </c>
      <c r="X70" s="31">
        <v>25</v>
      </c>
      <c r="Y70" s="5">
        <v>5.4000000000000003E-3</v>
      </c>
      <c r="Z70" s="5">
        <v>1.7099999999999997E-2</v>
      </c>
      <c r="AA70" s="5">
        <v>3.2500000000000001E-2</v>
      </c>
      <c r="AB70" s="2">
        <v>35.946950000000001</v>
      </c>
      <c r="AC70" s="5">
        <v>1.285E-2</v>
      </c>
      <c r="AD70" s="2">
        <v>4.79535</v>
      </c>
      <c r="AE70" s="2">
        <v>9.9505499999999998</v>
      </c>
      <c r="AF70" s="5">
        <v>5.4199999999999998E-2</v>
      </c>
      <c r="AG70" s="2">
        <v>8.2845499999999994</v>
      </c>
      <c r="AH70" s="35">
        <v>0</v>
      </c>
      <c r="AI70" s="35">
        <v>3.0499999999999998E-3</v>
      </c>
      <c r="AJ70" s="2">
        <v>2.351</v>
      </c>
      <c r="AK70" s="2">
        <f>(0.031-0.0158)/0.0031</f>
        <v>4.9032258064516121</v>
      </c>
      <c r="AL70" s="5">
        <v>1.2737000000000001</v>
      </c>
      <c r="AM70" s="5">
        <v>9.5672999999999994E-2</v>
      </c>
      <c r="AN70" s="5">
        <v>7.9547999999999994E-2</v>
      </c>
      <c r="AO70" s="5">
        <v>1.46E-2</v>
      </c>
      <c r="AP70" s="5">
        <v>4.5180000000000003E-3</v>
      </c>
      <c r="AQ70" s="5">
        <v>1.1635E-3</v>
      </c>
      <c r="AR70" s="5">
        <v>6.0415000000000002E-4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2">
        <f t="shared" si="0"/>
        <v>1.0757027209354619</v>
      </c>
      <c r="AY70" s="5">
        <v>1.2888999999999999</v>
      </c>
      <c r="AZ70" s="5">
        <v>0.10675</v>
      </c>
      <c r="BA70" s="5">
        <v>9.0568999999999997E-2</v>
      </c>
      <c r="BB70" s="5">
        <v>2.4933E-2</v>
      </c>
      <c r="BC70" s="5">
        <v>1.4565E-2</v>
      </c>
      <c r="BD70" s="5">
        <v>1.0732999999999999E-2</v>
      </c>
      <c r="BE70" s="5">
        <v>1.0018000000000001E-2</v>
      </c>
      <c r="BF70" s="5">
        <v>8.9134999999999995E-3</v>
      </c>
      <c r="BG70" s="5">
        <v>8.5100999999999996E-3</v>
      </c>
      <c r="BH70" s="5">
        <v>8.3332000000000007E-3</v>
      </c>
      <c r="BI70" s="5">
        <v>8.234E-3</v>
      </c>
      <c r="BJ70" s="5">
        <v>8.0675999999999994E-3</v>
      </c>
    </row>
    <row r="71" spans="1:67">
      <c r="A71" t="s">
        <v>62</v>
      </c>
      <c r="B71" s="54">
        <v>45272</v>
      </c>
      <c r="C71" s="123">
        <v>10</v>
      </c>
      <c r="D71" s="64">
        <v>3.0424635478230773</v>
      </c>
      <c r="E71" s="65">
        <v>0.38393936972800885</v>
      </c>
      <c r="F71" s="127">
        <v>0.10793296861177455</v>
      </c>
      <c r="G71" s="8">
        <v>7.76</v>
      </c>
      <c r="H71" s="2">
        <v>234</v>
      </c>
      <c r="I71" s="9">
        <v>82.3</v>
      </c>
      <c r="J71" s="8">
        <v>10.01</v>
      </c>
      <c r="K71" s="10">
        <v>400</v>
      </c>
      <c r="L71" s="8">
        <v>4.7300000000000004</v>
      </c>
      <c r="M71" s="8">
        <v>1.76</v>
      </c>
      <c r="N71" s="24"/>
      <c r="O71" s="1">
        <v>9.1875</v>
      </c>
      <c r="P71" s="1">
        <v>8.9785000000000004</v>
      </c>
      <c r="Q71" s="1">
        <v>4.1440000000000001</v>
      </c>
      <c r="R71" s="12">
        <v>4.1000000000000002E-2</v>
      </c>
      <c r="S71" s="9">
        <v>1.4</v>
      </c>
      <c r="T71" s="8">
        <v>0.39</v>
      </c>
      <c r="U71" s="31">
        <v>48</v>
      </c>
      <c r="V71" s="8">
        <v>0.04</v>
      </c>
      <c r="W71" s="9">
        <f>2*21.3</f>
        <v>42.6</v>
      </c>
      <c r="X71" s="31">
        <v>11</v>
      </c>
      <c r="Y71" s="5">
        <v>6.5000000000000006E-3</v>
      </c>
      <c r="Z71" s="5">
        <v>1.355E-2</v>
      </c>
      <c r="AA71" s="5">
        <v>3.1949999999999999E-2</v>
      </c>
      <c r="AB71" s="2">
        <v>35.124700000000004</v>
      </c>
      <c r="AC71" s="5">
        <v>1.915E-2</v>
      </c>
      <c r="AD71" s="2">
        <v>4.7061500000000001</v>
      </c>
      <c r="AE71" s="2">
        <v>9.5832999999999995</v>
      </c>
      <c r="AF71" s="5">
        <v>5.28E-2</v>
      </c>
      <c r="AG71" s="2">
        <v>8.0698000000000008</v>
      </c>
      <c r="AH71" s="35">
        <v>0</v>
      </c>
      <c r="AI71" s="35">
        <v>3.8E-3</v>
      </c>
      <c r="AJ71" s="2">
        <v>2.294</v>
      </c>
      <c r="AK71" s="2">
        <f>(0.026-0.0158)/0.0031</f>
        <v>3.2903225806451606</v>
      </c>
      <c r="AL71" s="5">
        <v>1.3045</v>
      </c>
      <c r="AM71" s="5">
        <v>0.11362</v>
      </c>
      <c r="AN71" s="5">
        <v>9.8336999999999994E-2</v>
      </c>
      <c r="AO71" s="5">
        <v>3.6048999999999998E-2</v>
      </c>
      <c r="AP71" s="5">
        <v>2.8819999999999998E-2</v>
      </c>
      <c r="AQ71" s="5">
        <v>2.7726000000000001E-2</v>
      </c>
      <c r="AR71" s="5">
        <v>2.7456000000000001E-2</v>
      </c>
      <c r="AS71" s="5">
        <v>2.6848E-2</v>
      </c>
      <c r="AT71" s="5">
        <v>2.6685E-2</v>
      </c>
      <c r="AU71" s="5">
        <v>2.6793000000000001E-2</v>
      </c>
      <c r="AV71" s="5">
        <v>2.6372E-2</v>
      </c>
      <c r="AW71" s="5">
        <v>2.6806E-2</v>
      </c>
      <c r="AX71" s="2">
        <f t="shared" si="0"/>
        <v>1.2654675057080804</v>
      </c>
      <c r="AY71" s="5">
        <v>1.288</v>
      </c>
      <c r="AZ71" s="5">
        <v>0.10680000000000001</v>
      </c>
      <c r="BA71" s="5">
        <v>9.0422000000000002E-2</v>
      </c>
      <c r="BB71" s="5">
        <v>2.5058E-2</v>
      </c>
      <c r="BC71" s="5">
        <v>1.4602E-2</v>
      </c>
      <c r="BD71" s="5">
        <v>1.0633E-2</v>
      </c>
      <c r="BE71" s="5">
        <v>9.7283999999999999E-3</v>
      </c>
      <c r="BF71" s="5">
        <v>8.5939999999999992E-3</v>
      </c>
      <c r="BG71" s="5">
        <v>8.1306E-3</v>
      </c>
      <c r="BH71" s="5">
        <v>7.9693999999999997E-3</v>
      </c>
      <c r="BI71" s="5">
        <v>7.7924999999999999E-3</v>
      </c>
      <c r="BJ71" s="5">
        <v>7.6455999999999998E-3</v>
      </c>
    </row>
    <row r="72" spans="1:67">
      <c r="A72" t="s">
        <v>62</v>
      </c>
      <c r="B72" s="54">
        <v>45272</v>
      </c>
      <c r="C72" s="123">
        <v>15</v>
      </c>
      <c r="D72" s="64">
        <v>3.089142861166204</v>
      </c>
      <c r="E72" s="65">
        <v>0.37074074222302544</v>
      </c>
      <c r="F72" s="127">
        <v>0.10642635757230698</v>
      </c>
      <c r="G72" s="8">
        <v>7.78</v>
      </c>
      <c r="H72" s="9">
        <v>234.2</v>
      </c>
      <c r="I72" s="9">
        <v>81.8</v>
      </c>
      <c r="J72" s="8">
        <v>9.9499999999999993</v>
      </c>
      <c r="K72" s="10">
        <v>401</v>
      </c>
      <c r="L72" s="8">
        <v>4.7300000000000004</v>
      </c>
      <c r="M72" s="8">
        <v>1.79</v>
      </c>
      <c r="N72" s="24"/>
      <c r="O72" s="1">
        <v>9.275500000000001</v>
      </c>
      <c r="P72" s="1">
        <v>9.0034999999999989</v>
      </c>
      <c r="Q72" s="1">
        <v>4.1485000000000003</v>
      </c>
      <c r="R72" s="12">
        <v>4.2999999999999997E-2</v>
      </c>
      <c r="S72" s="9">
        <v>1.4</v>
      </c>
      <c r="T72" s="8">
        <v>0.36</v>
      </c>
      <c r="U72" s="31">
        <v>49</v>
      </c>
      <c r="V72" s="8">
        <v>0.04</v>
      </c>
      <c r="W72" s="9">
        <f>2*20</f>
        <v>40</v>
      </c>
      <c r="X72" s="31">
        <v>10</v>
      </c>
      <c r="Y72" s="5">
        <v>6.2500000000000003E-3</v>
      </c>
      <c r="Z72" s="5">
        <v>1.5099999999999999E-2</v>
      </c>
      <c r="AA72" s="5">
        <v>3.2000000000000001E-2</v>
      </c>
      <c r="AB72" s="2">
        <v>34.473950000000002</v>
      </c>
      <c r="AC72" s="5">
        <v>1.3899999999999999E-2</v>
      </c>
      <c r="AD72" s="2">
        <v>4.7148000000000003</v>
      </c>
      <c r="AE72" s="2">
        <v>9.5884</v>
      </c>
      <c r="AF72" s="5">
        <v>5.2500000000000005E-2</v>
      </c>
      <c r="AG72" s="2">
        <v>8.0563500000000001</v>
      </c>
      <c r="AH72" s="35">
        <v>0</v>
      </c>
      <c r="AI72" s="35">
        <v>2.2000000000000001E-3</v>
      </c>
      <c r="AJ72" s="2">
        <v>2.2885</v>
      </c>
      <c r="AK72" s="2">
        <f>(0.035-0.0158)/0.0031</f>
        <v>6.1935483870967749</v>
      </c>
      <c r="AL72" s="5">
        <v>1.2796000000000001</v>
      </c>
      <c r="AM72" s="5">
        <v>9.5585000000000003E-2</v>
      </c>
      <c r="AN72" s="5">
        <v>7.9527E-2</v>
      </c>
      <c r="AO72" s="5">
        <v>1.5114000000000001E-2</v>
      </c>
      <c r="AP72" s="5">
        <v>5.2608999999999998E-3</v>
      </c>
      <c r="AQ72" s="5">
        <v>2.2177999999999998E-3</v>
      </c>
      <c r="AR72" s="5">
        <v>1.5168E-3</v>
      </c>
      <c r="AS72" s="5">
        <v>9.4603999999999999E-4</v>
      </c>
      <c r="AT72" s="5">
        <v>8.4208999999999998E-4</v>
      </c>
      <c r="AU72" s="5">
        <v>7.3099000000000005E-4</v>
      </c>
      <c r="AV72" s="5">
        <v>6.3181000000000001E-4</v>
      </c>
      <c r="AW72" s="5">
        <v>5.6791000000000003E-4</v>
      </c>
      <c r="AX72" s="2">
        <f t="shared" ref="AX72:AX115" si="1">AM72*100/P72</f>
        <v>1.0616426945076916</v>
      </c>
      <c r="AY72" s="5">
        <v>1.2891999999999999</v>
      </c>
      <c r="AZ72" s="5">
        <v>0.1082</v>
      </c>
      <c r="BA72" s="5">
        <v>9.1913999999999996E-2</v>
      </c>
      <c r="BB72" s="5">
        <v>2.6394999999999998E-2</v>
      </c>
      <c r="BC72" s="5">
        <v>1.6379000000000001E-2</v>
      </c>
      <c r="BD72" s="5">
        <v>1.2936E-2</v>
      </c>
      <c r="BE72" s="5">
        <v>1.2090999999999999E-2</v>
      </c>
      <c r="BF72" s="5">
        <v>1.0822999999999999E-2</v>
      </c>
      <c r="BG72" s="5">
        <v>1.0581E-2</v>
      </c>
      <c r="BH72" s="5">
        <v>1.0411E-2</v>
      </c>
      <c r="BI72" s="5">
        <v>1.0222999999999999E-2</v>
      </c>
      <c r="BJ72" s="5">
        <v>1.0042000000000001E-2</v>
      </c>
    </row>
    <row r="73" spans="1:67">
      <c r="A73" t="s">
        <v>62</v>
      </c>
      <c r="B73" s="54">
        <v>45272</v>
      </c>
      <c r="C73" s="123">
        <v>20</v>
      </c>
      <c r="D73" s="64">
        <v>3.1288157997456878</v>
      </c>
      <c r="E73" s="65">
        <v>0.39240297292252996</v>
      </c>
      <c r="F73" s="127">
        <v>0.1063961266718364</v>
      </c>
      <c r="G73" s="8">
        <v>7.79</v>
      </c>
      <c r="H73" s="9">
        <v>234.4</v>
      </c>
      <c r="I73" s="9">
        <v>81.400000000000006</v>
      </c>
      <c r="J73" s="8">
        <v>9.9</v>
      </c>
      <c r="K73" s="10">
        <v>401</v>
      </c>
      <c r="L73" s="8">
        <v>4.74</v>
      </c>
      <c r="M73" s="8">
        <v>1.81</v>
      </c>
      <c r="N73" s="24"/>
      <c r="O73" s="1">
        <v>9.3770000000000007</v>
      </c>
      <c r="P73" s="1">
        <v>9.1935000000000002</v>
      </c>
      <c r="Q73" s="1">
        <v>4.181</v>
      </c>
      <c r="R73" s="12">
        <v>4.5999999999999999E-2</v>
      </c>
      <c r="S73" s="9">
        <v>1.3</v>
      </c>
      <c r="T73" s="8">
        <v>1.75</v>
      </c>
      <c r="U73" s="31">
        <v>47</v>
      </c>
      <c r="V73" s="8">
        <v>0.04</v>
      </c>
      <c r="W73" s="9">
        <f>2*21.4</f>
        <v>42.8</v>
      </c>
      <c r="X73" s="31">
        <v>12</v>
      </c>
      <c r="Y73" s="5">
        <v>6.2500000000000003E-3</v>
      </c>
      <c r="Z73" s="5">
        <v>1.4599999999999998E-2</v>
      </c>
      <c r="AA73" s="5">
        <v>3.2199999999999999E-2</v>
      </c>
      <c r="AB73" s="2">
        <v>35.345600000000005</v>
      </c>
      <c r="AC73" s="5">
        <v>1.78E-2</v>
      </c>
      <c r="AD73" s="2">
        <v>4.7432999999999996</v>
      </c>
      <c r="AE73" s="2">
        <v>9.6037999999999997</v>
      </c>
      <c r="AF73" s="5">
        <v>5.2499999999999998E-2</v>
      </c>
      <c r="AG73" s="2">
        <v>8.1280000000000001</v>
      </c>
      <c r="AH73" s="35">
        <v>0</v>
      </c>
      <c r="AI73" s="35">
        <v>2.5000000000000001E-3</v>
      </c>
      <c r="AJ73" s="2">
        <v>2.2869999999999999</v>
      </c>
      <c r="AK73" s="2">
        <f>(0.037-0.0158)/0.0031</f>
        <v>6.8387096774193541</v>
      </c>
      <c r="AL73" s="5">
        <v>1.2813000000000001</v>
      </c>
      <c r="AM73" s="5">
        <v>9.6698999999999993E-2</v>
      </c>
      <c r="AN73" s="5">
        <v>8.0780000000000005E-2</v>
      </c>
      <c r="AO73" s="5">
        <v>1.6236E-2</v>
      </c>
      <c r="AP73" s="5">
        <v>6.2490000000000002E-3</v>
      </c>
      <c r="AQ73" s="5">
        <v>3.0098E-3</v>
      </c>
      <c r="AR73" s="5">
        <v>2.2916999999999998E-3</v>
      </c>
      <c r="AS73" s="5">
        <v>1.7786E-3</v>
      </c>
      <c r="AT73" s="5">
        <v>1.5564000000000001E-3</v>
      </c>
      <c r="AU73" s="5">
        <v>1.4572000000000001E-3</v>
      </c>
      <c r="AV73" s="5">
        <v>1.4076E-3</v>
      </c>
      <c r="AW73" s="5">
        <v>1.3175000000000001E-3</v>
      </c>
      <c r="AX73" s="2">
        <f t="shared" si="1"/>
        <v>1.0518192201011585</v>
      </c>
      <c r="AY73" s="5">
        <v>1.2904</v>
      </c>
      <c r="AZ73" s="5">
        <v>0.10969</v>
      </c>
      <c r="BA73" s="5">
        <v>9.3580999999999998E-2</v>
      </c>
      <c r="BB73" s="5">
        <v>2.8708000000000001E-2</v>
      </c>
      <c r="BC73" s="5">
        <v>1.9151000000000001E-2</v>
      </c>
      <c r="BD73" s="5">
        <v>1.5751999999999999E-2</v>
      </c>
      <c r="BE73" s="5">
        <v>1.4831E-2</v>
      </c>
      <c r="BF73" s="5">
        <v>1.342E-2</v>
      </c>
      <c r="BG73" s="5">
        <v>1.321E-2</v>
      </c>
      <c r="BH73" s="5">
        <v>1.2938E-2</v>
      </c>
      <c r="BI73" s="5">
        <v>1.2744999999999999E-2</v>
      </c>
      <c r="BJ73" s="5">
        <v>1.2687E-2</v>
      </c>
    </row>
    <row r="74" spans="1:67">
      <c r="A74" t="s">
        <v>62</v>
      </c>
      <c r="B74" s="54">
        <v>45272</v>
      </c>
      <c r="C74" s="123">
        <v>25</v>
      </c>
      <c r="D74" s="64">
        <v>3.0578263855771355</v>
      </c>
      <c r="E74" s="65">
        <v>0.35461240709627367</v>
      </c>
      <c r="F74" s="127">
        <v>0.10341266340391517</v>
      </c>
      <c r="G74" s="10">
        <v>7.78</v>
      </c>
      <c r="H74" s="9">
        <v>232.6</v>
      </c>
      <c r="I74" s="9">
        <v>80.3</v>
      </c>
      <c r="J74" s="8">
        <v>9.76</v>
      </c>
      <c r="K74" s="10">
        <v>400</v>
      </c>
      <c r="L74" s="8">
        <v>4.74</v>
      </c>
      <c r="M74" s="8">
        <v>1.8</v>
      </c>
      <c r="N74" s="9"/>
      <c r="O74" s="1">
        <v>9.5685000000000002</v>
      </c>
      <c r="P74" s="1">
        <v>9.266</v>
      </c>
      <c r="Q74" s="1">
        <v>4.1920000000000002</v>
      </c>
      <c r="R74" s="12">
        <v>0.04</v>
      </c>
      <c r="S74" s="9">
        <v>1.1000000000000001</v>
      </c>
      <c r="T74" s="8">
        <v>2</v>
      </c>
      <c r="U74" s="31">
        <v>44</v>
      </c>
      <c r="V74" s="8">
        <v>0.05</v>
      </c>
      <c r="W74" s="9">
        <f>2*20</f>
        <v>40</v>
      </c>
      <c r="X74" s="31">
        <v>12</v>
      </c>
      <c r="Y74" s="5">
        <v>4.6499999999999996E-3</v>
      </c>
      <c r="Z74" s="5">
        <v>1.5300000000000001E-2</v>
      </c>
      <c r="AA74" s="5">
        <v>3.2399999999999998E-2</v>
      </c>
      <c r="AB74" s="2">
        <v>35.172750000000001</v>
      </c>
      <c r="AC74" s="5">
        <v>1.1300000000000001E-2</v>
      </c>
      <c r="AD74" s="2">
        <v>4.7542999999999997</v>
      </c>
      <c r="AE74" s="2">
        <v>9.5484000000000009</v>
      </c>
      <c r="AF74" s="5">
        <v>5.2650000000000002E-2</v>
      </c>
      <c r="AG74" s="2">
        <v>8.1200499999999991</v>
      </c>
      <c r="AH74" s="35">
        <v>0</v>
      </c>
      <c r="AI74" s="35">
        <v>2.8999999999999998E-3</v>
      </c>
      <c r="AJ74" s="2">
        <v>2.2969999999999997</v>
      </c>
      <c r="AK74" s="2">
        <f>(0.035-0.0158)/0.0031</f>
        <v>6.1935483870967749</v>
      </c>
      <c r="AL74" s="5">
        <v>1.2827</v>
      </c>
      <c r="AM74" s="5">
        <v>9.4731999999999997E-2</v>
      </c>
      <c r="AN74" s="5">
        <v>7.9021999999999995E-2</v>
      </c>
      <c r="AO74" s="5">
        <v>1.4670000000000001E-2</v>
      </c>
      <c r="AP74" s="5">
        <v>4.6797000000000002E-3</v>
      </c>
      <c r="AQ74" s="5">
        <v>1.431E-3</v>
      </c>
      <c r="AR74" s="5">
        <v>7.3957000000000005E-4</v>
      </c>
      <c r="AS74" s="5">
        <v>2.3031000000000001E-4</v>
      </c>
      <c r="AT74" s="5">
        <v>-2.9087000000000001E-5</v>
      </c>
      <c r="AU74" s="5">
        <v>0</v>
      </c>
      <c r="AV74" s="5">
        <v>0</v>
      </c>
      <c r="AW74" s="5">
        <v>0</v>
      </c>
      <c r="AX74" s="2">
        <f t="shared" si="1"/>
        <v>1.0223613209583424</v>
      </c>
      <c r="AY74" s="5">
        <v>1.2934000000000001</v>
      </c>
      <c r="AZ74" s="5">
        <v>0.11309</v>
      </c>
      <c r="BA74" s="5">
        <v>9.7061999999999996E-2</v>
      </c>
      <c r="BB74" s="5">
        <v>3.2077000000000001E-2</v>
      </c>
      <c r="BC74" s="5">
        <v>2.2407E-2</v>
      </c>
      <c r="BD74" s="5">
        <v>1.8873000000000001E-2</v>
      </c>
      <c r="BE74" s="5">
        <v>1.8016999999999998E-2</v>
      </c>
      <c r="BF74" s="5">
        <v>1.6428000000000002E-2</v>
      </c>
      <c r="BG74" s="5">
        <v>1.6303999999999999E-2</v>
      </c>
      <c r="BH74" s="5">
        <v>1.6028000000000001E-2</v>
      </c>
      <c r="BI74" s="5">
        <v>1.5786999999999999E-2</v>
      </c>
      <c r="BJ74" s="5">
        <v>1.5684E-2</v>
      </c>
      <c r="BK74" s="10"/>
      <c r="BL74" s="10"/>
      <c r="BM74" s="10"/>
      <c r="BN74" s="10"/>
      <c r="BO74" s="10"/>
    </row>
    <row r="75" spans="1:67">
      <c r="A75" t="s">
        <v>62</v>
      </c>
      <c r="B75" s="54">
        <v>45272</v>
      </c>
      <c r="C75" s="123">
        <v>29</v>
      </c>
      <c r="D75" s="64">
        <v>3.1218048438258221</v>
      </c>
      <c r="E75" s="65">
        <v>0.37170827204487361</v>
      </c>
      <c r="F75" s="127">
        <v>9.4886860103182799E-2</v>
      </c>
      <c r="G75" s="10">
        <v>7.8</v>
      </c>
      <c r="H75" s="9">
        <v>159</v>
      </c>
      <c r="I75" s="9">
        <v>78.400000000000006</v>
      </c>
      <c r="J75" s="8">
        <v>9.5299999999999994</v>
      </c>
      <c r="K75" s="10">
        <v>409</v>
      </c>
      <c r="L75" s="8">
        <v>4.76</v>
      </c>
      <c r="M75" s="8">
        <v>1.85</v>
      </c>
      <c r="N75" s="9"/>
      <c r="O75" s="1">
        <v>9.6709999999999994</v>
      </c>
      <c r="P75" s="1">
        <v>9.1645000000000003</v>
      </c>
      <c r="Q75" s="1">
        <v>4.2370000000000001</v>
      </c>
      <c r="R75" s="12">
        <v>0.04</v>
      </c>
      <c r="S75" s="9">
        <v>1.6</v>
      </c>
      <c r="T75" s="8">
        <v>2</v>
      </c>
      <c r="U75" s="31">
        <v>43</v>
      </c>
      <c r="V75" s="8">
        <v>0.03</v>
      </c>
      <c r="W75" s="9">
        <f>2*21.6</f>
        <v>43.2</v>
      </c>
      <c r="X75" s="31">
        <v>7</v>
      </c>
      <c r="Y75" s="5">
        <v>6.2500000000000003E-3</v>
      </c>
      <c r="Z75" s="5">
        <v>1.545E-2</v>
      </c>
      <c r="AA75" s="5">
        <v>3.27E-2</v>
      </c>
      <c r="AB75" s="2">
        <v>35.182749999999999</v>
      </c>
      <c r="AC75" s="5">
        <v>1.975E-2</v>
      </c>
      <c r="AD75" s="2">
        <v>4.7435499999999999</v>
      </c>
      <c r="AE75" s="2">
        <v>9.4469999999999992</v>
      </c>
      <c r="AF75" s="5">
        <v>5.7800000000000004E-2</v>
      </c>
      <c r="AG75" s="2">
        <v>8.017850000000001</v>
      </c>
      <c r="AH75" s="35">
        <v>0</v>
      </c>
      <c r="AI75" s="35">
        <v>2.0999999999999999E-3</v>
      </c>
      <c r="AJ75" s="2">
        <v>2.2949999999999999</v>
      </c>
      <c r="AK75" s="2">
        <f>(0.066-0.0158)/0.0031</f>
        <v>16.193548387096776</v>
      </c>
      <c r="AL75" s="5">
        <v>1.2784</v>
      </c>
      <c r="AM75" s="5">
        <v>9.4696000000000002E-2</v>
      </c>
      <c r="AN75" s="5">
        <v>7.8626000000000001E-2</v>
      </c>
      <c r="AO75" s="5">
        <v>1.4673E-2</v>
      </c>
      <c r="AP75" s="5">
        <v>4.7479000000000002E-3</v>
      </c>
      <c r="AQ75" s="5">
        <v>1.4009000000000001E-3</v>
      </c>
      <c r="AR75" s="5">
        <v>7.0189999999999998E-4</v>
      </c>
      <c r="AS75" s="5">
        <v>1.7786000000000001E-4</v>
      </c>
      <c r="AT75" s="5">
        <v>0</v>
      </c>
      <c r="AU75" s="5">
        <v>0</v>
      </c>
      <c r="AV75" s="5">
        <v>0</v>
      </c>
      <c r="AW75" s="5">
        <v>0</v>
      </c>
      <c r="AX75" s="2">
        <f t="shared" si="1"/>
        <v>1.0332915052648808</v>
      </c>
      <c r="AY75" s="5">
        <v>1.2948</v>
      </c>
      <c r="AZ75" s="5">
        <v>0.11383</v>
      </c>
      <c r="BA75" s="5">
        <v>9.7283999999999995E-2</v>
      </c>
      <c r="BB75" s="5">
        <v>3.0960000000000001E-2</v>
      </c>
      <c r="BC75" s="5">
        <v>2.0455999999999998E-2</v>
      </c>
      <c r="BD75" s="5">
        <v>1.6275000000000001E-2</v>
      </c>
      <c r="BE75" s="5">
        <v>1.5268E-2</v>
      </c>
      <c r="BF75" s="5">
        <v>1.3618999999999999E-2</v>
      </c>
      <c r="BG75" s="5">
        <v>1.3358E-2</v>
      </c>
      <c r="BH75" s="5">
        <v>1.3106E-2</v>
      </c>
      <c r="BI75" s="5">
        <v>1.2900999999999999E-2</v>
      </c>
      <c r="BJ75" s="5">
        <v>1.2678E-2</v>
      </c>
      <c r="BK75" s="10"/>
      <c r="BL75" s="10"/>
      <c r="BM75" s="10"/>
      <c r="BN75" s="10"/>
      <c r="BO75" s="10"/>
    </row>
    <row r="76" spans="1:67">
      <c r="A76" t="s">
        <v>62</v>
      </c>
      <c r="B76" s="54">
        <v>45328</v>
      </c>
      <c r="C76" s="123">
        <v>0</v>
      </c>
      <c r="D76" s="67">
        <v>3.3772239287906087</v>
      </c>
      <c r="E76" s="66">
        <v>0.32712596535170718</v>
      </c>
      <c r="F76" s="128">
        <v>8.9738844208896121E-2</v>
      </c>
      <c r="G76" s="8">
        <v>7.27</v>
      </c>
      <c r="H76" s="9">
        <v>106.9</v>
      </c>
      <c r="I76" s="9">
        <v>92.4</v>
      </c>
      <c r="J76" s="9">
        <v>11.54</v>
      </c>
      <c r="K76" s="9">
        <v>350</v>
      </c>
      <c r="L76" s="9">
        <v>3.62</v>
      </c>
      <c r="M76" s="8">
        <v>1.33</v>
      </c>
      <c r="N76" s="19">
        <v>8.08</v>
      </c>
      <c r="O76">
        <v>10.315</v>
      </c>
      <c r="P76">
        <v>9.9409999999999989</v>
      </c>
      <c r="Q76">
        <v>7.3730000000000002</v>
      </c>
      <c r="R76" s="12">
        <v>7.6999999999999999E-2</v>
      </c>
      <c r="S76" s="9">
        <v>3</v>
      </c>
      <c r="T76" s="8">
        <v>0.11</v>
      </c>
      <c r="U76" s="31">
        <v>45</v>
      </c>
      <c r="V76" s="8">
        <v>0</v>
      </c>
      <c r="W76" s="9">
        <v>23.4</v>
      </c>
      <c r="X76" s="31">
        <v>22</v>
      </c>
      <c r="Y76" s="5">
        <v>0.2787</v>
      </c>
      <c r="Z76" s="5">
        <v>1.61E-2</v>
      </c>
      <c r="AA76" s="5">
        <v>3.2850000000000004E-2</v>
      </c>
      <c r="AB76" s="2">
        <v>29.618749999999999</v>
      </c>
      <c r="AC76" s="5">
        <v>0.21984999999999999</v>
      </c>
      <c r="AD76" s="2">
        <v>4.5233499999999998</v>
      </c>
      <c r="AE76" s="2">
        <v>8.083400000000001</v>
      </c>
      <c r="AF76" s="5">
        <v>1.115E-2</v>
      </c>
      <c r="AG76" s="2">
        <v>8.157</v>
      </c>
      <c r="AH76">
        <v>1.235E-2</v>
      </c>
      <c r="AI76">
        <v>2.15E-3</v>
      </c>
      <c r="AJ76" s="2">
        <v>4.9139999999999997</v>
      </c>
      <c r="AK76" s="2">
        <f>(0.12-0.0158)/0.0031</f>
        <v>33.612903225806448</v>
      </c>
      <c r="AL76" s="5">
        <v>2.8045</v>
      </c>
      <c r="AM76" s="5">
        <v>0.22378000000000001</v>
      </c>
      <c r="AN76" s="5">
        <v>0.16358</v>
      </c>
      <c r="AO76" s="5">
        <v>4.5912000000000001E-2</v>
      </c>
      <c r="AP76" s="5">
        <v>2.0718E-2</v>
      </c>
      <c r="AQ76" s="5">
        <v>1.2999E-2</v>
      </c>
      <c r="AR76" s="5">
        <v>1.1516E-2</v>
      </c>
      <c r="AS76" s="5">
        <v>1.0000999999999999E-2</v>
      </c>
      <c r="AT76" s="5">
        <v>9.5043000000000002E-3</v>
      </c>
      <c r="AU76" s="5">
        <v>9.4012999999999996E-3</v>
      </c>
      <c r="AV76" s="5">
        <v>9.11E-3</v>
      </c>
      <c r="AW76" s="5">
        <v>9.1042999999999992E-3</v>
      </c>
      <c r="AX76" s="2">
        <f t="shared" si="1"/>
        <v>2.2510813801428431</v>
      </c>
      <c r="AY76" s="5">
        <v>2.9211</v>
      </c>
      <c r="AZ76" s="5">
        <v>0.35049000000000002</v>
      </c>
      <c r="BA76" s="5">
        <v>0.27250000000000002</v>
      </c>
      <c r="BB76" s="5">
        <v>0.10687000000000001</v>
      </c>
      <c r="BC76" s="5">
        <v>6.0541999999999999E-2</v>
      </c>
      <c r="BD76" s="5">
        <v>4.0264000000000001E-2</v>
      </c>
      <c r="BE76" s="5">
        <v>3.4637000000000001E-2</v>
      </c>
      <c r="BF76" s="5">
        <v>2.8289999999999999E-2</v>
      </c>
      <c r="BG76" s="5">
        <v>2.3990999999999998E-2</v>
      </c>
      <c r="BH76" s="5">
        <v>2.2811000000000001E-2</v>
      </c>
      <c r="BI76" s="5">
        <v>2.1604000000000002E-2</v>
      </c>
      <c r="BJ76" s="5">
        <v>1.8891000000000002E-2</v>
      </c>
    </row>
    <row r="77" spans="1:67">
      <c r="A77" t="s">
        <v>62</v>
      </c>
      <c r="B77" s="54">
        <v>45328</v>
      </c>
      <c r="C77" s="123">
        <v>2.5</v>
      </c>
      <c r="D77" s="67">
        <v>3.2911747227819443</v>
      </c>
      <c r="E77" s="66">
        <v>0.35821472098279628</v>
      </c>
      <c r="F77" s="128">
        <v>9.662229865839686E-2</v>
      </c>
      <c r="G77" s="8">
        <v>7.35</v>
      </c>
      <c r="H77" s="2">
        <v>110.4</v>
      </c>
      <c r="I77">
        <v>91.7</v>
      </c>
      <c r="J77">
        <v>11.44</v>
      </c>
      <c r="K77">
        <v>358</v>
      </c>
      <c r="L77" s="8">
        <v>3.62</v>
      </c>
      <c r="M77" s="8">
        <v>1.3</v>
      </c>
      <c r="N77" s="19">
        <v>8.2799999999999994</v>
      </c>
      <c r="O77">
        <v>10.42</v>
      </c>
      <c r="P77">
        <v>10.525</v>
      </c>
      <c r="Q77">
        <v>7.3559999999999999</v>
      </c>
      <c r="R77" s="12">
        <v>0.09</v>
      </c>
      <c r="S77" s="9">
        <v>2.6</v>
      </c>
      <c r="T77" s="8">
        <v>0.11</v>
      </c>
      <c r="U77" s="31">
        <v>46</v>
      </c>
      <c r="V77" s="8">
        <v>0</v>
      </c>
      <c r="W77" s="9">
        <v>18.600000000000001</v>
      </c>
      <c r="X77" s="31">
        <v>29</v>
      </c>
      <c r="Y77" s="5">
        <v>0.26880000000000004</v>
      </c>
      <c r="Z77" s="5">
        <v>1.4749999999999999E-2</v>
      </c>
      <c r="AA77" s="5">
        <v>3.2349999999999997E-2</v>
      </c>
      <c r="AB77" s="2">
        <v>29.380499999999998</v>
      </c>
      <c r="AC77" s="5">
        <v>0.20610000000000001</v>
      </c>
      <c r="AD77" s="2">
        <v>4.3849999999999998</v>
      </c>
      <c r="AE77" s="2">
        <v>7.9514499999999995</v>
      </c>
      <c r="AF77" s="5">
        <v>1.0149999999999999E-2</v>
      </c>
      <c r="AG77" s="2">
        <v>8.0307999999999993</v>
      </c>
      <c r="AH77">
        <v>1.2E-2</v>
      </c>
      <c r="AI77">
        <v>7.4999999999999991E-4</v>
      </c>
      <c r="AJ77" s="2">
        <v>4.8550000000000004</v>
      </c>
      <c r="AK77" s="2">
        <f>(0.138-0.0158)/0.0031</f>
        <v>39.41935483870968</v>
      </c>
      <c r="AL77" s="5">
        <v>2.8090000000000002</v>
      </c>
      <c r="AM77" s="5">
        <v>0.23688999999999999</v>
      </c>
      <c r="AN77" s="5">
        <v>0.17413000000000001</v>
      </c>
      <c r="AO77" s="5">
        <v>5.0694000000000003E-2</v>
      </c>
      <c r="AP77" s="5">
        <v>2.3630000000000002E-2</v>
      </c>
      <c r="AQ77" s="5">
        <v>1.5128000000000001E-2</v>
      </c>
      <c r="AR77" s="5">
        <v>1.3361E-2</v>
      </c>
      <c r="AS77" s="5">
        <v>1.1599E-2</v>
      </c>
      <c r="AT77" s="5">
        <v>1.1034E-2</v>
      </c>
      <c r="AU77" s="5">
        <v>1.0807000000000001E-2</v>
      </c>
      <c r="AV77" s="5">
        <v>1.0548E-2</v>
      </c>
      <c r="AW77" s="5">
        <v>1.0338999999999999E-2</v>
      </c>
      <c r="AX77" s="2">
        <f t="shared" si="1"/>
        <v>2.2507363420427553</v>
      </c>
      <c r="AY77" s="5">
        <v>2.9251</v>
      </c>
      <c r="AZ77" s="5">
        <v>0.35388999999999998</v>
      </c>
      <c r="BA77" s="5">
        <v>0.27560000000000001</v>
      </c>
      <c r="BB77" s="5">
        <v>0.10932</v>
      </c>
      <c r="BC77" s="5">
        <v>6.2902E-2</v>
      </c>
      <c r="BD77" s="5">
        <v>4.2141999999999999E-2</v>
      </c>
      <c r="BE77" s="5">
        <v>3.6452999999999999E-2</v>
      </c>
      <c r="BF77" s="5">
        <v>2.9998E-2</v>
      </c>
      <c r="BG77" s="5">
        <v>2.5597999999999999E-2</v>
      </c>
      <c r="BH77" s="5">
        <v>2.4249E-2</v>
      </c>
      <c r="BI77" s="5">
        <v>2.3040000000000001E-2</v>
      </c>
      <c r="BJ77" s="5">
        <v>2.0253E-2</v>
      </c>
    </row>
    <row r="78" spans="1:67">
      <c r="A78" t="s">
        <v>62</v>
      </c>
      <c r="B78" s="54">
        <v>45328</v>
      </c>
      <c r="C78" s="123">
        <v>5</v>
      </c>
      <c r="D78" s="67">
        <v>3.3101391589457627</v>
      </c>
      <c r="E78" s="65">
        <v>0.30335555105262368</v>
      </c>
      <c r="F78" s="127">
        <v>7.9083496941280085E-2</v>
      </c>
      <c r="G78" s="8">
        <v>7.39</v>
      </c>
      <c r="H78" s="2">
        <v>112.5</v>
      </c>
      <c r="I78">
        <v>91.3</v>
      </c>
      <c r="J78">
        <v>11.39</v>
      </c>
      <c r="K78" s="10">
        <v>360</v>
      </c>
      <c r="L78" s="8">
        <v>3.62</v>
      </c>
      <c r="M78" s="8">
        <v>1.28</v>
      </c>
      <c r="N78" s="19">
        <v>9.34</v>
      </c>
      <c r="O78">
        <v>10.455</v>
      </c>
      <c r="P78">
        <v>10.5</v>
      </c>
      <c r="Q78">
        <v>7.4394999999999998</v>
      </c>
      <c r="R78" s="12">
        <v>8.5000000000000006E-2</v>
      </c>
      <c r="S78" s="9">
        <v>2.9</v>
      </c>
      <c r="T78" s="8">
        <v>0.11</v>
      </c>
      <c r="U78" s="31">
        <v>47</v>
      </c>
      <c r="V78" s="8">
        <v>0</v>
      </c>
      <c r="W78" s="9">
        <v>29.6</v>
      </c>
      <c r="X78" s="31">
        <v>35</v>
      </c>
      <c r="Y78" s="5">
        <v>0.2913</v>
      </c>
      <c r="Z78" s="5">
        <v>1.4450000000000001E-2</v>
      </c>
      <c r="AA78" s="5">
        <v>3.295E-2</v>
      </c>
      <c r="AB78" s="2">
        <v>29.565249999999999</v>
      </c>
      <c r="AC78" s="5">
        <v>0.21840000000000001</v>
      </c>
      <c r="AD78" s="2">
        <v>4.5671499999999998</v>
      </c>
      <c r="AE78" s="2">
        <v>8.0700500000000002</v>
      </c>
      <c r="AF78" s="5">
        <v>1.0200000000000001E-2</v>
      </c>
      <c r="AG78" s="2">
        <v>8.1761499999999998</v>
      </c>
      <c r="AH78">
        <v>1.29E-2</v>
      </c>
      <c r="AI78">
        <v>1.4999999999999999E-4</v>
      </c>
      <c r="AJ78" s="2">
        <v>4.9945000000000004</v>
      </c>
      <c r="AK78" s="2">
        <f>(0.138-0.0158)/0.0031</f>
        <v>39.41935483870968</v>
      </c>
      <c r="AL78" s="5">
        <v>2.8530000000000002</v>
      </c>
      <c r="AM78" s="5">
        <v>0.27287</v>
      </c>
      <c r="AN78" s="5">
        <v>0.20580000000000001</v>
      </c>
      <c r="AO78" s="5">
        <v>7.0401000000000005E-2</v>
      </c>
      <c r="AP78" s="5">
        <v>3.7735999999999999E-2</v>
      </c>
      <c r="AQ78" s="5">
        <v>2.5609E-2</v>
      </c>
      <c r="AR78" s="5">
        <v>2.2866999999999998E-2</v>
      </c>
      <c r="AS78" s="5">
        <v>1.9605000000000001E-2</v>
      </c>
      <c r="AT78" s="5">
        <v>1.8114999999999999E-2</v>
      </c>
      <c r="AU78" s="5">
        <v>1.7607000000000001E-2</v>
      </c>
      <c r="AV78" s="5">
        <v>1.7149000000000001E-2</v>
      </c>
      <c r="AW78" s="5">
        <v>1.643E-2</v>
      </c>
      <c r="AX78" s="2">
        <f t="shared" si="1"/>
        <v>2.5987619047619046</v>
      </c>
      <c r="AY78" s="5">
        <v>2.9516</v>
      </c>
      <c r="AZ78" s="5">
        <v>0.35698000000000002</v>
      </c>
      <c r="BA78" s="5">
        <v>0.27842</v>
      </c>
      <c r="BB78" s="5">
        <v>0.11243</v>
      </c>
      <c r="BC78" s="5">
        <v>6.5976999999999994E-2</v>
      </c>
      <c r="BD78" s="5">
        <v>4.4683E-2</v>
      </c>
      <c r="BE78" s="5">
        <v>3.9135000000000003E-2</v>
      </c>
      <c r="BF78" s="5">
        <v>3.2668000000000003E-2</v>
      </c>
      <c r="BG78" s="5">
        <v>2.8192999999999999E-2</v>
      </c>
      <c r="BH78" s="5">
        <v>2.6905999999999999E-2</v>
      </c>
      <c r="BI78" s="5">
        <v>2.5624999999999998E-2</v>
      </c>
      <c r="BJ78" s="5">
        <v>2.2776999999999999E-2</v>
      </c>
    </row>
    <row r="79" spans="1:67">
      <c r="A79" t="s">
        <v>62</v>
      </c>
      <c r="B79" s="54">
        <v>45328</v>
      </c>
      <c r="C79" s="123">
        <v>7.5</v>
      </c>
      <c r="D79" s="67">
        <v>3.3702851992087264</v>
      </c>
      <c r="E79" s="65">
        <v>0.3300130128022728</v>
      </c>
      <c r="F79" s="128">
        <v>8.935758520259425E-2</v>
      </c>
      <c r="G79" s="8">
        <v>7.42</v>
      </c>
      <c r="H79" s="2">
        <v>114.2</v>
      </c>
      <c r="I79">
        <v>90.9</v>
      </c>
      <c r="J79" s="8">
        <v>11.34</v>
      </c>
      <c r="K79" s="10">
        <v>359</v>
      </c>
      <c r="L79" s="8">
        <v>3.62</v>
      </c>
      <c r="M79" s="8">
        <v>1.28</v>
      </c>
      <c r="N79" s="19">
        <v>8.18</v>
      </c>
      <c r="O79">
        <v>10.545</v>
      </c>
      <c r="P79">
        <v>10.95</v>
      </c>
      <c r="Q79">
        <v>7.4830000000000005</v>
      </c>
      <c r="R79" s="12">
        <v>8.1000000000000003E-2</v>
      </c>
      <c r="S79" s="9">
        <v>1.5</v>
      </c>
      <c r="T79" s="8">
        <v>0.09</v>
      </c>
      <c r="U79" s="31">
        <v>45</v>
      </c>
      <c r="V79" s="8">
        <v>0</v>
      </c>
      <c r="W79" s="9">
        <v>22.6</v>
      </c>
      <c r="X79" s="31">
        <v>34</v>
      </c>
      <c r="Y79" s="5">
        <v>0.30730000000000002</v>
      </c>
      <c r="Z79" s="5">
        <v>1.4749999999999999E-2</v>
      </c>
      <c r="AA79" s="5">
        <v>3.3149999999999999E-2</v>
      </c>
      <c r="AB79" s="2">
        <v>29.803899999999999</v>
      </c>
      <c r="AC79" s="5">
        <v>0.22875000000000001</v>
      </c>
      <c r="AD79" s="2">
        <v>4.5847999999999995</v>
      </c>
      <c r="AE79" s="2">
        <v>8.0860000000000003</v>
      </c>
      <c r="AF79" s="5">
        <v>1.025E-2</v>
      </c>
      <c r="AG79" s="2">
        <v>8.2731999999999992</v>
      </c>
      <c r="AH79">
        <v>1.3600000000000001E-2</v>
      </c>
      <c r="AI79">
        <v>3.5E-4</v>
      </c>
      <c r="AJ79" s="2">
        <v>5.0135000000000005</v>
      </c>
      <c r="AK79" s="2">
        <f>(0.133-0.0158)/0.0031</f>
        <v>37.806451612903224</v>
      </c>
      <c r="AL79" s="5">
        <v>2.8088000000000002</v>
      </c>
      <c r="AM79" s="5">
        <v>0.24948999999999999</v>
      </c>
      <c r="AN79" s="5">
        <v>0.18515999999999999</v>
      </c>
      <c r="AO79" s="5">
        <v>5.7704999999999999E-2</v>
      </c>
      <c r="AP79" s="5">
        <v>2.9416000000000001E-2</v>
      </c>
      <c r="AQ79" s="5">
        <v>2.0183E-2</v>
      </c>
      <c r="AR79" s="5">
        <v>1.8311999999999998E-2</v>
      </c>
      <c r="AS79" s="5">
        <v>1.6160000000000001E-2</v>
      </c>
      <c r="AT79" s="5">
        <v>1.5481E-2</v>
      </c>
      <c r="AU79" s="5">
        <v>1.5239000000000001E-2</v>
      </c>
      <c r="AV79" s="5">
        <v>1.4881E-2</v>
      </c>
      <c r="AW79" s="5">
        <v>1.4707E-2</v>
      </c>
      <c r="AX79" s="2">
        <f t="shared" si="1"/>
        <v>2.278447488584475</v>
      </c>
      <c r="AY79" s="5">
        <v>2.9296000000000002</v>
      </c>
      <c r="AZ79" s="5">
        <v>0.35676000000000002</v>
      </c>
      <c r="BA79" s="5">
        <v>0.27840999999999999</v>
      </c>
      <c r="BB79" s="5">
        <v>0.11241</v>
      </c>
      <c r="BC79" s="5">
        <v>6.6758999999999999E-2</v>
      </c>
      <c r="BD79" s="5">
        <v>4.5867999999999999E-2</v>
      </c>
      <c r="BE79" s="5">
        <v>4.0418999999999997E-2</v>
      </c>
      <c r="BF79" s="5">
        <v>3.3966999999999997E-2</v>
      </c>
      <c r="BG79" s="5">
        <v>2.9737E-2</v>
      </c>
      <c r="BH79" s="5">
        <v>2.8502E-2</v>
      </c>
      <c r="BI79" s="5">
        <v>2.7279000000000001E-2</v>
      </c>
      <c r="BJ79" s="5">
        <v>2.4659E-2</v>
      </c>
    </row>
    <row r="80" spans="1:67">
      <c r="A80" t="s">
        <v>62</v>
      </c>
      <c r="B80" s="54">
        <v>45328</v>
      </c>
      <c r="C80" s="123">
        <v>10</v>
      </c>
      <c r="D80" s="67">
        <v>3.3645169317957779</v>
      </c>
      <c r="E80" s="65">
        <v>0.31951430154566501</v>
      </c>
      <c r="F80" s="127">
        <v>7.3972980172263059E-2</v>
      </c>
      <c r="G80" s="8">
        <v>7.44</v>
      </c>
      <c r="H80" s="2">
        <v>115.6</v>
      </c>
      <c r="I80" s="9">
        <v>90.7</v>
      </c>
      <c r="J80" s="8">
        <v>11.31</v>
      </c>
      <c r="K80" s="10">
        <v>360</v>
      </c>
      <c r="L80" s="8">
        <v>3.62</v>
      </c>
      <c r="M80" s="8">
        <v>1.34</v>
      </c>
      <c r="N80" s="19">
        <v>8.2799999999999994</v>
      </c>
      <c r="O80">
        <v>10.545</v>
      </c>
      <c r="P80">
        <v>10.33</v>
      </c>
      <c r="Q80">
        <v>7.3639999999999999</v>
      </c>
      <c r="R80" s="12">
        <v>8.7999999999999995E-2</v>
      </c>
      <c r="S80" s="9">
        <v>1.5</v>
      </c>
      <c r="T80" s="8">
        <v>0.1</v>
      </c>
      <c r="U80" s="31">
        <v>46</v>
      </c>
      <c r="V80" s="8">
        <v>0</v>
      </c>
      <c r="W80" s="9">
        <v>24</v>
      </c>
      <c r="X80" s="31">
        <v>35</v>
      </c>
      <c r="Y80" s="5">
        <v>0.27660000000000001</v>
      </c>
      <c r="Z80" s="5">
        <v>1.54E-2</v>
      </c>
      <c r="AA80" s="5">
        <v>3.2049999999999995E-2</v>
      </c>
      <c r="AB80" s="2">
        <v>28.928199999999997</v>
      </c>
      <c r="AC80" s="5">
        <v>0.20724999999999999</v>
      </c>
      <c r="AD80" s="2">
        <v>4.4790999999999999</v>
      </c>
      <c r="AE80" s="2">
        <v>7.7444500000000005</v>
      </c>
      <c r="AF80" s="5">
        <v>9.5499999999999995E-3</v>
      </c>
      <c r="AG80" s="2">
        <v>7.9517500000000005</v>
      </c>
      <c r="AH80">
        <v>1.2150000000000001E-2</v>
      </c>
      <c r="AI80">
        <v>1E-3</v>
      </c>
      <c r="AJ80" s="2">
        <v>4.79</v>
      </c>
      <c r="AK80" s="2">
        <f>(0.151-0.0158)/0.0031</f>
        <v>43.612903225806448</v>
      </c>
      <c r="AL80" s="5">
        <v>2.8195000000000001</v>
      </c>
      <c r="AM80" s="5">
        <v>0.23705000000000001</v>
      </c>
      <c r="AN80" s="5">
        <v>0.17335</v>
      </c>
      <c r="AO80" s="5">
        <v>4.7361E-2</v>
      </c>
      <c r="AP80" s="5">
        <v>1.8672000000000001E-2</v>
      </c>
      <c r="AQ80" s="5">
        <v>9.5414999999999996E-3</v>
      </c>
      <c r="AR80" s="5">
        <v>7.7723999999999996E-3</v>
      </c>
      <c r="AS80" s="5">
        <v>6.1922000000000001E-3</v>
      </c>
      <c r="AT80" s="5">
        <v>5.2652000000000003E-3</v>
      </c>
      <c r="AU80" s="5">
        <v>5.0534999999999998E-3</v>
      </c>
      <c r="AV80" s="5">
        <v>4.7650000000000001E-3</v>
      </c>
      <c r="AW80" s="5">
        <v>4.4397999999999998E-3</v>
      </c>
      <c r="AX80" s="2">
        <f t="shared" si="1"/>
        <v>2.2947725072604066</v>
      </c>
      <c r="AY80" s="5">
        <v>2.9211999999999998</v>
      </c>
      <c r="AZ80" s="5">
        <v>0.36471999999999999</v>
      </c>
      <c r="BA80" s="5">
        <v>0.28661999999999999</v>
      </c>
      <c r="BB80" s="5">
        <v>0.12111</v>
      </c>
      <c r="BC80" s="5">
        <v>7.5644000000000003E-2</v>
      </c>
      <c r="BD80" s="5">
        <v>5.4829000000000003E-2</v>
      </c>
      <c r="BE80" s="5">
        <v>4.9098000000000003E-2</v>
      </c>
      <c r="BF80" s="5">
        <v>4.2249000000000002E-2</v>
      </c>
      <c r="BG80" s="5">
        <v>3.8074999999999998E-2</v>
      </c>
      <c r="BH80" s="5">
        <v>3.6873999999999997E-2</v>
      </c>
      <c r="BI80" s="5">
        <v>3.5514999999999998E-2</v>
      </c>
      <c r="BJ80" s="5">
        <v>3.2813000000000002E-2</v>
      </c>
    </row>
    <row r="81" spans="1:67">
      <c r="A81" t="s">
        <v>62</v>
      </c>
      <c r="B81" s="54">
        <v>45328</v>
      </c>
      <c r="C81" s="123">
        <v>15</v>
      </c>
      <c r="D81" s="67">
        <v>3.3290123684422852</v>
      </c>
      <c r="E81" s="65">
        <v>0.29766786535260753</v>
      </c>
      <c r="F81" s="127">
        <v>8.4173080385836277E-2</v>
      </c>
      <c r="G81" s="8">
        <v>7.47</v>
      </c>
      <c r="H81" s="9">
        <v>117.3</v>
      </c>
      <c r="I81" s="9">
        <v>90.4</v>
      </c>
      <c r="J81" s="8">
        <v>11.27</v>
      </c>
      <c r="K81" s="10">
        <v>360</v>
      </c>
      <c r="L81" s="8">
        <v>3.63</v>
      </c>
      <c r="M81" s="8">
        <v>1.3</v>
      </c>
      <c r="N81" s="19">
        <v>8.2100000000000009</v>
      </c>
      <c r="O81">
        <v>10.745000000000001</v>
      </c>
      <c r="P81">
        <v>10.375</v>
      </c>
      <c r="Q81">
        <v>7.4</v>
      </c>
      <c r="R81" s="12">
        <v>0.08</v>
      </c>
      <c r="S81" s="9">
        <v>1.4</v>
      </c>
      <c r="T81" s="8">
        <v>0.11</v>
      </c>
      <c r="U81" s="31">
        <v>45</v>
      </c>
      <c r="V81" s="8">
        <v>0.2</v>
      </c>
      <c r="W81" s="9">
        <v>25.8</v>
      </c>
      <c r="X81" s="31">
        <v>29</v>
      </c>
      <c r="Y81" s="5">
        <v>0.30385000000000001</v>
      </c>
      <c r="Z81" s="5">
        <v>1.5349999999999999E-2</v>
      </c>
      <c r="AA81" s="5">
        <v>3.2850000000000004E-2</v>
      </c>
      <c r="AB81" s="2">
        <v>29.140799999999999</v>
      </c>
      <c r="AC81" s="5">
        <v>0.22194999999999998</v>
      </c>
      <c r="AD81" s="2">
        <v>4.53545</v>
      </c>
      <c r="AE81" s="2">
        <v>7.8398500000000002</v>
      </c>
      <c r="AF81" s="5">
        <v>9.8499999999999994E-3</v>
      </c>
      <c r="AG81" s="2">
        <v>8.1164500000000004</v>
      </c>
      <c r="AH81">
        <v>1.3100000000000001E-2</v>
      </c>
      <c r="AI81">
        <v>6.9999999999999999E-4</v>
      </c>
      <c r="AJ81" s="2">
        <v>4.915</v>
      </c>
      <c r="AK81" s="2">
        <f>(0.136-0.0158)/0.0031</f>
        <v>38.774193548387096</v>
      </c>
      <c r="AL81" s="5">
        <v>2.7719999999999998</v>
      </c>
      <c r="AM81" s="5">
        <v>0.21209</v>
      </c>
      <c r="AN81" s="5">
        <v>0.15364</v>
      </c>
      <c r="AO81" s="5">
        <v>3.884E-2</v>
      </c>
      <c r="AP81" s="5">
        <v>1.498E-2</v>
      </c>
      <c r="AQ81" s="5">
        <v>7.6188999999999996E-3</v>
      </c>
      <c r="AR81" s="5">
        <v>6.4473000000000004E-3</v>
      </c>
      <c r="AS81" s="5">
        <v>5.2008999999999996E-3</v>
      </c>
      <c r="AT81" s="5">
        <v>4.6635000000000001E-3</v>
      </c>
      <c r="AU81" s="5">
        <v>4.5542999999999998E-3</v>
      </c>
      <c r="AV81" s="5">
        <v>4.3283000000000002E-3</v>
      </c>
      <c r="AW81" s="5">
        <v>4.1856999999999997E-3</v>
      </c>
      <c r="AX81" s="2">
        <f t="shared" si="1"/>
        <v>2.0442409638554215</v>
      </c>
      <c r="AY81" s="5">
        <v>2.9123000000000001</v>
      </c>
      <c r="AZ81" s="5">
        <v>0.37134</v>
      </c>
      <c r="BA81" s="5">
        <v>0.29293999999999998</v>
      </c>
      <c r="BB81" s="5">
        <v>0.12816</v>
      </c>
      <c r="BC81" s="5">
        <v>8.3523E-2</v>
      </c>
      <c r="BD81" s="5">
        <v>6.3601000000000005E-2</v>
      </c>
      <c r="BE81" s="5">
        <v>5.8154999999999998E-2</v>
      </c>
      <c r="BF81" s="5">
        <v>5.0918999999999999E-2</v>
      </c>
      <c r="BG81" s="5">
        <v>4.7376000000000001E-2</v>
      </c>
      <c r="BH81" s="5">
        <v>4.6059999999999997E-2</v>
      </c>
      <c r="BI81" s="5">
        <v>4.4739000000000001E-2</v>
      </c>
      <c r="BJ81" s="5">
        <v>4.2264000000000003E-2</v>
      </c>
    </row>
    <row r="82" spans="1:67">
      <c r="A82" t="s">
        <v>62</v>
      </c>
      <c r="B82" s="54">
        <v>45328</v>
      </c>
      <c r="C82" s="123">
        <v>20</v>
      </c>
      <c r="D82" s="67">
        <v>3.33833793685432</v>
      </c>
      <c r="E82" s="65">
        <v>0.31050368122108729</v>
      </c>
      <c r="F82" s="127">
        <v>8.7429548677053062E-2</v>
      </c>
      <c r="G82" s="8">
        <v>7.49</v>
      </c>
      <c r="H82" s="9">
        <v>118.3</v>
      </c>
      <c r="I82" s="9">
        <v>90.3</v>
      </c>
      <c r="J82" s="8">
        <v>11.25</v>
      </c>
      <c r="K82" s="10">
        <v>360</v>
      </c>
      <c r="L82" s="8">
        <v>3.64</v>
      </c>
      <c r="M82" s="8">
        <v>1.32</v>
      </c>
      <c r="N82" s="19">
        <v>8.2899999999999991</v>
      </c>
      <c r="O82">
        <v>10.954999999999998</v>
      </c>
      <c r="P82">
        <v>10.309999999999999</v>
      </c>
      <c r="Q82">
        <v>7.3889999999999993</v>
      </c>
      <c r="R82" s="12">
        <v>8.1000000000000003E-2</v>
      </c>
      <c r="S82" s="9">
        <v>1.7</v>
      </c>
      <c r="T82" s="8">
        <v>0.1</v>
      </c>
      <c r="U82" s="31">
        <v>38</v>
      </c>
      <c r="V82" s="8">
        <v>0.22</v>
      </c>
      <c r="W82" s="9">
        <v>25.2</v>
      </c>
      <c r="X82" s="31">
        <v>37</v>
      </c>
      <c r="Y82" s="5">
        <v>0.312</v>
      </c>
      <c r="Z82" s="5">
        <v>1.5650000000000001E-2</v>
      </c>
      <c r="AA82" s="5">
        <v>3.2850000000000004E-2</v>
      </c>
      <c r="AB82" s="2">
        <v>29.271250000000002</v>
      </c>
      <c r="AC82" s="5">
        <v>0.22664999999999999</v>
      </c>
      <c r="AD82" s="2">
        <v>4.3943499999999993</v>
      </c>
      <c r="AE82" s="2">
        <v>7.8039500000000004</v>
      </c>
      <c r="AF82" s="5">
        <v>1.005E-2</v>
      </c>
      <c r="AG82" s="2">
        <v>8.0244999999999997</v>
      </c>
      <c r="AH82">
        <v>1.3399999999999999E-2</v>
      </c>
      <c r="AI82">
        <v>4.5999999999999999E-3</v>
      </c>
      <c r="AJ82" s="2">
        <v>4.9544999999999995</v>
      </c>
      <c r="AK82" s="2">
        <f>(0.136-0.0158)/0.0031</f>
        <v>38.774193548387096</v>
      </c>
      <c r="AL82" s="5">
        <v>2.8089</v>
      </c>
      <c r="AM82" s="5">
        <v>0.24387</v>
      </c>
      <c r="AN82" s="5">
        <v>0.17917</v>
      </c>
      <c r="AO82" s="5">
        <v>5.1290000000000002E-2</v>
      </c>
      <c r="AP82" s="5">
        <v>2.2189E-2</v>
      </c>
      <c r="AQ82" s="5">
        <v>1.2701E-2</v>
      </c>
      <c r="AR82" s="5">
        <v>1.0732999999999999E-2</v>
      </c>
      <c r="AS82" s="5">
        <v>8.9102000000000001E-3</v>
      </c>
      <c r="AT82" s="5">
        <v>8.1204999999999992E-3</v>
      </c>
      <c r="AU82" s="5">
        <v>7.7952999999999998E-3</v>
      </c>
      <c r="AV82" s="5">
        <v>7.5164000000000003E-3</v>
      </c>
      <c r="AW82" s="5">
        <v>7.1535000000000001E-3</v>
      </c>
      <c r="AX82" s="2">
        <f t="shared" si="1"/>
        <v>2.3653734238603299</v>
      </c>
      <c r="AY82" s="5">
        <v>2.9632999999999998</v>
      </c>
      <c r="AZ82" s="5">
        <v>0.37304999999999999</v>
      </c>
      <c r="BA82" s="5">
        <v>0.29503000000000001</v>
      </c>
      <c r="BB82" s="5">
        <v>0.12989000000000001</v>
      </c>
      <c r="BC82" s="5">
        <v>8.5124000000000005E-2</v>
      </c>
      <c r="BD82" s="5">
        <v>6.4753000000000005E-2</v>
      </c>
      <c r="BE82" s="5">
        <v>5.9160999999999998E-2</v>
      </c>
      <c r="BF82" s="5">
        <v>5.1624000000000003E-2</v>
      </c>
      <c r="BG82" s="5">
        <v>4.7794000000000003E-2</v>
      </c>
      <c r="BH82" s="5">
        <v>4.6641000000000002E-2</v>
      </c>
      <c r="BI82" s="5">
        <v>4.5273000000000001E-2</v>
      </c>
      <c r="BJ82" s="5">
        <v>4.2811000000000002E-2</v>
      </c>
    </row>
    <row r="83" spans="1:67">
      <c r="A83" t="s">
        <v>62</v>
      </c>
      <c r="B83" s="54">
        <v>45328</v>
      </c>
      <c r="C83" s="123">
        <v>25</v>
      </c>
      <c r="D83" s="67">
        <v>3.3184838931271194</v>
      </c>
      <c r="E83" s="66">
        <v>0.35514941571229192</v>
      </c>
      <c r="F83" s="128">
        <v>9.1435219040220866E-2</v>
      </c>
      <c r="G83" s="10">
        <v>7.51</v>
      </c>
      <c r="H83" s="9">
        <v>119.8</v>
      </c>
      <c r="I83" s="9">
        <v>89.8</v>
      </c>
      <c r="J83" s="8">
        <v>11.19</v>
      </c>
      <c r="K83" s="10">
        <v>360</v>
      </c>
      <c r="L83" s="8">
        <v>3.64</v>
      </c>
      <c r="M83" s="8">
        <v>1.33</v>
      </c>
      <c r="N83" s="19">
        <v>8.6300000000000008</v>
      </c>
      <c r="O83">
        <v>11.635</v>
      </c>
      <c r="P83">
        <v>10.52</v>
      </c>
      <c r="Q83">
        <v>7.5549999999999997</v>
      </c>
      <c r="R83" s="12">
        <v>0.08</v>
      </c>
      <c r="S83" s="9">
        <v>1.3</v>
      </c>
      <c r="T83" s="8">
        <v>0.1</v>
      </c>
      <c r="U83" s="31">
        <v>43</v>
      </c>
      <c r="V83" s="8">
        <v>0.06</v>
      </c>
      <c r="W83" s="9">
        <v>24.4</v>
      </c>
      <c r="X83" s="31">
        <v>36</v>
      </c>
      <c r="Y83" s="5">
        <v>0.30585000000000001</v>
      </c>
      <c r="Z83" s="5">
        <v>1.47E-2</v>
      </c>
      <c r="AA83" s="5">
        <v>3.27E-2</v>
      </c>
      <c r="AB83" s="2">
        <v>29.022600000000001</v>
      </c>
      <c r="AC83" s="5">
        <v>0.2233</v>
      </c>
      <c r="AD83" s="2">
        <v>4.5074000000000005</v>
      </c>
      <c r="AE83" s="2">
        <v>7.7389999999999999</v>
      </c>
      <c r="AF83" s="5">
        <v>9.75E-3</v>
      </c>
      <c r="AG83" s="2">
        <v>7.9947499999999998</v>
      </c>
      <c r="AH83">
        <v>1.3299999999999999E-2</v>
      </c>
      <c r="AI83">
        <v>1.3500000000000001E-3</v>
      </c>
      <c r="AJ83" s="2">
        <v>4.9139999999999997</v>
      </c>
      <c r="AK83" s="2">
        <f>(0.198-0.0158)/0.0031</f>
        <v>58.774193548387096</v>
      </c>
      <c r="AL83" s="5">
        <v>2.8073000000000001</v>
      </c>
      <c r="AM83" s="5">
        <v>0.23873</v>
      </c>
      <c r="AN83" s="5">
        <v>0.17515</v>
      </c>
      <c r="AO83" s="5">
        <v>5.0265999999999998E-2</v>
      </c>
      <c r="AP83" s="5">
        <v>2.2275E-2</v>
      </c>
      <c r="AQ83" s="5">
        <v>1.3135000000000001E-2</v>
      </c>
      <c r="AR83" s="5">
        <v>1.1490999999999999E-2</v>
      </c>
      <c r="AS83" s="5">
        <v>9.9211000000000004E-3</v>
      </c>
      <c r="AT83" s="5">
        <v>9.0456000000000009E-3</v>
      </c>
      <c r="AU83" s="5">
        <v>8.8792000000000003E-3</v>
      </c>
      <c r="AV83" s="5">
        <v>8.5606999999999992E-3</v>
      </c>
      <c r="AW83" s="5">
        <v>8.2764999999999991E-3</v>
      </c>
      <c r="AX83" s="2">
        <f t="shared" si="1"/>
        <v>2.2692965779467684</v>
      </c>
      <c r="AY83" s="5">
        <v>2.9834000000000001</v>
      </c>
      <c r="AZ83" s="5">
        <v>0.39635999999999999</v>
      </c>
      <c r="BA83" s="5">
        <v>0.31841000000000003</v>
      </c>
      <c r="BB83" s="5">
        <v>0.15345</v>
      </c>
      <c r="BC83" s="5">
        <v>0.10936999999999999</v>
      </c>
      <c r="BD83" s="5">
        <v>8.9177000000000006E-2</v>
      </c>
      <c r="BE83" s="5">
        <v>8.3507999999999999E-2</v>
      </c>
      <c r="BF83" s="5">
        <v>7.5009000000000006E-2</v>
      </c>
      <c r="BG83" s="5">
        <v>7.0944999999999994E-2</v>
      </c>
      <c r="BH83" s="5">
        <v>6.9436999999999999E-2</v>
      </c>
      <c r="BI83" s="5">
        <v>6.7833000000000004E-2</v>
      </c>
      <c r="BJ83" s="5">
        <v>6.4796000000000006E-2</v>
      </c>
      <c r="BK83" s="10"/>
      <c r="BL83" s="10"/>
      <c r="BM83" s="10"/>
      <c r="BN83" s="10"/>
      <c r="BO83" s="10"/>
    </row>
    <row r="84" spans="1:67">
      <c r="A84" t="s">
        <v>62</v>
      </c>
      <c r="B84" s="54">
        <v>45328</v>
      </c>
      <c r="C84" s="123">
        <v>30</v>
      </c>
      <c r="D84" s="67">
        <v>3.3061026655987047</v>
      </c>
      <c r="E84" s="66">
        <v>0.36491874343882796</v>
      </c>
      <c r="F84" s="128">
        <v>9.6609114449156208E-2</v>
      </c>
      <c r="G84" s="10">
        <v>7.52</v>
      </c>
      <c r="H84" s="9">
        <v>120.7</v>
      </c>
      <c r="I84" s="9">
        <v>89.8</v>
      </c>
      <c r="J84" s="8">
        <v>11.19</v>
      </c>
      <c r="K84" s="10">
        <v>361</v>
      </c>
      <c r="L84" s="8">
        <v>3.64</v>
      </c>
      <c r="M84" s="8">
        <v>1.31</v>
      </c>
      <c r="N84" s="19">
        <v>8.31</v>
      </c>
      <c r="O84">
        <v>11.16</v>
      </c>
      <c r="P84">
        <v>10.58</v>
      </c>
      <c r="Q84">
        <v>7.4215</v>
      </c>
      <c r="R84" s="12">
        <v>0.08</v>
      </c>
      <c r="S84" s="9">
        <v>1.4</v>
      </c>
      <c r="T84" s="8">
        <v>0.11</v>
      </c>
      <c r="U84" s="31">
        <v>45</v>
      </c>
      <c r="V84" s="8">
        <v>0.12</v>
      </c>
      <c r="W84" s="9">
        <v>28.2</v>
      </c>
      <c r="X84" s="31">
        <v>36</v>
      </c>
      <c r="Y84" s="5">
        <v>0.30354999999999999</v>
      </c>
      <c r="Z84" s="5">
        <v>1.4E-2</v>
      </c>
      <c r="AA84" s="5">
        <v>3.3100000000000004E-2</v>
      </c>
      <c r="AB84" s="2">
        <v>29.365500000000001</v>
      </c>
      <c r="AC84" s="5">
        <v>0.2208</v>
      </c>
      <c r="AD84" s="2">
        <v>4.5597000000000003</v>
      </c>
      <c r="AE84" s="2">
        <v>7.7378</v>
      </c>
      <c r="AF84" s="5">
        <v>9.8999999999999991E-3</v>
      </c>
      <c r="AG84" s="2">
        <v>8.0512999999999995</v>
      </c>
      <c r="AH84">
        <v>1.3100000000000001E-2</v>
      </c>
      <c r="AI84">
        <v>6.4999999999999997E-4</v>
      </c>
      <c r="AJ84" s="2">
        <v>4.9414999999999996</v>
      </c>
      <c r="AK84" s="2">
        <f>(0.138-0.0158)/0.0031</f>
        <v>39.41935483870968</v>
      </c>
      <c r="AL84" s="5">
        <v>2.8206000000000002</v>
      </c>
      <c r="AM84" s="5">
        <v>0.24303</v>
      </c>
      <c r="AN84" s="5">
        <v>0.17915</v>
      </c>
      <c r="AO84" s="5">
        <v>5.2866999999999997E-2</v>
      </c>
      <c r="AP84" s="5">
        <v>2.4514000000000001E-2</v>
      </c>
      <c r="AQ84" s="5">
        <v>1.5325999999999999E-2</v>
      </c>
      <c r="AR84" s="5">
        <v>1.3526E-2</v>
      </c>
      <c r="AS84" s="5">
        <v>1.1797E-2</v>
      </c>
      <c r="AT84" s="5">
        <v>1.0900999999999999E-2</v>
      </c>
      <c r="AU84" s="5">
        <v>1.0621999999999999E-2</v>
      </c>
      <c r="AV84" s="5">
        <v>1.0267999999999999E-2</v>
      </c>
      <c r="AW84" s="5">
        <v>1.0052E-2</v>
      </c>
      <c r="AX84" s="2">
        <f t="shared" si="1"/>
        <v>2.297069943289225</v>
      </c>
      <c r="AY84" s="5">
        <v>2.9537</v>
      </c>
      <c r="AZ84" s="5">
        <v>0.36743999999999999</v>
      </c>
      <c r="BA84" s="5">
        <v>0.28966999999999998</v>
      </c>
      <c r="BB84" s="5">
        <v>0.12559000000000001</v>
      </c>
      <c r="BC84" s="5">
        <v>8.0833000000000002E-2</v>
      </c>
      <c r="BD84" s="5">
        <v>6.0615000000000002E-2</v>
      </c>
      <c r="BE84" s="5">
        <v>5.4904000000000001E-2</v>
      </c>
      <c r="BF84" s="5">
        <v>4.8174000000000002E-2</v>
      </c>
      <c r="BG84" s="5">
        <v>4.3886000000000001E-2</v>
      </c>
      <c r="BH84" s="5">
        <v>4.2736000000000003E-2</v>
      </c>
      <c r="BI84" s="5">
        <v>4.1304E-2</v>
      </c>
      <c r="BJ84" s="5">
        <v>3.8850999999999997E-2</v>
      </c>
      <c r="BK84" s="10"/>
      <c r="BL84" s="10"/>
      <c r="BM84" s="10"/>
      <c r="BN84" s="10"/>
      <c r="BO84" s="10"/>
    </row>
    <row r="85" spans="1:67">
      <c r="A85" t="s">
        <v>62</v>
      </c>
      <c r="B85" s="54">
        <v>45363</v>
      </c>
      <c r="C85" s="123">
        <v>0</v>
      </c>
      <c r="D85" s="64">
        <v>3.1130175400914282</v>
      </c>
      <c r="E85" s="65">
        <v>0.28680672331202017</v>
      </c>
      <c r="F85" s="127">
        <v>8.648874708243641E-2</v>
      </c>
      <c r="G85" s="8">
        <v>7.89</v>
      </c>
      <c r="H85" s="9">
        <v>229.1</v>
      </c>
      <c r="I85" s="9">
        <v>108.2</v>
      </c>
      <c r="J85" s="9">
        <v>12.29</v>
      </c>
      <c r="K85" s="9">
        <v>359</v>
      </c>
      <c r="L85" s="9">
        <v>7.12</v>
      </c>
      <c r="M85" s="8">
        <v>1.22</v>
      </c>
      <c r="N85" s="19">
        <v>7.92</v>
      </c>
      <c r="O85">
        <v>10.5</v>
      </c>
      <c r="P85">
        <v>9.5914999999999999</v>
      </c>
      <c r="Q85">
        <v>8.4239999999999995</v>
      </c>
      <c r="R85" s="12">
        <v>1.7000000000000001E-2</v>
      </c>
      <c r="S85" s="9">
        <v>1.3</v>
      </c>
      <c r="T85" s="8">
        <v>0.04</v>
      </c>
      <c r="U85" s="31">
        <v>48</v>
      </c>
      <c r="V85" s="8">
        <v>0.03</v>
      </c>
      <c r="W85" s="9">
        <v>31.2</v>
      </c>
      <c r="X85" s="31">
        <v>23</v>
      </c>
      <c r="Y85" s="5">
        <v>0.20519999999999999</v>
      </c>
      <c r="Z85" s="5">
        <v>1.525E-2</v>
      </c>
      <c r="AA85" s="5">
        <v>2.4150000000000001E-2</v>
      </c>
      <c r="AB85" s="2">
        <v>32.175699999999999</v>
      </c>
      <c r="AC85" s="5">
        <v>0.17194999999999999</v>
      </c>
      <c r="AD85" s="2">
        <v>4.1089500000000001</v>
      </c>
      <c r="AE85" s="2">
        <v>9.1476499999999987</v>
      </c>
      <c r="AF85" s="5">
        <v>2.3499999999999997E-3</v>
      </c>
      <c r="AG85" s="2">
        <v>7.9837999999999996</v>
      </c>
      <c r="AH85">
        <v>8.4499999999999992E-3</v>
      </c>
      <c r="AI85">
        <v>3.6850000000000001E-2</v>
      </c>
      <c r="AJ85" s="2">
        <v>5.0775000000000006</v>
      </c>
      <c r="AK85" s="2">
        <v>24.258064516129028</v>
      </c>
      <c r="AL85" s="5">
        <v>2.8111000000000002</v>
      </c>
      <c r="AM85" s="5">
        <v>0.19051000000000001</v>
      </c>
      <c r="AN85" s="5">
        <v>0.13729</v>
      </c>
      <c r="AO85" s="5">
        <v>3.0563E-2</v>
      </c>
      <c r="AP85" s="5">
        <v>8.7265999999999993E-3</v>
      </c>
      <c r="AQ85" s="5">
        <v>2.3278999999999999E-3</v>
      </c>
      <c r="AR85" s="5">
        <v>1.3752E-3</v>
      </c>
      <c r="AS85" s="5">
        <v>3.3951000000000001E-4</v>
      </c>
      <c r="AT85" s="5">
        <v>-2.6703000000000002E-4</v>
      </c>
      <c r="AU85" s="5">
        <v>-3.7526999999999998E-4</v>
      </c>
      <c r="AV85" s="5">
        <v>-5.0259000000000002E-4</v>
      </c>
      <c r="AW85" s="5">
        <v>-5.6170999999999999E-4</v>
      </c>
      <c r="AX85" s="2">
        <f t="shared" si="1"/>
        <v>1.9862378147317941</v>
      </c>
      <c r="AY85" s="5">
        <v>2.8649</v>
      </c>
      <c r="AZ85" s="5">
        <v>0.24840000000000001</v>
      </c>
      <c r="BA85" s="5">
        <v>0.18923999999999999</v>
      </c>
      <c r="BB85" s="5">
        <v>6.7892999999999995E-2</v>
      </c>
      <c r="BC85" s="5">
        <v>3.9738000000000002E-2</v>
      </c>
      <c r="BD85" s="5">
        <v>2.9444999999999999E-2</v>
      </c>
      <c r="BE85" s="5">
        <v>2.6818999999999999E-2</v>
      </c>
      <c r="BF85" s="5">
        <v>2.3997999999999998E-2</v>
      </c>
      <c r="BG85" s="5">
        <v>2.2093999999999999E-2</v>
      </c>
      <c r="BH85" s="5">
        <v>2.1749000000000001E-2</v>
      </c>
      <c r="BI85" s="5">
        <v>2.1131E-2</v>
      </c>
      <c r="BJ85" s="5">
        <v>2.0007E-2</v>
      </c>
    </row>
    <row r="86" spans="1:67">
      <c r="A86" t="s">
        <v>62</v>
      </c>
      <c r="B86" s="54">
        <v>45363</v>
      </c>
      <c r="C86" s="123">
        <v>2.5</v>
      </c>
      <c r="D86" s="64">
        <v>3.2664660331201008</v>
      </c>
      <c r="E86" s="65">
        <v>0.31482599634339531</v>
      </c>
      <c r="F86" s="127">
        <v>7.4477807680208577E-2</v>
      </c>
      <c r="G86" s="8">
        <v>7.99</v>
      </c>
      <c r="H86" s="2">
        <v>229.2</v>
      </c>
      <c r="I86">
        <v>108.1</v>
      </c>
      <c r="J86">
        <v>12.27</v>
      </c>
      <c r="K86">
        <v>357</v>
      </c>
      <c r="L86" s="8">
        <v>7.12</v>
      </c>
      <c r="M86" s="8">
        <v>1.1499999999999999</v>
      </c>
      <c r="N86" s="19">
        <v>7.28</v>
      </c>
      <c r="O86">
        <v>10.48</v>
      </c>
      <c r="P86">
        <v>9.6434999999999995</v>
      </c>
      <c r="Q86">
        <v>8.3034999999999997</v>
      </c>
      <c r="R86" s="12">
        <v>1.7000000000000001E-2</v>
      </c>
      <c r="S86" s="9">
        <v>1</v>
      </c>
      <c r="T86" s="8">
        <v>0.02</v>
      </c>
      <c r="U86" s="31">
        <v>48</v>
      </c>
      <c r="V86" s="8">
        <v>0.13</v>
      </c>
      <c r="W86" s="9">
        <v>29.6</v>
      </c>
      <c r="X86" s="31">
        <v>22</v>
      </c>
      <c r="Y86" s="5">
        <v>0.21695</v>
      </c>
      <c r="Z86" s="5">
        <v>1.525E-2</v>
      </c>
      <c r="AA86" s="5">
        <v>2.3199999999999998E-2</v>
      </c>
      <c r="AB86" s="2">
        <v>31.05715</v>
      </c>
      <c r="AC86" s="5">
        <v>0.16234999999999999</v>
      </c>
      <c r="AD86" s="2">
        <v>4.0319500000000001</v>
      </c>
      <c r="AE86" s="2">
        <v>8.8283999999999985</v>
      </c>
      <c r="AF86" s="5">
        <v>1.9499999999999999E-3</v>
      </c>
      <c r="AG86" s="2">
        <v>7.7586499999999994</v>
      </c>
      <c r="AH86">
        <v>8.3499999999999998E-3</v>
      </c>
      <c r="AI86">
        <v>3.9900000000000005E-2</v>
      </c>
      <c r="AJ86" s="2">
        <v>5.0365000000000002</v>
      </c>
      <c r="AK86" s="2">
        <v>22.967741935483868</v>
      </c>
      <c r="AL86" s="5">
        <v>2.8208000000000002</v>
      </c>
      <c r="AM86" s="5">
        <v>0.19414000000000001</v>
      </c>
      <c r="AN86" s="5">
        <v>0.13993</v>
      </c>
      <c r="AO86" s="5">
        <v>3.2801999999999998E-2</v>
      </c>
      <c r="AP86" s="5">
        <v>1.0099E-2</v>
      </c>
      <c r="AQ86" s="5">
        <v>3.0412999999999998E-3</v>
      </c>
      <c r="AR86" s="5">
        <v>2.0013000000000001E-3</v>
      </c>
      <c r="AS86" s="5">
        <v>9.1171000000000004E-4</v>
      </c>
      <c r="AT86" s="5">
        <v>3.5190999999999998E-4</v>
      </c>
      <c r="AU86" s="5">
        <v>1.7594999999999999E-4</v>
      </c>
      <c r="AV86" s="5">
        <v>9.6798000000000004E-5</v>
      </c>
      <c r="AW86" s="5">
        <v>-8.5353999999999996E-5</v>
      </c>
      <c r="AX86" s="2">
        <f t="shared" si="1"/>
        <v>2.0131694924042103</v>
      </c>
      <c r="AY86" s="5">
        <v>2.8694000000000002</v>
      </c>
      <c r="AZ86" s="5">
        <v>0.25606000000000001</v>
      </c>
      <c r="BA86" s="5">
        <v>0.19650000000000001</v>
      </c>
      <c r="BB86" s="5">
        <v>7.5101000000000001E-2</v>
      </c>
      <c r="BC86" s="5">
        <v>4.6794000000000002E-2</v>
      </c>
      <c r="BD86" s="5">
        <v>3.6437999999999998E-2</v>
      </c>
      <c r="BE86" s="5">
        <v>3.3952000000000003E-2</v>
      </c>
      <c r="BF86" s="5">
        <v>3.0904999999999998E-2</v>
      </c>
      <c r="BG86" s="5">
        <v>2.9166999999999998E-2</v>
      </c>
      <c r="BH86" s="5">
        <v>2.8847000000000001E-2</v>
      </c>
      <c r="BI86" s="5">
        <v>2.8243999999999998E-2</v>
      </c>
      <c r="BJ86" s="5">
        <v>2.7043999999999999E-2</v>
      </c>
    </row>
    <row r="87" spans="1:67">
      <c r="A87" t="s">
        <v>62</v>
      </c>
      <c r="B87" s="54">
        <v>45363</v>
      </c>
      <c r="C87" s="123">
        <v>5</v>
      </c>
      <c r="D87" s="64">
        <v>3.2135401424356829</v>
      </c>
      <c r="E87" s="65">
        <v>0.28992531673965588</v>
      </c>
      <c r="F87" s="127">
        <v>7.5162875697596596E-2</v>
      </c>
      <c r="G87" s="8">
        <v>8.0299999999999994</v>
      </c>
      <c r="H87" s="2">
        <v>229.6</v>
      </c>
      <c r="I87">
        <v>107.8</v>
      </c>
      <c r="J87">
        <v>12.24</v>
      </c>
      <c r="K87" s="10">
        <v>358</v>
      </c>
      <c r="L87" s="8">
        <v>7.12</v>
      </c>
      <c r="M87" s="8">
        <v>1.17</v>
      </c>
      <c r="N87" s="19">
        <v>7.06</v>
      </c>
      <c r="O87">
        <v>10.815000000000001</v>
      </c>
      <c r="P87">
        <v>9.7474999999999987</v>
      </c>
      <c r="Q87">
        <v>8.4379999999999988</v>
      </c>
      <c r="R87" s="12">
        <v>1.4999999999999999E-2</v>
      </c>
      <c r="S87" s="9">
        <v>1.4</v>
      </c>
      <c r="T87" s="8">
        <v>0.01</v>
      </c>
      <c r="U87" s="31">
        <v>48</v>
      </c>
      <c r="V87" s="8">
        <v>0.06</v>
      </c>
      <c r="W87" s="9">
        <v>30.4</v>
      </c>
      <c r="X87" s="31">
        <v>18</v>
      </c>
      <c r="Y87" s="5">
        <v>0.21095</v>
      </c>
      <c r="Z87" s="5">
        <v>1.3100000000000001E-2</v>
      </c>
      <c r="AA87" s="5">
        <v>2.41E-2</v>
      </c>
      <c r="AB87" s="2">
        <v>32.17915</v>
      </c>
      <c r="AC87" s="5">
        <v>0.16475000000000001</v>
      </c>
      <c r="AD87" s="2">
        <v>4.1042500000000004</v>
      </c>
      <c r="AE87" s="2">
        <v>8.9884000000000004</v>
      </c>
      <c r="AF87" s="5">
        <v>2.0499999999999997E-3</v>
      </c>
      <c r="AG87" s="2">
        <v>7.8974499999999992</v>
      </c>
      <c r="AH87">
        <v>8.6500000000000014E-3</v>
      </c>
      <c r="AI87">
        <v>2.7099999999999999E-2</v>
      </c>
      <c r="AJ87" s="2">
        <v>4.9950000000000001</v>
      </c>
      <c r="AK87" s="2">
        <v>24.258064516129028</v>
      </c>
      <c r="AL87" s="5">
        <v>2.8209</v>
      </c>
      <c r="AM87" s="5">
        <v>0.1951</v>
      </c>
      <c r="AN87" s="5">
        <v>0.14094999999999999</v>
      </c>
      <c r="AO87" s="5">
        <v>3.3271000000000002E-2</v>
      </c>
      <c r="AP87" s="5">
        <v>1.0407E-2</v>
      </c>
      <c r="AQ87" s="5">
        <v>3.1462E-3</v>
      </c>
      <c r="AR87" s="5">
        <v>2.0842999999999999E-3</v>
      </c>
      <c r="AS87" s="5">
        <v>9.4700000000000003E-4</v>
      </c>
      <c r="AT87" s="5">
        <v>3.7146E-4</v>
      </c>
      <c r="AU87" s="5">
        <v>1.0014E-4</v>
      </c>
      <c r="AV87" s="5">
        <v>9.5366999999999999E-7</v>
      </c>
      <c r="AW87" s="5">
        <v>-7.6293999999999998E-5</v>
      </c>
      <c r="AX87" s="2">
        <f t="shared" si="1"/>
        <v>2.0015388561169529</v>
      </c>
      <c r="AY87" s="5">
        <v>2.9083999999999999</v>
      </c>
      <c r="AZ87" s="5">
        <v>0.26246000000000003</v>
      </c>
      <c r="BA87" s="5">
        <v>0.20296</v>
      </c>
      <c r="BB87" s="5">
        <v>8.1947000000000006E-2</v>
      </c>
      <c r="BC87" s="5">
        <v>5.4296999999999998E-2</v>
      </c>
      <c r="BD87" s="5">
        <v>4.3982E-2</v>
      </c>
      <c r="BE87" s="5">
        <v>4.1467999999999998E-2</v>
      </c>
      <c r="BF87" s="5">
        <v>3.8033999999999998E-2</v>
      </c>
      <c r="BG87" s="5">
        <v>3.6303000000000002E-2</v>
      </c>
      <c r="BH87" s="5">
        <v>3.5994999999999999E-2</v>
      </c>
      <c r="BI87" s="5">
        <v>3.5281E-2</v>
      </c>
      <c r="BJ87" s="5">
        <v>3.4404999999999998E-2</v>
      </c>
    </row>
    <row r="88" spans="1:67">
      <c r="A88" t="s">
        <v>62</v>
      </c>
      <c r="B88" s="54">
        <v>45363</v>
      </c>
      <c r="C88" s="123">
        <v>7.5</v>
      </c>
      <c r="D88" s="64">
        <v>3.1687240601103523</v>
      </c>
      <c r="E88" s="65">
        <v>0.30339531244072937</v>
      </c>
      <c r="F88" s="127">
        <v>8.0070002744184118E-2</v>
      </c>
      <c r="G88" s="8">
        <v>7.88</v>
      </c>
      <c r="H88" s="2">
        <v>239.1</v>
      </c>
      <c r="I88">
        <v>99.8</v>
      </c>
      <c r="J88" s="8">
        <v>11.61</v>
      </c>
      <c r="K88" s="10">
        <v>358</v>
      </c>
      <c r="L88" s="8">
        <v>6.14</v>
      </c>
      <c r="M88" s="8">
        <v>1.19</v>
      </c>
      <c r="N88" s="19">
        <v>7.29</v>
      </c>
      <c r="O88">
        <v>10.375</v>
      </c>
      <c r="P88">
        <v>9.68</v>
      </c>
      <c r="Q88">
        <v>8.2525000000000013</v>
      </c>
      <c r="R88" s="12">
        <v>2.9000000000000001E-2</v>
      </c>
      <c r="S88" s="9">
        <v>1.6</v>
      </c>
      <c r="T88" s="8">
        <v>0.01</v>
      </c>
      <c r="U88" s="31">
        <v>38</v>
      </c>
      <c r="V88" s="8">
        <v>0.05</v>
      </c>
      <c r="W88" s="9">
        <v>30.4</v>
      </c>
      <c r="X88" s="31">
        <v>20</v>
      </c>
      <c r="Y88" s="5">
        <v>0.2127</v>
      </c>
      <c r="Z88" s="5">
        <v>1.5100000000000001E-2</v>
      </c>
      <c r="AA88" s="5">
        <v>2.3E-2</v>
      </c>
      <c r="AB88" s="2">
        <v>31.2118</v>
      </c>
      <c r="AC88" s="5">
        <v>0.17044999999999999</v>
      </c>
      <c r="AD88" s="2">
        <v>4.0489499999999996</v>
      </c>
      <c r="AE88" s="2">
        <v>8.6664499999999993</v>
      </c>
      <c r="AF88" s="5">
        <v>2E-3</v>
      </c>
      <c r="AG88" s="2">
        <v>7.6645000000000003</v>
      </c>
      <c r="AH88">
        <v>8.9499999999999996E-3</v>
      </c>
      <c r="AI88">
        <v>2.3050000000000001E-2</v>
      </c>
      <c r="AJ88" s="2">
        <v>4.91</v>
      </c>
      <c r="AK88" s="2">
        <v>20.06451612903226</v>
      </c>
      <c r="AL88" s="5">
        <v>2.8161999999999998</v>
      </c>
      <c r="AM88" s="5">
        <v>0.20197999999999999</v>
      </c>
      <c r="AN88" s="5">
        <v>0.14615</v>
      </c>
      <c r="AO88" s="5">
        <v>3.5388000000000003E-2</v>
      </c>
      <c r="AP88" s="5">
        <v>1.1299E-2</v>
      </c>
      <c r="AQ88" s="5">
        <v>3.8403999999999999E-3</v>
      </c>
      <c r="AR88" s="5">
        <v>2.4675999999999999E-3</v>
      </c>
      <c r="AS88" s="5">
        <v>1.3217999999999999E-3</v>
      </c>
      <c r="AT88" s="5">
        <v>6.7186000000000004E-4</v>
      </c>
      <c r="AU88" s="5">
        <v>4.5204000000000002E-4</v>
      </c>
      <c r="AV88" s="5">
        <v>3.6430000000000002E-4</v>
      </c>
      <c r="AW88" s="5">
        <v>2.1075999999999999E-4</v>
      </c>
      <c r="AX88" s="2">
        <f t="shared" si="1"/>
        <v>2.0865702479338846</v>
      </c>
      <c r="AY88" s="5">
        <v>2.8946999999999998</v>
      </c>
      <c r="AZ88" s="5">
        <v>0.26937</v>
      </c>
      <c r="BA88" s="5">
        <v>0.20824000000000001</v>
      </c>
      <c r="BB88" s="5">
        <v>8.3568000000000003E-2</v>
      </c>
      <c r="BC88" s="5">
        <v>5.4861E-2</v>
      </c>
      <c r="BD88" s="5">
        <v>4.3895999999999998E-2</v>
      </c>
      <c r="BE88" s="5">
        <v>4.1308999999999998E-2</v>
      </c>
      <c r="BF88" s="5">
        <v>3.7123999999999997E-2</v>
      </c>
      <c r="BG88" s="5">
        <v>3.5706000000000002E-2</v>
      </c>
      <c r="BH88" s="5">
        <v>3.5196999999999999E-2</v>
      </c>
      <c r="BI88" s="5">
        <v>3.4620999999999999E-2</v>
      </c>
      <c r="BJ88" s="5">
        <v>3.3620999999999998E-2</v>
      </c>
    </row>
    <row r="89" spans="1:67">
      <c r="A89" t="s">
        <v>62</v>
      </c>
      <c r="B89" s="54">
        <v>45363</v>
      </c>
      <c r="C89" s="123">
        <v>10</v>
      </c>
      <c r="D89" s="64">
        <v>3.3084349539970894</v>
      </c>
      <c r="E89" s="65">
        <v>0.28953555587136798</v>
      </c>
      <c r="F89" s="127">
        <v>6.9993775969599673E-2</v>
      </c>
      <c r="G89" s="8">
        <v>7.75</v>
      </c>
      <c r="H89" s="2">
        <v>244.6</v>
      </c>
      <c r="I89" s="9">
        <v>92.7</v>
      </c>
      <c r="J89" s="8">
        <v>10.93</v>
      </c>
      <c r="K89" s="10">
        <v>357</v>
      </c>
      <c r="L89" s="8">
        <v>5.59</v>
      </c>
      <c r="M89" s="8">
        <v>1.1399999999999999</v>
      </c>
      <c r="N89" s="19">
        <v>7.48</v>
      </c>
      <c r="O89">
        <v>10.469999999999999</v>
      </c>
      <c r="P89">
        <v>9.7035</v>
      </c>
      <c r="Q89">
        <v>8.2530000000000001</v>
      </c>
      <c r="R89" s="12">
        <v>2.1000000000000001E-2</v>
      </c>
      <c r="S89" s="9">
        <v>1.6</v>
      </c>
      <c r="T89" s="8">
        <v>0.02</v>
      </c>
      <c r="U89" s="31">
        <v>36</v>
      </c>
      <c r="V89" s="8">
        <v>0.05</v>
      </c>
      <c r="W89" s="9">
        <v>30.6</v>
      </c>
      <c r="X89" s="31">
        <v>23</v>
      </c>
      <c r="Y89" s="5">
        <v>0.25690000000000002</v>
      </c>
      <c r="Z89" s="5">
        <v>1.405E-2</v>
      </c>
      <c r="AA89" s="5">
        <v>2.315E-2</v>
      </c>
      <c r="AB89" s="2">
        <v>30.484549999999999</v>
      </c>
      <c r="AC89" s="5">
        <v>0.18704999999999999</v>
      </c>
      <c r="AD89" s="2">
        <v>4.0789999999999997</v>
      </c>
      <c r="AE89" s="2">
        <v>8.6101500000000009</v>
      </c>
      <c r="AF89" s="5">
        <v>2.3E-3</v>
      </c>
      <c r="AG89" s="2">
        <v>7.7201000000000004</v>
      </c>
      <c r="AH89">
        <v>1.0249999999999999E-2</v>
      </c>
      <c r="AI89">
        <v>3.0000000000000002E-2</v>
      </c>
      <c r="AJ89" s="2">
        <v>4.9865000000000004</v>
      </c>
      <c r="AK89" s="2">
        <v>20.709677419354843</v>
      </c>
      <c r="AL89" s="5">
        <v>2.8039000000000001</v>
      </c>
      <c r="AM89" s="5">
        <v>0.20727999999999999</v>
      </c>
      <c r="AN89" s="5">
        <v>0.15032999999999999</v>
      </c>
      <c r="AO89" s="5">
        <v>3.6665999999999997E-2</v>
      </c>
      <c r="AP89" s="5">
        <v>1.2016000000000001E-2</v>
      </c>
      <c r="AQ89" s="5">
        <v>4.1603999999999999E-3</v>
      </c>
      <c r="AR89" s="5">
        <v>2.7160999999999999E-3</v>
      </c>
      <c r="AS89" s="5">
        <v>1.4915E-3</v>
      </c>
      <c r="AT89" s="5">
        <v>8.4639000000000003E-4</v>
      </c>
      <c r="AU89" s="5">
        <v>6.2894999999999997E-4</v>
      </c>
      <c r="AV89" s="5">
        <v>4.4870000000000001E-4</v>
      </c>
      <c r="AW89" s="5">
        <v>2.9849999999999999E-4</v>
      </c>
      <c r="AX89" s="2">
        <f t="shared" si="1"/>
        <v>2.1361364456124079</v>
      </c>
      <c r="AY89" s="5">
        <v>2.8763000000000001</v>
      </c>
      <c r="AZ89" s="5">
        <v>0.28026000000000001</v>
      </c>
      <c r="BA89" s="5">
        <v>0.21775</v>
      </c>
      <c r="BB89" s="5">
        <v>9.0013999999999997E-2</v>
      </c>
      <c r="BC89" s="5">
        <v>6.0544000000000001E-2</v>
      </c>
      <c r="BD89" s="5">
        <v>4.9570000000000003E-2</v>
      </c>
      <c r="BE89" s="5">
        <v>4.6864999999999997E-2</v>
      </c>
      <c r="BF89" s="5">
        <v>4.2176999999999999E-2</v>
      </c>
      <c r="BG89" s="5">
        <v>4.0864999999999999E-2</v>
      </c>
      <c r="BH89" s="5">
        <v>4.0252000000000003E-2</v>
      </c>
      <c r="BI89" s="5">
        <v>3.9504999999999998E-2</v>
      </c>
      <c r="BJ89" s="5">
        <v>3.8487E-2</v>
      </c>
    </row>
    <row r="90" spans="1:67">
      <c r="A90" t="s">
        <v>62</v>
      </c>
      <c r="B90" s="54">
        <v>45363</v>
      </c>
      <c r="C90" s="123">
        <v>15</v>
      </c>
      <c r="D90" s="64">
        <v>3.3815986984601603</v>
      </c>
      <c r="E90" s="65">
        <v>0.28239859995711719</v>
      </c>
      <c r="F90" s="127">
        <v>6.9575936348240469E-2</v>
      </c>
      <c r="G90" s="8">
        <v>7.75</v>
      </c>
      <c r="H90" s="9">
        <v>244.6</v>
      </c>
      <c r="I90" s="9">
        <v>92.7</v>
      </c>
      <c r="J90" s="8">
        <v>10.93</v>
      </c>
      <c r="K90" s="10">
        <v>357</v>
      </c>
      <c r="L90" s="8">
        <v>5.59</v>
      </c>
      <c r="M90" s="8">
        <v>1.17</v>
      </c>
      <c r="N90" s="19">
        <v>7.34</v>
      </c>
      <c r="O90">
        <v>10.244999999999999</v>
      </c>
      <c r="P90">
        <v>10.025500000000001</v>
      </c>
      <c r="Q90">
        <v>8.0145</v>
      </c>
      <c r="R90" s="12">
        <v>1.4E-2</v>
      </c>
      <c r="S90" s="9">
        <v>2</v>
      </c>
      <c r="T90" s="8">
        <v>0.03</v>
      </c>
      <c r="U90" s="31">
        <v>46</v>
      </c>
      <c r="V90" s="8">
        <v>0.06</v>
      </c>
      <c r="W90" s="9">
        <v>16</v>
      </c>
      <c r="X90" s="31">
        <v>30</v>
      </c>
      <c r="Y90" s="5">
        <v>0.26534999999999997</v>
      </c>
      <c r="Z90" s="5">
        <v>1.5800000000000002E-2</v>
      </c>
      <c r="AA90" s="5">
        <v>2.3550000000000001E-2</v>
      </c>
      <c r="AB90" s="2">
        <v>31.140650000000001</v>
      </c>
      <c r="AC90" s="5">
        <v>0.20085</v>
      </c>
      <c r="AD90" s="2">
        <v>4.1643499999999998</v>
      </c>
      <c r="AE90" s="2">
        <v>8.6219000000000001</v>
      </c>
      <c r="AF90" s="5">
        <v>4.3999999999999994E-3</v>
      </c>
      <c r="AG90" s="2">
        <v>7.7073999999999998</v>
      </c>
      <c r="AH90">
        <v>1.14E-2</v>
      </c>
      <c r="AI90">
        <v>2.1999999999999999E-2</v>
      </c>
      <c r="AJ90" s="2">
        <v>4.9714999999999998</v>
      </c>
      <c r="AK90" s="2">
        <v>21.032258064516132</v>
      </c>
      <c r="AL90" s="5">
        <v>2.8588</v>
      </c>
      <c r="AM90" s="5">
        <v>0.22025</v>
      </c>
      <c r="AN90" s="5">
        <v>0.16028999999999999</v>
      </c>
      <c r="AO90" s="5">
        <v>4.0592000000000003E-2</v>
      </c>
      <c r="AP90" s="5">
        <v>1.3454000000000001E-2</v>
      </c>
      <c r="AQ90" s="5">
        <v>4.9157000000000003E-3</v>
      </c>
      <c r="AR90" s="5">
        <v>3.4323000000000001E-3</v>
      </c>
      <c r="AS90" s="5">
        <v>2.0657000000000002E-3</v>
      </c>
      <c r="AT90" s="5">
        <v>1.1611E-3</v>
      </c>
      <c r="AU90" s="5">
        <v>1.0036999999999999E-3</v>
      </c>
      <c r="AV90" s="5">
        <v>8.1110000000000004E-4</v>
      </c>
      <c r="AW90" s="5">
        <v>6.8188000000000005E-4</v>
      </c>
      <c r="AX90" s="2">
        <f t="shared" si="1"/>
        <v>2.1968979103286617</v>
      </c>
      <c r="AY90" s="5">
        <v>2.9184999999999999</v>
      </c>
      <c r="AZ90" s="5">
        <v>0.29352</v>
      </c>
      <c r="BA90" s="5">
        <v>0.22750999999999999</v>
      </c>
      <c r="BB90" s="5">
        <v>9.2634999999999995E-2</v>
      </c>
      <c r="BC90" s="5">
        <v>6.0662000000000001E-2</v>
      </c>
      <c r="BD90" s="5">
        <v>4.8938000000000002E-2</v>
      </c>
      <c r="BE90" s="5">
        <v>4.6196000000000001E-2</v>
      </c>
      <c r="BF90" s="5">
        <v>4.1375000000000002E-2</v>
      </c>
      <c r="BG90" s="5">
        <v>4.0228E-2</v>
      </c>
      <c r="BH90" s="5">
        <v>3.9421999999999999E-2</v>
      </c>
      <c r="BI90" s="5">
        <v>3.8699999999999998E-2</v>
      </c>
      <c r="BJ90" s="5">
        <v>3.7791999999999999E-2</v>
      </c>
    </row>
    <row r="91" spans="1:67">
      <c r="A91" t="s">
        <v>62</v>
      </c>
      <c r="B91" s="54">
        <v>45363</v>
      </c>
      <c r="C91" s="123">
        <v>20</v>
      </c>
      <c r="D91" s="64">
        <v>3.2295767565531324</v>
      </c>
      <c r="E91" s="65">
        <v>0.29605900283473413</v>
      </c>
      <c r="F91" s="127">
        <v>8.2717976719274305E-2</v>
      </c>
      <c r="G91" s="8">
        <v>7.63</v>
      </c>
      <c r="H91" s="9">
        <v>248.3</v>
      </c>
      <c r="I91" s="9">
        <v>86.8</v>
      </c>
      <c r="J91" s="8">
        <v>10.32</v>
      </c>
      <c r="K91" s="10">
        <v>359</v>
      </c>
      <c r="L91" s="8">
        <v>5.28</v>
      </c>
      <c r="M91" s="8">
        <v>1.17</v>
      </c>
      <c r="N91" s="19">
        <v>7.16</v>
      </c>
      <c r="O91">
        <v>10.685</v>
      </c>
      <c r="P91">
        <v>9.9890000000000008</v>
      </c>
      <c r="Q91">
        <v>8.1930000000000014</v>
      </c>
      <c r="R91" s="12">
        <v>1.2999999999999999E-2</v>
      </c>
      <c r="S91" s="9">
        <v>1.7</v>
      </c>
      <c r="T91" s="8">
        <v>0.02</v>
      </c>
      <c r="U91" s="31">
        <v>44</v>
      </c>
      <c r="V91" s="8">
        <v>0.05</v>
      </c>
      <c r="W91" s="9">
        <v>24.6</v>
      </c>
      <c r="X91" s="31">
        <v>21</v>
      </c>
      <c r="Y91" s="5">
        <v>0.252</v>
      </c>
      <c r="Z91" s="5">
        <v>1.575E-2</v>
      </c>
      <c r="AA91" s="5">
        <v>2.4149999999999998E-2</v>
      </c>
      <c r="AB91" s="2">
        <v>31.840049999999998</v>
      </c>
      <c r="AC91" s="5">
        <v>0.18985000000000002</v>
      </c>
      <c r="AD91" s="2">
        <v>4.1737500000000001</v>
      </c>
      <c r="AE91" s="2">
        <v>8.7864499999999985</v>
      </c>
      <c r="AF91" s="5">
        <v>6.0000000000000001E-3</v>
      </c>
      <c r="AG91" s="2">
        <v>7.7599499999999999</v>
      </c>
      <c r="AH91">
        <v>1.04E-2</v>
      </c>
      <c r="AI91">
        <v>2.9049999999999999E-2</v>
      </c>
      <c r="AJ91" s="2">
        <v>5.0529999999999999</v>
      </c>
      <c r="AK91" s="2">
        <v>22.000000000000004</v>
      </c>
      <c r="AL91" s="5">
        <v>2.8096000000000001</v>
      </c>
      <c r="AM91" s="5">
        <v>0.20724000000000001</v>
      </c>
      <c r="AN91" s="5">
        <v>0.15014</v>
      </c>
      <c r="AO91" s="5">
        <v>3.6770999999999998E-2</v>
      </c>
      <c r="AP91" s="5">
        <v>1.2016000000000001E-2</v>
      </c>
      <c r="AQ91" s="5">
        <v>4.1475000000000001E-3</v>
      </c>
      <c r="AR91" s="5">
        <v>2.8075999999999999E-3</v>
      </c>
      <c r="AS91" s="5">
        <v>1.5135000000000001E-3</v>
      </c>
      <c r="AT91" s="5">
        <v>8.6545999999999997E-4</v>
      </c>
      <c r="AU91" s="5">
        <v>6.2609000000000004E-4</v>
      </c>
      <c r="AV91" s="5">
        <v>5.1068999999999995E-4</v>
      </c>
      <c r="AW91" s="5">
        <v>4.0959999999999998E-4</v>
      </c>
      <c r="AX91" s="2">
        <f t="shared" si="1"/>
        <v>2.0746821503654016</v>
      </c>
      <c r="AY91" s="5">
        <v>2.9056999999999999</v>
      </c>
      <c r="AZ91" s="5">
        <v>0.28852</v>
      </c>
      <c r="BA91" s="5">
        <v>0.2258</v>
      </c>
      <c r="BB91" s="5">
        <v>9.7706000000000001E-2</v>
      </c>
      <c r="BC91" s="5">
        <v>6.8912000000000001E-2</v>
      </c>
      <c r="BD91" s="5">
        <v>5.8953999999999999E-2</v>
      </c>
      <c r="BE91" s="5">
        <v>5.6358999999999999E-2</v>
      </c>
      <c r="BF91" s="5">
        <v>5.1983000000000001E-2</v>
      </c>
      <c r="BG91" s="5">
        <v>5.0591999999999998E-2</v>
      </c>
      <c r="BH91" s="5">
        <v>4.9993000000000003E-2</v>
      </c>
      <c r="BI91" s="5">
        <v>4.9084000000000003E-2</v>
      </c>
      <c r="BJ91" s="5">
        <v>4.8215000000000001E-2</v>
      </c>
    </row>
    <row r="92" spans="1:67">
      <c r="A92" t="s">
        <v>62</v>
      </c>
      <c r="B92" s="54">
        <v>45363</v>
      </c>
      <c r="C92" s="123">
        <v>25</v>
      </c>
      <c r="D92" s="64">
        <v>3.3663413488037959</v>
      </c>
      <c r="E92" s="65">
        <v>0.31406160758119617</v>
      </c>
      <c r="F92" s="127">
        <v>8.2901052811003226E-2</v>
      </c>
      <c r="G92" s="10">
        <v>7.51</v>
      </c>
      <c r="H92" s="9">
        <v>251.9</v>
      </c>
      <c r="I92" s="9">
        <v>79.5</v>
      </c>
      <c r="J92" s="8">
        <v>9.48</v>
      </c>
      <c r="K92" s="10">
        <v>365</v>
      </c>
      <c r="L92" s="8">
        <v>5.14</v>
      </c>
      <c r="M92" s="8">
        <v>1.22</v>
      </c>
      <c r="N92" s="19">
        <v>7.3</v>
      </c>
      <c r="O92">
        <v>10.594999999999999</v>
      </c>
      <c r="P92">
        <v>10.17</v>
      </c>
      <c r="Q92">
        <v>7.9990000000000006</v>
      </c>
      <c r="R92" s="12">
        <v>1.7999999999999999E-2</v>
      </c>
      <c r="S92" s="9">
        <v>1.8</v>
      </c>
      <c r="T92" s="8">
        <v>0.06</v>
      </c>
      <c r="U92" s="31">
        <v>44</v>
      </c>
      <c r="V92" s="8">
        <v>0.22</v>
      </c>
      <c r="W92" s="9">
        <v>27.4</v>
      </c>
      <c r="X92" s="31">
        <v>26</v>
      </c>
      <c r="Y92" s="5">
        <v>0.25745000000000001</v>
      </c>
      <c r="Z92" s="5">
        <v>1.485E-2</v>
      </c>
      <c r="AA92" s="5">
        <v>2.4649999999999998E-2</v>
      </c>
      <c r="AB92" s="2">
        <v>31.789850000000001</v>
      </c>
      <c r="AC92" s="5">
        <v>0.19669999999999999</v>
      </c>
      <c r="AD92" s="2">
        <v>4.25685</v>
      </c>
      <c r="AE92" s="2">
        <v>8.7089999999999996</v>
      </c>
      <c r="AF92" s="5">
        <v>2.5399999999999999E-2</v>
      </c>
      <c r="AG92" s="2">
        <v>7.7539999999999996</v>
      </c>
      <c r="AH92">
        <v>1.0749999999999999E-2</v>
      </c>
      <c r="AI92">
        <v>5.8950000000000002E-2</v>
      </c>
      <c r="AJ92" s="2">
        <v>4.9969999999999999</v>
      </c>
      <c r="AK92" s="2">
        <v>24.258064516129028</v>
      </c>
      <c r="AL92" s="5">
        <v>2.8460000000000001</v>
      </c>
      <c r="AM92" s="5">
        <v>0.21690000000000001</v>
      </c>
      <c r="AN92" s="5">
        <v>0.15772</v>
      </c>
      <c r="AO92" s="5">
        <v>3.9656999999999998E-2</v>
      </c>
      <c r="AP92" s="5">
        <v>1.3466000000000001E-2</v>
      </c>
      <c r="AQ92" s="5">
        <v>5.0343999999999996E-3</v>
      </c>
      <c r="AR92" s="5">
        <v>3.5133E-3</v>
      </c>
      <c r="AS92" s="5">
        <v>2.1467000000000001E-3</v>
      </c>
      <c r="AT92" s="5">
        <v>1.4296000000000001E-3</v>
      </c>
      <c r="AU92" s="5">
        <v>1.1358E-3</v>
      </c>
      <c r="AV92" s="5">
        <v>1.0533000000000001E-3</v>
      </c>
      <c r="AW92" s="5">
        <v>9.1171000000000004E-4</v>
      </c>
      <c r="AX92" s="2">
        <f t="shared" si="1"/>
        <v>2.1327433628318584</v>
      </c>
      <c r="AY92" s="5">
        <v>2.8900999999999999</v>
      </c>
      <c r="AZ92" s="5">
        <v>0.29913000000000001</v>
      </c>
      <c r="BA92" s="5">
        <v>0.23425000000000001</v>
      </c>
      <c r="BB92" s="5">
        <v>0.10082000000000001</v>
      </c>
      <c r="BC92" s="5">
        <v>6.9419999999999996E-2</v>
      </c>
      <c r="BD92" s="5">
        <v>5.6993000000000002E-2</v>
      </c>
      <c r="BE92" s="5">
        <v>5.3938E-2</v>
      </c>
      <c r="BF92" s="5">
        <v>4.8570000000000002E-2</v>
      </c>
      <c r="BG92" s="5">
        <v>4.6816999999999998E-2</v>
      </c>
      <c r="BH92" s="5">
        <v>4.6074999999999998E-2</v>
      </c>
      <c r="BI92" s="5">
        <v>4.5177000000000002E-2</v>
      </c>
      <c r="BJ92" s="5">
        <v>4.3980999999999999E-2</v>
      </c>
      <c r="BK92" s="10"/>
      <c r="BL92" s="10"/>
      <c r="BM92" s="10"/>
      <c r="BN92" s="10"/>
      <c r="BO92" s="10"/>
    </row>
    <row r="93" spans="1:67">
      <c r="A93" t="s">
        <v>62</v>
      </c>
      <c r="B93" s="54">
        <v>45363</v>
      </c>
      <c r="C93" s="123">
        <v>30</v>
      </c>
      <c r="D93" s="64">
        <v>3.3725849941031765</v>
      </c>
      <c r="E93" s="65">
        <v>0.29505596915746929</v>
      </c>
      <c r="F93" s="127">
        <v>8.2179803105500215E-2</v>
      </c>
      <c r="G93" s="10">
        <v>7.45</v>
      </c>
      <c r="H93" s="9">
        <v>253.4</v>
      </c>
      <c r="I93" s="9">
        <v>75.7</v>
      </c>
      <c r="J93" s="8">
        <v>9.0299999999999994</v>
      </c>
      <c r="K93" s="10">
        <v>368</v>
      </c>
      <c r="L93" s="8">
        <v>5.13</v>
      </c>
      <c r="M93" s="8">
        <v>1.17</v>
      </c>
      <c r="N93" s="19">
        <v>7.09</v>
      </c>
      <c r="O93">
        <v>10.605</v>
      </c>
      <c r="P93">
        <v>10.54</v>
      </c>
      <c r="Q93">
        <v>8.0380000000000003</v>
      </c>
      <c r="R93" s="12">
        <v>1.9E-2</v>
      </c>
      <c r="S93" s="9">
        <v>1.8</v>
      </c>
      <c r="T93" s="8">
        <v>7.0000000000000007E-2</v>
      </c>
      <c r="U93" s="31">
        <v>44</v>
      </c>
      <c r="V93" s="8">
        <v>7.0000000000000007E-2</v>
      </c>
      <c r="W93" s="9">
        <v>28.4</v>
      </c>
      <c r="X93" s="31">
        <v>21</v>
      </c>
      <c r="Y93" s="5">
        <v>0.27264999999999995</v>
      </c>
      <c r="Z93" s="5">
        <v>1.5800000000000002E-2</v>
      </c>
      <c r="AA93" s="5">
        <v>2.4199999999999999E-2</v>
      </c>
      <c r="AB93" s="2">
        <v>31.605450000000001</v>
      </c>
      <c r="AC93" s="5">
        <v>0.19589999999999999</v>
      </c>
      <c r="AD93" s="2">
        <v>4.1605000000000008</v>
      </c>
      <c r="AE93" s="2">
        <v>8.6350499999999997</v>
      </c>
      <c r="AF93" s="5">
        <v>3.4350000000000006E-2</v>
      </c>
      <c r="AG93" s="2">
        <v>7.7450999999999999</v>
      </c>
      <c r="AH93">
        <v>1.025E-2</v>
      </c>
      <c r="AI93">
        <v>5.3349999999999995E-2</v>
      </c>
      <c r="AJ93" s="2">
        <v>5.1140000000000008</v>
      </c>
      <c r="AK93" s="2">
        <v>22.967741935483868</v>
      </c>
      <c r="AL93" s="5">
        <v>2.8022</v>
      </c>
      <c r="AM93" s="5">
        <v>0.20538999999999999</v>
      </c>
      <c r="AN93" s="5">
        <v>0.14854999999999999</v>
      </c>
      <c r="AO93" s="5">
        <v>3.6361999999999998E-2</v>
      </c>
      <c r="AP93" s="5">
        <v>1.2137999999999999E-2</v>
      </c>
      <c r="AQ93" s="5">
        <v>4.4908999999999999E-3</v>
      </c>
      <c r="AR93" s="5">
        <v>3.3402000000000002E-3</v>
      </c>
      <c r="AS93" s="5">
        <v>2.1643999999999999E-3</v>
      </c>
      <c r="AT93" s="5">
        <v>1.5941E-3</v>
      </c>
      <c r="AU93" s="5">
        <v>1.4400000000000001E-3</v>
      </c>
      <c r="AV93" s="5">
        <v>1.2937000000000001E-3</v>
      </c>
      <c r="AW93" s="5">
        <v>1.2455000000000001E-3</v>
      </c>
      <c r="AX93" s="2">
        <f t="shared" si="1"/>
        <v>1.9486717267552183</v>
      </c>
      <c r="AY93" s="5">
        <v>2.9001999999999999</v>
      </c>
      <c r="AZ93" s="5">
        <v>0.29028999999999999</v>
      </c>
      <c r="BA93" s="5">
        <v>0.22674</v>
      </c>
      <c r="BB93" s="5">
        <v>9.5888000000000001E-2</v>
      </c>
      <c r="BC93" s="5">
        <v>6.4840999999999996E-2</v>
      </c>
      <c r="BD93" s="5">
        <v>5.2509E-2</v>
      </c>
      <c r="BE93" s="5">
        <v>4.9286000000000003E-2</v>
      </c>
      <c r="BF93" s="5">
        <v>4.3978999999999997E-2</v>
      </c>
      <c r="BG93" s="5">
        <v>4.2278999999999997E-2</v>
      </c>
      <c r="BH93" s="5">
        <v>4.1547000000000001E-2</v>
      </c>
      <c r="BI93" s="5">
        <v>4.0751999999999997E-2</v>
      </c>
      <c r="BJ93" s="5">
        <v>3.9515000000000002E-2</v>
      </c>
      <c r="BK93" s="10"/>
      <c r="BL93" s="10"/>
      <c r="BM93" s="10"/>
      <c r="BN93" s="10"/>
      <c r="BO93" s="10"/>
    </row>
    <row r="94" spans="1:67">
      <c r="A94" t="s">
        <v>62</v>
      </c>
      <c r="B94" s="54">
        <v>45391</v>
      </c>
      <c r="C94" s="123">
        <v>0</v>
      </c>
      <c r="D94" s="64">
        <v>2.4028299249069036</v>
      </c>
      <c r="E94" s="74"/>
      <c r="F94" s="125">
        <v>8.1560328876901581E-2</v>
      </c>
      <c r="G94" s="8">
        <v>8.48</v>
      </c>
      <c r="H94" s="9">
        <v>132.6</v>
      </c>
      <c r="I94" s="9">
        <v>116.2</v>
      </c>
      <c r="J94" s="9">
        <v>10.85</v>
      </c>
      <c r="K94" s="9">
        <v>364</v>
      </c>
      <c r="L94" s="9">
        <v>15.71</v>
      </c>
      <c r="M94" s="8">
        <v>1.3</v>
      </c>
      <c r="N94" s="3">
        <v>6.85928</v>
      </c>
      <c r="O94">
        <v>10.44</v>
      </c>
      <c r="P94">
        <v>9.0440000000000005</v>
      </c>
      <c r="Q94">
        <v>7.8090000000000002</v>
      </c>
      <c r="R94" s="12">
        <v>2.8000000000000001E-2</v>
      </c>
      <c r="S94" s="9">
        <v>4</v>
      </c>
      <c r="T94" s="8">
        <v>0.02</v>
      </c>
      <c r="U94" s="31">
        <v>46</v>
      </c>
      <c r="V94" s="8">
        <v>0.09</v>
      </c>
      <c r="W94" s="9">
        <v>23.8</v>
      </c>
      <c r="X94" s="31">
        <v>27</v>
      </c>
      <c r="Y94" s="5">
        <v>5.3499999999999999E-2</v>
      </c>
      <c r="Z94" s="5">
        <v>1.635E-2</v>
      </c>
      <c r="AA94" s="5">
        <v>2.895E-2</v>
      </c>
      <c r="AB94" s="2">
        <v>33.530850000000001</v>
      </c>
      <c r="AC94" s="5">
        <v>2.7199999999999998E-2</v>
      </c>
      <c r="AD94" s="2">
        <v>4.1264000000000003</v>
      </c>
      <c r="AE94" s="2">
        <v>7.6739499999999996</v>
      </c>
      <c r="AF94" s="5">
        <v>1.0500000000000002E-3</v>
      </c>
      <c r="AG94" s="2">
        <v>6.7849000000000004</v>
      </c>
      <c r="AH94">
        <v>3.5E-4</v>
      </c>
      <c r="AI94">
        <v>3.1699999999999999E-2</v>
      </c>
      <c r="AJ94" s="2">
        <v>4.2050000000000001</v>
      </c>
      <c r="AK94" s="2">
        <f>(0.045-0.0158)/0.0031</f>
        <v>9.4193548387096762</v>
      </c>
      <c r="AL94" s="5">
        <v>2.7616999999999998</v>
      </c>
      <c r="AM94" s="5">
        <v>0.17818000000000001</v>
      </c>
      <c r="AN94" s="5">
        <v>0.12841</v>
      </c>
      <c r="AO94" s="5">
        <v>3.0464999999999999E-2</v>
      </c>
      <c r="AP94" s="5">
        <v>1.2146000000000001E-2</v>
      </c>
      <c r="AQ94" s="5">
        <v>6.4831000000000003E-3</v>
      </c>
      <c r="AR94" s="5">
        <v>5.8084E-3</v>
      </c>
      <c r="AS94" s="5">
        <v>4.3077000000000002E-3</v>
      </c>
      <c r="AT94" s="5">
        <v>3.7899000000000001E-3</v>
      </c>
      <c r="AU94" s="5">
        <v>3.6521000000000001E-3</v>
      </c>
      <c r="AV94" s="5">
        <v>3.4689999999999999E-3</v>
      </c>
      <c r="AW94" s="5">
        <v>3.2043000000000002E-3</v>
      </c>
      <c r="AX94" s="2">
        <f t="shared" si="1"/>
        <v>1.9701459531180894</v>
      </c>
      <c r="AY94" s="5">
        <v>2.7713000000000001</v>
      </c>
      <c r="AZ94" s="5">
        <v>0.19711000000000001</v>
      </c>
      <c r="BA94" s="5">
        <v>0.14598</v>
      </c>
      <c r="BB94" s="5">
        <v>4.4569999999999999E-2</v>
      </c>
      <c r="BC94" s="5">
        <v>2.4820999999999999E-2</v>
      </c>
      <c r="BD94" s="5">
        <v>1.7077999999999999E-2</v>
      </c>
      <c r="BE94" s="5">
        <v>1.5391E-2</v>
      </c>
      <c r="BF94" s="5">
        <v>1.2983E-2</v>
      </c>
      <c r="BG94" s="5">
        <v>1.1686999999999999E-2</v>
      </c>
      <c r="BH94" s="5">
        <v>1.1310000000000001E-2</v>
      </c>
      <c r="BI94" s="5">
        <v>1.0907999999999999E-2</v>
      </c>
      <c r="BJ94" s="5">
        <v>1.0135E-2</v>
      </c>
    </row>
    <row r="95" spans="1:67">
      <c r="A95" t="s">
        <v>62</v>
      </c>
      <c r="B95" s="54">
        <v>45391</v>
      </c>
      <c r="C95" s="123">
        <v>2.5</v>
      </c>
      <c r="D95" s="64">
        <v>2.4346405715000032</v>
      </c>
      <c r="E95" s="74"/>
      <c r="F95" s="125">
        <v>8.708594110768729E-2</v>
      </c>
      <c r="G95" s="8">
        <v>8.43</v>
      </c>
      <c r="H95" s="2">
        <v>141.9</v>
      </c>
      <c r="I95">
        <v>112.2</v>
      </c>
      <c r="J95">
        <v>11.44</v>
      </c>
      <c r="K95">
        <v>364</v>
      </c>
      <c r="L95" s="8">
        <v>11.72</v>
      </c>
      <c r="M95" s="8">
        <v>1.38</v>
      </c>
      <c r="N95" s="3">
        <v>6.8746080000000003</v>
      </c>
      <c r="O95">
        <v>9.7029999999999994</v>
      </c>
      <c r="P95">
        <v>8.6890000000000001</v>
      </c>
      <c r="Q95">
        <v>7.8289999999999997</v>
      </c>
      <c r="R95" s="12">
        <v>2.8000000000000001E-2</v>
      </c>
      <c r="S95" s="9">
        <v>3.2</v>
      </c>
      <c r="T95" s="8">
        <v>0.01</v>
      </c>
      <c r="U95" s="31">
        <v>47</v>
      </c>
      <c r="V95" s="8">
        <v>0.06</v>
      </c>
      <c r="W95" s="9">
        <v>23.4</v>
      </c>
      <c r="X95" s="31">
        <v>28</v>
      </c>
      <c r="Y95" s="5">
        <v>4.87E-2</v>
      </c>
      <c r="Z95" s="5">
        <v>1.5099999999999999E-2</v>
      </c>
      <c r="AA95" s="5">
        <v>2.9650000000000003E-2</v>
      </c>
      <c r="AB95" s="2">
        <v>33.370100000000001</v>
      </c>
      <c r="AC95" s="5">
        <v>2.2599999999999999E-2</v>
      </c>
      <c r="AD95" s="2">
        <v>4.1337000000000002</v>
      </c>
      <c r="AE95" s="2">
        <v>7.6999999999999993</v>
      </c>
      <c r="AF95" s="5">
        <v>5.4999999999999992E-4</v>
      </c>
      <c r="AG95" s="2">
        <v>6.8347999999999995</v>
      </c>
      <c r="AH95">
        <v>3.5E-4</v>
      </c>
      <c r="AI95">
        <v>7.3800000000000004E-2</v>
      </c>
      <c r="AJ95" s="2">
        <v>4.2870000000000008</v>
      </c>
      <c r="AK95" s="2">
        <f>(0.057-0.0158)/0.0031</f>
        <v>13.290322580645162</v>
      </c>
      <c r="AL95" s="5">
        <v>2.7654999999999998</v>
      </c>
      <c r="AM95" s="5">
        <v>0.17976</v>
      </c>
      <c r="AN95" s="5">
        <v>0.12998000000000001</v>
      </c>
      <c r="AO95" s="5">
        <v>3.1662000000000003E-2</v>
      </c>
      <c r="AP95" s="5">
        <v>1.243E-2</v>
      </c>
      <c r="AQ95" s="5">
        <v>6.4429999999999999E-3</v>
      </c>
      <c r="AR95" s="5">
        <v>5.5294000000000003E-3</v>
      </c>
      <c r="AS95" s="5">
        <v>4.0908000000000003E-3</v>
      </c>
      <c r="AT95" s="5">
        <v>3.5825000000000002E-3</v>
      </c>
      <c r="AU95" s="5">
        <v>3.4188999999999999E-3</v>
      </c>
      <c r="AV95" s="5">
        <v>3.1876999999999999E-3</v>
      </c>
      <c r="AW95" s="5">
        <v>2.9229999999999998E-3</v>
      </c>
      <c r="AX95" s="2">
        <f t="shared" si="1"/>
        <v>2.068822649326735</v>
      </c>
      <c r="AY95" s="5">
        <v>2.8056000000000001</v>
      </c>
      <c r="AZ95" s="5">
        <v>0.20448</v>
      </c>
      <c r="BA95" s="5">
        <v>0.15290999999999999</v>
      </c>
      <c r="BB95" s="5">
        <v>4.9999000000000002E-2</v>
      </c>
      <c r="BC95" s="5">
        <v>2.8638E-2</v>
      </c>
      <c r="BD95" s="5">
        <v>2.0552999999999998E-2</v>
      </c>
      <c r="BE95" s="5">
        <v>1.8438E-2</v>
      </c>
      <c r="BF95" s="5">
        <v>1.5800000000000002E-2</v>
      </c>
      <c r="BG95" s="5">
        <v>1.4376999999999999E-2</v>
      </c>
      <c r="BH95" s="5">
        <v>1.3984E-2</v>
      </c>
      <c r="BI95" s="5">
        <v>1.3370999999999999E-2</v>
      </c>
      <c r="BJ95" s="5">
        <v>1.2557E-2</v>
      </c>
    </row>
    <row r="96" spans="1:67">
      <c r="A96" t="s">
        <v>62</v>
      </c>
      <c r="B96" s="54">
        <v>45391</v>
      </c>
      <c r="C96" s="123">
        <v>5</v>
      </c>
      <c r="D96" s="64">
        <v>2.4561205287304673</v>
      </c>
      <c r="E96" s="66">
        <v>0.32</v>
      </c>
      <c r="F96" s="125">
        <v>8.1279669469431784E-2</v>
      </c>
      <c r="G96" s="8">
        <v>8.0500000000000007</v>
      </c>
      <c r="H96" s="2">
        <v>159.19999999999999</v>
      </c>
      <c r="I96">
        <v>95.4</v>
      </c>
      <c r="J96">
        <v>10.1</v>
      </c>
      <c r="K96" s="10">
        <v>366</v>
      </c>
      <c r="L96" s="8">
        <v>10.119999999999999</v>
      </c>
      <c r="M96" s="8">
        <v>1.27</v>
      </c>
      <c r="N96" s="3">
        <v>6.9282559999999993</v>
      </c>
      <c r="O96">
        <v>9.1289999999999996</v>
      </c>
      <c r="P96">
        <v>8.5229999999999997</v>
      </c>
      <c r="Q96">
        <v>7.7880000000000003</v>
      </c>
      <c r="R96" s="12">
        <v>2.7E-2</v>
      </c>
      <c r="S96" s="9">
        <v>2.8</v>
      </c>
      <c r="T96" s="8">
        <v>0.02</v>
      </c>
      <c r="U96" s="31">
        <v>46</v>
      </c>
      <c r="V96" s="8">
        <v>0.04</v>
      </c>
      <c r="W96" s="9">
        <v>23.8</v>
      </c>
      <c r="X96" s="31">
        <v>28</v>
      </c>
      <c r="Y96" s="5">
        <v>3.0499999999999999E-2</v>
      </c>
      <c r="Z96" s="5">
        <v>1.6149999999999998E-2</v>
      </c>
      <c r="AA96" s="5">
        <v>3.0249999999999999E-2</v>
      </c>
      <c r="AB96" s="2">
        <v>33.639400000000002</v>
      </c>
      <c r="AC96" s="5">
        <v>2.58E-2</v>
      </c>
      <c r="AD96" s="2">
        <v>4.1992999999999991</v>
      </c>
      <c r="AE96" s="2">
        <v>7.7085499999999998</v>
      </c>
      <c r="AF96" s="5">
        <v>5.4999999999999992E-4</v>
      </c>
      <c r="AG96" s="2">
        <v>6.8267499999999997</v>
      </c>
      <c r="AH96">
        <v>5.4999999999999992E-4</v>
      </c>
      <c r="AI96">
        <v>1.9499999999999999E-3</v>
      </c>
      <c r="AJ96" s="2">
        <v>4.3475000000000001</v>
      </c>
      <c r="AK96" s="2">
        <f>(0.056-0.0158)/0.0031</f>
        <v>12.967741935483872</v>
      </c>
      <c r="AL96" s="5">
        <v>2.7738999999999998</v>
      </c>
      <c r="AM96" s="5">
        <v>0.17938000000000001</v>
      </c>
      <c r="AN96" s="5">
        <v>0.12948000000000001</v>
      </c>
      <c r="AO96" s="5">
        <v>3.2154000000000002E-2</v>
      </c>
      <c r="AP96" s="5">
        <v>1.3216E-2</v>
      </c>
      <c r="AQ96" s="5">
        <v>7.2002000000000003E-3</v>
      </c>
      <c r="AR96" s="5">
        <v>6.2652000000000003E-3</v>
      </c>
      <c r="AS96" s="5">
        <v>4.7130999999999996E-3</v>
      </c>
      <c r="AT96" s="5">
        <v>4.3125000000000004E-3</v>
      </c>
      <c r="AU96" s="5">
        <v>4.1222999999999997E-3</v>
      </c>
      <c r="AV96" s="5">
        <v>4.0092000000000001E-3</v>
      </c>
      <c r="AW96" s="5">
        <v>3.7141000000000001E-3</v>
      </c>
      <c r="AX96" s="2">
        <f t="shared" si="1"/>
        <v>2.104657984277837</v>
      </c>
      <c r="AY96" s="5">
        <v>2.7905000000000002</v>
      </c>
      <c r="AZ96" s="5">
        <v>0.20458000000000001</v>
      </c>
      <c r="BA96" s="5">
        <v>0.15307000000000001</v>
      </c>
      <c r="BB96" s="5">
        <v>5.0384999999999999E-2</v>
      </c>
      <c r="BC96" s="5">
        <v>2.9448999999999999E-2</v>
      </c>
      <c r="BD96" s="5">
        <v>2.1249000000000001E-2</v>
      </c>
      <c r="BE96" s="5">
        <v>1.9113999999999999E-2</v>
      </c>
      <c r="BF96" s="5">
        <v>1.6615000000000001E-2</v>
      </c>
      <c r="BG96" s="5">
        <v>1.5225000000000001E-2</v>
      </c>
      <c r="BH96" s="5">
        <v>1.4786000000000001E-2</v>
      </c>
      <c r="BI96" s="5">
        <v>1.4231000000000001E-2</v>
      </c>
      <c r="BJ96" s="5">
        <v>1.3443E-2</v>
      </c>
    </row>
    <row r="97" spans="1:67">
      <c r="A97" t="s">
        <v>62</v>
      </c>
      <c r="B97" s="54">
        <v>45391</v>
      </c>
      <c r="C97" s="123">
        <v>7.5</v>
      </c>
      <c r="D97" s="64">
        <v>2.6489685407142929</v>
      </c>
      <c r="E97" s="74"/>
      <c r="F97" s="125">
        <v>8.988021837259158E-2</v>
      </c>
      <c r="G97" s="8">
        <v>7.86</v>
      </c>
      <c r="H97" s="2">
        <v>167.5</v>
      </c>
      <c r="I97">
        <v>86.5</v>
      </c>
      <c r="J97" s="8">
        <v>9.5399999999999991</v>
      </c>
      <c r="K97" s="10">
        <v>365</v>
      </c>
      <c r="L97" s="8">
        <v>8.39</v>
      </c>
      <c r="M97" s="8">
        <v>1.29</v>
      </c>
      <c r="N97" s="3">
        <v>6.7213279999999989</v>
      </c>
      <c r="O97">
        <v>8.8829999999999991</v>
      </c>
      <c r="P97">
        <v>8.7629999999999999</v>
      </c>
      <c r="Q97">
        <v>7.883</v>
      </c>
      <c r="R97" s="12">
        <v>2.7E-2</v>
      </c>
      <c r="S97" s="9">
        <v>2.8</v>
      </c>
      <c r="T97" s="8">
        <v>0.02</v>
      </c>
      <c r="U97" s="31">
        <v>47</v>
      </c>
      <c r="V97" s="8">
        <v>0.05</v>
      </c>
      <c r="W97" s="9">
        <v>23.4</v>
      </c>
      <c r="X97" s="31">
        <v>29</v>
      </c>
      <c r="Y97" s="5">
        <v>8.1049999999999997E-2</v>
      </c>
      <c r="Z97" s="5">
        <v>1.4999999999999999E-2</v>
      </c>
      <c r="AA97" s="5">
        <v>3.0499999999999999E-2</v>
      </c>
      <c r="AB97" s="2">
        <v>33.140450000000001</v>
      </c>
      <c r="AC97" s="5">
        <v>4.1849999999999998E-2</v>
      </c>
      <c r="AD97" s="2">
        <v>3.9906000000000001</v>
      </c>
      <c r="AE97" s="2">
        <v>7.5390499999999996</v>
      </c>
      <c r="AF97" s="5">
        <v>8.9999999999999998E-4</v>
      </c>
      <c r="AG97" s="2">
        <v>6.7476000000000003</v>
      </c>
      <c r="AH97">
        <v>1.5499999999999999E-3</v>
      </c>
      <c r="AI97">
        <v>6.3750000000000001E-2</v>
      </c>
      <c r="AJ97" s="2">
        <v>4.4965000000000002</v>
      </c>
      <c r="AK97" s="2">
        <f>(0.054-0.0158)/0.0031</f>
        <v>12.32258064516129</v>
      </c>
      <c r="AL97" s="5">
        <v>2.7694000000000001</v>
      </c>
      <c r="AM97" s="5">
        <v>0.18153</v>
      </c>
      <c r="AN97" s="5">
        <v>0.13149</v>
      </c>
      <c r="AO97" s="5">
        <v>3.3898999999999999E-2</v>
      </c>
      <c r="AP97" s="5">
        <v>1.4522999999999999E-2</v>
      </c>
      <c r="AQ97" s="5">
        <v>8.1825000000000005E-3</v>
      </c>
      <c r="AR97" s="5">
        <v>7.1510999999999996E-3</v>
      </c>
      <c r="AS97" s="5">
        <v>5.6930000000000001E-3</v>
      </c>
      <c r="AT97" s="5">
        <v>5.0035000000000001E-3</v>
      </c>
      <c r="AU97" s="5">
        <v>4.8785E-3</v>
      </c>
      <c r="AV97" s="5">
        <v>4.6414999999999998E-3</v>
      </c>
      <c r="AW97" s="5">
        <v>4.3940999999999997E-3</v>
      </c>
      <c r="AX97" s="2">
        <f t="shared" si="1"/>
        <v>2.0715508387538515</v>
      </c>
      <c r="AY97" s="5">
        <v>2.8048000000000002</v>
      </c>
      <c r="AZ97" s="5">
        <v>0.19731000000000001</v>
      </c>
      <c r="BA97" s="5">
        <v>0.14566000000000001</v>
      </c>
      <c r="BB97" s="5">
        <v>4.2139999999999997E-2</v>
      </c>
      <c r="BC97" s="5">
        <v>2.0317000000000002E-2</v>
      </c>
      <c r="BD97" s="5">
        <v>1.2017999999999999E-2</v>
      </c>
      <c r="BE97" s="5">
        <v>1.0113E-2</v>
      </c>
      <c r="BF97" s="5">
        <v>7.9726999999999992E-3</v>
      </c>
      <c r="BG97" s="5">
        <v>6.6027999999999998E-3</v>
      </c>
      <c r="BH97" s="5">
        <v>6.2985000000000003E-3</v>
      </c>
      <c r="BI97" s="5">
        <v>5.9042000000000001E-3</v>
      </c>
      <c r="BJ97" s="5">
        <v>5.0368000000000001E-3</v>
      </c>
    </row>
    <row r="98" spans="1:67">
      <c r="A98" t="s">
        <v>62</v>
      </c>
      <c r="B98" s="54">
        <v>45391</v>
      </c>
      <c r="C98" s="123">
        <v>10</v>
      </c>
      <c r="D98" s="64">
        <v>2.935590800435564</v>
      </c>
      <c r="E98" s="74"/>
      <c r="F98" s="125">
        <v>8.9226118558073983E-2</v>
      </c>
      <c r="G98" s="8">
        <v>7.69</v>
      </c>
      <c r="H98" s="2">
        <v>174.4</v>
      </c>
      <c r="I98" s="9">
        <v>76.900000000000006</v>
      </c>
      <c r="J98" s="8">
        <v>8.85</v>
      </c>
      <c r="K98" s="10">
        <v>364</v>
      </c>
      <c r="L98" s="8">
        <v>6.64</v>
      </c>
      <c r="M98" s="8">
        <v>1.32</v>
      </c>
      <c r="N98" s="3">
        <v>7.9322399999999993</v>
      </c>
      <c r="O98">
        <v>9.0809999999999995</v>
      </c>
      <c r="P98">
        <v>8.6519999999999992</v>
      </c>
      <c r="Q98">
        <v>7.9340000000000002</v>
      </c>
      <c r="R98" s="12">
        <v>3.5999999999999997E-2</v>
      </c>
      <c r="S98" s="9">
        <v>3.4</v>
      </c>
      <c r="T98" s="8">
        <v>0.01</v>
      </c>
      <c r="U98" s="31">
        <v>43</v>
      </c>
      <c r="V98" s="8">
        <v>0.08</v>
      </c>
      <c r="W98" s="9">
        <v>23.2</v>
      </c>
      <c r="X98" s="31">
        <v>32</v>
      </c>
      <c r="Y98" s="5">
        <v>0.11115</v>
      </c>
      <c r="Z98" s="5">
        <v>1.6550000000000002E-2</v>
      </c>
      <c r="AA98" s="5">
        <v>3.1699999999999999E-2</v>
      </c>
      <c r="AB98" s="2">
        <v>33.828850000000003</v>
      </c>
      <c r="AC98" s="5">
        <v>9.425E-2</v>
      </c>
      <c r="AD98" s="2">
        <v>4.2774000000000001</v>
      </c>
      <c r="AE98" s="2">
        <v>7.6576500000000003</v>
      </c>
      <c r="AF98" s="5">
        <v>3.5999999999999999E-3</v>
      </c>
      <c r="AG98" s="2">
        <v>6.8244500000000006</v>
      </c>
      <c r="AH98">
        <v>4.45E-3</v>
      </c>
      <c r="AI98">
        <v>2.5999999999999999E-3</v>
      </c>
      <c r="AJ98" s="2">
        <v>4.9195000000000002</v>
      </c>
      <c r="AK98" s="2">
        <f>(0.148-0.0158)/0.0031</f>
        <v>42.645161290322577</v>
      </c>
      <c r="AL98" s="5">
        <v>2.7932999999999999</v>
      </c>
      <c r="AM98" s="5">
        <v>0.19234999999999999</v>
      </c>
      <c r="AN98" s="5">
        <v>0.14015</v>
      </c>
      <c r="AO98" s="5">
        <v>3.8184999999999997E-2</v>
      </c>
      <c r="AP98" s="5">
        <v>1.7186E-2</v>
      </c>
      <c r="AQ98" s="5">
        <v>1.0425E-2</v>
      </c>
      <c r="AR98" s="5">
        <v>9.2516000000000004E-3</v>
      </c>
      <c r="AS98" s="5">
        <v>7.6918999999999998E-3</v>
      </c>
      <c r="AT98" s="5">
        <v>6.9575000000000001E-3</v>
      </c>
      <c r="AU98" s="5">
        <v>6.7348E-3</v>
      </c>
      <c r="AV98" s="5">
        <v>6.5017E-3</v>
      </c>
      <c r="AW98" s="5">
        <v>6.2671000000000003E-3</v>
      </c>
      <c r="AX98" s="2">
        <f t="shared" si="1"/>
        <v>2.223185390661119</v>
      </c>
      <c r="AY98" s="5">
        <v>2.7926000000000002</v>
      </c>
      <c r="AZ98" s="5">
        <v>0.21873999999999999</v>
      </c>
      <c r="BA98" s="5">
        <v>0.16344</v>
      </c>
      <c r="BB98" s="5">
        <v>5.2246000000000001E-2</v>
      </c>
      <c r="BC98" s="5">
        <v>2.6747E-2</v>
      </c>
      <c r="BD98" s="5">
        <v>1.694E-2</v>
      </c>
      <c r="BE98" s="5">
        <v>1.4666E-2</v>
      </c>
      <c r="BF98" s="5">
        <v>1.1981E-2</v>
      </c>
      <c r="BG98" s="5">
        <v>1.0240000000000001E-2</v>
      </c>
      <c r="BH98" s="5">
        <v>9.7684999999999994E-3</v>
      </c>
      <c r="BI98" s="5">
        <v>9.2554000000000004E-3</v>
      </c>
      <c r="BJ98" s="5">
        <v>8.1153000000000006E-3</v>
      </c>
    </row>
    <row r="99" spans="1:67">
      <c r="A99" t="s">
        <v>62</v>
      </c>
      <c r="B99" s="54">
        <v>45391</v>
      </c>
      <c r="C99" s="123">
        <v>15</v>
      </c>
      <c r="D99" s="64">
        <v>3.2138325686782432</v>
      </c>
      <c r="E99" s="74"/>
      <c r="F99" s="125">
        <v>7.9474226472681347E-2</v>
      </c>
      <c r="G99" s="8">
        <v>7.63</v>
      </c>
      <c r="H99" s="9">
        <v>176.8</v>
      </c>
      <c r="I99" s="9">
        <v>75.5</v>
      </c>
      <c r="J99" s="8">
        <v>8.9</v>
      </c>
      <c r="K99" s="10">
        <v>361</v>
      </c>
      <c r="L99" s="8">
        <v>5.68</v>
      </c>
      <c r="M99" s="8">
        <v>1.26</v>
      </c>
      <c r="N99" s="3">
        <v>6.7519840000000002</v>
      </c>
      <c r="O99">
        <v>8.9380000000000006</v>
      </c>
      <c r="P99">
        <v>9.3960000000000008</v>
      </c>
      <c r="Q99">
        <v>7.7249999999999996</v>
      </c>
      <c r="R99" s="12">
        <v>2.9000000000000001E-2</v>
      </c>
      <c r="S99" s="9">
        <v>3</v>
      </c>
      <c r="T99" s="8">
        <v>0.01</v>
      </c>
      <c r="U99" s="31">
        <v>43</v>
      </c>
      <c r="V99" s="8">
        <v>0.05</v>
      </c>
      <c r="W99" s="9">
        <v>23.8</v>
      </c>
      <c r="X99" s="31">
        <v>38</v>
      </c>
      <c r="Y99" s="5">
        <v>0.21545</v>
      </c>
      <c r="Z99" s="5">
        <v>1.4250000000000001E-2</v>
      </c>
      <c r="AA99" s="5">
        <v>3.0950000000000002E-2</v>
      </c>
      <c r="AB99" s="2">
        <v>32.979600000000005</v>
      </c>
      <c r="AC99" s="5">
        <v>0.15229999999999999</v>
      </c>
      <c r="AD99" s="2">
        <v>4.2909000000000006</v>
      </c>
      <c r="AE99" s="2">
        <v>7.4328000000000003</v>
      </c>
      <c r="AF99" s="5">
        <v>1.1050000000000001E-2</v>
      </c>
      <c r="AG99" s="2">
        <v>6.7246000000000006</v>
      </c>
      <c r="AH99">
        <v>8.2000000000000007E-3</v>
      </c>
      <c r="AI99">
        <v>2.8199999999999999E-2</v>
      </c>
      <c r="AJ99" s="2">
        <v>5.1835000000000004</v>
      </c>
      <c r="AK99" s="2">
        <f>(0.054-0.0158)/0.0031</f>
        <v>12.32258064516129</v>
      </c>
      <c r="AL99" s="5">
        <v>2.8448000000000002</v>
      </c>
      <c r="AM99" s="5">
        <v>0.20952999999999999</v>
      </c>
      <c r="AN99" s="5">
        <v>0.15326000000000001</v>
      </c>
      <c r="AO99" s="5">
        <v>4.3005000000000002E-2</v>
      </c>
      <c r="AP99" s="5">
        <v>1.8776999999999999E-2</v>
      </c>
      <c r="AQ99" s="5">
        <v>1.0943E-2</v>
      </c>
      <c r="AR99" s="5">
        <v>9.5242999999999994E-3</v>
      </c>
      <c r="AS99" s="5">
        <v>7.8186999999999996E-3</v>
      </c>
      <c r="AT99" s="5">
        <v>6.9002999999999998E-3</v>
      </c>
      <c r="AU99" s="5">
        <v>6.7390999999999996E-3</v>
      </c>
      <c r="AV99" s="5">
        <v>6.4019999999999997E-3</v>
      </c>
      <c r="AW99" s="5">
        <v>6.0901999999999996E-3</v>
      </c>
      <c r="AX99" s="2">
        <f t="shared" si="1"/>
        <v>2.2299914857386121</v>
      </c>
      <c r="AY99" s="5">
        <v>2.8475000000000001</v>
      </c>
      <c r="AZ99" s="5">
        <v>0.24107999999999999</v>
      </c>
      <c r="BA99" s="5">
        <v>0.17992</v>
      </c>
      <c r="BB99" s="5">
        <v>5.6423000000000001E-2</v>
      </c>
      <c r="BC99" s="5">
        <v>2.6821000000000001E-2</v>
      </c>
      <c r="BD99" s="5">
        <v>1.5692999999999999E-2</v>
      </c>
      <c r="BE99" s="5">
        <v>1.3025999999999999E-2</v>
      </c>
      <c r="BF99" s="5">
        <v>1.0177E-2</v>
      </c>
      <c r="BG99" s="5">
        <v>8.4138000000000008E-3</v>
      </c>
      <c r="BH99" s="5">
        <v>7.9851000000000002E-3</v>
      </c>
      <c r="BI99" s="5">
        <v>7.4482000000000003E-3</v>
      </c>
      <c r="BJ99" s="5">
        <v>6.5398000000000001E-3</v>
      </c>
    </row>
    <row r="100" spans="1:67">
      <c r="A100" t="s">
        <v>62</v>
      </c>
      <c r="B100" s="54">
        <v>45391</v>
      </c>
      <c r="C100" s="123">
        <v>20</v>
      </c>
      <c r="D100" s="64">
        <v>3.2479344097968044</v>
      </c>
      <c r="E100" s="74"/>
      <c r="F100" s="125">
        <v>8.0398665004416531E-2</v>
      </c>
      <c r="G100" s="8">
        <v>7.5</v>
      </c>
      <c r="H100" s="9">
        <v>181.7</v>
      </c>
      <c r="I100" s="9">
        <v>63.4</v>
      </c>
      <c r="J100" s="8">
        <v>7.52</v>
      </c>
      <c r="K100" s="10">
        <v>365</v>
      </c>
      <c r="L100" s="8">
        <v>5.44</v>
      </c>
      <c r="M100" s="8">
        <v>1.31</v>
      </c>
      <c r="N100" s="3">
        <v>6.85928</v>
      </c>
      <c r="O100">
        <v>8.8580000000000005</v>
      </c>
      <c r="P100">
        <v>8.8740000000000006</v>
      </c>
      <c r="Q100">
        <v>7.8170000000000002</v>
      </c>
      <c r="R100" s="12">
        <v>2.9000000000000001E-2</v>
      </c>
      <c r="S100" s="9">
        <v>2.7</v>
      </c>
      <c r="T100" s="8">
        <v>0</v>
      </c>
      <c r="U100" s="31">
        <v>44</v>
      </c>
      <c r="V100" s="8">
        <v>0.08</v>
      </c>
      <c r="W100" s="9">
        <v>24.4</v>
      </c>
      <c r="X100" s="31">
        <v>38</v>
      </c>
      <c r="Y100" s="5">
        <v>0.20530000000000001</v>
      </c>
      <c r="Z100" s="5">
        <v>1.4149999999999999E-2</v>
      </c>
      <c r="AA100" s="5">
        <v>3.0699999999999998E-2</v>
      </c>
      <c r="AB100" s="2">
        <v>32.589950000000002</v>
      </c>
      <c r="AC100" s="5">
        <v>0.14984999999999998</v>
      </c>
      <c r="AD100" s="2">
        <v>4.2641</v>
      </c>
      <c r="AE100" s="2">
        <v>7.2899499999999993</v>
      </c>
      <c r="AF100" s="5">
        <v>3.5900000000000001E-2</v>
      </c>
      <c r="AG100" s="2">
        <v>6.6196000000000002</v>
      </c>
      <c r="AH100">
        <v>7.9500000000000005E-3</v>
      </c>
      <c r="AI100">
        <v>2.555E-2</v>
      </c>
      <c r="AJ100" s="2">
        <v>5.1035000000000004</v>
      </c>
      <c r="AK100" s="2">
        <f>(0.076-0.0158)/0.0031</f>
        <v>19.419354838709676</v>
      </c>
      <c r="AL100" s="5">
        <v>2.7987000000000002</v>
      </c>
      <c r="AM100" s="5">
        <v>0.20924000000000001</v>
      </c>
      <c r="AN100" s="5">
        <v>0.15304000000000001</v>
      </c>
      <c r="AO100" s="5">
        <v>4.2384999999999999E-2</v>
      </c>
      <c r="AP100" s="5">
        <v>1.8558000000000002E-2</v>
      </c>
      <c r="AQ100" s="5">
        <v>1.0574999999999999E-2</v>
      </c>
      <c r="AR100" s="5">
        <v>9.2157999999999997E-3</v>
      </c>
      <c r="AS100" s="5">
        <v>7.3581000000000002E-3</v>
      </c>
      <c r="AT100" s="5">
        <v>6.5469999999999999E-3</v>
      </c>
      <c r="AU100" s="5">
        <v>6.2385000000000001E-3</v>
      </c>
      <c r="AV100" s="5">
        <v>6.0096000000000004E-3</v>
      </c>
      <c r="AW100" s="5">
        <v>5.6238E-3</v>
      </c>
      <c r="AX100" s="2">
        <f t="shared" si="1"/>
        <v>2.3578994816317329</v>
      </c>
      <c r="AY100" s="5">
        <v>2.8479999999999999</v>
      </c>
      <c r="AZ100" s="5">
        <v>0.24840999999999999</v>
      </c>
      <c r="BA100" s="5">
        <v>0.18654000000000001</v>
      </c>
      <c r="BB100" s="5">
        <v>6.0732000000000001E-2</v>
      </c>
      <c r="BC100" s="5">
        <v>3.0268E-2</v>
      </c>
      <c r="BD100" s="5">
        <v>1.8572999999999999E-2</v>
      </c>
      <c r="BE100" s="5">
        <v>1.5831000000000001E-2</v>
      </c>
      <c r="BF100" s="5">
        <v>1.2853E-2</v>
      </c>
      <c r="BG100" s="5">
        <v>1.0992E-2</v>
      </c>
      <c r="BH100" s="5">
        <v>1.0448000000000001E-2</v>
      </c>
      <c r="BI100" s="5">
        <v>9.9044000000000007E-3</v>
      </c>
      <c r="BJ100" s="5">
        <v>8.9692999999999995E-3</v>
      </c>
    </row>
    <row r="101" spans="1:67">
      <c r="A101" t="s">
        <v>62</v>
      </c>
      <c r="B101" s="54">
        <v>45391</v>
      </c>
      <c r="C101" s="123">
        <v>25</v>
      </c>
      <c r="D101" s="64">
        <v>3.2208863970111912</v>
      </c>
      <c r="E101" s="74"/>
      <c r="F101" s="125">
        <v>8.6184157765914787E-2</v>
      </c>
      <c r="G101" s="10">
        <v>7.38</v>
      </c>
      <c r="H101" s="9">
        <v>185.3</v>
      </c>
      <c r="I101" s="9">
        <v>52.1</v>
      </c>
      <c r="J101" s="8">
        <v>6.19</v>
      </c>
      <c r="K101" s="10">
        <v>367</v>
      </c>
      <c r="L101" s="8">
        <v>5.37</v>
      </c>
      <c r="M101" s="8">
        <v>1.32</v>
      </c>
      <c r="N101" s="3">
        <v>10.875216</v>
      </c>
      <c r="O101">
        <v>9.4480000000000004</v>
      </c>
      <c r="P101">
        <v>8.8140000000000001</v>
      </c>
      <c r="Q101">
        <v>7.6269999999999998</v>
      </c>
      <c r="R101" s="12">
        <v>0.06</v>
      </c>
      <c r="S101" s="9">
        <v>2.7</v>
      </c>
      <c r="T101" s="8">
        <v>0</v>
      </c>
      <c r="U101" s="31">
        <v>45</v>
      </c>
      <c r="V101" s="8">
        <v>0.05</v>
      </c>
      <c r="W101" s="9">
        <v>24</v>
      </c>
      <c r="X101" s="31">
        <v>35</v>
      </c>
      <c r="Y101" s="5">
        <v>0.21279999999999999</v>
      </c>
      <c r="Z101" s="5">
        <v>1.61E-2</v>
      </c>
      <c r="AA101" s="5">
        <v>3.1949999999999999E-2</v>
      </c>
      <c r="AB101" s="2">
        <v>33.4011</v>
      </c>
      <c r="AC101" s="5">
        <v>0.15035000000000001</v>
      </c>
      <c r="AD101" s="2">
        <v>4.3514999999999997</v>
      </c>
      <c r="AE101" s="2">
        <v>7.5013000000000005</v>
      </c>
      <c r="AF101" s="5">
        <v>8.9499999999999996E-2</v>
      </c>
      <c r="AG101" s="2">
        <v>6.7547999999999995</v>
      </c>
      <c r="AH101">
        <v>7.5500000000000003E-3</v>
      </c>
      <c r="AI101">
        <v>4.2200000000000001E-2</v>
      </c>
      <c r="AJ101" s="2">
        <v>5.2315000000000005</v>
      </c>
      <c r="AK101" s="2">
        <f>(0.443-0.0158)/0.0031</f>
        <v>137.80645161290323</v>
      </c>
      <c r="AL101" s="5">
        <v>2.7612999999999999</v>
      </c>
      <c r="AM101" s="5">
        <v>0.20307</v>
      </c>
      <c r="AN101" s="5">
        <v>0.14832000000000001</v>
      </c>
      <c r="AO101" s="5">
        <v>4.0774999999999999E-2</v>
      </c>
      <c r="AP101" s="5">
        <v>1.7915E-2</v>
      </c>
      <c r="AQ101" s="5">
        <v>1.0694E-2</v>
      </c>
      <c r="AR101" s="5">
        <v>9.4938000000000002E-3</v>
      </c>
      <c r="AS101" s="5">
        <v>7.6952000000000001E-3</v>
      </c>
      <c r="AT101" s="5">
        <v>6.8626E-3</v>
      </c>
      <c r="AU101" s="5">
        <v>6.6141999999999998E-3</v>
      </c>
      <c r="AV101" s="5">
        <v>6.4406000000000003E-3</v>
      </c>
      <c r="AW101" s="5">
        <v>6.1120999999999997E-3</v>
      </c>
      <c r="AX101" s="2">
        <f t="shared" si="1"/>
        <v>2.3039482641252551</v>
      </c>
      <c r="AY101" s="5">
        <v>2.8698000000000001</v>
      </c>
      <c r="AZ101" s="5">
        <v>0.27249000000000001</v>
      </c>
      <c r="BA101" s="5">
        <v>0.20993000000000001</v>
      </c>
      <c r="BB101" s="5">
        <v>8.0990000000000006E-2</v>
      </c>
      <c r="BC101" s="5">
        <v>4.8474000000000003E-2</v>
      </c>
      <c r="BD101" s="5">
        <v>3.4182999999999998E-2</v>
      </c>
      <c r="BE101" s="5">
        <v>3.005E-2</v>
      </c>
      <c r="BF101" s="5">
        <v>2.5121999999999998E-2</v>
      </c>
      <c r="BG101" s="5">
        <v>2.1930000000000002E-2</v>
      </c>
      <c r="BH101" s="5">
        <v>2.0951000000000001E-2</v>
      </c>
      <c r="BI101" s="5">
        <v>2.0056000000000001E-2</v>
      </c>
      <c r="BJ101" s="5">
        <v>1.7954999999999999E-2</v>
      </c>
      <c r="BK101" s="10"/>
      <c r="BL101" s="10"/>
      <c r="BM101" s="10"/>
      <c r="BN101" s="10"/>
      <c r="BO101" s="10"/>
    </row>
    <row r="102" spans="1:67">
      <c r="A102" t="s">
        <v>62</v>
      </c>
      <c r="B102" s="54">
        <v>45391</v>
      </c>
      <c r="C102" s="123">
        <v>30</v>
      </c>
      <c r="D102" s="64">
        <v>3.4336499496043045</v>
      </c>
      <c r="E102" s="74"/>
      <c r="F102" s="125">
        <v>9.6594991068237296E-2</v>
      </c>
      <c r="G102" s="10">
        <v>7.29</v>
      </c>
      <c r="H102" s="9">
        <v>183.1</v>
      </c>
      <c r="I102" s="9">
        <v>36.9</v>
      </c>
      <c r="J102" s="8">
        <v>4.3899999999999997</v>
      </c>
      <c r="K102" s="10">
        <v>370</v>
      </c>
      <c r="L102" s="8">
        <v>5.36</v>
      </c>
      <c r="M102" s="8">
        <v>1.4</v>
      </c>
      <c r="N102" s="3">
        <v>8.4917119999999979</v>
      </c>
      <c r="O102">
        <v>9.3360000000000003</v>
      </c>
      <c r="P102">
        <v>8.5280000000000005</v>
      </c>
      <c r="Q102">
        <v>7.2789999999999999</v>
      </c>
      <c r="R102" s="12">
        <v>0.108</v>
      </c>
      <c r="S102" s="9">
        <v>2.5</v>
      </c>
      <c r="T102" s="8">
        <v>0</v>
      </c>
      <c r="U102" s="31">
        <v>45</v>
      </c>
      <c r="V102" s="8">
        <v>0.08</v>
      </c>
      <c r="W102" s="9">
        <v>23.6</v>
      </c>
      <c r="X102" s="31">
        <v>34</v>
      </c>
      <c r="Y102" s="5">
        <v>0.20394999999999999</v>
      </c>
      <c r="Z102" s="5">
        <v>1.4999999999999999E-2</v>
      </c>
      <c r="AA102" s="5">
        <v>3.4200000000000001E-2</v>
      </c>
      <c r="AB102" s="2">
        <v>34.075400000000002</v>
      </c>
      <c r="AC102" s="5">
        <v>0.16610000000000003</v>
      </c>
      <c r="AD102" s="2">
        <v>4.3573000000000004</v>
      </c>
      <c r="AE102" s="2">
        <v>7.5144000000000002</v>
      </c>
      <c r="AF102" s="5">
        <v>0.26069999999999999</v>
      </c>
      <c r="AG102" s="2">
        <v>6.6913499999999999</v>
      </c>
      <c r="AH102">
        <v>8.0000000000000002E-3</v>
      </c>
      <c r="AI102">
        <v>5.2350000000000001E-2</v>
      </c>
      <c r="AJ102" s="2">
        <v>5.3345000000000002</v>
      </c>
      <c r="AK102" s="2">
        <f>(0.186-0.0158)/0.0031</f>
        <v>54.903225806451609</v>
      </c>
      <c r="AL102" s="5">
        <v>2.7471999999999999</v>
      </c>
      <c r="AM102" s="5">
        <v>0.19892000000000001</v>
      </c>
      <c r="AN102" s="5">
        <v>0.1449</v>
      </c>
      <c r="AO102" s="5">
        <v>3.9759999999999997E-2</v>
      </c>
      <c r="AP102" s="5">
        <v>1.7568E-2</v>
      </c>
      <c r="AQ102" s="5">
        <v>1.0631E-2</v>
      </c>
      <c r="AR102" s="5">
        <v>9.3440999999999993E-3</v>
      </c>
      <c r="AS102" s="5">
        <v>7.7752999999999997E-3</v>
      </c>
      <c r="AT102" s="5">
        <v>6.9737000000000002E-3</v>
      </c>
      <c r="AU102" s="5">
        <v>6.7849E-3</v>
      </c>
      <c r="AV102" s="5">
        <v>6.5516999999999997E-3</v>
      </c>
      <c r="AW102" s="5">
        <v>6.2903999999999998E-3</v>
      </c>
      <c r="AX102" s="2">
        <f t="shared" si="1"/>
        <v>2.3325515947467168</v>
      </c>
      <c r="AY102" s="5">
        <v>2.8329</v>
      </c>
      <c r="AZ102" s="5">
        <v>0.26779999999999998</v>
      </c>
      <c r="BA102" s="5">
        <v>0.20524000000000001</v>
      </c>
      <c r="BB102" s="5">
        <v>7.6513999999999999E-2</v>
      </c>
      <c r="BC102" s="5">
        <v>4.3512000000000002E-2</v>
      </c>
      <c r="BD102" s="5">
        <v>3.0119E-2</v>
      </c>
      <c r="BE102" s="5">
        <v>2.6280000000000001E-2</v>
      </c>
      <c r="BF102" s="5">
        <v>2.1807E-2</v>
      </c>
      <c r="BG102" s="5">
        <v>1.9151000000000001E-2</v>
      </c>
      <c r="BH102" s="5">
        <v>1.8339000000000001E-2</v>
      </c>
      <c r="BI102" s="5">
        <v>1.7474E-2</v>
      </c>
      <c r="BJ102" s="5">
        <v>1.5786999999999999E-2</v>
      </c>
      <c r="BK102" s="10"/>
      <c r="BL102" s="10"/>
      <c r="BM102" s="10"/>
      <c r="BN102" s="10"/>
      <c r="BO102" s="10"/>
    </row>
    <row r="103" spans="1:67">
      <c r="A103" t="s">
        <v>62</v>
      </c>
      <c r="B103" s="54">
        <v>45426</v>
      </c>
      <c r="C103" s="123">
        <v>0</v>
      </c>
      <c r="D103" s="64">
        <v>0.12678609742178323</v>
      </c>
      <c r="E103" s="65">
        <v>0.28522724830470819</v>
      </c>
      <c r="F103" s="128">
        <v>6.8449385499191814E-2</v>
      </c>
      <c r="G103" s="8">
        <v>8.66</v>
      </c>
      <c r="H103" s="9">
        <v>81.900000000000006</v>
      </c>
      <c r="I103" s="9">
        <v>104.1</v>
      </c>
      <c r="J103" s="9">
        <v>9.11</v>
      </c>
      <c r="K103" s="9">
        <v>379</v>
      </c>
      <c r="L103" s="9">
        <v>18.95</v>
      </c>
      <c r="M103" s="8">
        <v>1.48</v>
      </c>
      <c r="N103" s="22">
        <v>10.01</v>
      </c>
      <c r="O103">
        <v>9.3930000000000007</v>
      </c>
      <c r="P103">
        <v>9.39</v>
      </c>
      <c r="Q103">
        <v>7.0380000000000003</v>
      </c>
      <c r="R103" s="12">
        <v>3.9E-2</v>
      </c>
      <c r="S103" s="9">
        <v>3</v>
      </c>
      <c r="T103" s="8">
        <v>0.04</v>
      </c>
      <c r="U103" s="31">
        <v>49</v>
      </c>
      <c r="V103" s="8">
        <v>0.05</v>
      </c>
      <c r="W103" s="9">
        <v>28.8</v>
      </c>
      <c r="X103" s="31">
        <v>12</v>
      </c>
      <c r="Y103" s="5">
        <v>6.5799999999999997E-2</v>
      </c>
      <c r="Z103" s="5">
        <v>1.225E-2</v>
      </c>
      <c r="AA103" s="5">
        <v>3.1699999999999999E-2</v>
      </c>
      <c r="AB103" s="2">
        <v>32.405999999999999</v>
      </c>
      <c r="AC103" s="5">
        <v>3.0800000000000001E-2</v>
      </c>
      <c r="AD103" s="2">
        <v>4.3742000000000001</v>
      </c>
      <c r="AE103" s="2">
        <v>7.9229000000000003</v>
      </c>
      <c r="AF103" s="5">
        <v>1.9499999999999999E-3</v>
      </c>
      <c r="AG103" s="2">
        <v>8.4559500000000014</v>
      </c>
      <c r="AH103">
        <v>0</v>
      </c>
      <c r="AI103">
        <v>1.1299999999999999E-2</v>
      </c>
      <c r="AJ103" s="2">
        <v>0.13250000000000001</v>
      </c>
      <c r="AK103" s="2">
        <f>(0.048-0.0158)/0.0031</f>
        <v>10.387096774193548</v>
      </c>
      <c r="AL103" s="5">
        <v>2.7139000000000002</v>
      </c>
      <c r="AM103" s="5">
        <v>0.15819</v>
      </c>
      <c r="AN103" s="5">
        <v>0.11154</v>
      </c>
      <c r="AO103" s="5">
        <v>2.1405E-2</v>
      </c>
      <c r="AP103" s="5">
        <v>6.5179000000000001E-3</v>
      </c>
      <c r="AQ103" s="5">
        <v>2.6832000000000002E-3</v>
      </c>
      <c r="AR103" s="5">
        <v>2.0728000000000001E-3</v>
      </c>
      <c r="AS103" s="5">
        <v>1.2431E-3</v>
      </c>
      <c r="AT103" s="5">
        <v>1.0142E-3</v>
      </c>
      <c r="AU103" s="5">
        <v>9.2935999999999995E-4</v>
      </c>
      <c r="AV103" s="5">
        <v>9.1266999999999997E-4</v>
      </c>
      <c r="AW103" s="5">
        <v>8.8166999999999998E-4</v>
      </c>
      <c r="AX103" s="2">
        <f t="shared" si="1"/>
        <v>1.6846645367412139</v>
      </c>
      <c r="AY103" s="5">
        <v>2.7555999999999998</v>
      </c>
      <c r="AZ103" s="5">
        <v>0.18024999999999999</v>
      </c>
      <c r="BA103" s="5">
        <v>0.13174</v>
      </c>
      <c r="BB103" s="5">
        <v>3.7762999999999998E-2</v>
      </c>
      <c r="BC103" s="5">
        <v>2.1221E-2</v>
      </c>
      <c r="BD103" s="5">
        <v>1.4279999999999999E-2</v>
      </c>
      <c r="BE103" s="5">
        <v>2.7555999999999998</v>
      </c>
      <c r="BF103" s="5">
        <v>0.18024999999999999</v>
      </c>
      <c r="BG103" s="5">
        <v>0.13174</v>
      </c>
      <c r="BH103" s="5">
        <v>3.7762999999999998E-2</v>
      </c>
      <c r="BI103" s="5">
        <v>2.1221E-2</v>
      </c>
      <c r="BJ103" s="5">
        <v>1.4279999999999999E-2</v>
      </c>
    </row>
    <row r="104" spans="1:67">
      <c r="A104" t="s">
        <v>62</v>
      </c>
      <c r="B104" s="54">
        <v>45426</v>
      </c>
      <c r="C104" s="123">
        <v>2.5</v>
      </c>
      <c r="D104" s="64">
        <v>0.12277755714898916</v>
      </c>
      <c r="E104" s="65">
        <v>0.290511411230015</v>
      </c>
      <c r="F104" s="128">
        <v>6.2672637926900282E-2</v>
      </c>
      <c r="G104" s="8">
        <v>8.8699999999999992</v>
      </c>
      <c r="H104" s="2">
        <v>82.9</v>
      </c>
      <c r="I104">
        <v>115.2</v>
      </c>
      <c r="J104">
        <v>10.45</v>
      </c>
      <c r="K104">
        <v>375</v>
      </c>
      <c r="L104" s="8">
        <v>17.25</v>
      </c>
      <c r="M104" s="8">
        <v>1.43</v>
      </c>
      <c r="N104" s="22">
        <v>10.55</v>
      </c>
      <c r="O104">
        <v>9.3360000000000003</v>
      </c>
      <c r="P104">
        <v>9.0069999999999997</v>
      </c>
      <c r="Q104">
        <v>7.1280000000000001</v>
      </c>
      <c r="R104" s="12">
        <v>3.7999999999999999E-2</v>
      </c>
      <c r="S104" s="9">
        <v>3.2</v>
      </c>
      <c r="T104" s="8">
        <v>0.04</v>
      </c>
      <c r="U104" s="31">
        <v>49</v>
      </c>
      <c r="V104" s="8">
        <v>0.04</v>
      </c>
      <c r="W104" s="9">
        <v>27.6</v>
      </c>
      <c r="X104" s="31">
        <v>12</v>
      </c>
      <c r="Y104" s="5">
        <v>4.5100000000000001E-2</v>
      </c>
      <c r="Z104" s="5">
        <v>1.235E-2</v>
      </c>
      <c r="AA104" s="5">
        <v>3.2300000000000002E-2</v>
      </c>
      <c r="AB104" s="2">
        <v>32.355450000000005</v>
      </c>
      <c r="AC104" s="5">
        <v>3.0550000000000001E-2</v>
      </c>
      <c r="AD104" s="2">
        <v>4.1899999999999995</v>
      </c>
      <c r="AE104" s="2">
        <v>8.0920000000000005</v>
      </c>
      <c r="AF104" s="5">
        <v>1.7000000000000001E-3</v>
      </c>
      <c r="AG104" s="2">
        <v>8.4333500000000008</v>
      </c>
      <c r="AH104">
        <v>0</v>
      </c>
      <c r="AI104">
        <v>3.15E-3</v>
      </c>
      <c r="AJ104" s="2">
        <v>0.13150000000000001</v>
      </c>
      <c r="AK104" s="2">
        <f>(0.06-0.0158)/0.0031</f>
        <v>14.258064516129032</v>
      </c>
      <c r="AL104" s="5">
        <v>2.7252999999999998</v>
      </c>
      <c r="AM104" s="5">
        <v>0.16197</v>
      </c>
      <c r="AN104" s="5">
        <v>0.11466</v>
      </c>
      <c r="AO104" s="5">
        <v>2.3746E-2</v>
      </c>
      <c r="AP104" s="5">
        <v>8.2512000000000002E-3</v>
      </c>
      <c r="AQ104" s="5">
        <v>3.0141E-3</v>
      </c>
      <c r="AR104" s="5">
        <v>2.2783E-3</v>
      </c>
      <c r="AS104" s="5">
        <v>1.5353999999999999E-3</v>
      </c>
      <c r="AT104" s="5">
        <v>9.6845999999999998E-4</v>
      </c>
      <c r="AU104" s="5">
        <v>9.1887000000000002E-4</v>
      </c>
      <c r="AV104" s="5">
        <v>9.2316000000000002E-4</v>
      </c>
      <c r="AW104" s="5">
        <v>7.6818000000000003E-4</v>
      </c>
      <c r="AX104" s="2">
        <f t="shared" si="1"/>
        <v>1.7982680137670701</v>
      </c>
      <c r="AY104" s="5">
        <v>2.7448999999999999</v>
      </c>
      <c r="AZ104" s="5">
        <v>0.18815000000000001</v>
      </c>
      <c r="BA104" s="5">
        <v>0.13858999999999999</v>
      </c>
      <c r="BB104" s="5">
        <v>4.1979000000000002E-2</v>
      </c>
      <c r="BC104" s="5">
        <v>2.4124E-2</v>
      </c>
      <c r="BD104" s="5">
        <v>1.61E-2</v>
      </c>
      <c r="BE104" s="5">
        <v>2.7448999999999999</v>
      </c>
      <c r="BF104" s="5">
        <v>0.18815000000000001</v>
      </c>
      <c r="BG104" s="5">
        <v>0.13858999999999999</v>
      </c>
      <c r="BH104" s="5">
        <v>4.1979000000000002E-2</v>
      </c>
      <c r="BI104" s="5">
        <v>2.4124E-2</v>
      </c>
      <c r="BJ104" s="5">
        <v>1.61E-2</v>
      </c>
    </row>
    <row r="105" spans="1:67">
      <c r="A105" t="s">
        <v>62</v>
      </c>
      <c r="B105" s="54">
        <v>45426</v>
      </c>
      <c r="C105" s="123">
        <v>5</v>
      </c>
      <c r="D105" s="64">
        <v>0.44199337207074341</v>
      </c>
      <c r="E105" s="65">
        <v>0.32245968942011105</v>
      </c>
      <c r="F105" s="127">
        <v>7.2375218380670514E-2</v>
      </c>
      <c r="G105" s="8">
        <v>7.99</v>
      </c>
      <c r="H105" s="2">
        <v>126</v>
      </c>
      <c r="I105">
        <v>86.3</v>
      </c>
      <c r="J105">
        <v>8.7799999999999994</v>
      </c>
      <c r="K105" s="10">
        <v>375</v>
      </c>
      <c r="L105" s="8">
        <v>12</v>
      </c>
      <c r="M105" s="8">
        <v>1.38</v>
      </c>
      <c r="N105" s="22">
        <v>10.47</v>
      </c>
      <c r="O105">
        <v>9.2650000000000006</v>
      </c>
      <c r="P105">
        <v>8.8339999999999996</v>
      </c>
      <c r="Q105">
        <v>7.3129999999999997</v>
      </c>
      <c r="R105" s="12">
        <v>3.5000000000000003E-2</v>
      </c>
      <c r="S105" s="9">
        <v>3.4</v>
      </c>
      <c r="T105" s="8">
        <v>0.02</v>
      </c>
      <c r="U105" s="31">
        <v>49</v>
      </c>
      <c r="V105" s="8">
        <v>0.05</v>
      </c>
      <c r="W105" s="9">
        <v>28.6</v>
      </c>
      <c r="X105" s="31">
        <v>11</v>
      </c>
      <c r="Y105" s="5">
        <v>5.7300000000000004E-2</v>
      </c>
      <c r="Z105" s="5">
        <v>9.3500000000000007E-3</v>
      </c>
      <c r="AA105" s="5">
        <v>3.2500000000000001E-2</v>
      </c>
      <c r="AB105" s="2">
        <v>32.822049999999997</v>
      </c>
      <c r="AC105" s="5">
        <v>2.9850000000000002E-2</v>
      </c>
      <c r="AD105" s="2">
        <v>4.3931000000000004</v>
      </c>
      <c r="AE105" s="2">
        <v>8.0415500000000009</v>
      </c>
      <c r="AF105" s="5">
        <v>1.4E-3</v>
      </c>
      <c r="AG105" s="2">
        <v>8.4372000000000007</v>
      </c>
      <c r="AH105">
        <v>0</v>
      </c>
      <c r="AI105">
        <v>5.0499999999999998E-3</v>
      </c>
      <c r="AJ105" s="2">
        <v>0.66149999999999998</v>
      </c>
      <c r="AK105" s="2">
        <f>(0.068-0.0158)/0.0031</f>
        <v>16.838709677419356</v>
      </c>
      <c r="AL105" s="5">
        <v>2.7519</v>
      </c>
      <c r="AM105" s="5">
        <v>0.16639999999999999</v>
      </c>
      <c r="AN105" s="5">
        <v>0.11874999999999999</v>
      </c>
      <c r="AO105" s="5">
        <v>2.5975000000000002E-2</v>
      </c>
      <c r="AP105" s="5">
        <v>9.3469999999999994E-3</v>
      </c>
      <c r="AQ105" s="5">
        <v>3.6630999999999999E-3</v>
      </c>
      <c r="AR105" s="5">
        <v>2.6654999999999999E-3</v>
      </c>
      <c r="AS105" s="5">
        <v>1.8052999999999999E-3</v>
      </c>
      <c r="AT105" s="5">
        <v>1.3833000000000001E-3</v>
      </c>
      <c r="AU105" s="5">
        <v>1.2274E-3</v>
      </c>
      <c r="AV105" s="5">
        <v>1.224E-3</v>
      </c>
      <c r="AW105" s="5">
        <v>1.0586E-3</v>
      </c>
      <c r="AX105" s="2">
        <f t="shared" si="1"/>
        <v>1.8836314240434686</v>
      </c>
      <c r="AY105" s="5">
        <v>2.7734999999999999</v>
      </c>
      <c r="AZ105" s="5">
        <v>0.19796</v>
      </c>
      <c r="BA105" s="5">
        <v>0.14781</v>
      </c>
      <c r="BB105" s="5">
        <v>4.8243000000000001E-2</v>
      </c>
      <c r="BC105" s="5">
        <v>2.8437E-2</v>
      </c>
      <c r="BD105" s="5">
        <v>1.9480000000000001E-2</v>
      </c>
      <c r="BE105" s="5">
        <v>2.7734999999999999</v>
      </c>
      <c r="BF105" s="5">
        <v>0.19796</v>
      </c>
      <c r="BG105" s="5">
        <v>0.14781</v>
      </c>
      <c r="BH105" s="5">
        <v>4.8243000000000001E-2</v>
      </c>
      <c r="BI105" s="5">
        <v>2.8437E-2</v>
      </c>
      <c r="BJ105" s="5">
        <v>1.9480000000000001E-2</v>
      </c>
    </row>
    <row r="106" spans="1:67">
      <c r="A106" t="s">
        <v>62</v>
      </c>
      <c r="B106" s="54">
        <v>45426</v>
      </c>
      <c r="C106" s="123">
        <v>7.5</v>
      </c>
      <c r="D106" s="64">
        <v>1.6688318826565895</v>
      </c>
      <c r="E106" s="65">
        <v>0.26437296013667916</v>
      </c>
      <c r="F106" s="127">
        <v>7.2453635882080272E-2</v>
      </c>
      <c r="G106" s="8">
        <v>7.66</v>
      </c>
      <c r="H106" s="2">
        <v>137.5</v>
      </c>
      <c r="I106">
        <v>57</v>
      </c>
      <c r="J106" s="8">
        <v>6.03</v>
      </c>
      <c r="K106" s="10">
        <v>373</v>
      </c>
      <c r="L106" s="8">
        <v>10.39</v>
      </c>
      <c r="M106" s="8">
        <v>1.42</v>
      </c>
      <c r="N106" s="22">
        <v>9.23</v>
      </c>
      <c r="O106">
        <v>8.7509999999999994</v>
      </c>
      <c r="P106">
        <v>8.4359999999999999</v>
      </c>
      <c r="Q106">
        <v>7.5380000000000003</v>
      </c>
      <c r="R106" s="12">
        <v>4.3999999999999997E-2</v>
      </c>
      <c r="S106" s="9">
        <v>3.3</v>
      </c>
      <c r="T106" s="8">
        <v>0.13</v>
      </c>
      <c r="U106" s="31">
        <v>49</v>
      </c>
      <c r="V106" s="8">
        <v>0.04</v>
      </c>
      <c r="W106" s="9">
        <v>12.4</v>
      </c>
      <c r="X106" s="31">
        <v>9</v>
      </c>
      <c r="Y106" s="5">
        <v>1.8599999999999998E-2</v>
      </c>
      <c r="Z106" s="5">
        <v>9.1500000000000001E-3</v>
      </c>
      <c r="AA106" s="5">
        <v>3.3450000000000001E-2</v>
      </c>
      <c r="AB106" s="2">
        <v>32.730199999999996</v>
      </c>
      <c r="AC106" s="5">
        <v>1.485E-2</v>
      </c>
      <c r="AD106" s="2">
        <v>4.2386999999999997</v>
      </c>
      <c r="AE106" s="2">
        <v>8.0564</v>
      </c>
      <c r="AF106" s="5">
        <v>2.65E-3</v>
      </c>
      <c r="AG106" s="2">
        <v>8.4471500000000006</v>
      </c>
      <c r="AH106">
        <v>0</v>
      </c>
      <c r="AI106">
        <v>4.8500000000000001E-3</v>
      </c>
      <c r="AJ106" s="2">
        <v>2.8860000000000001</v>
      </c>
      <c r="AK106" s="2">
        <f>(0.042-0.0158)/0.0031</f>
        <v>8.4516129032258078</v>
      </c>
      <c r="AL106" s="5">
        <v>2.7345999999999999</v>
      </c>
      <c r="AM106" s="5">
        <v>0.16614000000000001</v>
      </c>
      <c r="AN106" s="5">
        <v>0.11854000000000001</v>
      </c>
      <c r="AO106" s="5">
        <v>2.5950999999999998E-2</v>
      </c>
      <c r="AP106" s="5">
        <v>9.4003999999999997E-3</v>
      </c>
      <c r="AQ106" s="5">
        <v>3.7794E-3</v>
      </c>
      <c r="AR106" s="5">
        <v>2.9225000000000002E-3</v>
      </c>
      <c r="AS106" s="5">
        <v>2.0274999999999998E-3</v>
      </c>
      <c r="AT106" s="5">
        <v>1.6302999999999999E-3</v>
      </c>
      <c r="AU106" s="5">
        <v>1.4648E-3</v>
      </c>
      <c r="AV106" s="5">
        <v>1.4877E-3</v>
      </c>
      <c r="AW106" s="5">
        <v>1.3293999999999999E-3</v>
      </c>
      <c r="AX106" s="2">
        <f t="shared" si="1"/>
        <v>1.969416785206259</v>
      </c>
      <c r="AY106" s="5">
        <v>2.758</v>
      </c>
      <c r="AZ106" s="5">
        <v>0.18187999999999999</v>
      </c>
      <c r="BA106" s="5">
        <v>0.13328000000000001</v>
      </c>
      <c r="BB106" s="5">
        <v>3.7791999999999999E-2</v>
      </c>
      <c r="BC106" s="5">
        <v>2.0494999999999999E-2</v>
      </c>
      <c r="BD106" s="5">
        <v>1.3967E-2</v>
      </c>
      <c r="BE106" s="5">
        <v>2.758</v>
      </c>
      <c r="BF106" s="5">
        <v>0.18187999999999999</v>
      </c>
      <c r="BG106" s="5">
        <v>0.13328000000000001</v>
      </c>
      <c r="BH106" s="5">
        <v>3.7791999999999999E-2</v>
      </c>
      <c r="BI106" s="5">
        <v>2.0494999999999999E-2</v>
      </c>
      <c r="BJ106" s="5">
        <v>1.3967E-2</v>
      </c>
    </row>
    <row r="107" spans="1:67">
      <c r="A107" t="s">
        <v>62</v>
      </c>
      <c r="B107" s="54">
        <v>45426</v>
      </c>
      <c r="C107" s="123">
        <v>10</v>
      </c>
      <c r="D107" s="64">
        <v>2.6463916838770718</v>
      </c>
      <c r="E107" s="65">
        <v>0.27394314366044292</v>
      </c>
      <c r="F107" s="127">
        <v>7.3619465668857575E-2</v>
      </c>
      <c r="G107" s="8">
        <v>7.51</v>
      </c>
      <c r="H107" s="2">
        <v>143.19999999999999</v>
      </c>
      <c r="I107" s="9">
        <v>43</v>
      </c>
      <c r="J107" s="8">
        <v>4.82</v>
      </c>
      <c r="K107" s="10">
        <v>367</v>
      </c>
      <c r="L107" s="8">
        <v>7.91</v>
      </c>
      <c r="M107" s="8">
        <v>1.43</v>
      </c>
      <c r="N107" s="22">
        <v>9.85</v>
      </c>
      <c r="O107">
        <v>8.3140000000000001</v>
      </c>
      <c r="P107">
        <v>8.3160000000000007</v>
      </c>
      <c r="Q107">
        <v>7.6379999999999999</v>
      </c>
      <c r="R107" s="12">
        <v>5.6000000000000001E-2</v>
      </c>
      <c r="S107" s="9">
        <v>2.6</v>
      </c>
      <c r="T107" s="8">
        <v>0.08</v>
      </c>
      <c r="U107" s="31">
        <v>46</v>
      </c>
      <c r="V107" s="8">
        <v>0.05</v>
      </c>
      <c r="W107" s="9">
        <v>26.8</v>
      </c>
      <c r="X107" s="31">
        <v>9</v>
      </c>
      <c r="Y107" s="5">
        <v>4.3400000000000001E-2</v>
      </c>
      <c r="Z107" s="5">
        <v>1.3849999999999999E-2</v>
      </c>
      <c r="AA107" s="5">
        <v>3.4049999999999997E-2</v>
      </c>
      <c r="AB107" s="2">
        <v>32.469450000000002</v>
      </c>
      <c r="AC107" s="5">
        <v>2.1649999999999999E-2</v>
      </c>
      <c r="AD107" s="2">
        <v>4.4853500000000004</v>
      </c>
      <c r="AE107" s="2">
        <v>8.0849000000000011</v>
      </c>
      <c r="AF107" s="5">
        <v>5.8499999999999993E-3</v>
      </c>
      <c r="AG107" s="2">
        <v>8.5560000000000009</v>
      </c>
      <c r="AH107">
        <v>0</v>
      </c>
      <c r="AI107">
        <v>2.1600000000000001E-2</v>
      </c>
      <c r="AJ107" s="2">
        <v>4.4615</v>
      </c>
      <c r="AK107" s="2">
        <f>(0.033-0.0158)/0.0031</f>
        <v>5.5483870967741939</v>
      </c>
      <c r="AL107" s="5">
        <v>2.7860999999999998</v>
      </c>
      <c r="AM107" s="5">
        <v>0.1731</v>
      </c>
      <c r="AN107" s="5">
        <v>0.12378</v>
      </c>
      <c r="AO107" s="5">
        <v>2.8119000000000002E-2</v>
      </c>
      <c r="AP107" s="5">
        <v>9.9276999999999994E-3</v>
      </c>
      <c r="AQ107" s="5">
        <v>4.2075999999999997E-3</v>
      </c>
      <c r="AR107" s="5">
        <v>3.4927999999999999E-3</v>
      </c>
      <c r="AS107" s="5">
        <v>2.5449000000000001E-3</v>
      </c>
      <c r="AT107" s="5">
        <v>2.1218999999999999E-3</v>
      </c>
      <c r="AU107" s="5">
        <v>2.0046E-3</v>
      </c>
      <c r="AV107" s="5">
        <v>2.0374999999999998E-3</v>
      </c>
      <c r="AW107" s="5">
        <v>1.8549E-3</v>
      </c>
      <c r="AX107" s="2">
        <f t="shared" si="1"/>
        <v>2.0815295815295811</v>
      </c>
      <c r="AY107" s="5">
        <v>2.7764000000000002</v>
      </c>
      <c r="AZ107" s="5">
        <v>0.18744</v>
      </c>
      <c r="BA107" s="5">
        <v>0.13752</v>
      </c>
      <c r="BB107" s="5">
        <v>3.9701E-2</v>
      </c>
      <c r="BC107" s="5">
        <v>2.087E-2</v>
      </c>
      <c r="BD107" s="5">
        <v>1.4356000000000001E-2</v>
      </c>
      <c r="BE107" s="5">
        <v>2.7764000000000002</v>
      </c>
      <c r="BF107" s="5">
        <v>0.18744</v>
      </c>
      <c r="BG107" s="5">
        <v>0.13752</v>
      </c>
      <c r="BH107" s="5">
        <v>3.9701E-2</v>
      </c>
      <c r="BI107" s="5">
        <v>2.087E-2</v>
      </c>
      <c r="BJ107" s="5">
        <v>1.4356000000000001E-2</v>
      </c>
    </row>
    <row r="108" spans="1:67">
      <c r="A108" t="s">
        <v>62</v>
      </c>
      <c r="B108" s="54">
        <v>45426</v>
      </c>
      <c r="C108" s="123">
        <v>15</v>
      </c>
      <c r="D108" s="64">
        <v>2.9477989412776626</v>
      </c>
      <c r="E108" s="65">
        <v>0.27955387804342052</v>
      </c>
      <c r="F108" s="127">
        <v>7.2309050497481153E-2</v>
      </c>
      <c r="G108" s="8">
        <v>7.46</v>
      </c>
      <c r="H108" s="9">
        <v>145.4</v>
      </c>
      <c r="I108" s="9">
        <v>48.5</v>
      </c>
      <c r="J108" s="8">
        <v>5.71</v>
      </c>
      <c r="K108" s="10">
        <v>364</v>
      </c>
      <c r="L108" s="8">
        <v>6.03</v>
      </c>
      <c r="M108" s="8">
        <v>1.38</v>
      </c>
      <c r="N108" s="22">
        <v>10.119999999999999</v>
      </c>
      <c r="O108">
        <v>8.5220000000000002</v>
      </c>
      <c r="P108">
        <v>8.4039999999999999</v>
      </c>
      <c r="Q108">
        <v>7.6630000000000003</v>
      </c>
      <c r="R108" s="12">
        <v>1.2999999999999999E-2</v>
      </c>
      <c r="S108" s="9">
        <v>2.4</v>
      </c>
      <c r="T108" s="8">
        <v>7.0000000000000007E-2</v>
      </c>
      <c r="U108" s="31">
        <v>45</v>
      </c>
      <c r="V108" s="8">
        <v>7.0000000000000007E-2</v>
      </c>
      <c r="W108" s="9">
        <v>25.2</v>
      </c>
      <c r="X108" s="31">
        <v>15</v>
      </c>
      <c r="Y108" s="5">
        <v>0.16175</v>
      </c>
      <c r="Z108" s="5">
        <v>1.26E-2</v>
      </c>
      <c r="AA108" s="5">
        <v>3.1799999999999995E-2</v>
      </c>
      <c r="AB108" s="2">
        <v>31.004649999999998</v>
      </c>
      <c r="AC108" s="5">
        <v>0.1106</v>
      </c>
      <c r="AD108" s="2">
        <v>4.2582500000000003</v>
      </c>
      <c r="AE108" s="2">
        <v>7.6151</v>
      </c>
      <c r="AF108" s="5">
        <v>4.8999999999999998E-3</v>
      </c>
      <c r="AG108" s="2">
        <v>8.1538500000000003</v>
      </c>
      <c r="AH108">
        <v>4.7499999999999999E-3</v>
      </c>
      <c r="AI108">
        <v>1.2699999999999999E-2</v>
      </c>
      <c r="AJ108" s="2">
        <v>5.0720000000000001</v>
      </c>
      <c r="AK108" s="2">
        <f>(0.048-0.0158)/0.0031</f>
        <v>10.387096774193548</v>
      </c>
      <c r="AL108" s="5">
        <v>2.8170999999999999</v>
      </c>
      <c r="AM108" s="5">
        <v>0.19197</v>
      </c>
      <c r="AN108" s="5">
        <v>0.13835</v>
      </c>
      <c r="AO108" s="5">
        <v>3.3562000000000002E-2</v>
      </c>
      <c r="AP108" s="5">
        <v>1.1979999999999999E-2</v>
      </c>
      <c r="AQ108" s="5">
        <v>5.4006999999999996E-3</v>
      </c>
      <c r="AR108" s="5">
        <v>4.1285000000000002E-3</v>
      </c>
      <c r="AS108" s="5">
        <v>3.0211999999999999E-3</v>
      </c>
      <c r="AT108" s="5">
        <v>2.5148000000000002E-3</v>
      </c>
      <c r="AU108" s="5">
        <v>2.3322E-3</v>
      </c>
      <c r="AV108" s="5">
        <v>2.3641999999999999E-3</v>
      </c>
      <c r="AW108" s="5">
        <v>2.0985999999999999E-3</v>
      </c>
      <c r="AX108" s="2">
        <f t="shared" si="1"/>
        <v>2.2842693955259401</v>
      </c>
      <c r="AY108" s="5">
        <v>2.7854999999999999</v>
      </c>
      <c r="AZ108" s="5">
        <v>0.21429999999999999</v>
      </c>
      <c r="BA108" s="5">
        <v>0.15812000000000001</v>
      </c>
      <c r="BB108" s="5">
        <v>4.5781000000000002E-2</v>
      </c>
      <c r="BC108" s="5">
        <v>2.0642000000000001E-2</v>
      </c>
      <c r="BD108" s="5">
        <v>1.0851E-2</v>
      </c>
      <c r="BE108" s="5">
        <v>2.7854999999999999</v>
      </c>
      <c r="BF108" s="5">
        <v>0.21429999999999999</v>
      </c>
      <c r="BG108" s="5">
        <v>0.15812000000000001</v>
      </c>
      <c r="BH108" s="5">
        <v>4.5781000000000002E-2</v>
      </c>
      <c r="BI108" s="5">
        <v>2.0642000000000001E-2</v>
      </c>
      <c r="BJ108" s="5">
        <v>1.0851E-2</v>
      </c>
    </row>
    <row r="109" spans="1:67">
      <c r="A109" t="s">
        <v>62</v>
      </c>
      <c r="B109" s="54">
        <v>45426</v>
      </c>
      <c r="C109" s="123">
        <v>20</v>
      </c>
      <c r="D109" s="64">
        <v>3.1145735952181219</v>
      </c>
      <c r="E109" s="65">
        <v>0.29848817733455779</v>
      </c>
      <c r="F109" s="127">
        <v>7.197148871638763E-2</v>
      </c>
      <c r="G109" s="8">
        <v>7.36</v>
      </c>
      <c r="H109" s="9">
        <v>148</v>
      </c>
      <c r="I109" s="9">
        <v>33.6</v>
      </c>
      <c r="J109" s="8">
        <v>3.99</v>
      </c>
      <c r="K109" s="10">
        <v>365</v>
      </c>
      <c r="L109" s="8">
        <v>5.66</v>
      </c>
      <c r="M109" s="8">
        <v>1.32</v>
      </c>
      <c r="N109" s="22">
        <v>13.41</v>
      </c>
      <c r="O109">
        <v>8.6910000000000007</v>
      </c>
      <c r="P109">
        <v>8.6579999999999995</v>
      </c>
      <c r="Q109">
        <v>7.5670000000000002</v>
      </c>
      <c r="R109" s="12">
        <v>1.4999999999999999E-2</v>
      </c>
      <c r="S109" s="9">
        <v>3.1</v>
      </c>
      <c r="T109" s="8">
        <v>0.02</v>
      </c>
      <c r="U109" s="31">
        <v>46</v>
      </c>
      <c r="V109" s="8">
        <v>7.0000000000000007E-2</v>
      </c>
      <c r="W109" s="9">
        <v>27.8</v>
      </c>
      <c r="X109" s="31">
        <v>15</v>
      </c>
      <c r="Y109" s="5">
        <v>0.1361</v>
      </c>
      <c r="Z109" s="5">
        <v>1.17E-2</v>
      </c>
      <c r="AA109" s="5">
        <v>3.2100000000000004E-2</v>
      </c>
      <c r="AB109" s="2">
        <v>31.574249999999999</v>
      </c>
      <c r="AC109" s="5">
        <v>0.10250000000000001</v>
      </c>
      <c r="AD109" s="2">
        <v>4.54575</v>
      </c>
      <c r="AE109" s="2">
        <v>7.7425499999999996</v>
      </c>
      <c r="AF109" s="5">
        <v>3.65E-3</v>
      </c>
      <c r="AG109" s="2">
        <v>8.3127499999999994</v>
      </c>
      <c r="AH109">
        <v>4.3499999999999997E-3</v>
      </c>
      <c r="AI109">
        <v>5.7000000000000002E-3</v>
      </c>
      <c r="AJ109" s="2">
        <v>5.1074999999999999</v>
      </c>
      <c r="AK109" s="2">
        <f>(0.049-0.0158)/0.0031</f>
        <v>10.70967741935484</v>
      </c>
      <c r="AL109" s="5">
        <v>2.794</v>
      </c>
      <c r="AM109" s="5">
        <v>0.19438</v>
      </c>
      <c r="AN109" s="5">
        <v>0.14026</v>
      </c>
      <c r="AO109" s="5">
        <v>3.4262000000000001E-2</v>
      </c>
      <c r="AP109" s="5">
        <v>1.2799E-2</v>
      </c>
      <c r="AQ109" s="5">
        <v>6.0162999999999996E-3</v>
      </c>
      <c r="AR109" s="5">
        <v>4.8246000000000001E-3</v>
      </c>
      <c r="AS109" s="5">
        <v>3.8481000000000001E-3</v>
      </c>
      <c r="AT109" s="5">
        <v>3.1981000000000002E-3</v>
      </c>
      <c r="AU109" s="5">
        <v>3.0712999999999999E-3</v>
      </c>
      <c r="AV109" s="5">
        <v>2.9702000000000001E-3</v>
      </c>
      <c r="AW109" s="5">
        <v>2.8467000000000002E-3</v>
      </c>
      <c r="AX109" s="2">
        <f t="shared" si="1"/>
        <v>2.245091245091245</v>
      </c>
      <c r="AY109" s="5">
        <v>2.8163999999999998</v>
      </c>
      <c r="AZ109" s="5">
        <v>0.21689</v>
      </c>
      <c r="BA109" s="5">
        <v>0.15973000000000001</v>
      </c>
      <c r="BB109" s="5">
        <v>4.5335E-2</v>
      </c>
      <c r="BC109" s="5">
        <v>1.9626000000000001E-2</v>
      </c>
      <c r="BD109" s="5">
        <v>9.8542999999999999E-3</v>
      </c>
      <c r="BE109" s="5">
        <v>2.8163999999999998</v>
      </c>
      <c r="BF109" s="5">
        <v>0.21689</v>
      </c>
      <c r="BG109" s="5">
        <v>0.15973000000000001</v>
      </c>
      <c r="BH109" s="5">
        <v>4.5335E-2</v>
      </c>
      <c r="BI109" s="5">
        <v>1.9626000000000001E-2</v>
      </c>
      <c r="BJ109" s="5">
        <v>9.8542999999999999E-3</v>
      </c>
    </row>
    <row r="110" spans="1:67">
      <c r="A110" t="s">
        <v>62</v>
      </c>
      <c r="B110" s="54">
        <v>45426</v>
      </c>
      <c r="C110" s="123">
        <v>25</v>
      </c>
      <c r="D110" s="64">
        <v>3.2655101983874051</v>
      </c>
      <c r="E110" s="65">
        <v>0.26237797428864901</v>
      </c>
      <c r="F110" s="127">
        <v>6.8116240192554328E-2</v>
      </c>
      <c r="G110" s="10">
        <v>7.25</v>
      </c>
      <c r="H110" s="9">
        <v>148.30000000000001</v>
      </c>
      <c r="I110" s="9">
        <v>6.7</v>
      </c>
      <c r="J110" s="8">
        <v>0.8</v>
      </c>
      <c r="K110" s="10">
        <v>367</v>
      </c>
      <c r="L110" s="8">
        <v>5.57</v>
      </c>
      <c r="M110" s="8">
        <v>1.45</v>
      </c>
      <c r="N110" s="22">
        <v>10.63</v>
      </c>
      <c r="O110">
        <v>8.8439999999999994</v>
      </c>
      <c r="P110">
        <v>8.6310000000000002</v>
      </c>
      <c r="Q110">
        <v>7.3220000000000001</v>
      </c>
      <c r="R110" s="12">
        <v>2.4E-2</v>
      </c>
      <c r="S110" s="9">
        <v>2.2000000000000002</v>
      </c>
      <c r="T110" s="8">
        <v>0.05</v>
      </c>
      <c r="U110" s="31">
        <v>46</v>
      </c>
      <c r="V110" s="8">
        <v>0.05</v>
      </c>
      <c r="W110" s="9">
        <v>27.6</v>
      </c>
      <c r="X110" s="31">
        <v>13</v>
      </c>
      <c r="Y110" s="5">
        <v>9.35E-2</v>
      </c>
      <c r="Z110" s="5">
        <v>1.01E-2</v>
      </c>
      <c r="AA110" s="5">
        <v>3.1850000000000003E-2</v>
      </c>
      <c r="AB110" s="2">
        <v>31.489199999999997</v>
      </c>
      <c r="AC110" s="5">
        <v>7.3499999999999996E-2</v>
      </c>
      <c r="AD110" s="2">
        <v>4.31595</v>
      </c>
      <c r="AE110" s="2">
        <v>7.6593999999999998</v>
      </c>
      <c r="AF110" s="5">
        <v>9.4500000000000001E-3</v>
      </c>
      <c r="AG110" s="2">
        <v>8.1560999999999986</v>
      </c>
      <c r="AH110">
        <v>2.7000000000000001E-3</v>
      </c>
      <c r="AI110">
        <v>3.8E-3</v>
      </c>
      <c r="AJ110" s="2">
        <v>5.0515000000000008</v>
      </c>
      <c r="AK110" s="2">
        <f>(0.074-0.0158)/0.0031</f>
        <v>18.774193548387096</v>
      </c>
      <c r="AL110" s="5">
        <v>2.7431999999999999</v>
      </c>
      <c r="AM110" s="5">
        <v>0.18991</v>
      </c>
      <c r="AN110" s="5">
        <v>0.13672999999999999</v>
      </c>
      <c r="AO110" s="5">
        <v>3.2979000000000001E-2</v>
      </c>
      <c r="AP110" s="5">
        <v>1.2494999999999999E-2</v>
      </c>
      <c r="AQ110" s="5">
        <v>5.94E-3</v>
      </c>
      <c r="AR110" s="5">
        <v>4.9129000000000004E-3</v>
      </c>
      <c r="AS110" s="5">
        <v>3.8942999999999998E-3</v>
      </c>
      <c r="AT110" s="5">
        <v>3.3593E-3</v>
      </c>
      <c r="AU110" s="5">
        <v>3.2410999999999998E-3</v>
      </c>
      <c r="AV110" s="5">
        <v>3.222E-3</v>
      </c>
      <c r="AW110" s="5">
        <v>3.1118000000000001E-3</v>
      </c>
      <c r="AX110" s="2">
        <f t="shared" si="1"/>
        <v>2.2003244120032441</v>
      </c>
      <c r="AY110" s="5">
        <v>2.8267000000000002</v>
      </c>
      <c r="AZ110" s="5">
        <v>0.22275</v>
      </c>
      <c r="BA110" s="5">
        <v>0.16708000000000001</v>
      </c>
      <c r="BB110" s="5">
        <v>5.4790999999999999E-2</v>
      </c>
      <c r="BC110" s="5">
        <v>2.9881000000000001E-2</v>
      </c>
      <c r="BD110" s="5">
        <v>1.9702000000000001E-2</v>
      </c>
      <c r="BE110" s="5">
        <v>2.8267000000000002</v>
      </c>
      <c r="BF110" s="5">
        <v>0.22275</v>
      </c>
      <c r="BG110" s="5">
        <v>0.16708000000000001</v>
      </c>
      <c r="BH110" s="5">
        <v>5.4790999999999999E-2</v>
      </c>
      <c r="BI110" s="5">
        <v>2.9881000000000001E-2</v>
      </c>
      <c r="BJ110" s="5">
        <v>1.9702000000000001E-2</v>
      </c>
      <c r="BK110" s="10"/>
      <c r="BL110" s="10"/>
      <c r="BM110" s="10"/>
      <c r="BN110" s="10"/>
      <c r="BO110" s="10"/>
    </row>
    <row r="111" spans="1:67">
      <c r="A111" t="s">
        <v>62</v>
      </c>
      <c r="B111" s="54">
        <v>45426</v>
      </c>
      <c r="C111" s="123">
        <v>30</v>
      </c>
      <c r="D111" s="64">
        <v>3.6101328843204326</v>
      </c>
      <c r="E111" s="65">
        <v>0.27215776804099445</v>
      </c>
      <c r="F111" s="127">
        <v>6.2447333923749335E-2</v>
      </c>
      <c r="G111" s="10">
        <v>7.25</v>
      </c>
      <c r="H111" s="9">
        <v>56</v>
      </c>
      <c r="I111" s="9">
        <v>3.3</v>
      </c>
      <c r="J111" s="8">
        <v>0.39</v>
      </c>
      <c r="K111" s="10">
        <v>394</v>
      </c>
      <c r="L111" s="8">
        <v>5.58</v>
      </c>
      <c r="M111" s="8">
        <v>1.65</v>
      </c>
      <c r="N111" s="22">
        <v>10.32</v>
      </c>
      <c r="O111">
        <v>9.4450000000000003</v>
      </c>
      <c r="P111">
        <v>8.7260000000000009</v>
      </c>
      <c r="Q111">
        <v>6.3710000000000004</v>
      </c>
      <c r="R111" s="12">
        <v>6.3E-2</v>
      </c>
      <c r="S111" s="9">
        <v>2.1</v>
      </c>
      <c r="T111" s="8">
        <v>0.62</v>
      </c>
      <c r="U111" s="31">
        <v>45</v>
      </c>
      <c r="V111" s="8">
        <v>0.13</v>
      </c>
      <c r="W111" s="9">
        <v>25.4</v>
      </c>
      <c r="X111" s="31">
        <v>13</v>
      </c>
      <c r="Y111" s="5">
        <v>0.13450000000000001</v>
      </c>
      <c r="Z111" s="5">
        <v>1.085E-2</v>
      </c>
      <c r="AA111" s="5">
        <v>3.4750000000000003E-2</v>
      </c>
      <c r="AB111" s="2">
        <v>32.923349999999999</v>
      </c>
      <c r="AC111" s="5">
        <v>0.1133</v>
      </c>
      <c r="AD111" s="2">
        <v>4.4641500000000001</v>
      </c>
      <c r="AE111" s="2">
        <v>7.8341000000000003</v>
      </c>
      <c r="AF111" s="5">
        <v>0.73385</v>
      </c>
      <c r="AG111" s="2">
        <v>8.3048500000000001</v>
      </c>
      <c r="AH111">
        <v>4.0499999999999998E-3</v>
      </c>
      <c r="AI111">
        <v>7.2499999999999995E-3</v>
      </c>
      <c r="AJ111" s="2">
        <v>5.3825000000000003</v>
      </c>
      <c r="AK111" s="2">
        <f>(0.116-0.0158)/0.0031</f>
        <v>32.322580645161295</v>
      </c>
      <c r="AL111" s="5">
        <v>2.6185</v>
      </c>
      <c r="AM111" s="5">
        <v>0.18934999999999999</v>
      </c>
      <c r="AN111" s="5">
        <v>0.13603999999999999</v>
      </c>
      <c r="AO111" s="5">
        <v>3.2975999999999998E-2</v>
      </c>
      <c r="AP111" s="5">
        <v>1.2130999999999999E-2</v>
      </c>
      <c r="AQ111" s="5">
        <v>5.9427999999999998E-3</v>
      </c>
      <c r="AR111" s="5">
        <v>4.9385999999999996E-3</v>
      </c>
      <c r="AS111" s="5">
        <v>3.9968E-3</v>
      </c>
      <c r="AT111" s="5">
        <v>3.4981000000000001E-3</v>
      </c>
      <c r="AU111" s="5">
        <v>3.4413E-3</v>
      </c>
      <c r="AV111" s="5">
        <v>3.3187999999999998E-3</v>
      </c>
      <c r="AW111" s="5">
        <v>3.2039E-3</v>
      </c>
      <c r="AX111" s="2">
        <f t="shared" si="1"/>
        <v>2.169951867980747</v>
      </c>
      <c r="AY111" s="5">
        <v>2.6680000000000001</v>
      </c>
      <c r="AZ111" s="5">
        <v>0.25483</v>
      </c>
      <c r="BA111" s="5">
        <v>0.19653000000000001</v>
      </c>
      <c r="BB111" s="5">
        <v>7.671E-2</v>
      </c>
      <c r="BC111" s="5">
        <v>4.6072000000000002E-2</v>
      </c>
      <c r="BD111" s="5">
        <v>3.1319E-2</v>
      </c>
      <c r="BE111" s="5">
        <v>2.6680000000000001</v>
      </c>
      <c r="BF111" s="5">
        <v>0.25483</v>
      </c>
      <c r="BG111" s="5">
        <v>0.19653000000000001</v>
      </c>
      <c r="BH111" s="5">
        <v>7.671E-2</v>
      </c>
      <c r="BI111" s="5">
        <v>4.6072000000000002E-2</v>
      </c>
      <c r="BJ111" s="5">
        <v>3.1319E-2</v>
      </c>
      <c r="BK111" s="10"/>
      <c r="BL111" s="10"/>
      <c r="BM111" s="10"/>
      <c r="BN111" s="10"/>
      <c r="BO111" s="10"/>
    </row>
    <row r="112" spans="1:67">
      <c r="B112" s="54"/>
      <c r="C112" s="123"/>
      <c r="D112" s="64"/>
      <c r="E112" s="65"/>
      <c r="F112" s="127"/>
      <c r="G112" s="10"/>
      <c r="H112" s="9"/>
      <c r="I112" s="9"/>
      <c r="J112" s="8"/>
      <c r="K112" s="10"/>
      <c r="L112" s="8"/>
      <c r="M112" s="8"/>
      <c r="N112" s="22"/>
      <c r="R112" s="12"/>
      <c r="S112" s="9"/>
      <c r="T112" s="8"/>
      <c r="U112" s="31"/>
      <c r="V112" s="8"/>
      <c r="W112" s="9"/>
      <c r="X112" s="31"/>
      <c r="Y112" s="5"/>
      <c r="Z112" s="5"/>
      <c r="AA112" s="5"/>
      <c r="AB112" s="2"/>
      <c r="AC112" s="5"/>
      <c r="AD112" s="2"/>
      <c r="AE112" s="2"/>
      <c r="AK112" s="2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0"/>
      <c r="BL112" s="10"/>
      <c r="BM112" s="10"/>
      <c r="BN112" s="10"/>
      <c r="BO112" s="10"/>
    </row>
    <row r="113" spans="1:62" s="7" customFormat="1">
      <c r="A113" t="s">
        <v>64</v>
      </c>
      <c r="B113" s="54">
        <v>45426</v>
      </c>
      <c r="C113" s="123"/>
      <c r="D113" s="64">
        <v>4.6808926182344814</v>
      </c>
      <c r="E113" s="65">
        <v>0.37942519971433863</v>
      </c>
      <c r="F113" s="127">
        <v>8.5507456743219926E-2</v>
      </c>
      <c r="G113" s="7">
        <v>7.71</v>
      </c>
      <c r="H113" s="16">
        <v>103.5</v>
      </c>
      <c r="I113" s="7">
        <v>94.3</v>
      </c>
      <c r="J113" s="7">
        <v>8.5299999999999994</v>
      </c>
      <c r="K113" s="7">
        <v>404</v>
      </c>
      <c r="L113" s="16">
        <v>17.5</v>
      </c>
      <c r="M113" s="15">
        <v>1.93</v>
      </c>
      <c r="N113" s="21">
        <v>11.44</v>
      </c>
      <c r="O113">
        <v>10.3</v>
      </c>
      <c r="P113">
        <v>9.8829999999999991</v>
      </c>
      <c r="Q113">
        <v>3.3580000000000001</v>
      </c>
      <c r="R113" s="17">
        <v>5.5E-2</v>
      </c>
      <c r="S113" s="7">
        <v>1.4</v>
      </c>
      <c r="T113" s="7">
        <v>0.1</v>
      </c>
      <c r="U113" s="7">
        <v>54</v>
      </c>
      <c r="V113" s="7">
        <v>0.08</v>
      </c>
      <c r="W113" s="7">
        <v>30.4</v>
      </c>
      <c r="X113" s="7">
        <v>14</v>
      </c>
      <c r="Y113" s="18">
        <v>4.7399999999999998E-2</v>
      </c>
      <c r="Z113" s="18">
        <v>1.21E-2</v>
      </c>
      <c r="AA113" s="18">
        <v>3.5049999999999998E-2</v>
      </c>
      <c r="AB113" s="16">
        <v>34.210650000000001</v>
      </c>
      <c r="AC113" s="18">
        <v>0.18104999999999999</v>
      </c>
      <c r="AD113" s="16">
        <v>4.5219000000000005</v>
      </c>
      <c r="AE113" s="16">
        <v>9.2536500000000004</v>
      </c>
      <c r="AF113" s="7">
        <v>0.15139999999999998</v>
      </c>
      <c r="AG113" s="7">
        <v>9.33</v>
      </c>
      <c r="AH113" s="7">
        <v>3.5E-4</v>
      </c>
      <c r="AI113" s="7">
        <v>3.5000000000000001E-3</v>
      </c>
      <c r="AJ113" s="16">
        <v>3.9015000000000004</v>
      </c>
      <c r="AK113" s="2">
        <f>(0.176-0.0158)/0.0031</f>
        <v>51.677419354838705</v>
      </c>
      <c r="AL113" s="5">
        <v>1.7441</v>
      </c>
      <c r="AM113" s="5">
        <v>0.20846999999999999</v>
      </c>
      <c r="AN113" s="5">
        <v>0.15109</v>
      </c>
      <c r="AO113" s="5">
        <v>3.6894999999999997E-2</v>
      </c>
      <c r="AP113" s="5">
        <v>1.3750999999999999E-2</v>
      </c>
      <c r="AQ113" s="5">
        <v>6.3572000000000004E-3</v>
      </c>
      <c r="AR113" s="5">
        <v>5.2509000000000002E-3</v>
      </c>
      <c r="AS113" s="5">
        <v>4.2256999999999998E-3</v>
      </c>
      <c r="AT113" s="5">
        <v>3.7379000000000002E-3</v>
      </c>
      <c r="AU113" s="5">
        <v>3.5496E-3</v>
      </c>
      <c r="AV113" s="5">
        <v>3.4623000000000002E-3</v>
      </c>
      <c r="AW113" s="5">
        <v>3.4074999999999999E-3</v>
      </c>
      <c r="AX113" s="2">
        <f t="shared" si="1"/>
        <v>2.1093797429930183</v>
      </c>
      <c r="AY113" s="1">
        <v>1.8239000000000001</v>
      </c>
      <c r="AZ113" s="1">
        <v>0.30392999999999998</v>
      </c>
      <c r="BA113" s="1">
        <v>0.2394</v>
      </c>
      <c r="BB113" s="1">
        <v>0.10141</v>
      </c>
      <c r="BC113" s="1">
        <v>6.4958000000000002E-2</v>
      </c>
      <c r="BD113" s="1">
        <v>4.7747999999999999E-2</v>
      </c>
      <c r="BE113" s="1">
        <v>1.8239000000000001</v>
      </c>
      <c r="BF113" s="1">
        <v>0.30392999999999998</v>
      </c>
      <c r="BG113" s="1">
        <v>0.2394</v>
      </c>
      <c r="BH113" s="1">
        <v>0.10141</v>
      </c>
      <c r="BI113" s="1">
        <v>6.4958000000000002E-2</v>
      </c>
      <c r="BJ113" s="1">
        <v>4.7747999999999999E-2</v>
      </c>
    </row>
    <row r="114" spans="1:62" s="7" customFormat="1">
      <c r="A114" s="70" t="s">
        <v>65</v>
      </c>
      <c r="B114" s="54">
        <v>45426</v>
      </c>
      <c r="C114" s="119"/>
      <c r="D114" s="64">
        <v>2.8416302698451803</v>
      </c>
      <c r="E114" s="65">
        <v>0.36676552733163581</v>
      </c>
      <c r="F114" s="127">
        <v>8.1644089475794129E-2</v>
      </c>
      <c r="G114" s="19"/>
      <c r="H114" s="71"/>
      <c r="I114" s="71"/>
      <c r="J114" s="19"/>
      <c r="K114" s="25">
        <v>376</v>
      </c>
      <c r="L114" s="25">
        <v>15.3</v>
      </c>
      <c r="M114" s="15">
        <v>1.62</v>
      </c>
      <c r="N114" s="21">
        <v>10.32</v>
      </c>
      <c r="O114" s="7">
        <v>8.5</v>
      </c>
      <c r="P114" s="7">
        <v>8.3209999999999997</v>
      </c>
      <c r="Q114" s="7">
        <v>3.5489999999999999</v>
      </c>
      <c r="R114" s="17">
        <v>1.9E-2</v>
      </c>
      <c r="S114" s="7">
        <v>1.5</v>
      </c>
      <c r="T114" s="7">
        <v>0.01</v>
      </c>
      <c r="U114" s="7">
        <v>53</v>
      </c>
      <c r="V114" s="7">
        <v>0.06</v>
      </c>
      <c r="W114" s="7">
        <v>29.2</v>
      </c>
      <c r="X114" s="7">
        <v>15</v>
      </c>
      <c r="Y114" s="18">
        <v>2.435E-2</v>
      </c>
      <c r="Z114" s="18">
        <v>1.1900000000000001E-2</v>
      </c>
      <c r="AA114" s="18">
        <v>3.3149999999999999E-2</v>
      </c>
      <c r="AB114" s="16">
        <v>32.385850000000005</v>
      </c>
      <c r="AC114" s="18">
        <v>9.2249999999999999E-2</v>
      </c>
      <c r="AD114" s="16">
        <v>4.3338000000000001</v>
      </c>
      <c r="AE114" s="16">
        <v>8.3924500000000002</v>
      </c>
      <c r="AF114" s="7">
        <v>5.4250000000000007E-2</v>
      </c>
      <c r="AG114" s="7">
        <v>9.0840499999999995</v>
      </c>
      <c r="AH114" s="7">
        <v>0</v>
      </c>
      <c r="AI114" s="7">
        <v>1.5949999999999999E-2</v>
      </c>
      <c r="AJ114" s="16">
        <v>4.0280000000000005</v>
      </c>
      <c r="AK114" s="2">
        <f>(0.056-0.0158)/0.0031</f>
        <v>12.967741935483872</v>
      </c>
      <c r="AL114" s="5">
        <v>1.8024</v>
      </c>
      <c r="AM114" s="5">
        <v>0.1845</v>
      </c>
      <c r="AN114" s="5">
        <v>0.13222999999999999</v>
      </c>
      <c r="AO114" s="5">
        <v>2.9614999999999999E-2</v>
      </c>
      <c r="AP114" s="5">
        <v>8.1644000000000005E-3</v>
      </c>
      <c r="AQ114" s="5">
        <v>1.7780999999999999E-3</v>
      </c>
      <c r="AR114" s="5">
        <v>6.9189000000000002E-4</v>
      </c>
      <c r="AS114" s="5">
        <v>-2.3269999999999999E-4</v>
      </c>
      <c r="AT114" s="5">
        <v>0</v>
      </c>
      <c r="AU114" s="5">
        <v>0</v>
      </c>
      <c r="AV114" s="5">
        <v>0</v>
      </c>
      <c r="AW114" s="5">
        <v>0</v>
      </c>
      <c r="AX114" s="2">
        <f t="shared" si="1"/>
        <v>2.2172815767335656</v>
      </c>
      <c r="AY114" s="1">
        <v>1.8577999999999999</v>
      </c>
      <c r="AZ114" s="1">
        <v>0.21953</v>
      </c>
      <c r="BA114" s="1">
        <v>0.16320999999999999</v>
      </c>
      <c r="BB114" s="1">
        <v>5.0446999999999999E-2</v>
      </c>
      <c r="BC114" s="1">
        <v>2.4104E-2</v>
      </c>
      <c r="BD114" s="1">
        <v>1.3592999999999999E-2</v>
      </c>
      <c r="BE114" s="1">
        <v>1.1302E-2</v>
      </c>
      <c r="BF114" s="1">
        <v>8.914E-3</v>
      </c>
      <c r="BG114" s="1">
        <v>7.5293000000000001E-3</v>
      </c>
      <c r="BH114" s="1">
        <v>7.0299999999999998E-3</v>
      </c>
      <c r="BI114" s="1">
        <v>6.6314E-3</v>
      </c>
      <c r="BJ114" s="1">
        <v>5.6776999999999999E-3</v>
      </c>
    </row>
    <row r="115" spans="1:62" s="7" customFormat="1">
      <c r="A115" s="7" t="s">
        <v>63</v>
      </c>
      <c r="B115" s="54">
        <v>45426</v>
      </c>
      <c r="C115" s="119"/>
      <c r="D115" s="64">
        <v>4.3274058626888969</v>
      </c>
      <c r="E115" s="65">
        <v>0.33913827267878566</v>
      </c>
      <c r="F115" s="127">
        <v>7.9067415731145022E-2</v>
      </c>
      <c r="G115" s="19"/>
      <c r="H115" s="71"/>
      <c r="I115" s="71"/>
      <c r="J115" s="19"/>
      <c r="K115" s="25">
        <v>316</v>
      </c>
      <c r="L115" s="25">
        <v>13.8</v>
      </c>
      <c r="M115" s="15">
        <v>1.4</v>
      </c>
      <c r="N115" s="21">
        <v>11.9</v>
      </c>
      <c r="O115" s="7">
        <v>9.7509999999999994</v>
      </c>
      <c r="P115" s="7">
        <v>8.9410000000000007</v>
      </c>
      <c r="Q115" s="7">
        <v>3.431</v>
      </c>
      <c r="R115" s="17">
        <v>0.02</v>
      </c>
      <c r="S115" s="7">
        <v>1.5</v>
      </c>
      <c r="T115" s="7">
        <v>0.04</v>
      </c>
      <c r="U115" s="7">
        <v>45</v>
      </c>
      <c r="V115" s="7">
        <v>7.0000000000000007E-2</v>
      </c>
      <c r="W115" s="7">
        <v>23.9</v>
      </c>
      <c r="X115" s="7">
        <v>20</v>
      </c>
      <c r="Y115" s="18">
        <v>4.895E-2</v>
      </c>
      <c r="Z115" s="18">
        <v>1.2E-2</v>
      </c>
      <c r="AA115" s="18">
        <v>3.1899999999999998E-2</v>
      </c>
      <c r="AB115" s="16">
        <v>27.02365</v>
      </c>
      <c r="AC115" s="18">
        <v>0.14855000000000002</v>
      </c>
      <c r="AD115" s="16">
        <v>4.2862499999999999</v>
      </c>
      <c r="AE115" s="16">
        <v>6.9040499999999998</v>
      </c>
      <c r="AF115" s="7">
        <v>4.2249999999999996E-2</v>
      </c>
      <c r="AG115" s="7">
        <v>8.3444000000000003</v>
      </c>
      <c r="AH115" s="7">
        <v>0</v>
      </c>
      <c r="AI115" s="7">
        <v>6.2500000000000003E-3</v>
      </c>
      <c r="AJ115" s="16">
        <v>4.6139999999999999</v>
      </c>
      <c r="AK115" s="2">
        <f>(0.037-0.0158)/0.0031</f>
        <v>6.8387096774193541</v>
      </c>
      <c r="AL115" s="5">
        <v>1.7747999999999999</v>
      </c>
      <c r="AM115" s="5">
        <v>0.22347</v>
      </c>
      <c r="AN115" s="5">
        <v>0.16042000000000001</v>
      </c>
      <c r="AO115" s="5">
        <v>3.8024000000000002E-2</v>
      </c>
      <c r="AP115" s="5">
        <v>1.1379E-2</v>
      </c>
      <c r="AQ115" s="5">
        <v>3.2009999999999999E-3</v>
      </c>
      <c r="AR115" s="5">
        <v>1.7419E-3</v>
      </c>
      <c r="AS115" s="5">
        <v>5.2881E-4</v>
      </c>
      <c r="AT115" s="5">
        <v>-1.049E-5</v>
      </c>
      <c r="AU115" s="5">
        <v>-1.3732999999999999E-4</v>
      </c>
      <c r="AV115" s="5">
        <v>-2.2029999999999999E-4</v>
      </c>
      <c r="AW115" s="5">
        <v>0</v>
      </c>
      <c r="AX115" s="2">
        <f t="shared" si="1"/>
        <v>2.499384856280058</v>
      </c>
      <c r="AY115" s="1">
        <v>1.8186</v>
      </c>
      <c r="AZ115" s="1">
        <v>0.24870999999999999</v>
      </c>
      <c r="BA115" s="1">
        <v>0.18232000000000001</v>
      </c>
      <c r="BB115" s="1">
        <v>5.1116000000000002E-2</v>
      </c>
      <c r="BC115" s="1">
        <v>2.0229E-2</v>
      </c>
      <c r="BD115" s="1">
        <v>9.2554000000000004E-3</v>
      </c>
      <c r="BE115" s="1">
        <v>7.0423999999999999E-3</v>
      </c>
      <c r="BF115" s="1">
        <v>4.9129000000000004E-3</v>
      </c>
      <c r="BG115" s="1">
        <v>3.9768E-3</v>
      </c>
      <c r="BH115" s="1">
        <v>3.5523999999999998E-3</v>
      </c>
      <c r="BI115" s="1">
        <v>3.2377E-3</v>
      </c>
      <c r="BJ115" s="1">
        <v>2.5454000000000002E-3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0F6F1-1ADD-4A42-ADCE-B2F67AEDC901}">
  <dimension ref="A1:BQ68"/>
  <sheetViews>
    <sheetView workbookViewId="0">
      <selection activeCell="M3" sqref="M3"/>
    </sheetView>
  </sheetViews>
  <sheetFormatPr defaultRowHeight="15"/>
  <cols>
    <col min="1" max="1" width="21.42578125" customWidth="1"/>
    <col min="2" max="2" width="18.7109375" style="19" customWidth="1"/>
    <col min="3" max="3" width="11.28515625" customWidth="1"/>
    <col min="4" max="4" width="9.7109375" style="62" customWidth="1"/>
    <col min="5" max="5" width="9.7109375" style="63" customWidth="1"/>
    <col min="6" max="6" width="9.7109375" style="6" customWidth="1"/>
    <col min="10" max="10" width="11.140625" customWidth="1"/>
    <col min="11" max="11" width="13.85546875" customWidth="1"/>
    <col min="12" max="12" width="13.28515625" customWidth="1"/>
    <col min="13" max="13" width="11.5703125" customWidth="1"/>
    <col min="15" max="15" width="10.85546875" bestFit="1" customWidth="1"/>
    <col min="16" max="16" width="11.140625" bestFit="1" customWidth="1"/>
    <col min="17" max="17" width="9.7109375" bestFit="1" customWidth="1"/>
    <col min="18" max="18" width="8.28515625" customWidth="1"/>
    <col min="50" max="50" width="10.85546875" style="2" customWidth="1"/>
  </cols>
  <sheetData>
    <row r="1" spans="1:69">
      <c r="B1" s="41"/>
      <c r="C1" s="41"/>
      <c r="D1" s="101" t="s">
        <v>169</v>
      </c>
      <c r="F1" s="76"/>
      <c r="H1" s="101" t="s">
        <v>170</v>
      </c>
    </row>
    <row r="2" spans="1:69">
      <c r="B2" s="41"/>
      <c r="D2" s="100" t="s">
        <v>204</v>
      </c>
      <c r="F2" s="76"/>
    </row>
    <row r="3" spans="1:69">
      <c r="B3" s="41"/>
      <c r="D3" s="116" t="s">
        <v>347</v>
      </c>
      <c r="F3" s="76"/>
      <c r="M3" t="s">
        <v>352</v>
      </c>
    </row>
    <row r="4" spans="1:69">
      <c r="B4" s="41"/>
      <c r="D4" s="116"/>
      <c r="F4" s="76"/>
    </row>
    <row r="5" spans="1:69">
      <c r="B5" s="41"/>
      <c r="D5" s="116"/>
      <c r="F5" s="76"/>
    </row>
    <row r="6" spans="1:69" s="102" customFormat="1" ht="39.950000000000003" customHeight="1">
      <c r="A6" s="104" t="s">
        <v>164</v>
      </c>
      <c r="B6" s="104" t="s">
        <v>53</v>
      </c>
      <c r="C6" s="118" t="s">
        <v>38</v>
      </c>
      <c r="D6" s="106" t="s">
        <v>47</v>
      </c>
      <c r="E6" s="106" t="s">
        <v>49</v>
      </c>
      <c r="F6" s="117" t="s">
        <v>48</v>
      </c>
      <c r="G6" s="107" t="s">
        <v>0</v>
      </c>
      <c r="H6" s="108" t="s">
        <v>1</v>
      </c>
      <c r="I6" s="107" t="s">
        <v>2</v>
      </c>
      <c r="J6" s="107" t="s">
        <v>3</v>
      </c>
      <c r="K6" s="107" t="s">
        <v>39</v>
      </c>
      <c r="L6" s="109" t="s">
        <v>40</v>
      </c>
      <c r="M6" s="110" t="s">
        <v>165</v>
      </c>
      <c r="N6" s="105" t="s">
        <v>46</v>
      </c>
      <c r="O6" s="111" t="s">
        <v>4</v>
      </c>
      <c r="P6" s="111" t="s">
        <v>5</v>
      </c>
      <c r="Q6" s="111" t="s">
        <v>6</v>
      </c>
      <c r="R6" s="112" t="s">
        <v>7</v>
      </c>
      <c r="S6" s="112" t="s">
        <v>8</v>
      </c>
      <c r="T6" s="112" t="s">
        <v>9</v>
      </c>
      <c r="U6" s="112" t="s">
        <v>10</v>
      </c>
      <c r="V6" s="112" t="s">
        <v>11</v>
      </c>
      <c r="W6" s="112" t="s">
        <v>12</v>
      </c>
      <c r="X6" s="112" t="s">
        <v>41</v>
      </c>
      <c r="Y6" s="113" t="s">
        <v>13</v>
      </c>
      <c r="Z6" s="113" t="s">
        <v>14</v>
      </c>
      <c r="AA6" s="113" t="s">
        <v>15</v>
      </c>
      <c r="AB6" s="109" t="s">
        <v>16</v>
      </c>
      <c r="AC6" s="113" t="s">
        <v>17</v>
      </c>
      <c r="AD6" s="109" t="s">
        <v>18</v>
      </c>
      <c r="AE6" s="109" t="s">
        <v>19</v>
      </c>
      <c r="AF6" s="113" t="s">
        <v>20</v>
      </c>
      <c r="AG6" s="109" t="s">
        <v>21</v>
      </c>
      <c r="AH6" s="113" t="s">
        <v>22</v>
      </c>
      <c r="AI6" s="113" t="s">
        <v>23</v>
      </c>
      <c r="AJ6" s="109" t="s">
        <v>24</v>
      </c>
      <c r="AK6" s="107" t="s">
        <v>42</v>
      </c>
      <c r="AL6" s="114" t="s">
        <v>25</v>
      </c>
      <c r="AM6" s="114" t="s">
        <v>26</v>
      </c>
      <c r="AN6" s="114" t="s">
        <v>27</v>
      </c>
      <c r="AO6" s="114" t="s">
        <v>28</v>
      </c>
      <c r="AP6" s="114" t="s">
        <v>29</v>
      </c>
      <c r="AQ6" s="114" t="s">
        <v>30</v>
      </c>
      <c r="AR6" s="114" t="s">
        <v>31</v>
      </c>
      <c r="AS6" s="114" t="s">
        <v>32</v>
      </c>
      <c r="AT6" s="114" t="s">
        <v>33</v>
      </c>
      <c r="AU6" s="114" t="s">
        <v>34</v>
      </c>
      <c r="AV6" s="114" t="s">
        <v>35</v>
      </c>
      <c r="AW6" s="114" t="s">
        <v>36</v>
      </c>
      <c r="AX6" s="115" t="s">
        <v>37</v>
      </c>
      <c r="AY6" s="114" t="s">
        <v>25</v>
      </c>
      <c r="AZ6" s="114" t="s">
        <v>26</v>
      </c>
      <c r="BA6" s="114" t="s">
        <v>27</v>
      </c>
      <c r="BB6" s="114" t="s">
        <v>28</v>
      </c>
      <c r="BC6" s="114" t="s">
        <v>29</v>
      </c>
      <c r="BD6" s="114" t="s">
        <v>30</v>
      </c>
      <c r="BE6" s="114" t="s">
        <v>31</v>
      </c>
      <c r="BF6" s="114" t="s">
        <v>32</v>
      </c>
      <c r="BG6" s="114" t="s">
        <v>33</v>
      </c>
      <c r="BH6" s="114" t="s">
        <v>34</v>
      </c>
      <c r="BI6" s="114" t="s">
        <v>35</v>
      </c>
      <c r="BJ6" s="114" t="s">
        <v>36</v>
      </c>
      <c r="BL6" s="103"/>
      <c r="BM6" s="103"/>
      <c r="BN6" s="103"/>
      <c r="BO6" s="103"/>
      <c r="BP6" s="103"/>
    </row>
    <row r="7" spans="1:69">
      <c r="A7" s="7" t="s">
        <v>54</v>
      </c>
      <c r="B7" s="54">
        <v>45062</v>
      </c>
      <c r="C7" s="119">
        <v>0</v>
      </c>
      <c r="D7" s="59">
        <v>18.085624860037704</v>
      </c>
      <c r="E7" s="60" t="s">
        <v>52</v>
      </c>
      <c r="F7" s="177" t="s">
        <v>61</v>
      </c>
      <c r="G7" s="1">
        <v>6.42</v>
      </c>
      <c r="H7" s="27">
        <v>288.8</v>
      </c>
      <c r="I7" s="27">
        <v>77.3</v>
      </c>
      <c r="J7" s="1">
        <v>7.17</v>
      </c>
      <c r="K7">
        <v>19</v>
      </c>
      <c r="L7" s="1">
        <v>10.54</v>
      </c>
      <c r="M7" s="1">
        <v>0.1</v>
      </c>
      <c r="N7" s="32"/>
      <c r="O7" s="8">
        <v>7.0354999999999999</v>
      </c>
      <c r="P7" s="1">
        <v>6.2829999999999995</v>
      </c>
      <c r="Q7" s="1">
        <v>0.30709999999999998</v>
      </c>
      <c r="R7" s="34">
        <v>0</v>
      </c>
      <c r="S7" s="2">
        <v>0.4</v>
      </c>
      <c r="T7" s="1">
        <v>0.02</v>
      </c>
      <c r="U7">
        <v>1</v>
      </c>
      <c r="V7">
        <v>0.03</v>
      </c>
      <c r="W7" s="2">
        <v>5.7</v>
      </c>
      <c r="X7" s="27">
        <v>36</v>
      </c>
      <c r="Y7" s="1">
        <v>0.252</v>
      </c>
      <c r="Z7" s="5">
        <v>0</v>
      </c>
      <c r="AA7" s="5">
        <v>4.7999999999999996E-3</v>
      </c>
      <c r="AB7" s="1">
        <v>1.4244000000000001</v>
      </c>
      <c r="AC7" s="1">
        <v>6.4500000000000002E-2</v>
      </c>
      <c r="AD7" s="1">
        <v>0.30640000000000001</v>
      </c>
      <c r="AE7" s="1">
        <v>0.40339999999999998</v>
      </c>
      <c r="AF7" s="5">
        <v>1.4E-2</v>
      </c>
      <c r="AG7" s="1">
        <v>0.74039999999999995</v>
      </c>
      <c r="AH7" s="35">
        <v>2.0000000000000001E-4</v>
      </c>
      <c r="AI7" s="5">
        <v>1.23E-2</v>
      </c>
      <c r="AJ7" s="2">
        <v>3.5259999999999998</v>
      </c>
      <c r="AK7" s="29">
        <v>14.515151515151514</v>
      </c>
      <c r="AL7" s="5">
        <v>0.40547</v>
      </c>
      <c r="AM7" s="5">
        <v>0.24167</v>
      </c>
      <c r="AN7" s="5">
        <v>0.18037</v>
      </c>
      <c r="AO7" s="5">
        <v>4.7286000000000002E-2</v>
      </c>
      <c r="AP7" s="5">
        <v>1.2652999999999999E-2</v>
      </c>
      <c r="AQ7" s="5">
        <v>3.6754999999999999E-3</v>
      </c>
      <c r="AR7" s="5">
        <v>2.0294000000000002E-3</v>
      </c>
      <c r="AS7" s="5">
        <v>1.6054999999999999E-3</v>
      </c>
      <c r="AT7" s="5">
        <v>9.4843E-4</v>
      </c>
      <c r="AU7" s="5">
        <v>3.1566999999999999E-4</v>
      </c>
      <c r="AV7" s="5">
        <v>1.3684999999999999E-4</v>
      </c>
      <c r="AW7" s="5">
        <v>-5.1498000000000001E-5</v>
      </c>
      <c r="AX7" s="9">
        <f>AM7*100/P7</f>
        <v>3.8464109501830337</v>
      </c>
      <c r="AY7" s="5">
        <v>0.42011999999999999</v>
      </c>
      <c r="AZ7" s="5">
        <v>0.25568999999999997</v>
      </c>
      <c r="BA7" s="5">
        <v>0.19223000000000001</v>
      </c>
      <c r="BB7" s="5">
        <v>5.5729000000000001E-2</v>
      </c>
      <c r="BC7" s="5">
        <v>1.8501E-2</v>
      </c>
      <c r="BD7" s="5">
        <v>8.1939999999999999E-3</v>
      </c>
      <c r="BE7" s="5">
        <v>6.2665999999999998E-3</v>
      </c>
      <c r="BF7" s="5">
        <v>5.7086999999999997E-3</v>
      </c>
      <c r="BG7" s="5">
        <v>4.5780999999999999E-3</v>
      </c>
      <c r="BH7" s="5">
        <v>3.5758000000000001E-3</v>
      </c>
      <c r="BI7" s="5">
        <v>3.2678E-3</v>
      </c>
      <c r="BJ7" s="5">
        <v>2.9386999999999998E-3</v>
      </c>
    </row>
    <row r="8" spans="1:69">
      <c r="A8" s="7" t="s">
        <v>54</v>
      </c>
      <c r="B8" s="54">
        <v>45062</v>
      </c>
      <c r="C8" s="119">
        <v>2.5</v>
      </c>
      <c r="D8" s="59">
        <v>17.558804024541985</v>
      </c>
      <c r="E8" s="60" t="s">
        <v>52</v>
      </c>
      <c r="F8" s="177" t="s">
        <v>61</v>
      </c>
      <c r="G8" s="1">
        <v>6.34</v>
      </c>
      <c r="H8" s="27">
        <v>299.7</v>
      </c>
      <c r="I8" s="27">
        <v>76.8</v>
      </c>
      <c r="J8" s="1">
        <v>7.13</v>
      </c>
      <c r="K8">
        <v>19</v>
      </c>
      <c r="L8" s="1">
        <v>10.5</v>
      </c>
      <c r="M8" s="1">
        <v>0.08</v>
      </c>
      <c r="N8" s="32"/>
      <c r="O8" s="1">
        <v>6.5109999999999992</v>
      </c>
      <c r="P8" s="1">
        <v>6.0354999999999999</v>
      </c>
      <c r="Q8" s="1">
        <v>0.27544999999999997</v>
      </c>
      <c r="R8" s="34"/>
      <c r="S8" s="2">
        <v>0.2</v>
      </c>
      <c r="T8" s="1">
        <v>0.02</v>
      </c>
      <c r="U8">
        <v>1</v>
      </c>
      <c r="V8">
        <v>0.04</v>
      </c>
      <c r="W8" s="2">
        <v>2.7</v>
      </c>
      <c r="X8" s="27">
        <v>36</v>
      </c>
      <c r="Y8" s="1">
        <v>0.25280000000000002</v>
      </c>
      <c r="Z8" s="5">
        <v>0</v>
      </c>
      <c r="AA8" s="5">
        <v>4.7999999999999996E-3</v>
      </c>
      <c r="AB8" s="1">
        <v>1.3994</v>
      </c>
      <c r="AC8" s="1">
        <v>6.9599999999999995E-2</v>
      </c>
      <c r="AD8" s="1">
        <v>0.1905</v>
      </c>
      <c r="AE8" s="1">
        <v>0.40510000000000002</v>
      </c>
      <c r="AF8" s="5">
        <v>1.44E-2</v>
      </c>
      <c r="AG8" s="1">
        <v>0.70989999999999998</v>
      </c>
      <c r="AH8" s="35">
        <v>2.0000000000000001E-4</v>
      </c>
      <c r="AI8" s="5">
        <v>1.0500000000000001E-2</v>
      </c>
      <c r="AJ8" s="2">
        <v>3.5049999999999999</v>
      </c>
      <c r="AK8" s="29">
        <v>12.09090909090909</v>
      </c>
      <c r="AL8" s="5">
        <v>0.41925000000000001</v>
      </c>
      <c r="AM8" s="5">
        <v>0.24243999999999999</v>
      </c>
      <c r="AN8" s="5">
        <v>0.18135000000000001</v>
      </c>
      <c r="AO8" s="5">
        <v>4.7985E-2</v>
      </c>
      <c r="AP8" s="5">
        <v>1.2827E-2</v>
      </c>
      <c r="AQ8" s="5">
        <v>3.6644999999999998E-3</v>
      </c>
      <c r="AR8" s="5">
        <v>2.2263999999999999E-3</v>
      </c>
      <c r="AS8" s="5">
        <v>1.7619000000000001E-3</v>
      </c>
      <c r="AT8" s="5">
        <v>1.0047000000000001E-3</v>
      </c>
      <c r="AU8" s="5">
        <v>3.7955999999999998E-4</v>
      </c>
      <c r="AV8" s="5">
        <v>2.3842000000000001E-4</v>
      </c>
      <c r="AW8" s="5">
        <v>6.9140999999999994E-5</v>
      </c>
      <c r="AX8" s="9">
        <f t="shared" ref="AX8:AX62" si="0">AM8*100/P8</f>
        <v>4.0169000082843178</v>
      </c>
      <c r="AY8" s="5">
        <v>0.43683</v>
      </c>
      <c r="AZ8" s="5">
        <v>0.25641000000000003</v>
      </c>
      <c r="BA8" s="5">
        <v>0.19239000000000001</v>
      </c>
      <c r="BB8" s="5">
        <v>5.5733999999999999E-2</v>
      </c>
      <c r="BC8" s="5">
        <v>1.8225000000000002E-2</v>
      </c>
      <c r="BD8" s="5">
        <v>7.8248999999999992E-3</v>
      </c>
      <c r="BE8" s="5">
        <v>5.9857E-3</v>
      </c>
      <c r="BF8" s="5">
        <v>5.2886000000000001E-3</v>
      </c>
      <c r="BG8" s="5">
        <v>4.2132999999999997E-3</v>
      </c>
      <c r="BH8" s="5">
        <v>3.3121000000000001E-3</v>
      </c>
      <c r="BI8" s="5">
        <v>2.9650000000000002E-3</v>
      </c>
      <c r="BJ8" s="5">
        <v>2.4905000000000001E-3</v>
      </c>
    </row>
    <row r="9" spans="1:69">
      <c r="A9" s="7" t="s">
        <v>54</v>
      </c>
      <c r="B9" s="54">
        <v>45062</v>
      </c>
      <c r="C9" s="119">
        <v>5</v>
      </c>
      <c r="D9" s="59">
        <v>17.155873973706193</v>
      </c>
      <c r="E9" s="60" t="s">
        <v>52</v>
      </c>
      <c r="F9" s="177" t="s">
        <v>61</v>
      </c>
      <c r="G9" s="1">
        <v>6.2</v>
      </c>
      <c r="H9" s="27">
        <v>313.5</v>
      </c>
      <c r="I9" s="27">
        <v>76.099999999999994</v>
      </c>
      <c r="J9" s="1">
        <v>7.08</v>
      </c>
      <c r="K9">
        <v>19</v>
      </c>
      <c r="L9" s="1">
        <v>10.46</v>
      </c>
      <c r="M9" s="1">
        <v>0.09</v>
      </c>
      <c r="N9" s="32"/>
      <c r="O9" s="1">
        <v>6.4740000000000002</v>
      </c>
      <c r="P9" s="1">
        <v>5.9954999999999998</v>
      </c>
      <c r="Q9" s="1">
        <v>0.22005</v>
      </c>
      <c r="R9" s="34"/>
      <c r="S9" s="2">
        <v>0.3</v>
      </c>
      <c r="T9" s="1">
        <v>0</v>
      </c>
      <c r="U9">
        <v>2</v>
      </c>
      <c r="V9">
        <v>0.06</v>
      </c>
      <c r="W9" s="2">
        <v>1.9</v>
      </c>
      <c r="X9" s="27">
        <v>34</v>
      </c>
      <c r="Y9" s="1">
        <v>0.2424</v>
      </c>
      <c r="Z9" s="5">
        <v>5.9999999999999995E-4</v>
      </c>
      <c r="AA9" s="5">
        <v>4.5999999999999999E-3</v>
      </c>
      <c r="AB9" s="1">
        <v>1.3593999999999999</v>
      </c>
      <c r="AC9" s="1">
        <v>6.1800000000000001E-2</v>
      </c>
      <c r="AD9" s="1">
        <v>0.1817</v>
      </c>
      <c r="AE9" s="1">
        <v>0.39069999999999999</v>
      </c>
      <c r="AF9" s="5">
        <v>1.38E-2</v>
      </c>
      <c r="AG9" s="1">
        <v>0.69089999999999996</v>
      </c>
      <c r="AH9" s="35">
        <v>0</v>
      </c>
      <c r="AI9" s="5">
        <v>9.7000000000000003E-3</v>
      </c>
      <c r="AJ9" s="2">
        <v>3.4390000000000001</v>
      </c>
      <c r="AK9" s="29">
        <v>12.09090909090909</v>
      </c>
      <c r="AL9" s="5">
        <v>0.39577000000000001</v>
      </c>
      <c r="AM9" s="5">
        <v>0.23780000000000001</v>
      </c>
      <c r="AN9" s="5">
        <v>0.17735999999999999</v>
      </c>
      <c r="AO9" s="5">
        <v>4.6733999999999998E-2</v>
      </c>
      <c r="AP9" s="5">
        <v>1.2503E-2</v>
      </c>
      <c r="AQ9" s="5">
        <v>3.6283000000000001E-3</v>
      </c>
      <c r="AR9" s="5">
        <v>2.1391000000000001E-3</v>
      </c>
      <c r="AS9" s="5">
        <v>1.6837E-3</v>
      </c>
      <c r="AT9" s="5">
        <v>1.0839000000000001E-3</v>
      </c>
      <c r="AU9" s="5">
        <v>4.5251999999999998E-4</v>
      </c>
      <c r="AV9" s="5">
        <v>2.141E-4</v>
      </c>
      <c r="AW9" s="5">
        <v>6.6756999999999998E-5</v>
      </c>
      <c r="AX9" s="9">
        <f t="shared" si="0"/>
        <v>3.9663080643816198</v>
      </c>
      <c r="AY9" s="5">
        <v>0.42302000000000001</v>
      </c>
      <c r="AZ9" s="5">
        <v>0.25641999999999998</v>
      </c>
      <c r="BA9" s="5">
        <v>0.19263</v>
      </c>
      <c r="BB9" s="5">
        <v>5.5794999999999997E-2</v>
      </c>
      <c r="BC9" s="5">
        <v>1.8550000000000001E-2</v>
      </c>
      <c r="BD9" s="5">
        <v>8.2693000000000003E-3</v>
      </c>
      <c r="BE9" s="5">
        <v>6.1888999999999998E-3</v>
      </c>
      <c r="BF9" s="5">
        <v>5.5922999999999997E-3</v>
      </c>
      <c r="BG9" s="5">
        <v>4.5523999999999998E-3</v>
      </c>
      <c r="BH9" s="5">
        <v>3.5758000000000001E-3</v>
      </c>
      <c r="BI9" s="5">
        <v>3.2615999999999999E-3</v>
      </c>
      <c r="BJ9" s="5">
        <v>2.7169999999999998E-3</v>
      </c>
    </row>
    <row r="10" spans="1:69">
      <c r="A10" s="7" t="s">
        <v>54</v>
      </c>
      <c r="B10" s="54">
        <v>45062</v>
      </c>
      <c r="C10" s="119">
        <v>7.5</v>
      </c>
      <c r="D10" s="59">
        <v>17.7526341798064</v>
      </c>
      <c r="E10" s="60" t="s">
        <v>52</v>
      </c>
      <c r="F10" s="177" t="s">
        <v>61</v>
      </c>
      <c r="G10" s="1">
        <v>6.09</v>
      </c>
      <c r="H10" s="27">
        <v>325.3</v>
      </c>
      <c r="I10" s="27">
        <v>73.900000000000006</v>
      </c>
      <c r="J10" s="1">
        <v>7.12</v>
      </c>
      <c r="K10">
        <v>21</v>
      </c>
      <c r="L10" s="1">
        <v>8.99</v>
      </c>
      <c r="M10" s="1">
        <v>0.1</v>
      </c>
      <c r="N10" s="32"/>
      <c r="O10" s="1">
        <v>6.1025</v>
      </c>
      <c r="P10" s="1">
        <v>6.0109999999999992</v>
      </c>
      <c r="Q10" s="1">
        <v>0.22425</v>
      </c>
      <c r="R10" s="34">
        <v>0</v>
      </c>
      <c r="S10" s="2">
        <v>0.3</v>
      </c>
      <c r="T10" s="1">
        <v>0.02</v>
      </c>
      <c r="U10">
        <v>1</v>
      </c>
      <c r="V10">
        <v>0.03</v>
      </c>
      <c r="W10" s="2">
        <v>9.8000000000000007</v>
      </c>
      <c r="X10" s="27">
        <v>34</v>
      </c>
      <c r="Y10" s="1">
        <v>0.25829999999999997</v>
      </c>
      <c r="Z10" s="5">
        <v>5.9999999999999995E-4</v>
      </c>
      <c r="AA10" s="5">
        <v>4.8999999999999998E-3</v>
      </c>
      <c r="AB10" s="1">
        <v>1.4051</v>
      </c>
      <c r="AC10" s="1">
        <v>7.2999999999999995E-2</v>
      </c>
      <c r="AD10" s="1">
        <v>0.18909999999999999</v>
      </c>
      <c r="AE10" s="1">
        <v>0.4083</v>
      </c>
      <c r="AF10" s="5">
        <v>1.47E-2</v>
      </c>
      <c r="AG10" s="1">
        <v>0.71789999999999998</v>
      </c>
      <c r="AH10" s="35">
        <v>1E-4</v>
      </c>
      <c r="AI10" s="5">
        <v>4.4999999999999997E-3</v>
      </c>
      <c r="AJ10" s="2">
        <v>3.5960000000000001</v>
      </c>
      <c r="AK10" s="29">
        <v>11.787878787878789</v>
      </c>
      <c r="AL10" s="5">
        <v>0.40533000000000002</v>
      </c>
      <c r="AM10" s="5">
        <v>0.23971000000000001</v>
      </c>
      <c r="AN10" s="5">
        <v>0.17863999999999999</v>
      </c>
      <c r="AO10" s="5">
        <v>4.7820000000000001E-2</v>
      </c>
      <c r="AP10" s="5">
        <v>1.3036000000000001E-2</v>
      </c>
      <c r="AQ10" s="5">
        <v>3.7422000000000002E-3</v>
      </c>
      <c r="AR10" s="5">
        <v>2.2888000000000001E-3</v>
      </c>
      <c r="AS10" s="5">
        <v>1.8010000000000001E-3</v>
      </c>
      <c r="AT10" s="5">
        <v>1.0303999999999999E-3</v>
      </c>
      <c r="AU10" s="5">
        <v>3.8147000000000002E-4</v>
      </c>
      <c r="AV10" s="5">
        <v>1.5736E-4</v>
      </c>
      <c r="AW10" s="5">
        <v>-3.8147000000000001E-6</v>
      </c>
      <c r="AX10" s="9">
        <f t="shared" si="0"/>
        <v>3.9878555980702051</v>
      </c>
      <c r="AY10" s="5">
        <v>0.42675999999999997</v>
      </c>
      <c r="AZ10" s="5">
        <v>0.25546999999999997</v>
      </c>
      <c r="BA10" s="5">
        <v>0.19148999999999999</v>
      </c>
      <c r="BB10" s="5">
        <v>5.5114000000000003E-2</v>
      </c>
      <c r="BC10" s="5">
        <v>1.7704999999999999E-2</v>
      </c>
      <c r="BD10" s="5">
        <v>7.2240999999999998E-3</v>
      </c>
      <c r="BE10" s="5">
        <v>5.3267000000000002E-3</v>
      </c>
      <c r="BF10" s="5">
        <v>4.6553999999999996E-3</v>
      </c>
      <c r="BG10" s="5">
        <v>3.6911999999999999E-3</v>
      </c>
      <c r="BH10" s="5">
        <v>2.6951000000000002E-3</v>
      </c>
      <c r="BI10" s="5">
        <v>2.3254999999999999E-3</v>
      </c>
      <c r="BJ10" s="5">
        <v>1.9941E-3</v>
      </c>
    </row>
    <row r="11" spans="1:69">
      <c r="A11" s="7" t="s">
        <v>54</v>
      </c>
      <c r="B11" s="54">
        <v>45062</v>
      </c>
      <c r="C11" s="119">
        <v>8</v>
      </c>
      <c r="D11" s="59">
        <v>17.85567713490795</v>
      </c>
      <c r="E11" s="60" t="s">
        <v>52</v>
      </c>
      <c r="F11" s="177" t="s">
        <v>61</v>
      </c>
      <c r="G11" s="1">
        <v>5.71</v>
      </c>
      <c r="H11" s="27">
        <v>340.8</v>
      </c>
      <c r="I11" s="27">
        <v>72.5</v>
      </c>
      <c r="J11" s="1">
        <v>7.19</v>
      </c>
      <c r="K11">
        <v>20</v>
      </c>
      <c r="L11" s="1">
        <v>7.79</v>
      </c>
      <c r="M11" s="1">
        <v>0.1</v>
      </c>
      <c r="N11" s="32"/>
      <c r="O11" s="1">
        <v>6.508</v>
      </c>
      <c r="P11" s="1">
        <v>5.9544999999999995</v>
      </c>
      <c r="Q11" s="1">
        <v>0.36619999999999997</v>
      </c>
      <c r="R11" s="34"/>
      <c r="S11" s="2">
        <v>0.2</v>
      </c>
      <c r="T11" s="1">
        <v>0.04</v>
      </c>
      <c r="U11">
        <v>1</v>
      </c>
      <c r="V11">
        <v>0.03</v>
      </c>
      <c r="W11" s="2">
        <v>14</v>
      </c>
      <c r="X11" s="27">
        <v>35</v>
      </c>
      <c r="Y11" s="1">
        <v>0.25159999999999999</v>
      </c>
      <c r="Z11" s="5">
        <v>0</v>
      </c>
      <c r="AA11" s="5">
        <v>5.0000000000000001E-3</v>
      </c>
      <c r="AB11" s="1">
        <v>1.4867999999999999</v>
      </c>
      <c r="AC11" s="1">
        <v>7.1900000000000006E-2</v>
      </c>
      <c r="AD11" s="1">
        <v>0.22889999999999999</v>
      </c>
      <c r="AE11" s="1">
        <v>0.42409999999999998</v>
      </c>
      <c r="AF11" s="5">
        <v>1.55E-2</v>
      </c>
      <c r="AG11" s="1">
        <v>0.73</v>
      </c>
      <c r="AH11" s="35">
        <v>2.9999999999999997E-4</v>
      </c>
      <c r="AI11" s="5">
        <v>7.3000000000000001E-3</v>
      </c>
      <c r="AJ11" s="2">
        <v>3.63</v>
      </c>
      <c r="AK11" s="29">
        <v>26.939393939393938</v>
      </c>
      <c r="AL11" s="5">
        <v>0.42609000000000002</v>
      </c>
      <c r="AM11" s="5">
        <v>0.24481</v>
      </c>
      <c r="AN11" s="5">
        <v>0.18307000000000001</v>
      </c>
      <c r="AO11" s="5">
        <v>4.8529000000000003E-2</v>
      </c>
      <c r="AP11" s="5">
        <v>1.3143E-2</v>
      </c>
      <c r="AQ11" s="5">
        <v>3.7198000000000001E-3</v>
      </c>
      <c r="AR11" s="5">
        <v>2.1310000000000001E-3</v>
      </c>
      <c r="AS11" s="5">
        <v>1.7099000000000001E-3</v>
      </c>
      <c r="AT11" s="5">
        <v>9.5177E-4</v>
      </c>
      <c r="AU11" s="5">
        <v>2.1981999999999999E-4</v>
      </c>
      <c r="AV11" s="5">
        <v>-2.3842E-5</v>
      </c>
      <c r="AW11" s="5">
        <v>-1.1301E-4</v>
      </c>
      <c r="AX11" s="9">
        <f t="shared" si="0"/>
        <v>4.1113443614073395</v>
      </c>
      <c r="AY11" s="5">
        <v>0.46539000000000003</v>
      </c>
      <c r="AZ11" s="5">
        <v>0.27628000000000003</v>
      </c>
      <c r="BA11" s="5">
        <v>0.21151</v>
      </c>
      <c r="BB11" s="5">
        <v>6.8347000000000005E-2</v>
      </c>
      <c r="BC11" s="5">
        <v>2.8219000000000001E-2</v>
      </c>
      <c r="BD11" s="5">
        <v>1.5980999999999999E-2</v>
      </c>
      <c r="BE11" s="5">
        <v>1.3412E-2</v>
      </c>
      <c r="BF11" s="5">
        <v>1.2342000000000001E-2</v>
      </c>
      <c r="BG11" s="5">
        <v>1.0876E-2</v>
      </c>
      <c r="BH11" s="5">
        <v>9.2753999999999996E-3</v>
      </c>
      <c r="BI11" s="5">
        <v>8.5515999999999995E-3</v>
      </c>
      <c r="BJ11" s="5">
        <v>7.6685E-3</v>
      </c>
    </row>
    <row r="12" spans="1:69">
      <c r="A12" t="s">
        <v>54</v>
      </c>
      <c r="B12" s="54">
        <v>45083</v>
      </c>
      <c r="C12" s="119">
        <v>0</v>
      </c>
      <c r="D12" s="59">
        <v>17.201710998766099</v>
      </c>
      <c r="E12" s="60" t="s">
        <v>60</v>
      </c>
      <c r="F12" s="177" t="s">
        <v>51</v>
      </c>
      <c r="G12" s="8">
        <v>6.89</v>
      </c>
      <c r="H12" s="31">
        <v>266.89999999999998</v>
      </c>
      <c r="I12" s="31">
        <v>73.5</v>
      </c>
      <c r="J12" s="8">
        <v>6.1</v>
      </c>
      <c r="K12" s="10">
        <v>20</v>
      </c>
      <c r="L12" s="8">
        <v>16.2</v>
      </c>
      <c r="M12" s="8">
        <v>0.1</v>
      </c>
      <c r="N12" s="24"/>
      <c r="O12" s="11">
        <v>18.369999999999997</v>
      </c>
      <c r="P12" s="11">
        <v>17.78</v>
      </c>
      <c r="Q12" s="1">
        <v>0.27690000000000003</v>
      </c>
      <c r="R12" s="34">
        <v>4</v>
      </c>
      <c r="S12" s="9">
        <v>0.3</v>
      </c>
      <c r="T12" s="8">
        <v>0.02</v>
      </c>
      <c r="U12" s="10">
        <v>1</v>
      </c>
      <c r="V12" s="10">
        <v>0.03</v>
      </c>
      <c r="W12" s="9">
        <v>1</v>
      </c>
      <c r="X12" s="31">
        <v>27</v>
      </c>
      <c r="Y12" s="1">
        <v>0.21659999999999999</v>
      </c>
      <c r="Z12" s="5">
        <v>2.5999999999999999E-3</v>
      </c>
      <c r="AA12" s="5">
        <v>3.5000000000000001E-3</v>
      </c>
      <c r="AB12" s="1">
        <v>1.1909000000000001</v>
      </c>
      <c r="AC12" s="1">
        <v>5.2400000000000002E-2</v>
      </c>
      <c r="AD12" s="1">
        <v>0.60399999999999998</v>
      </c>
      <c r="AE12" s="1">
        <v>0.3629</v>
      </c>
      <c r="AF12" s="5">
        <v>1.17E-2</v>
      </c>
      <c r="AG12" s="1">
        <v>0.68899999999999995</v>
      </c>
      <c r="AH12" s="35">
        <v>1E-4</v>
      </c>
      <c r="AI12" s="5">
        <v>8.3000000000000001E-3</v>
      </c>
      <c r="AJ12" s="2">
        <v>3.5350000000000001</v>
      </c>
      <c r="AK12" s="2">
        <v>7.2424242424242431</v>
      </c>
      <c r="AL12" s="5">
        <v>0.35854000000000003</v>
      </c>
      <c r="AM12" s="5">
        <v>0.21548</v>
      </c>
      <c r="AN12" s="5">
        <v>0.1598</v>
      </c>
      <c r="AO12" s="5">
        <v>4.1273999999999998E-2</v>
      </c>
      <c r="AP12" s="5">
        <v>1.1743999999999999E-2</v>
      </c>
      <c r="AQ12" s="5">
        <v>4.4818000000000002E-3</v>
      </c>
      <c r="AR12" s="18">
        <v>2.0294000000000002E-3</v>
      </c>
      <c r="AS12" s="5">
        <v>2.7523000000000001E-3</v>
      </c>
      <c r="AT12" s="5">
        <v>2.3135999999999999E-3</v>
      </c>
      <c r="AU12" s="5">
        <v>1.8449E-3</v>
      </c>
      <c r="AV12" s="5">
        <v>1.6298E-3</v>
      </c>
      <c r="AW12" s="5">
        <v>1.4319000000000001E-3</v>
      </c>
      <c r="AX12" s="24">
        <f t="shared" si="0"/>
        <v>1.2119235095613048</v>
      </c>
      <c r="AY12" s="5">
        <v>0.37669000000000002</v>
      </c>
      <c r="AZ12" s="5">
        <v>0.22811999999999999</v>
      </c>
      <c r="BA12" s="5">
        <v>0.17032</v>
      </c>
      <c r="BB12" s="5">
        <v>4.6398000000000002E-2</v>
      </c>
      <c r="BC12" s="5">
        <v>1.4675000000000001E-2</v>
      </c>
      <c r="BD12" s="5">
        <v>5.9052000000000002E-3</v>
      </c>
      <c r="BE12" s="13">
        <v>6.2665999999999998E-3</v>
      </c>
      <c r="BF12" s="5">
        <v>3.3668999999999999E-3</v>
      </c>
      <c r="BG12" s="5">
        <v>2.4656999999999999E-3</v>
      </c>
      <c r="BH12" s="5">
        <v>1.688E-3</v>
      </c>
      <c r="BI12" s="5">
        <v>1.3132E-3</v>
      </c>
      <c r="BJ12" s="5">
        <v>9.3174000000000002E-4</v>
      </c>
      <c r="BK12" s="27"/>
      <c r="BL12" s="28"/>
      <c r="BM12" s="2"/>
      <c r="BN12" s="1"/>
      <c r="BQ12" s="2"/>
    </row>
    <row r="13" spans="1:69">
      <c r="A13" t="s">
        <v>54</v>
      </c>
      <c r="B13" s="54">
        <v>45083</v>
      </c>
      <c r="C13" s="119">
        <v>2.5</v>
      </c>
      <c r="D13" s="59">
        <v>17.592670796749058</v>
      </c>
      <c r="E13" s="60" t="s">
        <v>60</v>
      </c>
      <c r="F13" s="177" t="s">
        <v>51</v>
      </c>
      <c r="G13" s="8">
        <v>6.74</v>
      </c>
      <c r="H13" s="31">
        <v>283</v>
      </c>
      <c r="I13" s="31">
        <v>73.099999999999994</v>
      </c>
      <c r="J13" s="8">
        <v>6.08</v>
      </c>
      <c r="K13" s="10">
        <v>21</v>
      </c>
      <c r="L13" s="8">
        <v>16.079999999999998</v>
      </c>
      <c r="M13" s="8">
        <v>0.1</v>
      </c>
      <c r="N13" s="24"/>
      <c r="O13" s="11">
        <v>17.844999999999999</v>
      </c>
      <c r="P13" s="11">
        <v>17.604999999999997</v>
      </c>
      <c r="Q13" s="1">
        <v>0.28649999999999998</v>
      </c>
      <c r="R13" s="34"/>
      <c r="S13" s="9">
        <v>0.2</v>
      </c>
      <c r="T13" s="8">
        <v>0.01</v>
      </c>
      <c r="U13" s="10">
        <v>3</v>
      </c>
      <c r="V13" s="10">
        <v>0.03</v>
      </c>
      <c r="W13" s="9">
        <v>0.9</v>
      </c>
      <c r="X13" s="31">
        <v>27</v>
      </c>
      <c r="Y13" s="1">
        <v>0.21870000000000001</v>
      </c>
      <c r="Z13" s="5">
        <v>6.9999999999999999E-4</v>
      </c>
      <c r="AA13" s="5">
        <v>3.5999999999999999E-3</v>
      </c>
      <c r="AB13" s="1">
        <v>1.1607000000000001</v>
      </c>
      <c r="AC13" s="1">
        <v>4.9399999999999999E-2</v>
      </c>
      <c r="AD13" s="1">
        <v>0.56930000000000003</v>
      </c>
      <c r="AE13" s="1">
        <v>0.36599999999999999</v>
      </c>
      <c r="AF13" s="5">
        <v>1.15E-2</v>
      </c>
      <c r="AG13" s="1">
        <v>0.68769999999999998</v>
      </c>
      <c r="AH13" s="35">
        <v>0</v>
      </c>
      <c r="AI13" s="5">
        <v>4.3E-3</v>
      </c>
      <c r="AJ13" s="2">
        <v>3.605</v>
      </c>
      <c r="AK13" s="2">
        <v>7.2424242424242431</v>
      </c>
      <c r="AL13" s="5">
        <v>0.36225000000000002</v>
      </c>
      <c r="AM13" s="5">
        <v>0.21664</v>
      </c>
      <c r="AN13" s="5">
        <v>0.16098999999999999</v>
      </c>
      <c r="AO13" s="5">
        <v>4.2105999999999998E-2</v>
      </c>
      <c r="AP13" s="5">
        <v>1.2232E-2</v>
      </c>
      <c r="AQ13" s="5">
        <v>4.8970999999999997E-3</v>
      </c>
      <c r="AR13" s="18">
        <v>2.2263999999999999E-3</v>
      </c>
      <c r="AS13" s="5">
        <v>3.3283000000000002E-3</v>
      </c>
      <c r="AT13" s="5">
        <v>2.9206000000000002E-3</v>
      </c>
      <c r="AU13" s="5">
        <v>2.4461999999999999E-3</v>
      </c>
      <c r="AV13" s="5">
        <v>2.1925E-3</v>
      </c>
      <c r="AW13" s="5">
        <v>2.0823E-3</v>
      </c>
      <c r="AX13" s="24">
        <f t="shared" si="0"/>
        <v>1.2305595001420053</v>
      </c>
      <c r="AY13" s="5">
        <v>0.37580000000000002</v>
      </c>
      <c r="AZ13" s="5">
        <v>0.22993</v>
      </c>
      <c r="BA13" s="5">
        <v>0.17174</v>
      </c>
      <c r="BB13" s="5">
        <v>4.7331999999999999E-2</v>
      </c>
      <c r="BC13" s="5">
        <v>1.5076000000000001E-2</v>
      </c>
      <c r="BD13" s="5">
        <v>6.2351000000000004E-3</v>
      </c>
      <c r="BE13" s="13">
        <v>5.9857E-3</v>
      </c>
      <c r="BF13" s="5">
        <v>3.8346999999999999E-3</v>
      </c>
      <c r="BG13" s="5">
        <v>3.0198E-3</v>
      </c>
      <c r="BH13" s="5">
        <v>2.1733999999999998E-3</v>
      </c>
      <c r="BI13" s="5">
        <v>1.7761999999999999E-3</v>
      </c>
      <c r="BJ13" s="5">
        <v>1.4648E-3</v>
      </c>
      <c r="BK13" s="27"/>
      <c r="BL13" s="28"/>
      <c r="BM13" s="2"/>
      <c r="BN13" s="1"/>
      <c r="BQ13" s="2"/>
    </row>
    <row r="14" spans="1:69">
      <c r="A14" t="s">
        <v>54</v>
      </c>
      <c r="B14" s="54">
        <v>45083</v>
      </c>
      <c r="C14" s="119">
        <v>5</v>
      </c>
      <c r="D14" s="59">
        <v>17.742728183749733</v>
      </c>
      <c r="E14" s="60" t="s">
        <v>60</v>
      </c>
      <c r="F14" s="177" t="s">
        <v>51</v>
      </c>
      <c r="G14" s="8">
        <v>6.64</v>
      </c>
      <c r="H14" s="31">
        <v>296.10000000000002</v>
      </c>
      <c r="I14" s="31">
        <v>75</v>
      </c>
      <c r="J14" s="8">
        <v>6.79</v>
      </c>
      <c r="K14" s="10">
        <v>24</v>
      </c>
      <c r="L14" s="8">
        <v>12.24</v>
      </c>
      <c r="M14" s="8">
        <v>0.1</v>
      </c>
      <c r="N14" s="24"/>
      <c r="O14" s="11">
        <v>16.745000000000001</v>
      </c>
      <c r="P14" s="11">
        <v>16.954999999999998</v>
      </c>
      <c r="Q14" s="1">
        <v>0.24680000000000002</v>
      </c>
      <c r="R14" s="34"/>
      <c r="S14" s="9">
        <v>0.2</v>
      </c>
      <c r="T14" s="8">
        <v>0.02</v>
      </c>
      <c r="U14" s="10">
        <v>1</v>
      </c>
      <c r="V14" s="10">
        <v>0.03</v>
      </c>
      <c r="W14" s="9">
        <v>0.9</v>
      </c>
      <c r="X14" s="31">
        <v>28</v>
      </c>
      <c r="Y14" s="1">
        <v>0.21410000000000001</v>
      </c>
      <c r="Z14" s="5">
        <v>2.3E-3</v>
      </c>
      <c r="AA14" s="5">
        <v>3.8E-3</v>
      </c>
      <c r="AB14" s="1">
        <v>1.2753000000000001</v>
      </c>
      <c r="AC14" s="1">
        <v>6.2899999999999998E-2</v>
      </c>
      <c r="AD14" s="1">
        <v>0.5605</v>
      </c>
      <c r="AE14" s="1">
        <v>0.38329999999999997</v>
      </c>
      <c r="AF14" s="5">
        <v>1.1599999999999999E-2</v>
      </c>
      <c r="AG14" s="1">
        <v>0.71589999999999998</v>
      </c>
      <c r="AH14" s="35">
        <v>0</v>
      </c>
      <c r="AI14" s="5">
        <v>6.4999999999999997E-3</v>
      </c>
      <c r="AJ14" s="2">
        <v>3.7269999999999999</v>
      </c>
      <c r="AK14" s="2">
        <v>6.9393939393939394</v>
      </c>
      <c r="AL14" s="5">
        <v>0.36276000000000003</v>
      </c>
      <c r="AM14" s="5">
        <v>0.21174999999999999</v>
      </c>
      <c r="AN14" s="5">
        <v>0.15841</v>
      </c>
      <c r="AO14" s="5">
        <v>4.2604000000000003E-2</v>
      </c>
      <c r="AP14" s="5">
        <v>1.2930000000000001E-2</v>
      </c>
      <c r="AQ14" s="5">
        <v>5.4698000000000004E-3</v>
      </c>
      <c r="AR14" s="18">
        <v>2.1391000000000001E-3</v>
      </c>
      <c r="AS14" s="5">
        <v>3.6649999999999999E-3</v>
      </c>
      <c r="AT14" s="5">
        <v>3.2973E-3</v>
      </c>
      <c r="AU14" s="5">
        <v>2.8062E-3</v>
      </c>
      <c r="AV14" s="5">
        <v>2.5630000000000002E-3</v>
      </c>
      <c r="AW14" s="5">
        <v>2.3804E-3</v>
      </c>
      <c r="AX14" s="24">
        <f t="shared" si="0"/>
        <v>1.2488941315246243</v>
      </c>
      <c r="AY14" s="5">
        <v>0.37280999999999997</v>
      </c>
      <c r="AZ14" s="5">
        <v>0.2248</v>
      </c>
      <c r="BA14" s="5">
        <v>0.16883999999999999</v>
      </c>
      <c r="BB14" s="5">
        <v>4.6955999999999998E-2</v>
      </c>
      <c r="BC14" s="5">
        <v>1.4564000000000001E-2</v>
      </c>
      <c r="BD14" s="5">
        <v>5.6458000000000003E-3</v>
      </c>
      <c r="BE14" s="13">
        <v>6.1888999999999998E-3</v>
      </c>
      <c r="BF14" s="5">
        <v>3.2004999999999998E-3</v>
      </c>
      <c r="BG14" s="5">
        <v>2.3565000000000001E-3</v>
      </c>
      <c r="BH14" s="5">
        <v>1.5845E-3</v>
      </c>
      <c r="BI14" s="5">
        <v>1.1797000000000001E-3</v>
      </c>
      <c r="BJ14" s="5">
        <v>8.5592000000000003E-4</v>
      </c>
      <c r="BK14" s="27"/>
      <c r="BL14" s="28"/>
      <c r="BM14" s="2"/>
      <c r="BN14" s="1"/>
      <c r="BQ14" s="2"/>
    </row>
    <row r="15" spans="1:69">
      <c r="A15" t="s">
        <v>54</v>
      </c>
      <c r="B15" s="54">
        <v>45083</v>
      </c>
      <c r="C15" s="119">
        <v>7.5</v>
      </c>
      <c r="D15" s="59">
        <v>18.83977386863798</v>
      </c>
      <c r="E15" s="60" t="s">
        <v>60</v>
      </c>
      <c r="F15" s="177" t="s">
        <v>51</v>
      </c>
      <c r="G15" s="8">
        <v>6.37</v>
      </c>
      <c r="H15" s="31">
        <v>313.5</v>
      </c>
      <c r="I15" s="31">
        <v>70.099999999999994</v>
      </c>
      <c r="J15" s="8">
        <v>6.79</v>
      </c>
      <c r="K15" s="10">
        <v>26</v>
      </c>
      <c r="L15" s="8">
        <v>9.32</v>
      </c>
      <c r="M15" s="8">
        <v>0.1</v>
      </c>
      <c r="N15" s="24"/>
      <c r="O15" s="11">
        <v>17.524999999999999</v>
      </c>
      <c r="P15" s="11">
        <v>16.835000000000001</v>
      </c>
      <c r="Q15" s="1">
        <v>0.26875000000000004</v>
      </c>
      <c r="R15" s="34"/>
      <c r="S15" s="9">
        <v>0.3</v>
      </c>
      <c r="T15" s="8">
        <v>0.02</v>
      </c>
      <c r="U15" s="10">
        <v>4</v>
      </c>
      <c r="V15" s="10">
        <v>0.02</v>
      </c>
      <c r="W15" s="9">
        <v>0.9</v>
      </c>
      <c r="X15" s="31">
        <v>32</v>
      </c>
      <c r="Y15" s="1">
        <v>0.251</v>
      </c>
      <c r="Z15" s="5">
        <v>2.8999999999999998E-3</v>
      </c>
      <c r="AA15" s="5">
        <v>5.1999999999999998E-3</v>
      </c>
      <c r="AB15" s="1">
        <v>1.5156000000000001</v>
      </c>
      <c r="AC15" s="1">
        <v>8.48E-2</v>
      </c>
      <c r="AD15" s="1">
        <v>0.25700000000000001</v>
      </c>
      <c r="AE15" s="1">
        <v>0.42909999999999998</v>
      </c>
      <c r="AF15" s="5">
        <v>1.7899999999999999E-2</v>
      </c>
      <c r="AG15" s="1">
        <v>0.71340000000000003</v>
      </c>
      <c r="AH15" s="35">
        <v>2.9999999999999997E-4</v>
      </c>
      <c r="AI15" s="5">
        <v>8.9999999999999993E-3</v>
      </c>
      <c r="AJ15" s="2">
        <v>3.6520000000000001</v>
      </c>
      <c r="AK15" s="2">
        <v>6.9393939393939394</v>
      </c>
      <c r="AL15" s="5">
        <v>0.39134000000000002</v>
      </c>
      <c r="AM15" s="5">
        <v>0.22999</v>
      </c>
      <c r="AN15" s="5">
        <v>0.17196</v>
      </c>
      <c r="AO15" s="5">
        <v>4.6253000000000002E-2</v>
      </c>
      <c r="AP15" s="5">
        <v>1.2782999999999999E-2</v>
      </c>
      <c r="AQ15" s="5">
        <v>4.1765999999999999E-3</v>
      </c>
      <c r="AR15" s="18">
        <v>2.2888000000000001E-3</v>
      </c>
      <c r="AS15" s="5">
        <v>2.2192000000000002E-3</v>
      </c>
      <c r="AT15" s="5">
        <v>1.6589E-3</v>
      </c>
      <c r="AU15" s="5">
        <v>1.0896E-3</v>
      </c>
      <c r="AV15" s="5">
        <v>9.4271000000000003E-4</v>
      </c>
      <c r="AW15" s="5">
        <v>7.3957000000000005E-4</v>
      </c>
      <c r="AX15" s="24">
        <f t="shared" si="0"/>
        <v>1.366141966141966</v>
      </c>
      <c r="AY15" s="5">
        <v>0.41214000000000001</v>
      </c>
      <c r="AZ15" s="5">
        <v>0.24473</v>
      </c>
      <c r="BA15" s="5">
        <v>0.18415999999999999</v>
      </c>
      <c r="BB15" s="5">
        <v>5.2110999999999998E-2</v>
      </c>
      <c r="BC15" s="5">
        <v>1.5783999999999999E-2</v>
      </c>
      <c r="BD15" s="5">
        <v>5.6949000000000001E-3</v>
      </c>
      <c r="BE15" s="13">
        <v>5.3267000000000002E-3</v>
      </c>
      <c r="BF15" s="5">
        <v>3.0312999999999998E-3</v>
      </c>
      <c r="BG15" s="5">
        <v>2.0933000000000002E-3</v>
      </c>
      <c r="BH15" s="5">
        <v>1.2059E-3</v>
      </c>
      <c r="BI15" s="5">
        <v>8.2397000000000004E-4</v>
      </c>
      <c r="BJ15" s="5">
        <v>4.9591000000000001E-4</v>
      </c>
      <c r="BK15" s="27"/>
      <c r="BL15" s="28"/>
      <c r="BM15" s="2"/>
      <c r="BN15" s="1"/>
      <c r="BQ15" s="2"/>
    </row>
    <row r="16" spans="1:69">
      <c r="A16" t="s">
        <v>54</v>
      </c>
      <c r="B16" s="54">
        <v>45083</v>
      </c>
      <c r="C16" s="120">
        <v>10</v>
      </c>
      <c r="D16" s="59">
        <v>19.132427212194841</v>
      </c>
      <c r="E16" s="60" t="s">
        <v>60</v>
      </c>
      <c r="F16" s="177" t="s">
        <v>51</v>
      </c>
      <c r="G16" s="8">
        <v>6.01</v>
      </c>
      <c r="H16" s="31">
        <v>318.89999999999998</v>
      </c>
      <c r="I16" s="31">
        <v>66.599999999999994</v>
      </c>
      <c r="J16" s="8">
        <v>6.65</v>
      </c>
      <c r="K16" s="10">
        <v>28</v>
      </c>
      <c r="L16" s="8">
        <v>8.0299999999999994</v>
      </c>
      <c r="M16" s="8">
        <v>0.1</v>
      </c>
      <c r="N16" s="24"/>
      <c r="O16" s="11">
        <v>19.16</v>
      </c>
      <c r="P16" s="11">
        <v>18.920000000000002</v>
      </c>
      <c r="Q16" s="1">
        <v>0.30069999999999997</v>
      </c>
      <c r="R16" s="34"/>
      <c r="S16" s="9">
        <v>0.2</v>
      </c>
      <c r="T16" s="8">
        <v>0.02</v>
      </c>
      <c r="U16" s="10">
        <v>2</v>
      </c>
      <c r="V16" s="10">
        <v>0.03</v>
      </c>
      <c r="W16" s="9">
        <v>0.9</v>
      </c>
      <c r="X16" s="31">
        <v>32</v>
      </c>
      <c r="Y16" s="1">
        <v>0.26550000000000001</v>
      </c>
      <c r="Z16" s="5">
        <v>2.5000000000000001E-3</v>
      </c>
      <c r="AA16" s="5">
        <v>5.3E-3</v>
      </c>
      <c r="AB16" s="1">
        <v>1.3419000000000001</v>
      </c>
      <c r="AC16" s="1">
        <v>9.5899999999999999E-2</v>
      </c>
      <c r="AD16" s="1">
        <v>0.2177</v>
      </c>
      <c r="AE16" s="1">
        <v>0.40899999999999997</v>
      </c>
      <c r="AF16" s="5">
        <v>1.9400000000000001E-2</v>
      </c>
      <c r="AG16" s="1">
        <v>0.66979999999999995</v>
      </c>
      <c r="AH16" s="35">
        <v>5.9999999999999995E-4</v>
      </c>
      <c r="AI16" s="5">
        <v>5.1999999999999998E-3</v>
      </c>
      <c r="AJ16" s="2">
        <v>3.6139999999999999</v>
      </c>
      <c r="AK16" s="2">
        <v>7.8484848484848495</v>
      </c>
      <c r="AL16" s="5">
        <v>0.40454000000000001</v>
      </c>
      <c r="AM16" s="5">
        <v>0.23504</v>
      </c>
      <c r="AN16" s="5">
        <v>0.17533000000000001</v>
      </c>
      <c r="AO16" s="5">
        <v>4.7223000000000001E-2</v>
      </c>
      <c r="AP16" s="5">
        <v>1.2658000000000001E-2</v>
      </c>
      <c r="AQ16" s="5">
        <v>3.8790999999999999E-3</v>
      </c>
      <c r="AR16" s="18">
        <v>2.1310000000000001E-3</v>
      </c>
      <c r="AS16" s="5">
        <v>1.9407000000000001E-3</v>
      </c>
      <c r="AT16" s="5">
        <v>1.3875999999999999E-3</v>
      </c>
      <c r="AU16" s="5">
        <v>8.5114999999999995E-4</v>
      </c>
      <c r="AV16" s="5">
        <v>6.2465999999999997E-4</v>
      </c>
      <c r="AW16" s="5">
        <v>4.4632E-4</v>
      </c>
      <c r="AX16" s="24">
        <f t="shared" si="0"/>
        <v>1.2422832980972516</v>
      </c>
      <c r="AY16" s="5">
        <v>0.43596000000000001</v>
      </c>
      <c r="AZ16" s="5">
        <v>0.25724999999999998</v>
      </c>
      <c r="BA16" s="5">
        <v>0.19389999999999999</v>
      </c>
      <c r="BB16" s="5">
        <v>5.5939999999999997E-2</v>
      </c>
      <c r="BC16" s="5">
        <v>1.7364000000000001E-2</v>
      </c>
      <c r="BD16" s="5">
        <v>6.6575999999999996E-3</v>
      </c>
      <c r="BE16" s="13">
        <v>1.3412E-2</v>
      </c>
      <c r="BF16" s="5">
        <v>3.6664000000000002E-3</v>
      </c>
      <c r="BG16" s="5">
        <v>2.6378999999999999E-3</v>
      </c>
      <c r="BH16" s="5">
        <v>1.6302999999999999E-3</v>
      </c>
      <c r="BI16" s="5">
        <v>1.2287999999999999E-3</v>
      </c>
      <c r="BJ16" s="5">
        <v>9.0837000000000003E-4</v>
      </c>
      <c r="BK16" s="27"/>
      <c r="BL16" s="28"/>
      <c r="BM16" s="2"/>
      <c r="BN16" s="1"/>
      <c r="BQ16" s="2"/>
    </row>
    <row r="17" spans="1:69">
      <c r="A17" t="s">
        <v>54</v>
      </c>
      <c r="B17" s="54">
        <v>45083</v>
      </c>
      <c r="C17" s="120">
        <v>14</v>
      </c>
      <c r="D17" s="59">
        <v>19.463575429706744</v>
      </c>
      <c r="E17" s="60" t="s">
        <v>60</v>
      </c>
      <c r="F17" s="177" t="s">
        <v>51</v>
      </c>
      <c r="G17" s="1">
        <v>5.83</v>
      </c>
      <c r="H17" s="27">
        <v>256.8</v>
      </c>
      <c r="I17" s="31">
        <v>61.6</v>
      </c>
      <c r="J17" s="1">
        <v>6.22</v>
      </c>
      <c r="K17" s="10">
        <v>31</v>
      </c>
      <c r="L17" s="1">
        <v>7.66</v>
      </c>
      <c r="M17" s="8">
        <v>0.08</v>
      </c>
      <c r="N17" s="2"/>
      <c r="O17" s="11">
        <v>18.225000000000001</v>
      </c>
      <c r="P17" s="11">
        <v>19.734999999999999</v>
      </c>
      <c r="Q17" s="1">
        <v>0.31485000000000002</v>
      </c>
      <c r="R17" s="34">
        <v>3</v>
      </c>
      <c r="S17" s="9">
        <v>0.2</v>
      </c>
      <c r="T17" s="8">
        <v>0.03</v>
      </c>
      <c r="U17" s="10">
        <v>5</v>
      </c>
      <c r="V17" s="10">
        <v>0.02</v>
      </c>
      <c r="W17" s="9">
        <v>1</v>
      </c>
      <c r="X17" s="31">
        <v>41</v>
      </c>
      <c r="Y17" s="1">
        <v>0.26769999999999999</v>
      </c>
      <c r="Z17" s="5">
        <v>8.9999999999999998E-4</v>
      </c>
      <c r="AA17" s="5">
        <v>4.4000000000000003E-3</v>
      </c>
      <c r="AB17" s="1">
        <v>1.1459999999999999</v>
      </c>
      <c r="AC17" s="1">
        <v>0.10780000000000001</v>
      </c>
      <c r="AD17" s="1">
        <v>0.59119999999999995</v>
      </c>
      <c r="AE17" s="1">
        <v>0.35580000000000001</v>
      </c>
      <c r="AF17" s="5">
        <v>1.84E-2</v>
      </c>
      <c r="AG17" s="1">
        <v>0.66169999999999995</v>
      </c>
      <c r="AH17" s="35">
        <v>2.0000000000000001E-4</v>
      </c>
      <c r="AI17" s="5">
        <v>7.1000000000000004E-3</v>
      </c>
      <c r="AJ17" s="2">
        <v>3.6080000000000001</v>
      </c>
      <c r="AK17" s="2">
        <v>9.6666666666666679</v>
      </c>
      <c r="AL17" s="5">
        <v>0.41521000000000002</v>
      </c>
      <c r="AM17" s="5">
        <v>0.24116000000000001</v>
      </c>
      <c r="AN17" s="5">
        <v>0.18002000000000001</v>
      </c>
      <c r="AO17" s="5">
        <v>4.8680000000000001E-2</v>
      </c>
      <c r="AP17" s="5">
        <v>1.3436E-2</v>
      </c>
      <c r="AQ17" s="5">
        <v>4.3993000000000001E-3</v>
      </c>
      <c r="AR17" s="18"/>
      <c r="AS17" s="5">
        <v>2.2707000000000001E-3</v>
      </c>
      <c r="AT17" s="5">
        <v>1.7557E-3</v>
      </c>
      <c r="AU17" s="5">
        <v>1.2603E-3</v>
      </c>
      <c r="AV17" s="5">
        <v>1.0386E-3</v>
      </c>
      <c r="AW17" s="5">
        <v>8.6498E-4</v>
      </c>
      <c r="AX17" s="24">
        <f t="shared" si="0"/>
        <v>1.2219913858626805</v>
      </c>
      <c r="AY17" s="5">
        <v>0.45150000000000001</v>
      </c>
      <c r="AZ17" s="5">
        <v>0.26562999999999998</v>
      </c>
      <c r="BA17" s="5">
        <v>0.20066000000000001</v>
      </c>
      <c r="BB17" s="5">
        <v>5.8855999999999999E-2</v>
      </c>
      <c r="BC17" s="5">
        <v>1.8742999999999999E-2</v>
      </c>
      <c r="BD17" s="5">
        <v>7.5402000000000004E-3</v>
      </c>
      <c r="BE17" s="5"/>
      <c r="BF17" s="5">
        <v>4.4913000000000002E-3</v>
      </c>
      <c r="BG17" s="5">
        <v>3.3417E-3</v>
      </c>
      <c r="BH17" s="5">
        <v>2.3135999999999999E-3</v>
      </c>
      <c r="BI17" s="5">
        <v>1.8001E-3</v>
      </c>
      <c r="BJ17" s="5">
        <v>1.3803999999999999E-3</v>
      </c>
      <c r="BK17" s="27"/>
      <c r="BL17" s="28"/>
      <c r="BM17" s="2"/>
      <c r="BN17" s="1"/>
      <c r="BQ17" s="2"/>
    </row>
    <row r="18" spans="1:69">
      <c r="A18" t="s">
        <v>54</v>
      </c>
      <c r="B18" s="54">
        <v>45120</v>
      </c>
      <c r="C18" s="119">
        <v>0</v>
      </c>
      <c r="D18" s="59">
        <v>16.734751684730995</v>
      </c>
      <c r="E18" s="60" t="s">
        <v>58</v>
      </c>
      <c r="F18" s="177" t="s">
        <v>50</v>
      </c>
      <c r="G18" s="8">
        <v>6.73</v>
      </c>
      <c r="H18" s="31">
        <v>316.3</v>
      </c>
      <c r="I18" s="31">
        <v>106.6</v>
      </c>
      <c r="J18" s="8">
        <v>8.15</v>
      </c>
      <c r="K18" s="10">
        <v>22</v>
      </c>
      <c r="L18" s="8">
        <v>20.75</v>
      </c>
      <c r="M18" s="8">
        <v>0.09</v>
      </c>
      <c r="N18" s="24"/>
      <c r="O18" s="1">
        <v>5.8085000000000004</v>
      </c>
      <c r="P18" s="1">
        <v>4.5555000000000003</v>
      </c>
      <c r="Q18" s="1">
        <v>0.31790000000000002</v>
      </c>
      <c r="R18" s="20">
        <v>4.0000000000000001E-3</v>
      </c>
      <c r="S18" s="9">
        <v>0.3</v>
      </c>
      <c r="T18" s="8">
        <v>0</v>
      </c>
      <c r="U18" s="10">
        <v>0</v>
      </c>
      <c r="V18" s="10">
        <v>0</v>
      </c>
      <c r="W18" s="9">
        <v>1</v>
      </c>
      <c r="X18" s="31">
        <v>11</v>
      </c>
      <c r="Y18" s="1">
        <v>0.1671</v>
      </c>
      <c r="Z18" s="5">
        <v>1.9499999999999999E-3</v>
      </c>
      <c r="AA18" s="5">
        <v>4.4999999999999999E-4</v>
      </c>
      <c r="AB18" s="1">
        <v>1.4661999999999999</v>
      </c>
      <c r="AC18" s="1">
        <v>8.660000000000001E-2</v>
      </c>
      <c r="AD18" s="1">
        <v>0.43370000000000003</v>
      </c>
      <c r="AE18" s="1">
        <v>0.44379999999999997</v>
      </c>
      <c r="AF18" s="5">
        <v>9.6499999999999989E-3</v>
      </c>
      <c r="AG18" s="1">
        <v>0.9476</v>
      </c>
      <c r="AH18" s="35">
        <v>5.0000000000000001E-4</v>
      </c>
      <c r="AI18" s="5">
        <v>4.45E-3</v>
      </c>
      <c r="AJ18" s="2">
        <v>3.6749999999999998</v>
      </c>
      <c r="AK18" s="2">
        <v>12.7</v>
      </c>
      <c r="AL18" s="5">
        <v>0.28048000000000001</v>
      </c>
      <c r="AM18" s="5">
        <v>0.16986000000000001</v>
      </c>
      <c r="AN18" s="5">
        <v>0.12567</v>
      </c>
      <c r="AO18" s="5">
        <v>3.0896E-2</v>
      </c>
      <c r="AP18" s="5">
        <v>8.4434000000000002E-3</v>
      </c>
      <c r="AQ18" s="5">
        <v>2.8552999999999999E-3</v>
      </c>
      <c r="AR18" s="13">
        <v>1.7271000000000001E-3</v>
      </c>
      <c r="AS18" s="5"/>
      <c r="AT18" s="5">
        <v>9.3079000000000002E-4</v>
      </c>
      <c r="AU18" s="5">
        <v>4.9496000000000002E-4</v>
      </c>
      <c r="AV18" s="5">
        <v>2.8372E-4</v>
      </c>
      <c r="AW18" s="5">
        <v>8.0109000000000002E-5</v>
      </c>
      <c r="AX18" s="9">
        <f t="shared" si="0"/>
        <v>3.7286796180441222</v>
      </c>
      <c r="AY18" s="5">
        <v>0.33244000000000001</v>
      </c>
      <c r="AZ18" s="5">
        <v>0.2097</v>
      </c>
      <c r="BA18" s="5">
        <v>0.16077</v>
      </c>
      <c r="BB18" s="5">
        <v>5.3220000000000003E-2</v>
      </c>
      <c r="BC18" s="5">
        <v>2.5069000000000001E-2</v>
      </c>
      <c r="BD18" s="5">
        <v>1.6219999999999998E-2</v>
      </c>
      <c r="BE18" s="5">
        <v>1.3625999999999999E-2</v>
      </c>
      <c r="BF18" s="5"/>
      <c r="BG18" s="5">
        <v>1.0695E-2</v>
      </c>
      <c r="BH18" s="5">
        <v>9.1328999999999994E-3</v>
      </c>
      <c r="BI18" s="5">
        <v>7.9979999999999999E-3</v>
      </c>
      <c r="BJ18" s="5">
        <v>6.7939999999999997E-3</v>
      </c>
      <c r="BK18" s="27"/>
      <c r="BL18" s="28"/>
      <c r="BM18" s="2"/>
      <c r="BN18" s="1"/>
      <c r="BQ18" s="2"/>
    </row>
    <row r="19" spans="1:69">
      <c r="A19" t="s">
        <v>54</v>
      </c>
      <c r="B19" s="54">
        <v>45120</v>
      </c>
      <c r="C19" s="119">
        <v>2.5</v>
      </c>
      <c r="D19" s="59">
        <v>16.938914187961927</v>
      </c>
      <c r="E19" s="60" t="s">
        <v>58</v>
      </c>
      <c r="F19" s="177" t="s">
        <v>50</v>
      </c>
      <c r="G19" s="8">
        <v>6.62</v>
      </c>
      <c r="H19" s="31">
        <v>329.4</v>
      </c>
      <c r="I19" s="31">
        <v>105.3</v>
      </c>
      <c r="J19" s="8">
        <v>8.84</v>
      </c>
      <c r="K19" s="10">
        <v>25</v>
      </c>
      <c r="L19" s="8">
        <v>16.190000000000001</v>
      </c>
      <c r="M19" s="8">
        <v>0.09</v>
      </c>
      <c r="N19" s="24"/>
      <c r="O19" s="1">
        <v>5.8629999999999995</v>
      </c>
      <c r="P19" s="1">
        <v>4.5350000000000001</v>
      </c>
      <c r="Q19" s="1">
        <v>0.29930000000000001</v>
      </c>
      <c r="R19" s="20">
        <v>4.0000000000000001E-3</v>
      </c>
      <c r="S19" s="9">
        <v>0.4</v>
      </c>
      <c r="T19" s="8">
        <v>0</v>
      </c>
      <c r="U19" s="10">
        <v>0</v>
      </c>
      <c r="V19" s="10">
        <v>0</v>
      </c>
      <c r="W19" s="9">
        <v>0.9</v>
      </c>
      <c r="X19" s="31">
        <v>11</v>
      </c>
      <c r="Y19" s="1">
        <v>0.16770000000000002</v>
      </c>
      <c r="Z19" s="5">
        <v>8.4999999999999995E-4</v>
      </c>
      <c r="AA19" s="5">
        <v>4.0000000000000002E-4</v>
      </c>
      <c r="AB19" s="1">
        <v>1.4934000000000001</v>
      </c>
      <c r="AC19" s="1">
        <v>8.8650000000000007E-2</v>
      </c>
      <c r="AD19" s="1">
        <v>0.40594999999999998</v>
      </c>
      <c r="AE19" s="1">
        <v>0.45065</v>
      </c>
      <c r="AF19" s="5">
        <v>1.3350000000000001E-2</v>
      </c>
      <c r="AG19" s="1">
        <v>0.95110000000000006</v>
      </c>
      <c r="AH19" s="35">
        <v>5.0000000000000001E-4</v>
      </c>
      <c r="AI19" s="5">
        <v>1.0450000000000001E-2</v>
      </c>
      <c r="AJ19" s="2">
        <v>3.6640000000000001</v>
      </c>
      <c r="AK19" s="2">
        <v>14.5</v>
      </c>
      <c r="AL19" s="5">
        <v>0.28783999999999998</v>
      </c>
      <c r="AM19" s="5">
        <v>0.17136000000000001</v>
      </c>
      <c r="AN19" s="5">
        <v>0.12695000000000001</v>
      </c>
      <c r="AO19" s="5">
        <v>3.2294999999999997E-2</v>
      </c>
      <c r="AP19" s="5">
        <v>9.3188000000000003E-3</v>
      </c>
      <c r="AQ19" s="5">
        <v>2.8790999999999999E-3</v>
      </c>
      <c r="AR19" s="13">
        <v>1.9298E-3</v>
      </c>
      <c r="AS19" s="5"/>
      <c r="AT19" s="5">
        <v>1.0361999999999999E-3</v>
      </c>
      <c r="AU19" s="5">
        <v>4.3392000000000002E-4</v>
      </c>
      <c r="AV19" s="5">
        <v>3.4236999999999999E-4</v>
      </c>
      <c r="AW19" s="5">
        <v>1.1635E-4</v>
      </c>
      <c r="AX19" s="9">
        <f t="shared" si="0"/>
        <v>3.7786108048511582</v>
      </c>
      <c r="AY19" s="5">
        <v>0.33431</v>
      </c>
      <c r="AZ19" s="5">
        <v>0.2092</v>
      </c>
      <c r="BA19" s="5">
        <v>0.16017000000000001</v>
      </c>
      <c r="BB19" s="5">
        <v>5.2679999999999998E-2</v>
      </c>
      <c r="BC19" s="5">
        <v>2.4593E-2</v>
      </c>
      <c r="BD19" s="5">
        <v>1.5611999999999999E-2</v>
      </c>
      <c r="BE19" s="5">
        <v>1.2808E-2</v>
      </c>
      <c r="BF19" s="5"/>
      <c r="BG19" s="5">
        <v>1.0064E-2</v>
      </c>
      <c r="BH19" s="5">
        <v>8.4943999999999992E-3</v>
      </c>
      <c r="BI19" s="5">
        <v>7.4491999999999996E-3</v>
      </c>
      <c r="BJ19" s="5">
        <v>6.1779000000000001E-3</v>
      </c>
      <c r="BK19" s="27"/>
      <c r="BL19" s="28"/>
      <c r="BM19" s="2"/>
      <c r="BN19" s="1"/>
      <c r="BQ19" s="2"/>
    </row>
    <row r="20" spans="1:69">
      <c r="A20" t="s">
        <v>54</v>
      </c>
      <c r="B20" s="54">
        <v>45120</v>
      </c>
      <c r="C20" s="121">
        <v>5</v>
      </c>
      <c r="D20" s="59">
        <v>16.463691488465358</v>
      </c>
      <c r="E20" s="60" t="s">
        <v>58</v>
      </c>
      <c r="F20" s="177" t="s">
        <v>50</v>
      </c>
      <c r="G20" s="8">
        <v>6.01</v>
      </c>
      <c r="H20" s="31">
        <v>351.6</v>
      </c>
      <c r="I20" s="31">
        <v>87</v>
      </c>
      <c r="J20" s="8">
        <v>8.1300000000000008</v>
      </c>
      <c r="K20" s="10">
        <v>25</v>
      </c>
      <c r="L20" s="8">
        <v>11.38</v>
      </c>
      <c r="M20" s="8">
        <v>0.1</v>
      </c>
      <c r="N20" s="24"/>
      <c r="O20" s="1">
        <v>5.5705</v>
      </c>
      <c r="P20" s="1">
        <v>4.4165000000000001</v>
      </c>
      <c r="Q20" s="1">
        <v>0.28815000000000002</v>
      </c>
      <c r="R20" s="20">
        <v>6.0000000000000001E-3</v>
      </c>
      <c r="S20" s="9">
        <v>0.3</v>
      </c>
      <c r="T20" s="8">
        <v>0</v>
      </c>
      <c r="U20" s="10">
        <v>0</v>
      </c>
      <c r="V20" s="10">
        <v>0</v>
      </c>
      <c r="W20" s="9">
        <v>0.8</v>
      </c>
      <c r="X20" s="31">
        <v>14</v>
      </c>
      <c r="Y20" s="1">
        <v>0.16855000000000001</v>
      </c>
      <c r="Z20" s="5">
        <v>1.5E-3</v>
      </c>
      <c r="AA20" s="5">
        <v>1.4E-3</v>
      </c>
      <c r="AB20" s="1">
        <v>1.5646499999999999</v>
      </c>
      <c r="AC20" s="1">
        <v>0.1028</v>
      </c>
      <c r="AD20" s="1">
        <v>0.44079999999999997</v>
      </c>
      <c r="AE20" s="1">
        <v>0.46689999999999998</v>
      </c>
      <c r="AF20" s="5">
        <v>1.0149999999999999E-2</v>
      </c>
      <c r="AG20" s="1">
        <v>0.98849999999999993</v>
      </c>
      <c r="AH20" s="35">
        <v>6.4999999999999997E-4</v>
      </c>
      <c r="AI20" s="5">
        <v>3.4499999999999999E-3</v>
      </c>
      <c r="AJ20" s="2">
        <v>3.9124999999999996</v>
      </c>
      <c r="AK20" s="2">
        <v>13</v>
      </c>
      <c r="AL20" s="5">
        <v>0.28920000000000001</v>
      </c>
      <c r="AM20" s="5">
        <v>0.17077999999999999</v>
      </c>
      <c r="AN20" s="5">
        <v>0.12645000000000001</v>
      </c>
      <c r="AO20" s="5">
        <v>3.1538999999999998E-2</v>
      </c>
      <c r="AP20" s="5">
        <v>8.5473000000000007E-3</v>
      </c>
      <c r="AQ20" s="5">
        <v>3.0546000000000002E-3</v>
      </c>
      <c r="AR20" s="13">
        <v>1.9258999999999999E-3</v>
      </c>
      <c r="AS20" s="5"/>
      <c r="AT20" s="5">
        <v>9.0551E-4</v>
      </c>
      <c r="AU20" s="5">
        <v>6.1178000000000003E-4</v>
      </c>
      <c r="AV20" s="5">
        <v>2.923E-4</v>
      </c>
      <c r="AW20" s="5">
        <v>1.9932000000000001E-4</v>
      </c>
      <c r="AX20" s="9">
        <f t="shared" si="0"/>
        <v>3.8668629004868107</v>
      </c>
      <c r="AY20" s="5">
        <v>0.3306</v>
      </c>
      <c r="AZ20" s="5">
        <v>0.20793</v>
      </c>
      <c r="BA20" s="5">
        <v>0.15962000000000001</v>
      </c>
      <c r="BB20" s="5">
        <v>5.2689E-2</v>
      </c>
      <c r="BC20" s="5">
        <v>2.3848000000000001E-2</v>
      </c>
      <c r="BD20" s="5">
        <v>1.4567E-2</v>
      </c>
      <c r="BE20" s="5">
        <v>1.1847999999999999E-2</v>
      </c>
      <c r="BF20" s="5"/>
      <c r="BG20" s="5">
        <v>9.2411000000000004E-3</v>
      </c>
      <c r="BH20" s="5">
        <v>7.8106E-3</v>
      </c>
      <c r="BI20" s="5">
        <v>6.7648999999999999E-3</v>
      </c>
      <c r="BJ20" s="5">
        <v>5.5107999999999997E-3</v>
      </c>
      <c r="BK20" s="27"/>
      <c r="BL20" s="28"/>
      <c r="BM20" s="2"/>
      <c r="BN20" s="1"/>
      <c r="BQ20" s="2"/>
    </row>
    <row r="21" spans="1:69">
      <c r="A21" t="s">
        <v>54</v>
      </c>
      <c r="B21" s="54">
        <v>45120</v>
      </c>
      <c r="C21" s="119">
        <v>7.5</v>
      </c>
      <c r="D21" s="59">
        <v>17.787692671079984</v>
      </c>
      <c r="E21" s="60" t="s">
        <v>58</v>
      </c>
      <c r="F21" s="177" t="s">
        <v>50</v>
      </c>
      <c r="G21" s="1">
        <v>5.94</v>
      </c>
      <c r="H21" s="27">
        <v>351.2</v>
      </c>
      <c r="I21" s="31">
        <v>86.6</v>
      </c>
      <c r="J21" s="1">
        <v>8.11</v>
      </c>
      <c r="K21" s="10">
        <v>25</v>
      </c>
      <c r="L21" s="1">
        <v>11.27</v>
      </c>
      <c r="M21" s="8">
        <v>0.1</v>
      </c>
      <c r="N21" s="24"/>
      <c r="O21" s="1">
        <v>5.4979999999999993</v>
      </c>
      <c r="P21" s="1">
        <v>4.8599999999999994</v>
      </c>
      <c r="Q21" s="1">
        <v>0.2792</v>
      </c>
      <c r="R21" s="20">
        <v>4.0000000000000001E-3</v>
      </c>
      <c r="S21" s="9">
        <v>0.4</v>
      </c>
      <c r="T21" s="8">
        <v>0</v>
      </c>
      <c r="U21" s="10">
        <v>0</v>
      </c>
      <c r="V21" s="10">
        <v>0</v>
      </c>
      <c r="W21" s="9">
        <v>0.9</v>
      </c>
      <c r="X21" s="31">
        <v>20</v>
      </c>
      <c r="Y21" s="1">
        <v>0.20795</v>
      </c>
      <c r="Z21" s="5">
        <v>7.5000000000000002E-4</v>
      </c>
      <c r="AA21" s="5">
        <v>3.8999999999999998E-3</v>
      </c>
      <c r="AB21" s="1">
        <v>1.5098500000000001</v>
      </c>
      <c r="AC21" s="1">
        <v>0.15360000000000001</v>
      </c>
      <c r="AD21" s="1">
        <v>0.42754999999999999</v>
      </c>
      <c r="AE21" s="1">
        <v>0.45774999999999999</v>
      </c>
      <c r="AF21" s="5">
        <v>1.5949999999999999E-2</v>
      </c>
      <c r="AG21" s="1">
        <v>0.94934999999999992</v>
      </c>
      <c r="AH21" s="35">
        <v>5.9999999999999995E-4</v>
      </c>
      <c r="AI21" s="5">
        <v>3.8500000000000001E-3</v>
      </c>
      <c r="AJ21" s="2">
        <v>3.97</v>
      </c>
      <c r="AK21" s="2">
        <v>9.36</v>
      </c>
      <c r="AL21" s="5">
        <v>0.34147</v>
      </c>
      <c r="AM21" s="5">
        <v>0.20019999999999999</v>
      </c>
      <c r="AN21" s="5">
        <v>0.14985999999999999</v>
      </c>
      <c r="AO21" s="5">
        <v>4.0358999999999999E-2</v>
      </c>
      <c r="AP21" s="5">
        <v>1.1388000000000001E-2</v>
      </c>
      <c r="AQ21" s="5">
        <v>3.6082000000000002E-3</v>
      </c>
      <c r="AR21" s="13">
        <v>2.2945000000000001E-3</v>
      </c>
      <c r="AS21" s="5"/>
      <c r="AT21" s="5">
        <v>1.1439E-3</v>
      </c>
      <c r="AU21" s="5">
        <v>5.8936999999999998E-4</v>
      </c>
      <c r="AV21" s="5">
        <v>3.7718000000000002E-4</v>
      </c>
      <c r="AW21" s="5">
        <v>1.6499E-4</v>
      </c>
      <c r="AX21" s="9">
        <f t="shared" si="0"/>
        <v>4.1193415637860085</v>
      </c>
      <c r="AY21" s="5">
        <v>0.37701000000000001</v>
      </c>
      <c r="AZ21" s="5">
        <v>0.22505</v>
      </c>
      <c r="BA21" s="5">
        <v>0.17141000000000001</v>
      </c>
      <c r="BB21" s="5">
        <v>5.2925E-2</v>
      </c>
      <c r="BC21" s="5">
        <v>1.9552E-2</v>
      </c>
      <c r="BD21" s="5">
        <v>9.8890999999999996E-3</v>
      </c>
      <c r="BE21" s="5">
        <v>7.7924999999999999E-3</v>
      </c>
      <c r="BF21" s="5"/>
      <c r="BG21" s="5">
        <v>5.7235000000000003E-3</v>
      </c>
      <c r="BH21" s="5">
        <v>4.7441000000000002E-3</v>
      </c>
      <c r="BI21" s="5">
        <v>4.0264000000000003E-3</v>
      </c>
      <c r="BJ21" s="5">
        <v>3.2648999999999998E-3</v>
      </c>
      <c r="BK21" s="27"/>
      <c r="BL21" s="28"/>
      <c r="BM21" s="2"/>
      <c r="BN21" s="1"/>
      <c r="BQ21" s="2"/>
    </row>
    <row r="22" spans="1:69">
      <c r="A22" t="s">
        <v>54</v>
      </c>
      <c r="B22" s="54">
        <v>45120</v>
      </c>
      <c r="C22" s="120">
        <v>10</v>
      </c>
      <c r="D22" s="59">
        <v>19.730210965215015</v>
      </c>
      <c r="E22" s="60" t="s">
        <v>58</v>
      </c>
      <c r="F22" s="177" t="s">
        <v>50</v>
      </c>
      <c r="G22" s="8">
        <v>5.76</v>
      </c>
      <c r="H22" s="27">
        <v>354.3</v>
      </c>
      <c r="I22" s="31">
        <v>78.900000000000006</v>
      </c>
      <c r="J22" s="8">
        <v>7.77</v>
      </c>
      <c r="K22" s="10">
        <v>28</v>
      </c>
      <c r="L22" s="1">
        <v>9.15</v>
      </c>
      <c r="M22" s="8">
        <v>0.09</v>
      </c>
      <c r="N22" s="24"/>
      <c r="O22" s="1">
        <v>5.9325000000000001</v>
      </c>
      <c r="P22" s="1">
        <v>5.3975</v>
      </c>
      <c r="Q22" s="1">
        <v>0.3392</v>
      </c>
      <c r="R22" s="20">
        <v>4.0000000000000001E-3</v>
      </c>
      <c r="S22" s="9">
        <v>0.5</v>
      </c>
      <c r="T22" s="8">
        <v>0.03</v>
      </c>
      <c r="U22" s="10">
        <v>0</v>
      </c>
      <c r="V22" s="10">
        <v>0</v>
      </c>
      <c r="W22" s="9">
        <v>0.9</v>
      </c>
      <c r="X22" s="31">
        <v>22</v>
      </c>
      <c r="Y22" s="1">
        <v>0.25185000000000002</v>
      </c>
      <c r="Z22" s="5">
        <v>1.5E-3</v>
      </c>
      <c r="AA22" s="5">
        <v>4.8500000000000001E-3</v>
      </c>
      <c r="AB22" s="1">
        <v>1.355</v>
      </c>
      <c r="AC22" s="1">
        <v>0.20955000000000001</v>
      </c>
      <c r="AD22" s="1">
        <v>0.41930000000000001</v>
      </c>
      <c r="AE22" s="1">
        <v>0.42349999999999999</v>
      </c>
      <c r="AF22" s="5">
        <v>2.2199999999999998E-2</v>
      </c>
      <c r="AG22" s="1">
        <v>0.86525000000000007</v>
      </c>
      <c r="AH22" s="35">
        <v>1.15E-3</v>
      </c>
      <c r="AI22" s="5">
        <v>4.3E-3</v>
      </c>
      <c r="AJ22" s="2">
        <v>3.819</v>
      </c>
      <c r="AK22" s="2">
        <v>9.06</v>
      </c>
      <c r="AL22" s="5">
        <v>0.38773999999999997</v>
      </c>
      <c r="AM22" s="5">
        <v>0.22649</v>
      </c>
      <c r="AN22" s="5">
        <v>0.16977999999999999</v>
      </c>
      <c r="AO22" s="5">
        <v>4.7569E-2</v>
      </c>
      <c r="AP22" s="5">
        <v>1.3834000000000001E-2</v>
      </c>
      <c r="AQ22" s="5">
        <v>4.3283000000000002E-3</v>
      </c>
      <c r="AR22" s="13">
        <v>2.7975999999999999E-3</v>
      </c>
      <c r="AS22" s="5"/>
      <c r="AT22" s="5">
        <v>1.5655000000000001E-3</v>
      </c>
      <c r="AU22" s="5">
        <v>9.1361999999999997E-4</v>
      </c>
      <c r="AV22" s="5">
        <v>5.6313999999999995E-4</v>
      </c>
      <c r="AW22" s="5">
        <v>4.2534000000000002E-4</v>
      </c>
      <c r="AX22" s="9">
        <f t="shared" si="0"/>
        <v>4.1962019453450674</v>
      </c>
      <c r="AY22" s="5">
        <v>0.42577999999999999</v>
      </c>
      <c r="AZ22" s="5">
        <v>0.25180000000000002</v>
      </c>
      <c r="BA22" s="5">
        <v>0.19059999999999999</v>
      </c>
      <c r="BB22" s="5">
        <v>5.6792000000000002E-2</v>
      </c>
      <c r="BC22" s="5">
        <v>1.8658999999999999E-2</v>
      </c>
      <c r="BD22" s="5">
        <v>8.1204999999999992E-3</v>
      </c>
      <c r="BE22" s="5">
        <v>5.9991000000000003E-3</v>
      </c>
      <c r="BF22" s="5"/>
      <c r="BG22" s="5">
        <v>4.0584000000000002E-3</v>
      </c>
      <c r="BH22" s="5">
        <v>3.0684000000000002E-3</v>
      </c>
      <c r="BI22" s="5">
        <v>2.6565E-3</v>
      </c>
      <c r="BJ22" s="5">
        <v>2.0761E-3</v>
      </c>
      <c r="BK22" s="27"/>
      <c r="BL22" s="28"/>
      <c r="BM22" s="2"/>
      <c r="BN22" s="1"/>
      <c r="BQ22" s="2"/>
    </row>
    <row r="23" spans="1:69">
      <c r="A23" t="s">
        <v>54</v>
      </c>
      <c r="B23" s="54">
        <v>45120</v>
      </c>
      <c r="C23" s="120">
        <v>14</v>
      </c>
      <c r="D23" s="59">
        <v>20.403135572871228</v>
      </c>
      <c r="E23" s="60" t="s">
        <v>58</v>
      </c>
      <c r="F23" s="177" t="s">
        <v>50</v>
      </c>
      <c r="G23" s="8">
        <v>5.62</v>
      </c>
      <c r="H23" s="27">
        <v>262.8</v>
      </c>
      <c r="I23" s="31">
        <v>69</v>
      </c>
      <c r="J23" s="8">
        <v>6.88</v>
      </c>
      <c r="K23" s="10">
        <v>31</v>
      </c>
      <c r="L23" s="1">
        <v>8.6199999999999992</v>
      </c>
      <c r="M23" s="8">
        <v>0.08</v>
      </c>
      <c r="N23" s="2"/>
      <c r="O23" s="1">
        <v>6.0655000000000001</v>
      </c>
      <c r="P23" s="1">
        <v>5.1705000000000005</v>
      </c>
      <c r="Q23" s="1">
        <v>0.3679</v>
      </c>
      <c r="R23" s="20">
        <v>5.0000000000000001E-3</v>
      </c>
      <c r="S23" s="9">
        <v>0.5</v>
      </c>
      <c r="T23" s="8">
        <v>0.06</v>
      </c>
      <c r="U23" s="10">
        <v>0</v>
      </c>
      <c r="V23" s="10">
        <v>0</v>
      </c>
      <c r="W23" s="9">
        <v>0.9</v>
      </c>
      <c r="X23" s="31">
        <v>24</v>
      </c>
      <c r="Y23" s="1">
        <v>0.26724999999999999</v>
      </c>
      <c r="Z23" s="5">
        <v>4.0000000000000002E-4</v>
      </c>
      <c r="AA23" s="5">
        <v>5.3499999999999997E-3</v>
      </c>
      <c r="AB23" s="1">
        <v>1.3288500000000001</v>
      </c>
      <c r="AC23" s="1">
        <v>0.28184999999999999</v>
      </c>
      <c r="AD23" s="1">
        <v>0.41144999999999998</v>
      </c>
      <c r="AE23" s="1">
        <v>0.4118</v>
      </c>
      <c r="AF23" s="5">
        <v>2.6550000000000001E-2</v>
      </c>
      <c r="AG23" s="1">
        <v>0.83915000000000006</v>
      </c>
      <c r="AH23" s="35">
        <v>1.0999999999999998E-3</v>
      </c>
      <c r="AI23" s="5">
        <v>4.2500000000000003E-3</v>
      </c>
      <c r="AJ23" s="2">
        <v>3.7530000000000001</v>
      </c>
      <c r="AK23" s="2">
        <v>44.5</v>
      </c>
      <c r="AL23" s="5">
        <v>0.40299000000000001</v>
      </c>
      <c r="AM23" s="5">
        <v>0.23144000000000001</v>
      </c>
      <c r="AN23" s="5">
        <v>0.17362</v>
      </c>
      <c r="AO23" s="5">
        <v>4.9237999999999997E-2</v>
      </c>
      <c r="AP23" s="5">
        <v>1.4519000000000001E-2</v>
      </c>
      <c r="AQ23" s="5">
        <v>4.7054000000000002E-3</v>
      </c>
      <c r="AR23" s="13">
        <v>3.0626999999999998E-3</v>
      </c>
      <c r="AS23" s="5"/>
      <c r="AT23" s="5">
        <v>1.7614E-3</v>
      </c>
      <c r="AU23" s="5">
        <v>1.0581E-3</v>
      </c>
      <c r="AV23" s="5">
        <v>7.3384999999999998E-4</v>
      </c>
      <c r="AW23" s="5">
        <v>6.3323999999999997E-4</v>
      </c>
      <c r="AX23" s="9">
        <f t="shared" si="0"/>
        <v>4.476162846920027</v>
      </c>
      <c r="AY23" s="5">
        <v>0.46765000000000001</v>
      </c>
      <c r="AZ23" s="5">
        <v>0.28299000000000002</v>
      </c>
      <c r="BA23" s="5">
        <v>0.21862000000000001</v>
      </c>
      <c r="BB23" s="5">
        <v>7.6304999999999998E-2</v>
      </c>
      <c r="BC23" s="5">
        <v>3.3973000000000003E-2</v>
      </c>
      <c r="BD23" s="5">
        <v>2.1167999999999999E-2</v>
      </c>
      <c r="BE23" s="5">
        <v>1.8221999999999999E-2</v>
      </c>
      <c r="BF23" s="5"/>
      <c r="BG23" s="5">
        <v>1.5032999999999999E-2</v>
      </c>
      <c r="BH23" s="5">
        <v>1.3067E-2</v>
      </c>
      <c r="BI23" s="5">
        <v>1.201E-2</v>
      </c>
      <c r="BJ23" s="5">
        <v>1.0699999999999999E-2</v>
      </c>
      <c r="BK23" s="27"/>
      <c r="BL23" s="28"/>
      <c r="BM23" s="2"/>
      <c r="BN23" s="1"/>
      <c r="BQ23" s="2"/>
    </row>
    <row r="24" spans="1:69">
      <c r="A24" t="s">
        <v>54</v>
      </c>
      <c r="B24" s="54">
        <v>45153</v>
      </c>
      <c r="C24" s="119">
        <v>0</v>
      </c>
      <c r="D24" s="59">
        <v>18.830833118200825</v>
      </c>
      <c r="E24" s="60" t="s">
        <v>52</v>
      </c>
      <c r="F24" s="177" t="s">
        <v>57</v>
      </c>
      <c r="G24" s="8">
        <v>6.93</v>
      </c>
      <c r="H24" s="31">
        <v>259.3</v>
      </c>
      <c r="I24" s="31">
        <v>120.7</v>
      </c>
      <c r="J24" s="8">
        <v>9.85</v>
      </c>
      <c r="K24" s="10">
        <v>23</v>
      </c>
      <c r="L24" s="8">
        <v>18.3</v>
      </c>
      <c r="M24" s="8">
        <v>0.1</v>
      </c>
      <c r="N24" s="24"/>
      <c r="O24" s="1">
        <v>5.8919999999999995</v>
      </c>
      <c r="P24" s="1">
        <v>4.3879999999999999</v>
      </c>
      <c r="Q24" s="1">
        <v>0.28005000000000002</v>
      </c>
      <c r="R24" s="20">
        <v>0</v>
      </c>
      <c r="S24" s="9">
        <v>0.2</v>
      </c>
      <c r="T24" s="8">
        <v>0.01</v>
      </c>
      <c r="U24" s="10">
        <v>0</v>
      </c>
      <c r="V24" s="10">
        <v>0</v>
      </c>
      <c r="W24" s="9">
        <v>0.8</v>
      </c>
      <c r="X24" s="31">
        <v>21</v>
      </c>
      <c r="Y24" s="1">
        <v>0.1331</v>
      </c>
      <c r="Z24" s="5">
        <v>2.65E-3</v>
      </c>
      <c r="AA24" s="5">
        <v>2.2500000000000003E-3</v>
      </c>
      <c r="AB24" s="1">
        <v>1.8854500000000001</v>
      </c>
      <c r="AC24" s="1">
        <v>9.6250000000000002E-2</v>
      </c>
      <c r="AD24" s="1">
        <v>0.46884999999999999</v>
      </c>
      <c r="AE24" s="1">
        <v>0.47209999999999996</v>
      </c>
      <c r="AF24" s="5">
        <v>2.0500000000000002E-3</v>
      </c>
      <c r="AG24" s="1">
        <v>0.98029999999999995</v>
      </c>
      <c r="AH24" s="35">
        <v>-2.5000000000000001E-4</v>
      </c>
      <c r="AI24" s="5">
        <v>1.2999999999999999E-3</v>
      </c>
      <c r="AJ24" s="2">
        <v>3.87</v>
      </c>
      <c r="AK24" s="2">
        <v>8.129032258064516</v>
      </c>
      <c r="AL24" s="5">
        <v>0.27063999999999999</v>
      </c>
      <c r="AM24" s="5">
        <v>0.15958</v>
      </c>
      <c r="AN24" s="5">
        <v>0.11822000000000001</v>
      </c>
      <c r="AO24" s="5">
        <v>2.8604999999999998E-2</v>
      </c>
      <c r="AP24" s="5">
        <v>7.9479000000000008E-3</v>
      </c>
      <c r="AQ24" s="5">
        <v>2.6635999999999999E-3</v>
      </c>
      <c r="AR24" s="13">
        <v>1.8711000000000001E-3</v>
      </c>
      <c r="AS24" s="5">
        <v>1.1115000000000001E-3</v>
      </c>
      <c r="AT24" s="5">
        <v>8.6879999999999998E-4</v>
      </c>
      <c r="AU24" s="5">
        <v>7.5482999999999995E-4</v>
      </c>
      <c r="AV24" s="5">
        <v>7.2718000000000001E-4</v>
      </c>
      <c r="AW24" s="5">
        <v>5.9747999999999995E-4</v>
      </c>
      <c r="AX24" s="9">
        <f t="shared" si="0"/>
        <v>3.6367365542388335</v>
      </c>
      <c r="AY24" s="5">
        <v>0.31996999999999998</v>
      </c>
      <c r="AZ24" s="5">
        <v>0.19750999999999999</v>
      </c>
      <c r="BA24" s="5">
        <v>0.15187999999999999</v>
      </c>
      <c r="BB24" s="5">
        <v>4.9732999999999999E-2</v>
      </c>
      <c r="BC24" s="5">
        <v>2.2723E-2</v>
      </c>
      <c r="BD24" s="5">
        <v>1.3802E-2</v>
      </c>
      <c r="BE24" s="5">
        <v>1.1346999999999999E-2</v>
      </c>
      <c r="BF24" s="5">
        <v>9.0036000000000005E-3</v>
      </c>
      <c r="BG24" s="5">
        <v>7.6804000000000004E-3</v>
      </c>
      <c r="BH24" s="5">
        <v>7.1720999999999998E-3</v>
      </c>
      <c r="BI24" s="5">
        <v>6.7520000000000002E-3</v>
      </c>
      <c r="BJ24" s="5">
        <v>5.8799000000000004E-3</v>
      </c>
      <c r="BL24" s="2"/>
      <c r="BM24" s="1"/>
      <c r="BP24" s="2"/>
    </row>
    <row r="25" spans="1:69">
      <c r="A25" t="s">
        <v>54</v>
      </c>
      <c r="B25" s="54">
        <v>45153</v>
      </c>
      <c r="C25" s="119">
        <v>2.5</v>
      </c>
      <c r="D25" s="59">
        <v>18.657870532949438</v>
      </c>
      <c r="E25" s="60" t="s">
        <v>52</v>
      </c>
      <c r="F25" s="177" t="s">
        <v>57</v>
      </c>
      <c r="G25" s="8">
        <v>6.96</v>
      </c>
      <c r="H25" s="31">
        <v>270.10000000000002</v>
      </c>
      <c r="I25" s="31">
        <v>118.5</v>
      </c>
      <c r="J25" s="8">
        <v>9.94</v>
      </c>
      <c r="K25" s="10">
        <v>23</v>
      </c>
      <c r="L25" s="8">
        <v>16.989999999999998</v>
      </c>
      <c r="M25" s="8">
        <v>0.11</v>
      </c>
      <c r="N25" s="24"/>
      <c r="O25" s="1">
        <v>6.0504999999999995</v>
      </c>
      <c r="P25" s="1">
        <v>4.6564999999999994</v>
      </c>
      <c r="Q25" s="1">
        <v>0.2752</v>
      </c>
      <c r="R25" s="20">
        <v>0</v>
      </c>
      <c r="S25" s="9">
        <v>0.2</v>
      </c>
      <c r="T25" s="8">
        <v>0.01</v>
      </c>
      <c r="U25" s="10">
        <v>0</v>
      </c>
      <c r="V25" s="10">
        <v>0</v>
      </c>
      <c r="W25" s="9">
        <v>0.8</v>
      </c>
      <c r="X25" s="31">
        <v>20</v>
      </c>
      <c r="Y25" s="1">
        <v>0.1328</v>
      </c>
      <c r="Z25" s="5">
        <v>5.0000000000000001E-4</v>
      </c>
      <c r="AA25" s="5">
        <v>2.5500000000000002E-3</v>
      </c>
      <c r="AB25" s="1">
        <v>1.7536499999999999</v>
      </c>
      <c r="AC25" s="1">
        <v>9.5899999999999999E-2</v>
      </c>
      <c r="AD25" s="1">
        <v>0.4496</v>
      </c>
      <c r="AE25" s="1">
        <v>0.46635000000000004</v>
      </c>
      <c r="AF25" s="5">
        <v>1.7000000000000001E-3</v>
      </c>
      <c r="AG25" s="1">
        <v>0.96289999999999998</v>
      </c>
      <c r="AH25" s="35">
        <v>-3.0000000000000003E-4</v>
      </c>
      <c r="AI25" s="5">
        <v>1.65E-3</v>
      </c>
      <c r="AJ25" s="2">
        <v>3.8494999999999999</v>
      </c>
      <c r="AK25" s="2">
        <v>8.4516129032258078</v>
      </c>
      <c r="AL25" s="5">
        <v>0.29602000000000001</v>
      </c>
      <c r="AM25" s="5">
        <v>0.1706</v>
      </c>
      <c r="AN25" s="5">
        <v>0.12820000000000001</v>
      </c>
      <c r="AO25" s="5">
        <v>3.1382E-2</v>
      </c>
      <c r="AP25" s="5">
        <v>9.0837000000000001E-3</v>
      </c>
      <c r="AQ25" s="5">
        <v>3.1513999999999999E-3</v>
      </c>
      <c r="AR25" s="13">
        <v>2.1605000000000001E-3</v>
      </c>
      <c r="AS25" s="5">
        <v>1.2731999999999999E-3</v>
      </c>
      <c r="AT25" s="5">
        <v>9.7513000000000005E-4</v>
      </c>
      <c r="AU25" s="5">
        <v>8.9121000000000003E-4</v>
      </c>
      <c r="AV25" s="5">
        <v>8.4876999999999999E-4</v>
      </c>
      <c r="AW25" s="5">
        <v>6.6376E-4</v>
      </c>
      <c r="AX25" s="9">
        <f t="shared" si="0"/>
        <v>3.6636959089444865</v>
      </c>
      <c r="AY25" s="5">
        <v>0.32977000000000001</v>
      </c>
      <c r="AZ25" s="5">
        <v>0.20079</v>
      </c>
      <c r="BA25" s="5">
        <v>0.15447</v>
      </c>
      <c r="BB25" s="5">
        <v>4.9764999999999997E-2</v>
      </c>
      <c r="BC25" s="5">
        <v>2.2849999999999999E-2</v>
      </c>
      <c r="BD25" s="5">
        <v>1.3259E-2</v>
      </c>
      <c r="BE25" s="5">
        <v>1.0747E-2</v>
      </c>
      <c r="BF25" s="5">
        <v>8.5305999999999993E-3</v>
      </c>
      <c r="BG25" s="5">
        <v>7.2402999999999999E-3</v>
      </c>
      <c r="BH25" s="5">
        <v>6.8913000000000004E-3</v>
      </c>
      <c r="BI25" s="5">
        <v>6.3924999999999997E-3</v>
      </c>
      <c r="BJ25" s="5">
        <v>5.4530999999999998E-3</v>
      </c>
      <c r="BL25" s="2"/>
      <c r="BM25" s="1"/>
      <c r="BP25" s="2"/>
    </row>
    <row r="26" spans="1:69">
      <c r="A26" t="s">
        <v>54</v>
      </c>
      <c r="B26" s="54">
        <v>45153</v>
      </c>
      <c r="C26" s="121">
        <v>5</v>
      </c>
      <c r="D26" s="59">
        <v>19.21148397443671</v>
      </c>
      <c r="E26" s="60" t="s">
        <v>52</v>
      </c>
      <c r="F26" s="177" t="s">
        <v>57</v>
      </c>
      <c r="G26" s="8">
        <v>6.92</v>
      </c>
      <c r="H26" s="31">
        <v>279.5</v>
      </c>
      <c r="I26" s="31">
        <v>114.3</v>
      </c>
      <c r="J26" s="8">
        <v>9.84</v>
      </c>
      <c r="K26" s="10">
        <v>23</v>
      </c>
      <c r="L26" s="8">
        <v>15.74</v>
      </c>
      <c r="M26" s="8">
        <v>0.11</v>
      </c>
      <c r="N26" s="24"/>
      <c r="O26" s="1">
        <v>6.1589999999999998</v>
      </c>
      <c r="P26" s="1">
        <v>4.7940000000000005</v>
      </c>
      <c r="Q26" s="1">
        <v>0.30874999999999997</v>
      </c>
      <c r="R26" s="20">
        <v>0</v>
      </c>
      <c r="S26" s="9">
        <v>0.1</v>
      </c>
      <c r="T26" s="8">
        <v>0.03</v>
      </c>
      <c r="U26" s="10">
        <v>0</v>
      </c>
      <c r="V26" s="10">
        <v>0</v>
      </c>
      <c r="W26" s="9">
        <v>0.9</v>
      </c>
      <c r="X26" s="31">
        <v>21</v>
      </c>
      <c r="Y26" s="1">
        <v>0.14205000000000001</v>
      </c>
      <c r="Z26" s="5">
        <v>0</v>
      </c>
      <c r="AA26" s="5">
        <v>3.3500000000000001E-3</v>
      </c>
      <c r="AB26" s="1">
        <v>1.8107500000000001</v>
      </c>
      <c r="AC26" s="1">
        <v>0.10675000000000001</v>
      </c>
      <c r="AD26" s="1">
        <v>0.46240000000000003</v>
      </c>
      <c r="AE26" s="1">
        <v>0.47409999999999997</v>
      </c>
      <c r="AF26" s="5">
        <v>2.5999999999999999E-3</v>
      </c>
      <c r="AG26" s="1">
        <v>0.97829999999999995</v>
      </c>
      <c r="AH26" s="35">
        <v>-2.9999999999999997E-4</v>
      </c>
      <c r="AI26" s="5">
        <v>2.0499999999999997E-3</v>
      </c>
      <c r="AJ26" s="2">
        <v>3.8860000000000001</v>
      </c>
      <c r="AK26" s="2">
        <v>9.741935483870968</v>
      </c>
      <c r="AL26" s="5">
        <v>0.28719</v>
      </c>
      <c r="AM26" s="5">
        <v>0.16608999999999999</v>
      </c>
      <c r="AN26" s="5">
        <v>0.12388</v>
      </c>
      <c r="AO26" s="5">
        <v>3.0571000000000001E-2</v>
      </c>
      <c r="AP26" s="5">
        <v>8.7948000000000002E-3</v>
      </c>
      <c r="AQ26" s="5">
        <v>3.2458000000000001E-3</v>
      </c>
      <c r="AR26" s="13">
        <v>2.2192000000000002E-3</v>
      </c>
      <c r="AS26" s="5">
        <v>1.4519999999999999E-3</v>
      </c>
      <c r="AT26" s="5">
        <v>1.1333999999999999E-3</v>
      </c>
      <c r="AU26" s="5">
        <v>9.8181000000000006E-4</v>
      </c>
      <c r="AV26" s="5">
        <v>9.0408000000000003E-4</v>
      </c>
      <c r="AW26" s="5">
        <v>7.0858E-4</v>
      </c>
      <c r="AX26" s="9">
        <f t="shared" si="0"/>
        <v>3.4645390070921978</v>
      </c>
      <c r="AY26" s="5">
        <v>0.33753</v>
      </c>
      <c r="AZ26" s="5">
        <v>0.20402999999999999</v>
      </c>
      <c r="BA26" s="5">
        <v>0.15667</v>
      </c>
      <c r="BB26" s="5">
        <v>5.0054000000000001E-2</v>
      </c>
      <c r="BC26" s="5">
        <v>2.2384000000000001E-2</v>
      </c>
      <c r="BD26" s="5">
        <v>1.3339999999999999E-2</v>
      </c>
      <c r="BE26" s="5">
        <v>1.1068E-2</v>
      </c>
      <c r="BF26" s="5">
        <v>8.8582000000000001E-3</v>
      </c>
      <c r="BG26" s="5">
        <v>7.6137000000000002E-3</v>
      </c>
      <c r="BH26" s="5">
        <v>7.1672999999999997E-3</v>
      </c>
      <c r="BI26" s="5">
        <v>6.8120999999999998E-3</v>
      </c>
      <c r="BJ26" s="5">
        <v>5.8937E-3</v>
      </c>
      <c r="BL26" s="2"/>
      <c r="BM26" s="1"/>
      <c r="BP26" s="2"/>
    </row>
    <row r="27" spans="1:69">
      <c r="A27" t="s">
        <v>54</v>
      </c>
      <c r="B27" s="54">
        <v>45153</v>
      </c>
      <c r="C27" s="119">
        <v>7.5</v>
      </c>
      <c r="D27" s="59">
        <v>25.007364226753861</v>
      </c>
      <c r="E27" s="60" t="s">
        <v>52</v>
      </c>
      <c r="F27" s="177" t="s">
        <v>57</v>
      </c>
      <c r="G27" s="1">
        <v>6.16</v>
      </c>
      <c r="H27" s="27">
        <v>316.89999999999998</v>
      </c>
      <c r="I27" s="31">
        <v>91.5</v>
      </c>
      <c r="J27" s="1">
        <v>8.3800000000000008</v>
      </c>
      <c r="K27" s="10">
        <v>25</v>
      </c>
      <c r="L27" s="1">
        <v>12.95</v>
      </c>
      <c r="M27" s="8">
        <v>0.11</v>
      </c>
      <c r="N27" s="24"/>
      <c r="O27" s="1">
        <v>7.6739999999999995</v>
      </c>
      <c r="P27" s="1">
        <v>6.6635</v>
      </c>
      <c r="Q27" s="1">
        <v>0.31609999999999999</v>
      </c>
      <c r="R27" s="20">
        <v>0</v>
      </c>
      <c r="S27" s="9">
        <v>0.1</v>
      </c>
      <c r="T27" s="8">
        <v>0.02</v>
      </c>
      <c r="U27" s="10">
        <v>0</v>
      </c>
      <c r="V27" s="10">
        <v>0</v>
      </c>
      <c r="W27" s="9">
        <v>0.9</v>
      </c>
      <c r="X27" s="31">
        <v>34</v>
      </c>
      <c r="Y27" s="1">
        <v>0.2394</v>
      </c>
      <c r="Z27" s="5">
        <v>6.4999999999999997E-4</v>
      </c>
      <c r="AA27" s="5">
        <v>4.3499999999999997E-3</v>
      </c>
      <c r="AB27" s="1">
        <v>1.7073</v>
      </c>
      <c r="AC27" s="1">
        <v>0.17265</v>
      </c>
      <c r="AD27" s="1">
        <v>0.43435000000000001</v>
      </c>
      <c r="AE27" s="1">
        <v>0.46274999999999999</v>
      </c>
      <c r="AF27" s="5">
        <v>9.1000000000000004E-3</v>
      </c>
      <c r="AG27" s="1">
        <v>0.92725000000000002</v>
      </c>
      <c r="AH27" s="35">
        <v>4.0000000000000002E-4</v>
      </c>
      <c r="AI27" s="5">
        <v>3.15E-3</v>
      </c>
      <c r="AJ27" s="2">
        <v>3.9954999999999998</v>
      </c>
      <c r="AK27" s="2">
        <v>8.4516129032258078</v>
      </c>
      <c r="AL27" s="5">
        <v>0.42237000000000002</v>
      </c>
      <c r="AM27" s="5">
        <v>0.24984999999999999</v>
      </c>
      <c r="AN27" s="5">
        <v>0.18712000000000001</v>
      </c>
      <c r="AO27" s="5">
        <v>4.9027000000000001E-2</v>
      </c>
      <c r="AP27" s="5">
        <v>1.3851E-2</v>
      </c>
      <c r="AQ27" s="5">
        <v>4.5351999999999996E-3</v>
      </c>
      <c r="AR27" s="13">
        <v>2.9115999999999999E-3</v>
      </c>
      <c r="AS27" s="5">
        <v>1.6593999999999999E-3</v>
      </c>
      <c r="AT27" s="5">
        <v>1.1249000000000001E-3</v>
      </c>
      <c r="AU27" s="5">
        <v>1.0108999999999999E-3</v>
      </c>
      <c r="AV27" s="5">
        <v>8.0824E-4</v>
      </c>
      <c r="AW27" s="5">
        <v>7.2718000000000001E-4</v>
      </c>
      <c r="AX27" s="9">
        <f t="shared" si="0"/>
        <v>3.7495310272379379</v>
      </c>
      <c r="AY27" s="5">
        <v>0.47122000000000003</v>
      </c>
      <c r="AZ27" s="5">
        <v>0.28661999999999999</v>
      </c>
      <c r="BA27" s="5">
        <v>0.21934999999999999</v>
      </c>
      <c r="BB27" s="5">
        <v>6.7542000000000005E-2</v>
      </c>
      <c r="BC27" s="5">
        <v>2.5912000000000001E-2</v>
      </c>
      <c r="BD27" s="5">
        <v>1.3237000000000001E-2</v>
      </c>
      <c r="BE27" s="5">
        <v>1.0512000000000001E-2</v>
      </c>
      <c r="BF27" s="5">
        <v>7.9802999999999992E-3</v>
      </c>
      <c r="BG27" s="5">
        <v>6.7166999999999999E-3</v>
      </c>
      <c r="BH27" s="5">
        <v>6.2465999999999997E-3</v>
      </c>
      <c r="BI27" s="5">
        <v>5.9794999999999996E-3</v>
      </c>
      <c r="BJ27" s="5">
        <v>5.1351000000000001E-3</v>
      </c>
      <c r="BL27" s="2"/>
      <c r="BM27" s="1"/>
      <c r="BP27" s="2"/>
    </row>
    <row r="28" spans="1:69">
      <c r="A28" t="s">
        <v>54</v>
      </c>
      <c r="B28" s="54">
        <v>45153</v>
      </c>
      <c r="C28" s="120">
        <v>10</v>
      </c>
      <c r="D28" s="59">
        <v>27.861154465084248</v>
      </c>
      <c r="E28" s="60" t="s">
        <v>52</v>
      </c>
      <c r="F28" s="177" t="s">
        <v>57</v>
      </c>
      <c r="G28" s="8">
        <v>5.83</v>
      </c>
      <c r="H28" s="27">
        <v>323.8</v>
      </c>
      <c r="I28" s="31">
        <v>78.3</v>
      </c>
      <c r="J28" s="8">
        <v>7.32</v>
      </c>
      <c r="K28" s="10">
        <v>27</v>
      </c>
      <c r="L28" s="1">
        <v>12.01</v>
      </c>
      <c r="M28" s="8">
        <v>0.11</v>
      </c>
      <c r="N28" s="24"/>
      <c r="O28" s="1">
        <v>8.8094999999999999</v>
      </c>
      <c r="P28" s="1">
        <v>7.7955000000000005</v>
      </c>
      <c r="Q28" s="1">
        <v>0.35419999999999996</v>
      </c>
      <c r="R28" s="20">
        <v>1E-3</v>
      </c>
      <c r="S28" s="9">
        <v>0.2</v>
      </c>
      <c r="T28" s="8">
        <v>0.02</v>
      </c>
      <c r="U28" s="10">
        <v>0</v>
      </c>
      <c r="V28" s="10">
        <v>0</v>
      </c>
      <c r="W28" s="9">
        <v>1</v>
      </c>
      <c r="X28" s="31">
        <v>40</v>
      </c>
      <c r="Y28" s="1">
        <v>0.31564999999999999</v>
      </c>
      <c r="Z28" s="5">
        <v>8.4999999999999995E-4</v>
      </c>
      <c r="AA28" s="5">
        <v>5.3499999999999997E-3</v>
      </c>
      <c r="AB28" s="1">
        <v>1.6224500000000002</v>
      </c>
      <c r="AC28" s="1">
        <v>0.27364999999999995</v>
      </c>
      <c r="AD28" s="1">
        <v>0.50249999999999995</v>
      </c>
      <c r="AE28" s="1">
        <v>0.45014999999999999</v>
      </c>
      <c r="AF28" s="5">
        <v>1.9049999999999997E-2</v>
      </c>
      <c r="AG28" s="1">
        <v>0.88005</v>
      </c>
      <c r="AH28" s="35">
        <v>9.5E-4</v>
      </c>
      <c r="AI28" s="5">
        <v>2.6499999999999996E-3</v>
      </c>
      <c r="AJ28" s="2">
        <v>4.0175000000000001</v>
      </c>
      <c r="AK28" s="2">
        <v>8.7741935483870961</v>
      </c>
      <c r="AL28" s="5">
        <v>0.52408999999999994</v>
      </c>
      <c r="AM28" s="5">
        <v>0.30732999999999999</v>
      </c>
      <c r="AN28" s="5">
        <v>0.23172999999999999</v>
      </c>
      <c r="AO28" s="5">
        <v>6.3060000000000005E-2</v>
      </c>
      <c r="AP28" s="5">
        <v>1.7624999999999998E-2</v>
      </c>
      <c r="AQ28" s="5">
        <v>5.7391999999999999E-3</v>
      </c>
      <c r="AR28" s="13">
        <v>3.7456E-3</v>
      </c>
      <c r="AS28" s="5">
        <v>2.1600999999999999E-3</v>
      </c>
      <c r="AT28" s="5">
        <v>1.3975999999999999E-3</v>
      </c>
      <c r="AU28" s="5">
        <v>1.2746000000000001E-3</v>
      </c>
      <c r="AV28" s="5">
        <v>1.1195999999999999E-3</v>
      </c>
      <c r="AW28" s="5">
        <v>8.6355000000000004E-4</v>
      </c>
      <c r="AX28" s="9">
        <f t="shared" si="0"/>
        <v>3.9424026682060163</v>
      </c>
      <c r="AY28" s="5">
        <v>0.57770999999999995</v>
      </c>
      <c r="AZ28" s="5">
        <v>0.34854000000000002</v>
      </c>
      <c r="BA28" s="5">
        <v>0.26698</v>
      </c>
      <c r="BB28" s="5">
        <v>8.2712999999999995E-2</v>
      </c>
      <c r="BC28" s="5">
        <v>2.9912000000000001E-2</v>
      </c>
      <c r="BD28" s="5">
        <v>1.4371999999999999E-2</v>
      </c>
      <c r="BE28" s="5">
        <v>1.1004E-2</v>
      </c>
      <c r="BF28" s="5">
        <v>8.1490999999999994E-3</v>
      </c>
      <c r="BG28" s="5">
        <v>6.6385000000000003E-3</v>
      </c>
      <c r="BH28" s="5">
        <v>6.1954999999999996E-3</v>
      </c>
      <c r="BI28" s="5">
        <v>5.8069000000000003E-3</v>
      </c>
      <c r="BJ28" s="5">
        <v>5.0410999999999997E-3</v>
      </c>
      <c r="BL28" s="2"/>
      <c r="BM28" s="1"/>
      <c r="BP28" s="2"/>
    </row>
    <row r="29" spans="1:69">
      <c r="A29" t="s">
        <v>54</v>
      </c>
      <c r="B29" s="54">
        <v>45153</v>
      </c>
      <c r="C29" s="120">
        <v>13</v>
      </c>
      <c r="D29" s="59">
        <v>23.426805334401713</v>
      </c>
      <c r="E29" s="60" t="s">
        <v>52</v>
      </c>
      <c r="F29" s="177" t="s">
        <v>57</v>
      </c>
      <c r="G29" s="8">
        <v>5.71</v>
      </c>
      <c r="H29" s="27">
        <v>266.10000000000002</v>
      </c>
      <c r="I29" s="31">
        <v>50.8</v>
      </c>
      <c r="J29" s="8">
        <v>5.03</v>
      </c>
      <c r="K29" s="10">
        <v>31</v>
      </c>
      <c r="L29" s="1">
        <v>9.48</v>
      </c>
      <c r="M29" s="8">
        <v>0.1</v>
      </c>
      <c r="N29" s="2"/>
      <c r="O29" s="1">
        <v>6.9450000000000003</v>
      </c>
      <c r="P29" s="1">
        <v>5.8934999999999995</v>
      </c>
      <c r="Q29" s="1">
        <v>0.36420000000000002</v>
      </c>
      <c r="R29" s="20">
        <v>0</v>
      </c>
      <c r="S29" s="9">
        <v>0.1</v>
      </c>
      <c r="T29" s="8">
        <v>0.06</v>
      </c>
      <c r="U29" s="10">
        <v>0</v>
      </c>
      <c r="V29" s="10">
        <v>0</v>
      </c>
      <c r="W29" s="9">
        <v>0.9</v>
      </c>
      <c r="X29" s="31">
        <v>32</v>
      </c>
      <c r="Y29" s="1">
        <v>0.28539999999999999</v>
      </c>
      <c r="Z29" s="5">
        <v>-9.9999999999999991E-5</v>
      </c>
      <c r="AA29" s="5">
        <v>5.6500000000000005E-3</v>
      </c>
      <c r="AB29" s="1">
        <v>1.5903</v>
      </c>
      <c r="AC29" s="1">
        <v>0.36734999999999995</v>
      </c>
      <c r="AD29" s="1">
        <v>0.47739999999999999</v>
      </c>
      <c r="AE29" s="1">
        <v>0.441</v>
      </c>
      <c r="AF29" s="5">
        <v>3.1049999999999998E-2</v>
      </c>
      <c r="AG29" s="1">
        <v>0.85945000000000005</v>
      </c>
      <c r="AH29" s="35">
        <v>5.9999999999999995E-4</v>
      </c>
      <c r="AI29" s="5">
        <v>5.0000000000000001E-3</v>
      </c>
      <c r="AJ29" s="2">
        <v>3.9260000000000002</v>
      </c>
      <c r="AK29" s="2">
        <v>8.129032258064516</v>
      </c>
      <c r="AL29" s="5">
        <v>0.41631000000000001</v>
      </c>
      <c r="AM29" s="5">
        <v>0.23555000000000001</v>
      </c>
      <c r="AN29" s="5">
        <v>0.17756</v>
      </c>
      <c r="AO29" s="5">
        <v>4.8000000000000001E-2</v>
      </c>
      <c r="AP29" s="5">
        <v>1.3663E-2</v>
      </c>
      <c r="AQ29" s="5">
        <v>4.7749999999999997E-3</v>
      </c>
      <c r="AR29" s="13">
        <v>3.2033999999999999E-3</v>
      </c>
      <c r="AS29" s="5">
        <v>1.8392E-3</v>
      </c>
      <c r="AT29" s="5">
        <v>1.1911000000000001E-3</v>
      </c>
      <c r="AU29" s="5">
        <v>1.0586E-3</v>
      </c>
      <c r="AV29" s="5">
        <v>9.5319999999999997E-4</v>
      </c>
      <c r="AW29" s="5">
        <v>7.1383000000000004E-4</v>
      </c>
      <c r="AX29" s="9">
        <f t="shared" si="0"/>
        <v>3.9967761092729281</v>
      </c>
      <c r="AY29" s="5">
        <v>0.49085000000000001</v>
      </c>
      <c r="AZ29" s="5">
        <v>0.29522999999999999</v>
      </c>
      <c r="BA29" s="5">
        <v>0.22758</v>
      </c>
      <c r="BB29" s="5">
        <v>7.4043999999999999E-2</v>
      </c>
      <c r="BC29" s="5">
        <v>2.7053000000000001E-2</v>
      </c>
      <c r="BD29" s="5">
        <v>1.3091999999999999E-2</v>
      </c>
      <c r="BE29" s="5">
        <v>9.9921000000000003E-3</v>
      </c>
      <c r="BF29" s="5">
        <v>7.3232999999999996E-3</v>
      </c>
      <c r="BG29" s="5">
        <v>5.8922999999999996E-3</v>
      </c>
      <c r="BH29" s="5">
        <v>5.4783999999999996E-3</v>
      </c>
      <c r="BI29" s="5">
        <v>5.1303E-3</v>
      </c>
      <c r="BJ29" s="5">
        <v>4.3096999999999996E-3</v>
      </c>
      <c r="BL29" s="2"/>
      <c r="BM29" s="1"/>
      <c r="BP29" s="2"/>
    </row>
    <row r="30" spans="1:69">
      <c r="A30" t="s">
        <v>54</v>
      </c>
      <c r="B30" s="54">
        <v>45181</v>
      </c>
      <c r="C30" s="119">
        <v>0</v>
      </c>
      <c r="D30" s="59">
        <v>16.774792702928259</v>
      </c>
      <c r="E30" s="60" t="s">
        <v>56</v>
      </c>
      <c r="F30" s="177" t="s">
        <v>57</v>
      </c>
      <c r="G30" s="8">
        <v>6.66</v>
      </c>
      <c r="H30" s="31">
        <v>213.3</v>
      </c>
      <c r="I30" s="31">
        <v>112.2</v>
      </c>
      <c r="J30" s="8">
        <v>9.11</v>
      </c>
      <c r="K30" s="10">
        <v>23</v>
      </c>
      <c r="L30" s="8">
        <v>18.149999999999999</v>
      </c>
      <c r="M30" s="8">
        <v>0.18</v>
      </c>
      <c r="N30" s="24"/>
      <c r="O30" s="1">
        <v>5.8290000000000006</v>
      </c>
      <c r="P30" s="1">
        <v>4.9864999999999995</v>
      </c>
      <c r="Q30" s="1">
        <v>0.31919999999999998</v>
      </c>
      <c r="R30" s="20">
        <v>4.0000000000000001E-3</v>
      </c>
      <c r="S30" s="9">
        <v>0.5</v>
      </c>
      <c r="T30" s="8">
        <v>0.06</v>
      </c>
      <c r="U30" s="10">
        <v>3</v>
      </c>
      <c r="V30" s="10">
        <v>0.02</v>
      </c>
      <c r="W30" s="9">
        <v>1.1000000000000001</v>
      </c>
      <c r="X30" s="13">
        <v>22</v>
      </c>
      <c r="Y30" s="1">
        <v>0.12415</v>
      </c>
      <c r="Z30" s="5">
        <v>0</v>
      </c>
      <c r="AA30" s="5">
        <v>3.0000000000000001E-3</v>
      </c>
      <c r="AB30" s="1">
        <v>1.7704499999999999</v>
      </c>
      <c r="AC30" s="1">
        <v>0.12</v>
      </c>
      <c r="AD30" s="1">
        <v>0.45155000000000001</v>
      </c>
      <c r="AE30" s="1">
        <v>0.48494999999999999</v>
      </c>
      <c r="AF30" s="5">
        <v>2.5500000000000002E-3</v>
      </c>
      <c r="AG30" s="1">
        <v>0.93335000000000001</v>
      </c>
      <c r="AH30" s="35">
        <v>0</v>
      </c>
      <c r="AI30" s="5">
        <v>2.3E-3</v>
      </c>
      <c r="AJ30" s="2">
        <v>3.923</v>
      </c>
      <c r="AK30" s="2">
        <v>8.1289999999999996</v>
      </c>
      <c r="AL30" s="5">
        <v>0.29599999999999999</v>
      </c>
      <c r="AM30" s="5">
        <v>0.16800000000000001</v>
      </c>
      <c r="AN30" s="5">
        <v>0.12438</v>
      </c>
      <c r="AO30" s="5">
        <v>3.04E-2</v>
      </c>
      <c r="AP30" s="5">
        <v>8.2699999999999996E-3</v>
      </c>
      <c r="AQ30" s="5">
        <v>2.5699999999999998E-3</v>
      </c>
      <c r="AR30" s="13">
        <v>1.5900000000000001E-3</v>
      </c>
      <c r="AS30" s="5">
        <v>7.9299999999999998E-4</v>
      </c>
      <c r="AT30" s="5">
        <v>4.4000000000000002E-4</v>
      </c>
      <c r="AU30" s="5">
        <v>3.28E-4</v>
      </c>
      <c r="AV30" s="5">
        <v>2.41E-4</v>
      </c>
      <c r="AW30" s="5">
        <v>5.6700000000000003E-5</v>
      </c>
      <c r="AX30" s="9">
        <f t="shared" si="0"/>
        <v>3.369096560713928</v>
      </c>
      <c r="AY30" s="5">
        <v>0.32500000000000001</v>
      </c>
      <c r="AZ30" s="5">
        <v>0.19500000000000001</v>
      </c>
      <c r="BA30" s="5">
        <v>0.14888000000000001</v>
      </c>
      <c r="BB30" s="5">
        <v>4.6600000000000003E-2</v>
      </c>
      <c r="BC30" s="5">
        <v>1.9900000000000001E-2</v>
      </c>
      <c r="BD30" s="5">
        <v>1.1599999999999999E-2</v>
      </c>
      <c r="BE30" s="5">
        <v>9.4599999999999997E-3</v>
      </c>
      <c r="BF30" s="5">
        <v>7.4000000000000003E-3</v>
      </c>
      <c r="BG30" s="5">
        <v>6.1399999999999996E-3</v>
      </c>
      <c r="BH30" s="5">
        <v>5.8399999999999997E-3</v>
      </c>
      <c r="BI30" s="5">
        <v>5.4599999999999996E-3</v>
      </c>
      <c r="BJ30" s="5">
        <v>4.7400000000000003E-3</v>
      </c>
      <c r="BL30" s="2"/>
      <c r="BM30" s="1"/>
      <c r="BP30" s="2"/>
    </row>
    <row r="31" spans="1:69">
      <c r="A31" t="s">
        <v>54</v>
      </c>
      <c r="B31" s="54">
        <v>45181</v>
      </c>
      <c r="C31" s="119">
        <v>2.5</v>
      </c>
      <c r="D31" s="59">
        <v>17.195908517497458</v>
      </c>
      <c r="E31" s="60" t="s">
        <v>56</v>
      </c>
      <c r="F31" s="177" t="s">
        <v>57</v>
      </c>
      <c r="G31" s="8">
        <v>6.71</v>
      </c>
      <c r="H31" s="31">
        <v>218.5</v>
      </c>
      <c r="I31" s="31">
        <v>111.6</v>
      </c>
      <c r="J31" s="8">
        <v>9.1</v>
      </c>
      <c r="K31" s="10">
        <v>23</v>
      </c>
      <c r="L31" s="8">
        <v>17.91</v>
      </c>
      <c r="M31" s="8">
        <v>0.13</v>
      </c>
      <c r="N31" s="24"/>
      <c r="O31" s="1">
        <v>5.883</v>
      </c>
      <c r="P31" s="1">
        <v>4.9949999999999992</v>
      </c>
      <c r="Q31" s="1">
        <v>0.32750000000000001</v>
      </c>
      <c r="R31" s="20">
        <v>3.0000000000000001E-3</v>
      </c>
      <c r="S31" s="9">
        <v>0.5</v>
      </c>
      <c r="T31" s="8">
        <v>0</v>
      </c>
      <c r="U31" s="10">
        <v>0</v>
      </c>
      <c r="V31" s="10">
        <v>0.03</v>
      </c>
      <c r="W31" s="9">
        <v>1.1000000000000001</v>
      </c>
      <c r="X31" s="13">
        <v>23</v>
      </c>
      <c r="Y31" s="1">
        <v>0.12840000000000001</v>
      </c>
      <c r="Z31" s="5">
        <v>0</v>
      </c>
      <c r="AA31" s="5">
        <v>3.15E-3</v>
      </c>
      <c r="AB31" s="1">
        <v>1.81925</v>
      </c>
      <c r="AC31" s="1">
        <v>0.11899999999999999</v>
      </c>
      <c r="AD31" s="1">
        <v>0.45765</v>
      </c>
      <c r="AE31" s="1">
        <v>0.49110000000000004</v>
      </c>
      <c r="AF31" s="5">
        <v>3.8500000000000001E-3</v>
      </c>
      <c r="AG31" s="1">
        <v>0.9436500000000001</v>
      </c>
      <c r="AH31" s="35">
        <v>5.0000000000000002E-5</v>
      </c>
      <c r="AI31" s="5">
        <v>3.7000000000000002E-3</v>
      </c>
      <c r="AJ31" s="2">
        <v>3.9445000000000001</v>
      </c>
      <c r="AK31" s="2">
        <v>8.452</v>
      </c>
      <c r="AL31" s="5">
        <v>0.29399999999999998</v>
      </c>
      <c r="AM31" s="5">
        <v>0.17</v>
      </c>
      <c r="AN31" s="5">
        <v>0.12639</v>
      </c>
      <c r="AO31" s="5">
        <v>3.1099999999999999E-2</v>
      </c>
      <c r="AP31" s="5">
        <v>8.7899999999999992E-3</v>
      </c>
      <c r="AQ31" s="5">
        <v>2.7899999999999999E-3</v>
      </c>
      <c r="AR31" s="13">
        <v>1.82E-3</v>
      </c>
      <c r="AS31" s="5">
        <v>9.9700000000000006E-4</v>
      </c>
      <c r="AT31" s="5">
        <v>5.13E-4</v>
      </c>
      <c r="AU31" s="5">
        <v>4.95E-4</v>
      </c>
      <c r="AV31" s="5">
        <v>3.6299999999999999E-4</v>
      </c>
      <c r="AW31" s="5">
        <v>2.5799999999999998E-4</v>
      </c>
      <c r="AX31" s="9">
        <f t="shared" si="0"/>
        <v>3.403403403403404</v>
      </c>
      <c r="AY31" s="5">
        <v>0.32800000000000001</v>
      </c>
      <c r="AZ31" s="5">
        <v>0.19600000000000001</v>
      </c>
      <c r="BA31" s="5">
        <v>0.15015999999999999</v>
      </c>
      <c r="BB31" s="5">
        <v>4.7500000000000001E-2</v>
      </c>
      <c r="BC31" s="5">
        <v>2.07E-2</v>
      </c>
      <c r="BD31" s="5">
        <v>1.2200000000000001E-2</v>
      </c>
      <c r="BE31" s="5">
        <v>0.01</v>
      </c>
      <c r="BF31" s="5">
        <v>7.9399999999999991E-3</v>
      </c>
      <c r="BG31" s="5">
        <v>6.7200000000000003E-3</v>
      </c>
      <c r="BH31" s="5">
        <v>6.43E-3</v>
      </c>
      <c r="BI31" s="5">
        <v>6.0699999999999999E-3</v>
      </c>
      <c r="BJ31" s="5">
        <v>5.2399999999999999E-3</v>
      </c>
      <c r="BL31" s="2"/>
      <c r="BM31" s="1"/>
      <c r="BP31" s="2"/>
    </row>
    <row r="32" spans="1:69">
      <c r="A32" t="s">
        <v>54</v>
      </c>
      <c r="B32" s="54">
        <v>45181</v>
      </c>
      <c r="C32" s="121">
        <v>5</v>
      </c>
      <c r="D32" s="59">
        <v>18.292543750592834</v>
      </c>
      <c r="E32" s="60" t="s">
        <v>56</v>
      </c>
      <c r="F32" s="177" t="s">
        <v>57</v>
      </c>
      <c r="G32" s="8">
        <v>6.33</v>
      </c>
      <c r="H32" s="31">
        <v>248.4</v>
      </c>
      <c r="I32" s="31">
        <v>95.9</v>
      </c>
      <c r="J32" s="8">
        <v>8.17</v>
      </c>
      <c r="K32" s="10">
        <v>25</v>
      </c>
      <c r="L32" s="8">
        <v>15.82</v>
      </c>
      <c r="M32" s="8">
        <v>0.15</v>
      </c>
      <c r="N32" s="24"/>
      <c r="O32" s="1">
        <v>5.8479999999999999</v>
      </c>
      <c r="P32" s="1">
        <v>5.1630000000000003</v>
      </c>
      <c r="Q32" s="1">
        <v>0.34045000000000003</v>
      </c>
      <c r="R32" s="20">
        <v>4.0000000000000001E-3</v>
      </c>
      <c r="S32" s="9">
        <v>0.5</v>
      </c>
      <c r="T32" s="8">
        <v>0.01</v>
      </c>
      <c r="U32" s="10">
        <v>1</v>
      </c>
      <c r="V32" s="10">
        <v>0.01</v>
      </c>
      <c r="W32" s="9">
        <v>1</v>
      </c>
      <c r="X32" s="13">
        <v>25</v>
      </c>
      <c r="Y32" s="1">
        <v>0.13464999999999999</v>
      </c>
      <c r="Z32" s="5">
        <v>0</v>
      </c>
      <c r="AA32" s="5">
        <v>3.6499999999999996E-3</v>
      </c>
      <c r="AB32" s="1">
        <v>1.80935</v>
      </c>
      <c r="AC32" s="1">
        <v>0.13650000000000001</v>
      </c>
      <c r="AD32" s="1">
        <v>0.45365</v>
      </c>
      <c r="AE32" s="1">
        <v>0.49570000000000003</v>
      </c>
      <c r="AF32" s="5">
        <v>4.8000000000000004E-3</v>
      </c>
      <c r="AG32" s="1">
        <v>0.94315000000000004</v>
      </c>
      <c r="AH32" s="35">
        <v>5.0000000000000002E-5</v>
      </c>
      <c r="AI32" s="5">
        <v>4.45E-3</v>
      </c>
      <c r="AJ32" s="2">
        <v>4.0324999999999998</v>
      </c>
      <c r="AK32" s="2">
        <v>7.1609999999999996</v>
      </c>
      <c r="AL32" s="5">
        <v>0.32400000000000001</v>
      </c>
      <c r="AM32" s="5">
        <v>0.18</v>
      </c>
      <c r="AN32" s="5">
        <v>0.13433</v>
      </c>
      <c r="AO32" s="5">
        <v>3.39E-2</v>
      </c>
      <c r="AP32" s="5">
        <v>9.5700000000000004E-3</v>
      </c>
      <c r="AQ32" s="5">
        <v>3.3E-3</v>
      </c>
      <c r="AR32" s="13">
        <v>2.2000000000000001E-3</v>
      </c>
      <c r="AS32" s="5">
        <v>1.2199999999999999E-3</v>
      </c>
      <c r="AT32" s="5">
        <v>7.67E-4</v>
      </c>
      <c r="AU32" s="5">
        <v>6.8099999999999996E-4</v>
      </c>
      <c r="AV32" s="5">
        <v>5.8100000000000003E-4</v>
      </c>
      <c r="AW32" s="5">
        <v>4.0700000000000003E-4</v>
      </c>
      <c r="AX32" s="9">
        <f t="shared" si="0"/>
        <v>3.4863451481696686</v>
      </c>
      <c r="AY32" s="5">
        <v>0.34499999999999997</v>
      </c>
      <c r="AZ32" s="5">
        <v>0.20399999999999999</v>
      </c>
      <c r="BA32" s="5">
        <v>0.15578</v>
      </c>
      <c r="BB32" s="5">
        <v>4.8000000000000001E-2</v>
      </c>
      <c r="BC32" s="5">
        <v>1.9699999999999999E-2</v>
      </c>
      <c r="BD32" s="5">
        <v>1.0699999999999999E-2</v>
      </c>
      <c r="BE32" s="5">
        <v>8.6599999999999993E-3</v>
      </c>
      <c r="BF32" s="5">
        <v>6.6100000000000004E-3</v>
      </c>
      <c r="BG32" s="5">
        <v>5.5399999999999998E-3</v>
      </c>
      <c r="BH32" s="5">
        <v>5.2599999999999999E-3</v>
      </c>
      <c r="BI32" s="5">
        <v>4.8399999999999997E-3</v>
      </c>
      <c r="BJ32" s="5">
        <v>4.1900000000000001E-3</v>
      </c>
      <c r="BL32" s="2"/>
      <c r="BM32" s="1"/>
      <c r="BP32" s="2"/>
    </row>
    <row r="33" spans="1:68">
      <c r="A33" t="s">
        <v>54</v>
      </c>
      <c r="B33" s="54">
        <v>45181</v>
      </c>
      <c r="C33" s="119">
        <v>7.5</v>
      </c>
      <c r="D33" s="59">
        <v>22.512099878673752</v>
      </c>
      <c r="E33" s="60" t="s">
        <v>56</v>
      </c>
      <c r="F33" s="177" t="s">
        <v>57</v>
      </c>
      <c r="G33" s="1">
        <v>5.74</v>
      </c>
      <c r="H33" s="27">
        <v>271.10000000000002</v>
      </c>
      <c r="I33" s="31">
        <v>60</v>
      </c>
      <c r="J33" s="1">
        <v>5.43</v>
      </c>
      <c r="K33" s="10">
        <v>26</v>
      </c>
      <c r="L33" s="1">
        <v>13.11</v>
      </c>
      <c r="M33" s="8">
        <v>0.13</v>
      </c>
      <c r="N33" s="24"/>
      <c r="O33" s="1">
        <v>7.1974999999999998</v>
      </c>
      <c r="P33" s="1">
        <v>6.5875000000000004</v>
      </c>
      <c r="Q33" s="1">
        <v>0.36904999999999999</v>
      </c>
      <c r="R33" s="20">
        <v>2E-3</v>
      </c>
      <c r="S33" s="9">
        <v>0.4</v>
      </c>
      <c r="T33" s="8">
        <v>0.01</v>
      </c>
      <c r="U33" s="10">
        <v>3</v>
      </c>
      <c r="V33" s="10">
        <v>0.03</v>
      </c>
      <c r="W33" s="9">
        <v>1.2</v>
      </c>
      <c r="X33" s="13">
        <v>45</v>
      </c>
      <c r="Y33" s="1">
        <v>0.23135</v>
      </c>
      <c r="Z33" s="5">
        <v>0</v>
      </c>
      <c r="AA33" s="5">
        <v>4.8999999999999998E-3</v>
      </c>
      <c r="AB33" s="1">
        <v>1.7723499999999999</v>
      </c>
      <c r="AC33" s="1">
        <v>0.2666</v>
      </c>
      <c r="AD33" s="1">
        <v>0.47009999999999996</v>
      </c>
      <c r="AE33" s="1">
        <v>0.48334999999999995</v>
      </c>
      <c r="AF33" s="5">
        <v>1.5349999999999999E-2</v>
      </c>
      <c r="AG33" s="1">
        <v>0.89634999999999998</v>
      </c>
      <c r="AH33" s="35">
        <v>5.9999999999999995E-4</v>
      </c>
      <c r="AI33" s="5">
        <v>5.8499999999999993E-3</v>
      </c>
      <c r="AJ33" s="2">
        <v>4.1180000000000003</v>
      </c>
      <c r="AK33" s="2">
        <v>7.1609999999999996</v>
      </c>
      <c r="AL33" s="5">
        <v>0.47799999999999998</v>
      </c>
      <c r="AM33" s="5">
        <v>0.26</v>
      </c>
      <c r="AN33" s="5">
        <v>0.1956</v>
      </c>
      <c r="AO33" s="5">
        <v>5.2900000000000003E-2</v>
      </c>
      <c r="AP33" s="5">
        <v>1.5100000000000001E-2</v>
      </c>
      <c r="AQ33" s="5">
        <v>5.0899999999999999E-3</v>
      </c>
      <c r="AR33" s="13">
        <v>3.1700000000000001E-3</v>
      </c>
      <c r="AS33" s="5">
        <v>1.74E-3</v>
      </c>
      <c r="AT33" s="5">
        <v>1.0300000000000001E-3</v>
      </c>
      <c r="AU33" s="5">
        <v>8.6899999999999998E-4</v>
      </c>
      <c r="AV33" s="5">
        <v>7.3399999999999995E-4</v>
      </c>
      <c r="AW33" s="5">
        <v>4.1199999999999999E-4</v>
      </c>
      <c r="AX33" s="9">
        <f t="shared" si="0"/>
        <v>3.9468690702087286</v>
      </c>
      <c r="AY33" s="5">
        <v>0.496</v>
      </c>
      <c r="AZ33" s="5">
        <v>0.28799999999999998</v>
      </c>
      <c r="BA33" s="5">
        <v>0.21959999999999999</v>
      </c>
      <c r="BB33" s="5">
        <v>6.6699999999999995E-2</v>
      </c>
      <c r="BC33" s="5">
        <v>2.3599999999999999E-2</v>
      </c>
      <c r="BD33" s="5">
        <v>1.09E-2</v>
      </c>
      <c r="BE33" s="5">
        <v>8.26E-3</v>
      </c>
      <c r="BF33" s="5">
        <v>5.9500000000000004E-3</v>
      </c>
      <c r="BG33" s="5">
        <v>4.7999999999999996E-3</v>
      </c>
      <c r="BH33" s="5">
        <v>4.3699999999999998E-3</v>
      </c>
      <c r="BI33" s="5">
        <v>4.1200000000000004E-3</v>
      </c>
      <c r="BJ33" s="5">
        <v>3.5200000000000001E-3</v>
      </c>
      <c r="BL33" s="2"/>
      <c r="BM33" s="1"/>
      <c r="BP33" s="2"/>
    </row>
    <row r="34" spans="1:68">
      <c r="A34" t="s">
        <v>54</v>
      </c>
      <c r="B34" s="54">
        <v>45181</v>
      </c>
      <c r="C34" s="120">
        <v>10</v>
      </c>
      <c r="D34" s="59">
        <v>25.200352794857746</v>
      </c>
      <c r="E34" s="60" t="s">
        <v>56</v>
      </c>
      <c r="F34" s="177" t="s">
        <v>57</v>
      </c>
      <c r="G34" s="8">
        <v>5.65</v>
      </c>
      <c r="H34" s="27">
        <v>276</v>
      </c>
      <c r="I34" s="31">
        <v>44.3</v>
      </c>
      <c r="J34" s="8">
        <v>4.1500000000000004</v>
      </c>
      <c r="K34" s="10">
        <v>28</v>
      </c>
      <c r="L34" s="1">
        <v>11.56</v>
      </c>
      <c r="M34" s="8">
        <v>0.1</v>
      </c>
      <c r="N34" s="24"/>
      <c r="O34" s="1">
        <v>7.569</v>
      </c>
      <c r="P34" s="1">
        <v>6.7145000000000001</v>
      </c>
      <c r="Q34" s="1">
        <v>0.37880000000000003</v>
      </c>
      <c r="R34" s="20">
        <v>3.0000000000000001E-3</v>
      </c>
      <c r="S34" s="9">
        <v>0.4</v>
      </c>
      <c r="T34" s="8">
        <v>0.03</v>
      </c>
      <c r="U34" s="10">
        <v>3</v>
      </c>
      <c r="V34" s="10">
        <v>0.02</v>
      </c>
      <c r="W34" s="9">
        <v>1.1000000000000001</v>
      </c>
      <c r="X34" s="13">
        <v>41</v>
      </c>
      <c r="Y34" s="1">
        <v>0.29215000000000002</v>
      </c>
      <c r="Z34" s="5">
        <v>0</v>
      </c>
      <c r="AA34" s="5">
        <v>5.7499999999999999E-3</v>
      </c>
      <c r="AB34" s="1">
        <v>1.6938</v>
      </c>
      <c r="AC34" s="1">
        <v>0.43985000000000002</v>
      </c>
      <c r="AD34" s="1">
        <v>0.47564999999999996</v>
      </c>
      <c r="AE34" s="1">
        <v>0.46550000000000002</v>
      </c>
      <c r="AF34" s="5">
        <v>2.9699999999999997E-2</v>
      </c>
      <c r="AG34" s="1">
        <v>0.84265000000000001</v>
      </c>
      <c r="AH34" s="35">
        <v>8.5000000000000006E-4</v>
      </c>
      <c r="AI34" s="5">
        <v>5.9500000000000004E-3</v>
      </c>
      <c r="AJ34" s="2">
        <v>4.0140000000000002</v>
      </c>
      <c r="AK34" s="2">
        <v>8.1289999999999996</v>
      </c>
      <c r="AL34" s="5">
        <v>0.48</v>
      </c>
      <c r="AM34" s="5">
        <v>0.27900000000000003</v>
      </c>
      <c r="AN34" s="5">
        <v>0.20954999999999999</v>
      </c>
      <c r="AO34" s="5">
        <v>5.79E-2</v>
      </c>
      <c r="AP34" s="5">
        <v>1.6299999999999999E-2</v>
      </c>
      <c r="AQ34" s="5">
        <v>5.4299999999999999E-3</v>
      </c>
      <c r="AR34" s="13">
        <v>3.5599999999999998E-3</v>
      </c>
      <c r="AS34" s="5">
        <v>2E-3</v>
      </c>
      <c r="AT34" s="5">
        <v>1.14E-3</v>
      </c>
      <c r="AU34" s="5">
        <v>9.9500000000000001E-4</v>
      </c>
      <c r="AV34" s="5">
        <v>8.8099999999999995E-4</v>
      </c>
      <c r="AW34" s="5">
        <v>5.8600000000000004E-4</v>
      </c>
      <c r="AX34" s="9">
        <f t="shared" si="0"/>
        <v>4.1551865365998957</v>
      </c>
      <c r="AY34" s="5">
        <v>0.56499999999999995</v>
      </c>
      <c r="AZ34" s="5">
        <v>0.32800000000000001</v>
      </c>
      <c r="BA34" s="5">
        <v>0.25074999999999997</v>
      </c>
      <c r="BB34" s="5">
        <v>7.8399999999999997E-2</v>
      </c>
      <c r="BC34" s="5">
        <v>2.69E-2</v>
      </c>
      <c r="BD34" s="5">
        <v>1.21E-2</v>
      </c>
      <c r="BE34" s="5">
        <v>9.0799999999999995E-3</v>
      </c>
      <c r="BF34" s="5">
        <v>6.4099999999999999E-3</v>
      </c>
      <c r="BG34" s="5">
        <v>4.9699999999999996E-3</v>
      </c>
      <c r="BH34" s="5">
        <v>4.5900000000000003E-3</v>
      </c>
      <c r="BI34" s="5">
        <v>4.2599999999999999E-3</v>
      </c>
      <c r="BJ34" s="5">
        <v>3.5200000000000001E-3</v>
      </c>
      <c r="BL34" s="2"/>
      <c r="BM34" s="1"/>
      <c r="BP34" s="2"/>
    </row>
    <row r="35" spans="1:68">
      <c r="A35" t="s">
        <v>54</v>
      </c>
      <c r="B35" s="54">
        <v>45181</v>
      </c>
      <c r="C35" s="120">
        <v>13</v>
      </c>
      <c r="D35" s="59">
        <v>24.258556882063946</v>
      </c>
      <c r="E35" s="60" t="s">
        <v>56</v>
      </c>
      <c r="F35" s="177" t="s">
        <v>57</v>
      </c>
      <c r="G35" s="8">
        <v>5.65</v>
      </c>
      <c r="H35" s="27">
        <v>243.3</v>
      </c>
      <c r="I35" s="31">
        <v>33.799999999999997</v>
      </c>
      <c r="J35" s="8">
        <v>3.23</v>
      </c>
      <c r="K35" s="10">
        <v>31</v>
      </c>
      <c r="L35" s="1">
        <v>10.74</v>
      </c>
      <c r="M35" s="8">
        <v>0.1</v>
      </c>
      <c r="N35" s="2"/>
      <c r="O35" s="1">
        <v>7.1265000000000001</v>
      </c>
      <c r="P35" s="1">
        <v>6.1944999999999997</v>
      </c>
      <c r="Q35" s="1">
        <v>0.43774999999999997</v>
      </c>
      <c r="R35" s="20">
        <v>3.0000000000000001E-3</v>
      </c>
      <c r="S35" s="9">
        <v>0.5</v>
      </c>
      <c r="T35" s="8">
        <v>7.0000000000000007E-2</v>
      </c>
      <c r="U35" s="10">
        <v>0</v>
      </c>
      <c r="V35" s="10">
        <v>0.03</v>
      </c>
      <c r="W35" s="9">
        <v>1.2</v>
      </c>
      <c r="X35" s="13">
        <v>35</v>
      </c>
      <c r="Y35" s="1">
        <v>0.30585000000000001</v>
      </c>
      <c r="Z35" s="5">
        <v>0</v>
      </c>
      <c r="AA35" s="13">
        <v>5.8499999999999993E-3</v>
      </c>
      <c r="AB35" s="8">
        <v>1.67815</v>
      </c>
      <c r="AC35" s="8">
        <v>0.50695000000000001</v>
      </c>
      <c r="AD35" s="8">
        <v>0.47770000000000001</v>
      </c>
      <c r="AE35" s="8">
        <v>0.46184999999999998</v>
      </c>
      <c r="AF35" s="13">
        <v>3.5799999999999998E-2</v>
      </c>
      <c r="AG35" s="8">
        <v>0.83529999999999993</v>
      </c>
      <c r="AH35" s="36">
        <v>8.9999999999999998E-4</v>
      </c>
      <c r="AI35" s="13">
        <v>5.4999999999999997E-3</v>
      </c>
      <c r="AJ35" s="9">
        <v>4.0019999999999998</v>
      </c>
      <c r="AK35" s="2">
        <v>10.064500000000001</v>
      </c>
      <c r="AL35" s="5">
        <v>0.437</v>
      </c>
      <c r="AM35" s="5">
        <v>0.25600000000000001</v>
      </c>
      <c r="AN35" s="5">
        <v>0.19161</v>
      </c>
      <c r="AO35" s="5">
        <v>5.28E-2</v>
      </c>
      <c r="AP35" s="5">
        <v>1.49E-2</v>
      </c>
      <c r="AQ35" s="5">
        <v>5.1900000000000002E-3</v>
      </c>
      <c r="AR35" s="13">
        <v>3.3800000000000002E-3</v>
      </c>
      <c r="AS35" s="5">
        <v>1.9400000000000001E-3</v>
      </c>
      <c r="AT35" s="5">
        <v>1.08E-3</v>
      </c>
      <c r="AU35" s="5">
        <v>1.0300000000000001E-3</v>
      </c>
      <c r="AV35" s="5">
        <v>9.0799999999999995E-4</v>
      </c>
      <c r="AW35" s="5">
        <v>7.0399999999999998E-4</v>
      </c>
      <c r="AX35" s="9">
        <f t="shared" si="0"/>
        <v>4.1326983614496733</v>
      </c>
      <c r="AY35" s="5">
        <v>0.54400000000000004</v>
      </c>
      <c r="AZ35" s="5">
        <v>0.33500000000000002</v>
      </c>
      <c r="BA35" s="5">
        <v>0.25766</v>
      </c>
      <c r="BB35" s="5">
        <v>8.3400000000000002E-2</v>
      </c>
      <c r="BC35" s="5">
        <v>2.8299999999999999E-2</v>
      </c>
      <c r="BD35" s="5">
        <v>1.23E-2</v>
      </c>
      <c r="BE35" s="5">
        <v>8.9200000000000008E-3</v>
      </c>
      <c r="BF35" s="5">
        <v>6.0800000000000003E-3</v>
      </c>
      <c r="BG35" s="5">
        <v>4.3800000000000002E-3</v>
      </c>
      <c r="BH35" s="5">
        <v>3.96E-3</v>
      </c>
      <c r="BI35" s="5">
        <v>3.6900000000000001E-3</v>
      </c>
      <c r="BJ35" s="5">
        <v>2.98E-3</v>
      </c>
      <c r="BL35" s="2"/>
      <c r="BM35" s="1"/>
      <c r="BP35" s="2"/>
    </row>
    <row r="36" spans="1:68">
      <c r="A36" t="s">
        <v>54</v>
      </c>
      <c r="B36" s="54">
        <v>45181</v>
      </c>
      <c r="C36" s="120">
        <v>14</v>
      </c>
      <c r="D36" s="59">
        <v>25.026015798653237</v>
      </c>
      <c r="E36" s="60" t="s">
        <v>56</v>
      </c>
      <c r="F36" s="177" t="s">
        <v>57</v>
      </c>
      <c r="G36" s="8">
        <v>5.67</v>
      </c>
      <c r="H36" s="27">
        <v>207.9</v>
      </c>
      <c r="I36" s="31">
        <v>23.1</v>
      </c>
      <c r="J36" s="8">
        <v>2.2200000000000002</v>
      </c>
      <c r="K36" s="10">
        <v>32</v>
      </c>
      <c r="L36" s="1">
        <v>10.54</v>
      </c>
      <c r="M36" s="8">
        <v>0.08</v>
      </c>
      <c r="N36" s="2"/>
      <c r="O36" s="1">
        <v>7.2264999999999997</v>
      </c>
      <c r="P36" s="1">
        <v>6.5745000000000005</v>
      </c>
      <c r="Q36" s="1">
        <v>0.43125000000000002</v>
      </c>
      <c r="R36" s="20">
        <v>0</v>
      </c>
      <c r="S36" s="9">
        <v>0.4</v>
      </c>
      <c r="T36" s="8">
        <v>0.06</v>
      </c>
      <c r="U36" s="10">
        <v>1</v>
      </c>
      <c r="V36" s="10">
        <v>0.06</v>
      </c>
      <c r="W36" s="9">
        <v>1.3</v>
      </c>
      <c r="X36" s="13">
        <v>62</v>
      </c>
      <c r="Y36" s="1">
        <v>0.30585000000000001</v>
      </c>
      <c r="Z36" s="5">
        <v>0</v>
      </c>
      <c r="AA36" s="5">
        <v>6.0499999999999998E-3</v>
      </c>
      <c r="AB36" s="1">
        <v>1.66255</v>
      </c>
      <c r="AC36" s="1">
        <v>0.57410000000000005</v>
      </c>
      <c r="AD36" s="1">
        <v>0.4798</v>
      </c>
      <c r="AE36" s="1">
        <v>0.45825000000000005</v>
      </c>
      <c r="AF36" s="5">
        <v>4.1950000000000001E-2</v>
      </c>
      <c r="AG36" s="1">
        <v>0.82799999999999996</v>
      </c>
      <c r="AH36" s="35">
        <v>1.0500000000000002E-3</v>
      </c>
      <c r="AI36" s="5">
        <v>5.1000000000000004E-3</v>
      </c>
      <c r="AJ36" s="2">
        <v>3.9904999999999999</v>
      </c>
      <c r="AK36" s="2">
        <v>10.065</v>
      </c>
      <c r="AL36" s="5">
        <v>0.48</v>
      </c>
      <c r="AM36" s="5">
        <v>0.28999999999999998</v>
      </c>
      <c r="AN36" s="5">
        <v>0.22056999999999999</v>
      </c>
      <c r="AO36" s="5">
        <v>6.6400000000000001E-2</v>
      </c>
      <c r="AP36" s="5">
        <v>2.12E-2</v>
      </c>
      <c r="AQ36" s="5">
        <v>8.4399999999999996E-3</v>
      </c>
      <c r="AR36" s="13">
        <v>6.0499999999999998E-3</v>
      </c>
      <c r="AS36" s="5">
        <v>3.8999999999999998E-3</v>
      </c>
      <c r="AT36" s="5">
        <v>2.7100000000000002E-3</v>
      </c>
      <c r="AU36" s="5">
        <v>2.4299999999999999E-3</v>
      </c>
      <c r="AV36" s="5">
        <v>2.1900000000000001E-3</v>
      </c>
      <c r="AW36" s="5">
        <v>1.65E-3</v>
      </c>
      <c r="AX36" s="9">
        <f t="shared" si="0"/>
        <v>4.4109818237128291</v>
      </c>
      <c r="AY36" s="5">
        <v>0.54600000000000004</v>
      </c>
      <c r="AZ36" s="5">
        <v>0.33500000000000002</v>
      </c>
      <c r="BA36" s="5">
        <v>0.25752000000000003</v>
      </c>
      <c r="BB36" s="5">
        <v>8.3000000000000004E-2</v>
      </c>
      <c r="BC36" s="5">
        <v>2.8299999999999999E-2</v>
      </c>
      <c r="BD36" s="5">
        <v>1.2500000000000001E-2</v>
      </c>
      <c r="BE36" s="5">
        <v>9.0799999999999995E-3</v>
      </c>
      <c r="BF36" s="5">
        <v>6.1599999999999997E-3</v>
      </c>
      <c r="BG36" s="5">
        <v>4.5900000000000003E-3</v>
      </c>
      <c r="BH36" s="5">
        <v>4.0800000000000003E-3</v>
      </c>
      <c r="BI36" s="5">
        <v>3.79E-3</v>
      </c>
      <c r="BJ36" s="5">
        <v>3.0300000000000001E-3</v>
      </c>
      <c r="BL36" s="2"/>
      <c r="BM36" s="1"/>
      <c r="BP36" s="2"/>
    </row>
    <row r="37" spans="1:68">
      <c r="A37" t="s">
        <v>54</v>
      </c>
      <c r="B37" s="54">
        <v>45208</v>
      </c>
      <c r="C37" s="119">
        <v>0</v>
      </c>
      <c r="D37" s="59">
        <v>21.108273181052571</v>
      </c>
      <c r="E37" s="84">
        <v>7.8210149471920454E-2</v>
      </c>
      <c r="F37" s="177" t="s">
        <v>50</v>
      </c>
      <c r="G37" s="8">
        <v>6.21</v>
      </c>
      <c r="H37" s="31">
        <v>96.1</v>
      </c>
      <c r="I37" s="31">
        <v>94.8</v>
      </c>
      <c r="J37" s="8">
        <v>8.4</v>
      </c>
      <c r="K37" s="10">
        <v>25</v>
      </c>
      <c r="L37" s="8">
        <v>13.46</v>
      </c>
      <c r="M37" s="8">
        <v>0.12</v>
      </c>
      <c r="N37" s="24"/>
      <c r="O37" s="1">
        <v>5.9860000000000007</v>
      </c>
      <c r="P37" s="1">
        <v>5.3375000000000004</v>
      </c>
      <c r="Q37" s="1">
        <v>0.3458</v>
      </c>
      <c r="R37" s="1">
        <v>2E-3</v>
      </c>
      <c r="S37" s="9">
        <v>0.4</v>
      </c>
      <c r="T37" s="20">
        <v>0.02</v>
      </c>
      <c r="U37" s="10">
        <v>5</v>
      </c>
      <c r="V37" s="10">
        <v>0.05</v>
      </c>
      <c r="W37" s="9">
        <v>0.9</v>
      </c>
      <c r="X37" s="13">
        <v>23</v>
      </c>
      <c r="Y37" s="1">
        <v>0.15339999999999998</v>
      </c>
      <c r="Z37" s="5">
        <v>0</v>
      </c>
      <c r="AA37" s="5">
        <v>4.45E-3</v>
      </c>
      <c r="AB37" s="1">
        <v>1.7071000000000001</v>
      </c>
      <c r="AC37" s="1">
        <v>0.25270000000000004</v>
      </c>
      <c r="AD37" s="1">
        <v>0.48845</v>
      </c>
      <c r="AE37" s="1">
        <v>0.48895</v>
      </c>
      <c r="AF37" s="5">
        <v>1.125E-2</v>
      </c>
      <c r="AG37" s="1">
        <v>1.0425</v>
      </c>
      <c r="AH37" s="35">
        <v>6.4999999999999997E-4</v>
      </c>
      <c r="AI37" s="5">
        <v>1.5999999999999999E-3</v>
      </c>
      <c r="AJ37" s="2">
        <v>4.1854999999999993</v>
      </c>
      <c r="AK37" s="2">
        <v>8.129032258064516</v>
      </c>
      <c r="AL37" s="5">
        <v>0.32629000000000002</v>
      </c>
      <c r="AM37" s="5">
        <v>0.18756</v>
      </c>
      <c r="AN37" s="5">
        <v>0.14351</v>
      </c>
      <c r="AO37" s="5">
        <v>4.5406000000000002E-2</v>
      </c>
      <c r="AP37" s="5">
        <v>2.1184000000000001E-2</v>
      </c>
      <c r="AQ37" s="5">
        <v>1.4619E-2</v>
      </c>
      <c r="AR37" s="13">
        <v>1.3448E-2</v>
      </c>
      <c r="AS37" s="5">
        <v>1.1705999999999999E-2</v>
      </c>
      <c r="AT37" s="5">
        <v>1.1296E-2</v>
      </c>
      <c r="AU37" s="5">
        <v>1.1009E-2</v>
      </c>
      <c r="AV37" s="5">
        <v>1.0807000000000001E-2</v>
      </c>
      <c r="AW37" s="5">
        <v>1.0701E-2</v>
      </c>
      <c r="AX37" s="9">
        <f t="shared" si="0"/>
        <v>3.5140046838407493</v>
      </c>
      <c r="AY37" s="5">
        <v>0.36895</v>
      </c>
      <c r="AZ37" s="5">
        <v>0.22453999999999999</v>
      </c>
      <c r="BA37" s="5">
        <v>0.17376</v>
      </c>
      <c r="BB37" s="5">
        <v>5.9053000000000001E-2</v>
      </c>
      <c r="BC37" s="5">
        <v>2.6647000000000001E-2</v>
      </c>
      <c r="BD37" s="5">
        <v>1.7076000000000001E-2</v>
      </c>
      <c r="BE37" s="5">
        <v>1.4891E-2</v>
      </c>
      <c r="BF37" s="5">
        <v>1.2423999999999999E-2</v>
      </c>
      <c r="BG37" s="5">
        <v>1.1472E-2</v>
      </c>
      <c r="BH37" s="5">
        <v>1.0998000000000001E-2</v>
      </c>
      <c r="BI37" s="5">
        <v>1.0603E-2</v>
      </c>
      <c r="BJ37" s="5">
        <v>1.0030000000000001E-2</v>
      </c>
      <c r="BL37" s="2"/>
      <c r="BM37" s="1"/>
      <c r="BP37" s="2"/>
    </row>
    <row r="38" spans="1:68">
      <c r="A38" t="s">
        <v>54</v>
      </c>
      <c r="B38" s="54">
        <v>45208</v>
      </c>
      <c r="C38" s="119">
        <v>2.5</v>
      </c>
      <c r="D38" s="59">
        <v>20.995442132747939</v>
      </c>
      <c r="E38" s="84">
        <v>5.8056985528319408E-2</v>
      </c>
      <c r="F38" s="177" t="s">
        <v>50</v>
      </c>
      <c r="G38" s="8">
        <v>6.28</v>
      </c>
      <c r="H38" s="31">
        <v>104.3</v>
      </c>
      <c r="I38" s="31">
        <v>93.6</v>
      </c>
      <c r="J38" s="8">
        <v>8.3000000000000007</v>
      </c>
      <c r="K38" s="10">
        <v>26</v>
      </c>
      <c r="L38" s="8">
        <v>13.44</v>
      </c>
      <c r="M38" s="8">
        <v>0.11</v>
      </c>
      <c r="N38" s="24"/>
      <c r="O38" s="1">
        <v>6.08</v>
      </c>
      <c r="P38" s="1">
        <v>5.6295000000000002</v>
      </c>
      <c r="Q38" s="1">
        <v>0.35960000000000003</v>
      </c>
      <c r="R38" s="1">
        <v>4.0000000000000001E-3</v>
      </c>
      <c r="S38" s="9">
        <v>0.4</v>
      </c>
      <c r="T38" s="20">
        <v>0.03</v>
      </c>
      <c r="U38" s="10">
        <v>5</v>
      </c>
      <c r="V38" s="10">
        <v>0.1</v>
      </c>
      <c r="W38" s="9">
        <v>0.8</v>
      </c>
      <c r="X38" s="13">
        <v>23</v>
      </c>
      <c r="Y38" s="1">
        <v>0.21124999999999999</v>
      </c>
      <c r="Z38" s="5">
        <v>0</v>
      </c>
      <c r="AA38" s="5">
        <v>4.5999999999999999E-3</v>
      </c>
      <c r="AB38" s="1">
        <v>1.7980499999999999</v>
      </c>
      <c r="AC38" s="1">
        <v>0.2495</v>
      </c>
      <c r="AD38" s="1">
        <v>0.49119999999999997</v>
      </c>
      <c r="AE38" s="1">
        <v>0.50659999999999994</v>
      </c>
      <c r="AF38" s="5">
        <v>1.5899999999999997E-2</v>
      </c>
      <c r="AG38" s="1">
        <v>1.0607</v>
      </c>
      <c r="AH38" s="35">
        <v>9.4999999999999989E-4</v>
      </c>
      <c r="AI38" s="5">
        <v>8.0999999999999996E-3</v>
      </c>
      <c r="AJ38" s="2">
        <v>4.2095000000000002</v>
      </c>
      <c r="AK38" s="2">
        <v>11.677419354838708</v>
      </c>
      <c r="AL38" s="5">
        <v>0.31675999999999999</v>
      </c>
      <c r="AM38" s="5">
        <v>0.18759000000000001</v>
      </c>
      <c r="AN38" s="5">
        <v>0.14335999999999999</v>
      </c>
      <c r="AO38" s="5">
        <v>4.5395999999999999E-2</v>
      </c>
      <c r="AP38" s="5">
        <v>2.0730999999999999E-2</v>
      </c>
      <c r="AQ38" s="5">
        <v>1.4102E-2</v>
      </c>
      <c r="AR38" s="13">
        <v>1.2845000000000001E-2</v>
      </c>
      <c r="AS38" s="5">
        <v>1.1140000000000001E-2</v>
      </c>
      <c r="AT38" s="5">
        <v>1.0623E-2</v>
      </c>
      <c r="AU38" s="5">
        <v>1.0472E-2</v>
      </c>
      <c r="AV38" s="5">
        <v>1.009E-2</v>
      </c>
      <c r="AW38" s="5">
        <v>1.0044000000000001E-2</v>
      </c>
      <c r="AX38" s="9">
        <f t="shared" si="0"/>
        <v>3.3322675193178788</v>
      </c>
      <c r="AY38" s="5">
        <v>0.37418000000000001</v>
      </c>
      <c r="AZ38" s="5">
        <v>0.22775000000000001</v>
      </c>
      <c r="BA38" s="5">
        <v>0.17655999999999999</v>
      </c>
      <c r="BB38" s="5">
        <v>6.0930999999999999E-2</v>
      </c>
      <c r="BC38" s="5">
        <v>2.7453000000000002E-2</v>
      </c>
      <c r="BD38" s="5">
        <v>1.746E-2</v>
      </c>
      <c r="BE38" s="5">
        <v>1.5103999999999999E-2</v>
      </c>
      <c r="BF38" s="5">
        <v>1.2743000000000001E-2</v>
      </c>
      <c r="BG38" s="5">
        <v>1.1521E-2</v>
      </c>
      <c r="BH38" s="5">
        <v>1.1036000000000001E-2</v>
      </c>
      <c r="BI38" s="5">
        <v>1.0559000000000001E-2</v>
      </c>
      <c r="BJ38" s="5">
        <v>9.8147000000000009E-3</v>
      </c>
      <c r="BL38" s="2"/>
      <c r="BM38" s="1"/>
      <c r="BP38" s="2"/>
    </row>
    <row r="39" spans="1:68">
      <c r="A39" t="s">
        <v>54</v>
      </c>
      <c r="B39" s="54">
        <v>45208</v>
      </c>
      <c r="C39" s="121">
        <v>5</v>
      </c>
      <c r="D39" s="59">
        <v>21.038859372092737</v>
      </c>
      <c r="E39" s="84">
        <v>7.002773754026452E-2</v>
      </c>
      <c r="F39" s="177" t="s">
        <v>50</v>
      </c>
      <c r="G39" s="8">
        <v>6.31</v>
      </c>
      <c r="H39" s="31">
        <v>111.9</v>
      </c>
      <c r="I39" s="31">
        <v>93.1</v>
      </c>
      <c r="J39" s="8">
        <v>8.25</v>
      </c>
      <c r="K39" s="10">
        <v>27</v>
      </c>
      <c r="L39" s="8">
        <v>13.44</v>
      </c>
      <c r="M39" s="8">
        <v>0.13</v>
      </c>
      <c r="N39" s="24"/>
      <c r="O39" s="1">
        <v>5.9935</v>
      </c>
      <c r="P39" s="1">
        <v>5.5984999999999996</v>
      </c>
      <c r="Q39" s="1">
        <v>0.34610000000000002</v>
      </c>
      <c r="R39" s="1">
        <v>1E-3</v>
      </c>
      <c r="S39" s="9">
        <v>0.3</v>
      </c>
      <c r="T39" s="20">
        <v>0.01</v>
      </c>
      <c r="U39" s="10">
        <v>5</v>
      </c>
      <c r="V39" s="10">
        <v>0.06</v>
      </c>
      <c r="W39" s="9">
        <v>0.8</v>
      </c>
      <c r="X39" s="13">
        <v>23</v>
      </c>
      <c r="Y39" s="1">
        <v>0.1552</v>
      </c>
      <c r="Z39" s="5">
        <v>0</v>
      </c>
      <c r="AA39" s="5">
        <v>4.4000000000000003E-3</v>
      </c>
      <c r="AB39" s="1">
        <v>1.7118500000000001</v>
      </c>
      <c r="AC39" s="1">
        <v>0.2485</v>
      </c>
      <c r="AD39" s="1">
        <v>0.48669999999999997</v>
      </c>
      <c r="AE39" s="1">
        <v>0.48630000000000001</v>
      </c>
      <c r="AF39" s="5">
        <v>1.1900000000000001E-2</v>
      </c>
      <c r="AG39" s="1">
        <v>1.0381499999999999</v>
      </c>
      <c r="AH39" s="35">
        <v>6.9999999999999999E-4</v>
      </c>
      <c r="AI39" s="5">
        <v>5.5500000000000002E-3</v>
      </c>
      <c r="AJ39" s="2">
        <v>4.1935000000000002</v>
      </c>
      <c r="AK39" s="2">
        <v>7.161290322580645</v>
      </c>
      <c r="AL39" s="5">
        <v>0.31537999999999999</v>
      </c>
      <c r="AM39" s="5">
        <v>0.18887000000000001</v>
      </c>
      <c r="AN39" s="5">
        <v>0.14435999999999999</v>
      </c>
      <c r="AO39" s="5">
        <v>4.5422999999999998E-2</v>
      </c>
      <c r="AP39" s="5">
        <v>2.0480000000000002E-2</v>
      </c>
      <c r="AQ39" s="5">
        <v>1.3653E-2</v>
      </c>
      <c r="AR39" s="13">
        <v>1.2416999999999999E-2</v>
      </c>
      <c r="AS39" s="5">
        <v>1.0737999999999999E-2</v>
      </c>
      <c r="AT39" s="5">
        <v>1.0246999999999999E-2</v>
      </c>
      <c r="AU39" s="5">
        <v>1.0064E-2</v>
      </c>
      <c r="AV39" s="5">
        <v>9.7885000000000003E-3</v>
      </c>
      <c r="AW39" s="5">
        <v>9.6992999999999992E-3</v>
      </c>
      <c r="AX39" s="9">
        <f t="shared" si="0"/>
        <v>3.3735822095204075</v>
      </c>
      <c r="AY39" s="5">
        <v>0.36720999999999998</v>
      </c>
      <c r="AZ39" s="5">
        <v>0.22372</v>
      </c>
      <c r="BA39" s="5">
        <v>0.17287</v>
      </c>
      <c r="BB39" s="5">
        <v>5.7748000000000001E-2</v>
      </c>
      <c r="BC39" s="5">
        <v>2.4972000000000001E-2</v>
      </c>
      <c r="BD39" s="5">
        <v>1.5181E-2</v>
      </c>
      <c r="BE39" s="5">
        <v>1.3006E-2</v>
      </c>
      <c r="BF39" s="5">
        <v>1.0880000000000001E-2</v>
      </c>
      <c r="BG39" s="5">
        <v>9.6474000000000004E-3</v>
      </c>
      <c r="BH39" s="5">
        <v>9.2802000000000006E-3</v>
      </c>
      <c r="BI39" s="5">
        <v>8.7890999999999993E-3</v>
      </c>
      <c r="BJ39" s="5">
        <v>8.1439000000000008E-3</v>
      </c>
      <c r="BL39" s="2"/>
      <c r="BM39" s="1"/>
      <c r="BP39" s="2"/>
    </row>
    <row r="40" spans="1:68">
      <c r="A40" t="s">
        <v>54</v>
      </c>
      <c r="B40" s="54">
        <v>45208</v>
      </c>
      <c r="C40" s="119">
        <v>7.5</v>
      </c>
      <c r="D40" s="59">
        <v>21.116795470392045</v>
      </c>
      <c r="E40" s="84">
        <v>5.1363749489870845E-2</v>
      </c>
      <c r="F40" s="177" t="s">
        <v>50</v>
      </c>
      <c r="G40" s="1">
        <v>6.26</v>
      </c>
      <c r="H40" s="27">
        <v>126.5</v>
      </c>
      <c r="I40" s="31">
        <v>88</v>
      </c>
      <c r="J40" s="1">
        <v>7.8</v>
      </c>
      <c r="K40" s="10">
        <v>28</v>
      </c>
      <c r="L40" s="1">
        <v>13.38</v>
      </c>
      <c r="M40" s="8">
        <v>0.11</v>
      </c>
      <c r="N40" s="24"/>
      <c r="O40" s="1">
        <v>6.0724999999999998</v>
      </c>
      <c r="P40" s="1">
        <v>5.6144999999999996</v>
      </c>
      <c r="Q40" s="1">
        <v>0.35489999999999999</v>
      </c>
      <c r="R40" s="1">
        <v>2E-3</v>
      </c>
      <c r="S40" s="9">
        <v>0.3</v>
      </c>
      <c r="T40" s="20">
        <v>0.02</v>
      </c>
      <c r="U40" s="10">
        <v>5</v>
      </c>
      <c r="V40" s="10">
        <v>0.06</v>
      </c>
      <c r="W40" s="9">
        <v>0.8</v>
      </c>
      <c r="X40" s="13">
        <v>18</v>
      </c>
      <c r="Y40" s="1">
        <v>0.15584999999999999</v>
      </c>
      <c r="Z40" s="5">
        <v>0</v>
      </c>
      <c r="AA40" s="5">
        <v>4.45E-3</v>
      </c>
      <c r="AB40" s="1">
        <v>1.6827000000000001</v>
      </c>
      <c r="AC40" s="1">
        <v>0.25470000000000004</v>
      </c>
      <c r="AD40" s="1">
        <v>0.48309999999999997</v>
      </c>
      <c r="AE40" s="1">
        <v>0.48465000000000003</v>
      </c>
      <c r="AF40" s="5">
        <v>1.1650000000000001E-2</v>
      </c>
      <c r="AG40" s="1">
        <v>1.03115</v>
      </c>
      <c r="AH40" s="35">
        <v>5.9999999999999995E-4</v>
      </c>
      <c r="AI40" s="5">
        <v>4.5999999999999999E-3</v>
      </c>
      <c r="AJ40" s="2">
        <v>4.1989999999999998</v>
      </c>
      <c r="AK40" s="2">
        <v>7.161290322580645</v>
      </c>
      <c r="AL40" s="5">
        <v>0.33026</v>
      </c>
      <c r="AM40" s="5">
        <v>0.19735</v>
      </c>
      <c r="AN40" s="5">
        <v>0.15107000000000001</v>
      </c>
      <c r="AO40" s="5">
        <v>4.7757000000000001E-2</v>
      </c>
      <c r="AP40" s="5">
        <v>2.1101999999999999E-2</v>
      </c>
      <c r="AQ40" s="5">
        <v>1.3632999999999999E-2</v>
      </c>
      <c r="AR40" s="13">
        <v>1.2225E-2</v>
      </c>
      <c r="AS40" s="5">
        <v>1.0444E-2</v>
      </c>
      <c r="AT40" s="5">
        <v>9.8662000000000003E-3</v>
      </c>
      <c r="AU40" s="5">
        <v>9.6244999999999994E-3</v>
      </c>
      <c r="AV40" s="5">
        <v>9.2826000000000002E-3</v>
      </c>
      <c r="AW40" s="5">
        <v>9.1719999999999996E-3</v>
      </c>
      <c r="AX40" s="9">
        <f t="shared" si="0"/>
        <v>3.515005788583133</v>
      </c>
      <c r="AY40" s="5">
        <v>0.36845</v>
      </c>
      <c r="AZ40" s="5">
        <v>0.22239999999999999</v>
      </c>
      <c r="BA40" s="5">
        <v>0.17163</v>
      </c>
      <c r="BB40" s="5">
        <v>5.6487999999999997E-2</v>
      </c>
      <c r="BC40" s="5">
        <v>2.3354E-2</v>
      </c>
      <c r="BD40" s="5">
        <v>1.3511E-2</v>
      </c>
      <c r="BE40" s="5">
        <v>1.115E-2</v>
      </c>
      <c r="BF40" s="5">
        <v>9.0732999999999994E-3</v>
      </c>
      <c r="BG40" s="5">
        <v>7.7609999999999997E-3</v>
      </c>
      <c r="BH40" s="5">
        <v>7.3733000000000002E-3</v>
      </c>
      <c r="BI40" s="5">
        <v>7.0080999999999997E-3</v>
      </c>
      <c r="BJ40" s="5">
        <v>6.2608999999999998E-3</v>
      </c>
      <c r="BL40" s="2"/>
      <c r="BM40" s="1"/>
      <c r="BP40" s="2"/>
    </row>
    <row r="41" spans="1:68">
      <c r="A41" t="s">
        <v>54</v>
      </c>
      <c r="B41" s="54">
        <v>45208</v>
      </c>
      <c r="C41" s="120">
        <v>10</v>
      </c>
      <c r="D41" s="59">
        <v>22.176877538413727</v>
      </c>
      <c r="E41" s="84">
        <v>5.9906679359080402E-2</v>
      </c>
      <c r="F41" s="177" t="s">
        <v>50</v>
      </c>
      <c r="G41" s="8">
        <v>6.01</v>
      </c>
      <c r="H41" s="27">
        <v>145.19999999999999</v>
      </c>
      <c r="I41" s="31">
        <v>65.3</v>
      </c>
      <c r="J41" s="8">
        <v>5.84</v>
      </c>
      <c r="K41" s="10">
        <v>30</v>
      </c>
      <c r="L41" s="1">
        <v>13</v>
      </c>
      <c r="M41" s="8">
        <v>0.11</v>
      </c>
      <c r="N41" s="24"/>
      <c r="O41" s="1">
        <v>6.1690000000000005</v>
      </c>
      <c r="P41" s="1">
        <v>5.99</v>
      </c>
      <c r="Q41" s="1">
        <v>0.3679</v>
      </c>
      <c r="R41" s="1">
        <v>2E-3</v>
      </c>
      <c r="S41" s="9">
        <v>0.3</v>
      </c>
      <c r="T41" s="20">
        <v>0.01</v>
      </c>
      <c r="U41" s="10">
        <v>5</v>
      </c>
      <c r="V41" s="10">
        <v>7.0000000000000007E-2</v>
      </c>
      <c r="W41" s="9">
        <v>0.9</v>
      </c>
      <c r="X41" s="13">
        <v>33</v>
      </c>
      <c r="Y41" s="1">
        <v>0.17375000000000002</v>
      </c>
      <c r="Z41" s="5">
        <v>0</v>
      </c>
      <c r="AA41" s="5">
        <v>5.1999999999999998E-3</v>
      </c>
      <c r="AB41" s="1">
        <v>1.7431999999999999</v>
      </c>
      <c r="AC41" s="1">
        <v>0.33815000000000001</v>
      </c>
      <c r="AD41" s="1">
        <v>0.48755000000000004</v>
      </c>
      <c r="AE41" s="1">
        <v>0.48995</v>
      </c>
      <c r="AF41" s="5">
        <v>2.4599999999999997E-2</v>
      </c>
      <c r="AG41" s="1">
        <v>1.0364499999999999</v>
      </c>
      <c r="AH41" s="35">
        <v>7.9999999999999993E-4</v>
      </c>
      <c r="AI41" s="5">
        <v>3.7499999999999999E-3</v>
      </c>
      <c r="AJ41" s="2">
        <v>4.2130000000000001</v>
      </c>
      <c r="AK41" s="2">
        <v>7.806451612903226</v>
      </c>
      <c r="AL41" s="5">
        <v>0.38486999999999999</v>
      </c>
      <c r="AM41" s="5">
        <v>0.23377000000000001</v>
      </c>
      <c r="AN41" s="5">
        <v>0.18148</v>
      </c>
      <c r="AO41" s="5">
        <v>6.2274000000000003E-2</v>
      </c>
      <c r="AP41" s="5">
        <v>2.8326E-2</v>
      </c>
      <c r="AQ41" s="5">
        <v>1.8473E-2</v>
      </c>
      <c r="AR41" s="13">
        <v>1.6296000000000001E-2</v>
      </c>
      <c r="AS41" s="5">
        <v>1.3820000000000001E-2</v>
      </c>
      <c r="AT41" s="5">
        <v>1.2886999999999999E-2</v>
      </c>
      <c r="AU41" s="5">
        <v>1.2507000000000001E-2</v>
      </c>
      <c r="AV41" s="5">
        <v>1.2074E-2</v>
      </c>
      <c r="AW41" s="5">
        <v>1.1698E-2</v>
      </c>
      <c r="AX41" s="9">
        <f t="shared" si="0"/>
        <v>3.9026711185308844</v>
      </c>
      <c r="AY41" s="5">
        <v>0.39571000000000001</v>
      </c>
      <c r="AZ41" s="5">
        <v>0.23963999999999999</v>
      </c>
      <c r="BA41" s="5">
        <v>0.18556</v>
      </c>
      <c r="BB41" s="5">
        <v>6.2052000000000003E-2</v>
      </c>
      <c r="BC41" s="5">
        <v>2.5625999999999999E-2</v>
      </c>
      <c r="BD41" s="5">
        <v>1.4923000000000001E-2</v>
      </c>
      <c r="BE41" s="5">
        <v>1.2492E-2</v>
      </c>
      <c r="BF41" s="5">
        <v>9.8461999999999994E-3</v>
      </c>
      <c r="BG41" s="5">
        <v>8.5982999999999997E-3</v>
      </c>
      <c r="BH41" s="5">
        <v>8.0975999999999999E-3</v>
      </c>
      <c r="BI41" s="5">
        <v>7.7447999999999996E-3</v>
      </c>
      <c r="BJ41" s="5">
        <v>7.0229000000000003E-3</v>
      </c>
      <c r="BL41" s="2"/>
      <c r="BM41" s="1"/>
      <c r="BP41" s="2"/>
    </row>
    <row r="42" spans="1:68" ht="15.75">
      <c r="A42" t="s">
        <v>54</v>
      </c>
      <c r="B42" s="54">
        <v>45208</v>
      </c>
      <c r="C42" s="122">
        <v>11.5</v>
      </c>
      <c r="D42" s="59">
        <v>25.144348531638233</v>
      </c>
      <c r="E42" s="61">
        <v>0.12023146665958778</v>
      </c>
      <c r="F42" s="177" t="s">
        <v>50</v>
      </c>
      <c r="G42" s="8">
        <v>5.79</v>
      </c>
      <c r="H42" s="27">
        <v>155.6</v>
      </c>
      <c r="I42" s="31">
        <v>36.200000000000003</v>
      </c>
      <c r="J42" s="8">
        <v>3.29</v>
      </c>
      <c r="K42" s="10">
        <v>32</v>
      </c>
      <c r="L42" s="1">
        <v>12.27</v>
      </c>
      <c r="M42" s="8">
        <v>0.13</v>
      </c>
      <c r="N42" s="2"/>
      <c r="O42" s="1">
        <v>6.7175000000000002</v>
      </c>
      <c r="P42" s="1">
        <v>6.0724999999999998</v>
      </c>
      <c r="Q42" s="1">
        <v>0.42065000000000002</v>
      </c>
      <c r="R42" s="1">
        <v>1E-3</v>
      </c>
      <c r="S42" s="9">
        <v>0.2</v>
      </c>
      <c r="T42" s="20">
        <v>7.0000000000000007E-2</v>
      </c>
      <c r="U42" s="10">
        <v>4</v>
      </c>
      <c r="V42" s="10">
        <v>0.11</v>
      </c>
      <c r="W42" s="9">
        <v>0.9</v>
      </c>
      <c r="X42" s="13">
        <v>33</v>
      </c>
      <c r="Y42" s="1">
        <v>0.22259999999999999</v>
      </c>
      <c r="Z42" s="5">
        <v>0</v>
      </c>
      <c r="AA42" s="5">
        <v>5.45E-3</v>
      </c>
      <c r="AB42" s="1">
        <v>1.6852</v>
      </c>
      <c r="AC42" s="1">
        <v>0.52865000000000006</v>
      </c>
      <c r="AD42" s="1">
        <v>0.4879</v>
      </c>
      <c r="AE42" s="1">
        <v>0.47859999999999997</v>
      </c>
      <c r="AF42" s="5">
        <v>2.93E-2</v>
      </c>
      <c r="AG42" s="1">
        <v>0.99229999999999996</v>
      </c>
      <c r="AH42" s="35">
        <v>1.0500000000000002E-3</v>
      </c>
      <c r="AI42" s="5">
        <v>4.1999999999999997E-3</v>
      </c>
      <c r="AJ42" s="2">
        <v>4.2494999999999994</v>
      </c>
      <c r="AK42" s="2">
        <v>9.741935483870968</v>
      </c>
      <c r="AL42" s="5">
        <v>0.40801999999999999</v>
      </c>
      <c r="AM42" s="5">
        <v>0.24826000000000001</v>
      </c>
      <c r="AN42" s="5">
        <v>0.19098000000000001</v>
      </c>
      <c r="AO42" s="5">
        <v>6.0615000000000002E-2</v>
      </c>
      <c r="AP42" s="5">
        <v>2.2717000000000001E-2</v>
      </c>
      <c r="AQ42" s="5">
        <v>1.2359999999999999E-2</v>
      </c>
      <c r="AR42" s="13">
        <v>1.0196E-2</v>
      </c>
      <c r="AS42" s="5">
        <v>7.9130999999999993E-3</v>
      </c>
      <c r="AT42" s="5">
        <v>6.9566000000000003E-3</v>
      </c>
      <c r="AU42" s="5">
        <v>6.6709999999999998E-3</v>
      </c>
      <c r="AV42" s="5">
        <v>6.3423999999999998E-3</v>
      </c>
      <c r="AW42" s="5">
        <v>5.8888999999999999E-3</v>
      </c>
      <c r="AX42" s="9">
        <f t="shared" si="0"/>
        <v>4.0882667764512144</v>
      </c>
      <c r="AY42" s="5">
        <v>0.46893000000000001</v>
      </c>
      <c r="AZ42" s="5">
        <v>0.28926000000000002</v>
      </c>
      <c r="BA42" s="5">
        <v>0.22566</v>
      </c>
      <c r="BB42" s="5">
        <v>7.7838000000000004E-2</v>
      </c>
      <c r="BC42" s="5">
        <v>3.1154000000000001E-2</v>
      </c>
      <c r="BD42" s="5">
        <v>1.7498E-2</v>
      </c>
      <c r="BE42" s="5">
        <v>1.4322E-2</v>
      </c>
      <c r="BF42" s="5">
        <v>1.1349E-2</v>
      </c>
      <c r="BG42" s="5">
        <v>9.6574E-3</v>
      </c>
      <c r="BH42" s="5">
        <v>9.1839E-3</v>
      </c>
      <c r="BI42" s="5">
        <v>8.6317000000000008E-3</v>
      </c>
      <c r="BJ42" s="5">
        <v>7.8992999999999997E-3</v>
      </c>
      <c r="BL42" s="2"/>
      <c r="BM42" s="1"/>
      <c r="BP42" s="2"/>
    </row>
    <row r="43" spans="1:68">
      <c r="A43" t="s">
        <v>54</v>
      </c>
      <c r="B43" s="54">
        <v>45244</v>
      </c>
      <c r="C43" s="123">
        <v>0</v>
      </c>
      <c r="D43" s="59">
        <v>21.276975954552881</v>
      </c>
      <c r="E43" s="84">
        <v>4.818423319738141E-2</v>
      </c>
      <c r="F43" s="177" t="s">
        <v>50</v>
      </c>
      <c r="G43" s="8">
        <v>7.36</v>
      </c>
      <c r="H43" s="31">
        <v>111.2</v>
      </c>
      <c r="I43" s="31">
        <v>107.2</v>
      </c>
      <c r="J43" s="8">
        <v>10.95</v>
      </c>
      <c r="K43" s="10">
        <v>23</v>
      </c>
      <c r="L43" s="8">
        <v>7.1</v>
      </c>
      <c r="M43" s="8">
        <v>0.12</v>
      </c>
      <c r="N43" s="24"/>
      <c r="O43" s="1">
        <f>(6.737+6.769)/2</f>
        <v>6.7530000000000001</v>
      </c>
      <c r="P43" s="1">
        <v>6.6844999999999999</v>
      </c>
      <c r="Q43" s="1">
        <f>(0.4639+0.5023)/2</f>
        <v>0.48309999999999997</v>
      </c>
      <c r="R43" s="1">
        <v>3.0000000000000001E-3</v>
      </c>
      <c r="S43" s="9">
        <v>0.3</v>
      </c>
      <c r="T43" s="8">
        <v>0.1</v>
      </c>
      <c r="U43" s="10">
        <v>3</v>
      </c>
      <c r="V43" s="10">
        <v>0.04</v>
      </c>
      <c r="W43" s="9">
        <v>1.3</v>
      </c>
      <c r="X43" s="13">
        <v>39</v>
      </c>
      <c r="Y43" s="1">
        <v>0.24199999999999999</v>
      </c>
      <c r="Z43" s="5">
        <v>0</v>
      </c>
      <c r="AA43" s="5">
        <v>4.7999999999999996E-3</v>
      </c>
      <c r="AB43" s="1">
        <v>1.71</v>
      </c>
      <c r="AC43" s="1">
        <v>0.218</v>
      </c>
      <c r="AD43" s="1">
        <v>0.65200000000000002</v>
      </c>
      <c r="AE43" s="1">
        <v>0.47699999999999998</v>
      </c>
      <c r="AF43" s="5">
        <v>1.0500000000000001E-2</v>
      </c>
      <c r="AG43" s="1">
        <v>1.0565</v>
      </c>
      <c r="AH43" s="35">
        <v>0</v>
      </c>
      <c r="AI43" s="5">
        <v>2.8E-3</v>
      </c>
      <c r="AJ43" s="2">
        <v>4.149</v>
      </c>
      <c r="AK43" s="2">
        <f>(0.048-0.0158)/0.0031</f>
        <v>10.387096774193548</v>
      </c>
      <c r="AL43" s="5">
        <v>0.44812999999999997</v>
      </c>
      <c r="AM43" s="5">
        <v>0.25379000000000002</v>
      </c>
      <c r="AN43" s="5">
        <v>0.19111</v>
      </c>
      <c r="AO43" s="5">
        <v>5.0881000000000003E-2</v>
      </c>
      <c r="AP43" s="5">
        <v>1.3776999999999999E-2</v>
      </c>
      <c r="AQ43" s="5">
        <v>4.2963000000000003E-3</v>
      </c>
      <c r="AR43" s="5">
        <v>2.6874999999999998E-3</v>
      </c>
      <c r="AS43" s="5">
        <v>1.2116E-3</v>
      </c>
      <c r="AT43" s="5">
        <v>4.6825000000000002E-4</v>
      </c>
      <c r="AU43" s="5">
        <v>3.1327999999999998E-4</v>
      </c>
      <c r="AV43" s="5">
        <v>1.7023E-4</v>
      </c>
      <c r="AW43" s="5">
        <v>2.4796000000000001E-5</v>
      </c>
      <c r="AX43" s="9">
        <f t="shared" si="0"/>
        <v>3.7966938439673874</v>
      </c>
      <c r="AY43" s="5">
        <v>0.47332000000000002</v>
      </c>
      <c r="AZ43" s="5">
        <v>0.27109</v>
      </c>
      <c r="BA43" s="5">
        <v>0.20562</v>
      </c>
      <c r="BB43" s="5">
        <v>5.8196999999999999E-2</v>
      </c>
      <c r="BC43" s="5">
        <v>1.7729999999999999E-2</v>
      </c>
      <c r="BD43" s="5">
        <v>6.8463999999999999E-3</v>
      </c>
      <c r="BE43" s="5">
        <v>4.7688000000000001E-3</v>
      </c>
      <c r="BF43" s="5">
        <v>2.9545000000000001E-3</v>
      </c>
      <c r="BG43" s="5">
        <v>2.0084E-3</v>
      </c>
      <c r="BH43" s="5">
        <v>1.7757000000000001E-3</v>
      </c>
      <c r="BI43" s="5">
        <v>1.5841E-3</v>
      </c>
      <c r="BJ43" s="5">
        <v>1.2712000000000001E-3</v>
      </c>
      <c r="BL43" s="2"/>
      <c r="BM43" s="1"/>
      <c r="BP43" s="2"/>
    </row>
    <row r="44" spans="1:68">
      <c r="A44" t="s">
        <v>54</v>
      </c>
      <c r="B44" s="54">
        <v>45244</v>
      </c>
      <c r="C44" s="123">
        <v>2.5</v>
      </c>
      <c r="D44" s="59">
        <v>20.714888784641602</v>
      </c>
      <c r="E44" s="84">
        <v>4.7392520686736266E-2</v>
      </c>
      <c r="F44" s="177" t="s">
        <v>50</v>
      </c>
      <c r="G44" s="8">
        <v>6.65</v>
      </c>
      <c r="H44" s="31">
        <v>159.69999999999999</v>
      </c>
      <c r="I44" s="31">
        <v>104.4</v>
      </c>
      <c r="J44" s="8">
        <v>10.67</v>
      </c>
      <c r="K44" s="10">
        <v>25</v>
      </c>
      <c r="L44" s="8">
        <v>7.09</v>
      </c>
      <c r="M44" s="8">
        <v>0.09</v>
      </c>
      <c r="N44" s="24"/>
      <c r="O44" s="1">
        <f>(6.738+6.79)/2</f>
        <v>6.7640000000000002</v>
      </c>
      <c r="P44" s="1">
        <v>6.5425000000000004</v>
      </c>
      <c r="Q44" s="1">
        <f>(0.4273+0.4524)/2</f>
        <v>0.43985000000000002</v>
      </c>
      <c r="R44" s="1">
        <v>4.0000000000000001E-3</v>
      </c>
      <c r="S44" s="9">
        <v>0.3</v>
      </c>
      <c r="T44" s="8">
        <v>0.24</v>
      </c>
      <c r="U44" s="10">
        <v>3</v>
      </c>
      <c r="V44" s="10">
        <v>0.03</v>
      </c>
      <c r="W44" s="9">
        <v>1.2</v>
      </c>
      <c r="X44" s="13">
        <v>36</v>
      </c>
      <c r="Y44" s="1">
        <v>0.247</v>
      </c>
      <c r="Z44" s="5">
        <v>0</v>
      </c>
      <c r="AA44" s="5">
        <v>4.7999999999999996E-3</v>
      </c>
      <c r="AB44" s="1">
        <v>1.7350000000000001</v>
      </c>
      <c r="AC44" s="1">
        <v>0.224</v>
      </c>
      <c r="AD44" s="1">
        <v>0.72799999999999998</v>
      </c>
      <c r="AE44" s="1">
        <v>0.47499999999999998</v>
      </c>
      <c r="AF44" s="5">
        <v>1.66E-2</v>
      </c>
      <c r="AG44" s="1">
        <v>1.0684</v>
      </c>
      <c r="AH44" s="35">
        <v>0</v>
      </c>
      <c r="AI44" s="5">
        <v>5.0000000000000001E-3</v>
      </c>
      <c r="AJ44" s="2">
        <v>4.1360000000000001</v>
      </c>
      <c r="AK44" s="2">
        <f>(0.037-0.0158)/0.0031</f>
        <v>6.8387096774193541</v>
      </c>
      <c r="AL44" s="5">
        <v>0.44896000000000003</v>
      </c>
      <c r="AM44" s="5">
        <v>0.25514999999999999</v>
      </c>
      <c r="AN44" s="5">
        <v>0.19209000000000001</v>
      </c>
      <c r="AO44" s="5">
        <v>5.1506999999999997E-2</v>
      </c>
      <c r="AP44" s="5">
        <v>1.4102E-2</v>
      </c>
      <c r="AQ44" s="5">
        <v>4.6185999999999996E-3</v>
      </c>
      <c r="AR44" s="5">
        <v>2.8538999999999999E-3</v>
      </c>
      <c r="AS44" s="5">
        <v>1.3161E-3</v>
      </c>
      <c r="AT44" s="5">
        <v>5.4741000000000002E-4</v>
      </c>
      <c r="AU44" s="5">
        <v>3.2948999999999999E-4</v>
      </c>
      <c r="AV44" s="5">
        <v>2.1505E-4</v>
      </c>
      <c r="AW44" s="5">
        <v>0</v>
      </c>
      <c r="AX44" s="9">
        <f t="shared" si="0"/>
        <v>3.899885364921666</v>
      </c>
      <c r="AY44" s="5">
        <v>0.47649999999999998</v>
      </c>
      <c r="AZ44" s="5">
        <v>0.27418999999999999</v>
      </c>
      <c r="BA44" s="5">
        <v>0.20835000000000001</v>
      </c>
      <c r="BB44" s="5">
        <v>6.0413000000000001E-2</v>
      </c>
      <c r="BC44" s="5">
        <v>1.9591000000000001E-2</v>
      </c>
      <c r="BD44" s="5">
        <v>8.5444000000000006E-3</v>
      </c>
      <c r="BE44" s="5">
        <v>6.3162000000000001E-3</v>
      </c>
      <c r="BF44" s="5">
        <v>4.3968999999999996E-3</v>
      </c>
      <c r="BG44" s="5">
        <v>3.3555E-3</v>
      </c>
      <c r="BH44" s="5">
        <v>3.1189999999999998E-3</v>
      </c>
      <c r="BI44" s="5">
        <v>2.8977E-3</v>
      </c>
      <c r="BJ44" s="5">
        <v>2.4494999999999999E-3</v>
      </c>
      <c r="BL44" s="2"/>
      <c r="BM44" s="1"/>
      <c r="BP44" s="2"/>
    </row>
    <row r="45" spans="1:68">
      <c r="A45" t="s">
        <v>54</v>
      </c>
      <c r="B45" s="54">
        <v>45244</v>
      </c>
      <c r="C45" s="124">
        <v>5</v>
      </c>
      <c r="D45" s="59">
        <v>21.638473346882805</v>
      </c>
      <c r="E45" s="84">
        <v>6.788105369679362E-2</v>
      </c>
      <c r="F45" s="177" t="s">
        <v>50</v>
      </c>
      <c r="G45" s="8">
        <v>6.57</v>
      </c>
      <c r="H45" s="31">
        <v>162.6</v>
      </c>
      <c r="I45" s="31">
        <v>104.1</v>
      </c>
      <c r="J45" s="8">
        <v>10.65</v>
      </c>
      <c r="K45" s="10">
        <v>26</v>
      </c>
      <c r="L45" s="8">
        <v>7.05</v>
      </c>
      <c r="M45" s="8">
        <v>0.09</v>
      </c>
      <c r="N45" s="24"/>
      <c r="O45" s="1">
        <f>(6.705+6.756)/2</f>
        <v>6.7305000000000001</v>
      </c>
      <c r="P45" s="1">
        <v>6.5939999999999994</v>
      </c>
      <c r="Q45" s="1">
        <f>(0.4302+0.4611)/2</f>
        <v>0.44564999999999999</v>
      </c>
      <c r="R45" s="1">
        <v>3.0000000000000001E-3</v>
      </c>
      <c r="S45" s="9">
        <v>0.3</v>
      </c>
      <c r="T45" s="8">
        <v>0.18</v>
      </c>
      <c r="U45" s="10">
        <v>4</v>
      </c>
      <c r="V45" s="10">
        <v>0.05</v>
      </c>
      <c r="W45" s="9">
        <v>1.1000000000000001</v>
      </c>
      <c r="X45" s="13">
        <v>38</v>
      </c>
      <c r="Y45" s="1">
        <v>0.24399999999999999</v>
      </c>
      <c r="Z45" s="5">
        <v>0</v>
      </c>
      <c r="AA45" s="5">
        <v>4.7999999999999996E-3</v>
      </c>
      <c r="AB45" s="1">
        <v>1.7050000000000001</v>
      </c>
      <c r="AC45" s="1">
        <v>0.22500000000000001</v>
      </c>
      <c r="AD45" s="1">
        <v>0.71799999999999997</v>
      </c>
      <c r="AE45" s="1">
        <v>0.46800000000000003</v>
      </c>
      <c r="AF45" s="5">
        <v>1.18E-2</v>
      </c>
      <c r="AG45" s="1">
        <v>1.0466</v>
      </c>
      <c r="AH45" s="35">
        <v>0</v>
      </c>
      <c r="AI45" s="5">
        <v>4.1000000000000003E-3</v>
      </c>
      <c r="AJ45" s="2">
        <v>4.16</v>
      </c>
      <c r="AK45" s="2">
        <f>(0.038-0.0158)/0.0031</f>
        <v>7.161290322580645</v>
      </c>
      <c r="AL45" s="5">
        <v>0.45418999999999998</v>
      </c>
      <c r="AM45" s="5">
        <v>0.25918999999999998</v>
      </c>
      <c r="AN45" s="5">
        <v>0.19520000000000001</v>
      </c>
      <c r="AO45" s="5">
        <v>5.2637000000000003E-2</v>
      </c>
      <c r="AP45" s="5">
        <v>1.4558E-2</v>
      </c>
      <c r="AQ45" s="5">
        <v>4.6386999999999999E-3</v>
      </c>
      <c r="AR45" s="5">
        <v>2.9082000000000001E-3</v>
      </c>
      <c r="AS45" s="5">
        <v>1.3079999999999999E-3</v>
      </c>
      <c r="AT45" s="5">
        <v>4.8542000000000002E-4</v>
      </c>
      <c r="AU45" s="5">
        <v>2.9706999999999997E-4</v>
      </c>
      <c r="AV45" s="5">
        <v>2.017E-4</v>
      </c>
      <c r="AW45" s="5">
        <v>-2.4318999999999999E-5</v>
      </c>
      <c r="AX45" s="9">
        <f t="shared" si="0"/>
        <v>3.9306945708219594</v>
      </c>
      <c r="AY45" s="5">
        <v>0.47532999999999997</v>
      </c>
      <c r="AZ45" s="5">
        <v>0.27433000000000002</v>
      </c>
      <c r="BA45" s="5">
        <v>0.20855000000000001</v>
      </c>
      <c r="BB45" s="5">
        <v>6.0953E-2</v>
      </c>
      <c r="BC45" s="5">
        <v>2.0230000000000001E-2</v>
      </c>
      <c r="BD45" s="5">
        <v>9.0732999999999994E-3</v>
      </c>
      <c r="BE45" s="5">
        <v>6.9280000000000001E-3</v>
      </c>
      <c r="BF45" s="5">
        <v>5.1117000000000003E-3</v>
      </c>
      <c r="BG45" s="5">
        <v>4.0635999999999997E-3</v>
      </c>
      <c r="BH45" s="5">
        <v>3.8338000000000001E-3</v>
      </c>
      <c r="BI45" s="5">
        <v>3.6592E-3</v>
      </c>
      <c r="BJ45" s="5">
        <v>3.2959E-3</v>
      </c>
      <c r="BL45" s="2"/>
      <c r="BM45" s="1"/>
      <c r="BP45" s="2"/>
    </row>
    <row r="46" spans="1:68">
      <c r="A46" t="s">
        <v>54</v>
      </c>
      <c r="B46" s="54">
        <v>45244</v>
      </c>
      <c r="C46" s="123">
        <v>7.5</v>
      </c>
      <c r="D46" s="59">
        <v>21.517805809686433</v>
      </c>
      <c r="E46" s="84">
        <v>4.5037145321580006E-2</v>
      </c>
      <c r="F46" s="177" t="s">
        <v>50</v>
      </c>
      <c r="G46" s="1">
        <v>6.52</v>
      </c>
      <c r="H46" s="27">
        <v>164.7</v>
      </c>
      <c r="I46" s="31">
        <v>104</v>
      </c>
      <c r="J46" s="1">
        <v>10.66</v>
      </c>
      <c r="K46" s="10">
        <v>28</v>
      </c>
      <c r="L46" s="1">
        <v>6.97</v>
      </c>
      <c r="M46" s="8">
        <v>0.09</v>
      </c>
      <c r="N46" s="24"/>
      <c r="O46" s="1">
        <f>(6.764+6.857)/2</f>
        <v>6.8105000000000002</v>
      </c>
      <c r="P46" s="1">
        <v>6.5924999999999994</v>
      </c>
      <c r="Q46" s="1">
        <f>(0.4407+0.4112)/2</f>
        <v>0.42595</v>
      </c>
      <c r="R46" s="1">
        <v>3.0000000000000001E-3</v>
      </c>
      <c r="S46" s="9">
        <v>0.3</v>
      </c>
      <c r="T46" s="8">
        <v>0.16</v>
      </c>
      <c r="U46" s="10">
        <v>3</v>
      </c>
      <c r="V46" s="10">
        <v>0.05</v>
      </c>
      <c r="W46" s="9">
        <v>1.1000000000000001</v>
      </c>
      <c r="X46" s="13">
        <v>38</v>
      </c>
      <c r="Y46" s="1">
        <v>0.245</v>
      </c>
      <c r="Z46" s="5">
        <v>0</v>
      </c>
      <c r="AA46" s="5">
        <v>4.7999999999999996E-3</v>
      </c>
      <c r="AB46" s="1">
        <v>1.704</v>
      </c>
      <c r="AC46" s="1">
        <v>0.222</v>
      </c>
      <c r="AD46" s="1">
        <v>0.69899999999999995</v>
      </c>
      <c r="AE46" s="1">
        <v>0.46600000000000003</v>
      </c>
      <c r="AF46" s="5">
        <v>1.12E-2</v>
      </c>
      <c r="AG46" s="1">
        <v>1.0424</v>
      </c>
      <c r="AH46" s="35">
        <v>0</v>
      </c>
      <c r="AI46" s="5">
        <v>4.0000000000000001E-3</v>
      </c>
      <c r="AJ46" s="2">
        <v>4.0940000000000003</v>
      </c>
      <c r="AK46" s="2">
        <f>(0.056-0.0158)/0.0031</f>
        <v>12.967741935483872</v>
      </c>
      <c r="AL46" s="5">
        <v>0.45678000000000002</v>
      </c>
      <c r="AM46" s="5">
        <v>0.26134000000000002</v>
      </c>
      <c r="AN46" s="5">
        <v>0.19689000000000001</v>
      </c>
      <c r="AO46" s="5">
        <v>5.3559000000000002E-2</v>
      </c>
      <c r="AP46" s="5">
        <v>1.487E-2</v>
      </c>
      <c r="AQ46" s="5">
        <v>4.7383E-3</v>
      </c>
      <c r="AR46" s="5">
        <v>2.9726000000000002E-3</v>
      </c>
      <c r="AS46" s="5">
        <v>1.3914000000000001E-3</v>
      </c>
      <c r="AT46" s="5">
        <v>5.4454999999999998E-4</v>
      </c>
      <c r="AU46" s="5">
        <v>3.7431999999999998E-4</v>
      </c>
      <c r="AV46" s="5">
        <v>2.3269999999999999E-4</v>
      </c>
      <c r="AW46" s="5">
        <v>1.9072999999999999E-6</v>
      </c>
      <c r="AX46" s="9">
        <f t="shared" si="0"/>
        <v>3.9642017444065232</v>
      </c>
      <c r="AY46" s="5">
        <v>0.47565000000000002</v>
      </c>
      <c r="AZ46" s="5">
        <v>0.27468999999999999</v>
      </c>
      <c r="BA46" s="5">
        <v>0.20891000000000001</v>
      </c>
      <c r="BB46" s="5">
        <v>6.1467000000000001E-2</v>
      </c>
      <c r="BC46" s="5">
        <v>2.0972999999999999E-2</v>
      </c>
      <c r="BD46" s="5">
        <v>1.0038999999999999E-2</v>
      </c>
      <c r="BE46" s="5">
        <v>7.8521000000000007E-3</v>
      </c>
      <c r="BF46" s="5">
        <v>6.0196E-3</v>
      </c>
      <c r="BG46" s="5">
        <v>5.0658999999999999E-3</v>
      </c>
      <c r="BH46" s="5">
        <v>4.8799999999999998E-3</v>
      </c>
      <c r="BI46" s="5">
        <v>4.6029E-3</v>
      </c>
      <c r="BJ46" s="5">
        <v>4.4260000000000002E-3</v>
      </c>
      <c r="BL46" s="2"/>
      <c r="BM46" s="1"/>
      <c r="BP46" s="2"/>
    </row>
    <row r="47" spans="1:68">
      <c r="A47" t="s">
        <v>54</v>
      </c>
      <c r="B47" s="54">
        <v>45244</v>
      </c>
      <c r="C47" s="124">
        <v>10</v>
      </c>
      <c r="D47" s="59">
        <v>21.267162540800253</v>
      </c>
      <c r="E47" s="84">
        <v>4.2184829756575858E-2</v>
      </c>
      <c r="F47" s="177" t="s">
        <v>50</v>
      </c>
      <c r="G47" s="8">
        <v>6.49</v>
      </c>
      <c r="H47" s="27">
        <v>166.7</v>
      </c>
      <c r="I47" s="31">
        <v>103.9</v>
      </c>
      <c r="J47" s="8">
        <v>10.66</v>
      </c>
      <c r="K47" s="10">
        <v>30</v>
      </c>
      <c r="L47" s="1">
        <v>6.95</v>
      </c>
      <c r="M47" s="8">
        <v>0.1</v>
      </c>
      <c r="N47" s="24"/>
      <c r="O47" s="1">
        <f>(6.641+6.777)/2</f>
        <v>6.7089999999999996</v>
      </c>
      <c r="P47" s="1">
        <v>6.6515000000000004</v>
      </c>
      <c r="Q47" s="1">
        <f>(0.4391+0.4644)/2</f>
        <v>0.45174999999999998</v>
      </c>
      <c r="R47" s="1">
        <v>3.0000000000000001E-3</v>
      </c>
      <c r="S47" s="9">
        <v>0.3</v>
      </c>
      <c r="T47" s="8">
        <v>0.16</v>
      </c>
      <c r="U47" s="10">
        <v>3</v>
      </c>
      <c r="V47" s="10">
        <v>7.0000000000000007E-2</v>
      </c>
      <c r="W47" s="9">
        <v>1.2</v>
      </c>
      <c r="X47" s="13">
        <v>39</v>
      </c>
      <c r="Y47" s="1">
        <v>0.24399999999999999</v>
      </c>
      <c r="Z47" s="5">
        <v>0</v>
      </c>
      <c r="AA47" s="5">
        <v>4.7999999999999996E-3</v>
      </c>
      <c r="AB47" s="1">
        <v>1.647</v>
      </c>
      <c r="AC47" s="1">
        <v>0.224</v>
      </c>
      <c r="AD47" s="1">
        <v>0.69299999999999995</v>
      </c>
      <c r="AE47" s="1">
        <v>0.46200000000000002</v>
      </c>
      <c r="AF47" s="5">
        <v>1.06E-2</v>
      </c>
      <c r="AG47" s="1">
        <v>1.036</v>
      </c>
      <c r="AH47" s="35">
        <v>0</v>
      </c>
      <c r="AI47" s="5">
        <v>2.8E-3</v>
      </c>
      <c r="AJ47" s="2">
        <v>4.1180000000000003</v>
      </c>
      <c r="AK47" s="2">
        <f>(0.034-0.0158)/0.0031</f>
        <v>5.870967741935484</v>
      </c>
      <c r="AL47" s="5">
        <v>0.45415</v>
      </c>
      <c r="AM47" s="5">
        <v>0.25928000000000001</v>
      </c>
      <c r="AN47" s="5">
        <v>0.19564999999999999</v>
      </c>
      <c r="AO47" s="5">
        <v>5.3053000000000003E-2</v>
      </c>
      <c r="AP47" s="5">
        <v>1.4888E-2</v>
      </c>
      <c r="AQ47" s="5">
        <v>4.7841000000000003E-3</v>
      </c>
      <c r="AR47" s="5">
        <v>2.9821000000000001E-3</v>
      </c>
      <c r="AS47" s="5">
        <v>1.4901000000000001E-3</v>
      </c>
      <c r="AT47" s="5">
        <v>6.6518999999999997E-4</v>
      </c>
      <c r="AU47" s="5">
        <v>5.0544999999999995E-4</v>
      </c>
      <c r="AV47" s="5">
        <v>3.3760000000000002E-4</v>
      </c>
      <c r="AW47" s="5">
        <v>1.8263E-4</v>
      </c>
      <c r="AX47" s="9">
        <f t="shared" si="0"/>
        <v>3.8980681049387353</v>
      </c>
      <c r="AY47" s="5">
        <v>0.47586000000000001</v>
      </c>
      <c r="AZ47" s="5">
        <v>0.27437</v>
      </c>
      <c r="BA47" s="5">
        <v>0.20854</v>
      </c>
      <c r="BB47" s="5">
        <v>6.1276999999999998E-2</v>
      </c>
      <c r="BC47" s="5">
        <v>2.0603E-2</v>
      </c>
      <c r="BD47" s="5">
        <v>9.4552000000000004E-3</v>
      </c>
      <c r="BE47" s="5">
        <v>7.3905000000000004E-3</v>
      </c>
      <c r="BF47" s="5">
        <v>5.3682000000000001E-3</v>
      </c>
      <c r="BG47" s="5">
        <v>4.4627E-3</v>
      </c>
      <c r="BH47" s="5">
        <v>4.2519999999999997E-3</v>
      </c>
      <c r="BI47" s="5">
        <v>3.9911E-3</v>
      </c>
      <c r="BJ47" s="5">
        <v>3.7483999999999998E-3</v>
      </c>
      <c r="BL47" s="2"/>
      <c r="BM47" s="1"/>
      <c r="BP47" s="2"/>
    </row>
    <row r="48" spans="1:68">
      <c r="A48" t="s">
        <v>54</v>
      </c>
      <c r="B48" s="54">
        <v>45244</v>
      </c>
      <c r="C48" s="124">
        <v>14</v>
      </c>
      <c r="D48" s="59">
        <v>21.407418266354593</v>
      </c>
      <c r="E48" s="84">
        <v>5.3245782307521944E-2</v>
      </c>
      <c r="F48" s="177" t="s">
        <v>50</v>
      </c>
      <c r="G48" s="8">
        <v>6.44</v>
      </c>
      <c r="H48" s="27">
        <v>169.5</v>
      </c>
      <c r="I48" s="31">
        <v>103.7</v>
      </c>
      <c r="J48" s="8">
        <v>10.63</v>
      </c>
      <c r="K48" s="10">
        <v>33</v>
      </c>
      <c r="L48" s="1">
        <v>6.95</v>
      </c>
      <c r="M48" s="8">
        <v>0.09</v>
      </c>
      <c r="N48" s="2"/>
      <c r="O48" s="1">
        <f>(6.753+6.861)/2</f>
        <v>6.8070000000000004</v>
      </c>
      <c r="P48" s="1">
        <v>6.4559999999999995</v>
      </c>
      <c r="Q48" s="1">
        <f>(0.4498+0.4509)/2</f>
        <v>0.45035000000000003</v>
      </c>
      <c r="R48" s="1">
        <v>5.0000000000000001E-3</v>
      </c>
      <c r="S48" s="9">
        <v>0.3</v>
      </c>
      <c r="T48" s="8">
        <v>0.16</v>
      </c>
      <c r="U48" s="10">
        <v>3</v>
      </c>
      <c r="V48" s="10">
        <v>0.04</v>
      </c>
      <c r="W48" s="9">
        <v>1.1000000000000001</v>
      </c>
      <c r="X48" s="13">
        <v>36</v>
      </c>
      <c r="Y48" s="1">
        <v>0.24399999999999999</v>
      </c>
      <c r="Z48" s="5">
        <v>0</v>
      </c>
      <c r="AA48" s="5">
        <v>4.7999999999999996E-3</v>
      </c>
      <c r="AB48" s="1">
        <v>1.7450000000000001</v>
      </c>
      <c r="AC48" s="1">
        <v>0.224</v>
      </c>
      <c r="AD48" s="1">
        <v>0.71499999999999997</v>
      </c>
      <c r="AE48" s="1">
        <v>0.46899999999999997</v>
      </c>
      <c r="AF48" s="5">
        <v>1.0500000000000001E-2</v>
      </c>
      <c r="AG48" s="1">
        <v>1.0391999999999999</v>
      </c>
      <c r="AH48" s="35">
        <v>0</v>
      </c>
      <c r="AI48" s="5">
        <v>3.5999999999999999E-3</v>
      </c>
      <c r="AJ48" s="2">
        <v>4.0910000000000002</v>
      </c>
      <c r="AK48" s="2">
        <f>(0.041-0.0158)/0.0031</f>
        <v>8.129032258064516</v>
      </c>
      <c r="AL48" s="5">
        <v>0.44019000000000003</v>
      </c>
      <c r="AM48" s="5">
        <v>0.24995999999999999</v>
      </c>
      <c r="AN48" s="5">
        <v>0.18801999999999999</v>
      </c>
      <c r="AO48" s="5">
        <v>5.0199000000000001E-2</v>
      </c>
      <c r="AP48" s="5">
        <v>1.4024999999999999E-2</v>
      </c>
      <c r="AQ48" s="5">
        <v>4.5252000000000001E-3</v>
      </c>
      <c r="AR48" s="5">
        <v>2.9359E-3</v>
      </c>
      <c r="AS48" s="5">
        <v>1.4873E-3</v>
      </c>
      <c r="AT48" s="5">
        <v>7.2813000000000001E-4</v>
      </c>
      <c r="AU48" s="5">
        <v>6.4515999999999998E-4</v>
      </c>
      <c r="AV48" s="5">
        <v>4.8160999999999999E-4</v>
      </c>
      <c r="AW48" s="5">
        <v>3.3139999999999998E-4</v>
      </c>
      <c r="AX48" s="9">
        <f t="shared" si="0"/>
        <v>3.8717472118959106</v>
      </c>
      <c r="AY48" s="5">
        <v>0.47519</v>
      </c>
      <c r="AZ48" s="5">
        <v>0.27428999999999998</v>
      </c>
      <c r="BA48" s="5">
        <v>0.20876</v>
      </c>
      <c r="BB48" s="5">
        <v>6.1503000000000002E-2</v>
      </c>
      <c r="BC48" s="5">
        <v>2.1205999999999999E-2</v>
      </c>
      <c r="BD48" s="5">
        <v>1.0137E-2</v>
      </c>
      <c r="BE48" s="5">
        <v>8.0590000000000002E-3</v>
      </c>
      <c r="BF48" s="5">
        <v>6.0924999999999998E-3</v>
      </c>
      <c r="BG48" s="5">
        <v>5.228E-3</v>
      </c>
      <c r="BH48" s="5">
        <v>5.0488E-3</v>
      </c>
      <c r="BI48" s="5">
        <v>4.7932000000000001E-3</v>
      </c>
      <c r="BJ48" s="5">
        <v>4.6357999999999998E-3</v>
      </c>
      <c r="BL48" s="2"/>
      <c r="BM48" s="1"/>
      <c r="BP48" s="2"/>
    </row>
    <row r="49" spans="1:68">
      <c r="A49" t="s">
        <v>54</v>
      </c>
      <c r="B49" s="54">
        <v>45391</v>
      </c>
      <c r="C49" s="123">
        <v>0</v>
      </c>
      <c r="D49" s="59">
        <v>15.633944951556117</v>
      </c>
      <c r="E49" s="60" t="s">
        <v>52</v>
      </c>
      <c r="F49" s="177" t="s">
        <v>51</v>
      </c>
      <c r="G49" s="8">
        <v>5.84</v>
      </c>
      <c r="H49" s="31">
        <v>235.3</v>
      </c>
      <c r="I49" s="31">
        <v>119.4</v>
      </c>
      <c r="J49" s="8">
        <v>11.75</v>
      </c>
      <c r="K49" s="10">
        <v>17</v>
      </c>
      <c r="L49" s="8">
        <v>9</v>
      </c>
      <c r="M49" s="8">
        <v>0.12</v>
      </c>
      <c r="N49" s="1">
        <v>8.7676159999999985</v>
      </c>
      <c r="O49" s="1">
        <v>6.9939999999999998</v>
      </c>
      <c r="P49" s="1">
        <v>6.6760000000000002</v>
      </c>
      <c r="Q49" s="1">
        <v>0.25140000000000001</v>
      </c>
      <c r="R49" s="1">
        <v>0.09</v>
      </c>
      <c r="S49" s="9">
        <v>0.3</v>
      </c>
      <c r="T49" s="8">
        <v>0</v>
      </c>
      <c r="U49" s="10">
        <v>1</v>
      </c>
      <c r="V49" s="10">
        <v>0.03</v>
      </c>
      <c r="W49" s="9">
        <v>1</v>
      </c>
      <c r="X49" s="13">
        <v>49</v>
      </c>
      <c r="Y49" s="1">
        <v>0.33040000000000003</v>
      </c>
      <c r="Z49" s="5">
        <v>4.5999999999999999E-3</v>
      </c>
      <c r="AA49" s="5">
        <v>2.4499999999999999E-3</v>
      </c>
      <c r="AB49" s="1">
        <v>1.07345</v>
      </c>
      <c r="AC49" s="1">
        <v>5.2250000000000005E-2</v>
      </c>
      <c r="AD49" s="1">
        <v>0.3745</v>
      </c>
      <c r="AE49" s="1">
        <v>0.34410000000000002</v>
      </c>
      <c r="AF49" s="5">
        <v>1.37E-2</v>
      </c>
      <c r="AG49" s="1">
        <v>0.47865000000000002</v>
      </c>
      <c r="AH49" s="35">
        <v>8.5000000000000006E-4</v>
      </c>
      <c r="AI49" s="5">
        <v>2.8199999999999999E-2</v>
      </c>
      <c r="AJ49" s="2">
        <v>2.8994999999999997</v>
      </c>
      <c r="AK49" s="2">
        <f>(0.034-0.0158)/0.0031</f>
        <v>5.870967741935484</v>
      </c>
      <c r="AL49" s="5">
        <v>0.47603000000000001</v>
      </c>
      <c r="AM49" s="5">
        <v>0.26788000000000001</v>
      </c>
      <c r="AN49" s="5">
        <v>0.19761999999999999</v>
      </c>
      <c r="AO49" s="5">
        <v>5.2798999999999999E-2</v>
      </c>
      <c r="AP49" s="5">
        <v>1.434E-2</v>
      </c>
      <c r="AQ49" s="5">
        <v>4.1288999999999996E-3</v>
      </c>
      <c r="AR49" s="5">
        <v>2.5996999999999999E-3</v>
      </c>
      <c r="AS49" s="5">
        <v>1.1352999999999999E-3</v>
      </c>
      <c r="AT49" s="5">
        <v>4.7541E-4</v>
      </c>
      <c r="AU49" s="5">
        <v>3.2139000000000001E-4</v>
      </c>
      <c r="AV49" s="5">
        <v>3.6860000000000001E-4</v>
      </c>
      <c r="AW49" s="5">
        <v>1.5259000000000001E-5</v>
      </c>
      <c r="AX49" s="9">
        <f t="shared" si="0"/>
        <v>4.0125823846614743</v>
      </c>
      <c r="AY49" s="5">
        <v>0.47491</v>
      </c>
      <c r="AZ49" s="5">
        <v>0.28555999999999998</v>
      </c>
      <c r="BA49" s="5">
        <v>0.21285000000000001</v>
      </c>
      <c r="BB49" s="5">
        <v>6.1038000000000002E-2</v>
      </c>
      <c r="BC49" s="5">
        <v>1.8787999999999999E-2</v>
      </c>
      <c r="BD49" s="5">
        <v>7.1621000000000002E-3</v>
      </c>
      <c r="BE49" s="5">
        <v>5.0172999999999997E-3</v>
      </c>
      <c r="BF49" s="5">
        <v>3.026E-3</v>
      </c>
      <c r="BG49" s="5">
        <v>1.833E-3</v>
      </c>
      <c r="BH49" s="5">
        <v>1.6655999999999999E-3</v>
      </c>
      <c r="BI49" s="5">
        <v>1.4005000000000001E-3</v>
      </c>
      <c r="BJ49" s="5">
        <v>8.8595999999999998E-4</v>
      </c>
      <c r="BL49" s="2"/>
      <c r="BM49" s="1"/>
      <c r="BP49" s="2"/>
    </row>
    <row r="50" spans="1:68">
      <c r="A50" t="s">
        <v>54</v>
      </c>
      <c r="B50" s="54">
        <v>45391</v>
      </c>
      <c r="C50" s="123">
        <v>2.5</v>
      </c>
      <c r="D50" s="59">
        <v>15.721566701405859</v>
      </c>
      <c r="E50" s="84">
        <v>5.3758390469467898E-2</v>
      </c>
      <c r="F50" s="177" t="s">
        <v>51</v>
      </c>
      <c r="G50" s="8">
        <v>5.84</v>
      </c>
      <c r="H50" s="31">
        <v>237.5</v>
      </c>
      <c r="I50" s="31">
        <v>119.8</v>
      </c>
      <c r="J50" s="8">
        <v>11.89</v>
      </c>
      <c r="K50" s="10">
        <v>17</v>
      </c>
      <c r="L50" s="8">
        <v>8.67</v>
      </c>
      <c r="M50" s="8">
        <v>0.11</v>
      </c>
      <c r="N50" s="1">
        <v>8.6909760000000009</v>
      </c>
      <c r="O50" s="1">
        <v>7.07</v>
      </c>
      <c r="P50" s="1">
        <v>6.7679999999999998</v>
      </c>
      <c r="Q50" s="1">
        <v>0.2505</v>
      </c>
      <c r="R50" s="1">
        <v>1.2999999999999999E-2</v>
      </c>
      <c r="S50" s="9">
        <v>0.2</v>
      </c>
      <c r="T50" s="8">
        <v>0.01</v>
      </c>
      <c r="U50" s="10">
        <v>2</v>
      </c>
      <c r="V50" s="10">
        <v>0.03</v>
      </c>
      <c r="W50" s="9">
        <v>0.9</v>
      </c>
      <c r="X50" s="13">
        <v>49</v>
      </c>
      <c r="Y50" s="1">
        <v>0.33394999999999997</v>
      </c>
      <c r="Z50" s="5">
        <v>2.15E-3</v>
      </c>
      <c r="AA50" s="5">
        <v>2.4499999999999999E-3</v>
      </c>
      <c r="AB50" s="1">
        <v>1.0975000000000001</v>
      </c>
      <c r="AC50" s="1">
        <v>5.135E-2</v>
      </c>
      <c r="AD50" s="1">
        <v>0.37240000000000001</v>
      </c>
      <c r="AE50" s="1">
        <v>0.34834999999999999</v>
      </c>
      <c r="AF50" s="5">
        <v>1.5200000000000002E-2</v>
      </c>
      <c r="AG50" s="1">
        <v>0.48355000000000004</v>
      </c>
      <c r="AH50" s="35">
        <v>8.5000000000000006E-4</v>
      </c>
      <c r="AI50" s="5">
        <v>3.9400000000000004E-2</v>
      </c>
      <c r="AJ50" s="2">
        <v>2.8769999999999998</v>
      </c>
      <c r="AK50" s="2">
        <f>(0.055-0.0158)/0.0031</f>
        <v>12.64516129032258</v>
      </c>
      <c r="AL50" s="5">
        <v>0.49880000000000002</v>
      </c>
      <c r="AM50" s="5">
        <v>0.27256999999999998</v>
      </c>
      <c r="AN50" s="5">
        <v>0.20177999999999999</v>
      </c>
      <c r="AO50" s="5">
        <v>5.4362000000000001E-2</v>
      </c>
      <c r="AP50" s="5">
        <v>1.4949E-2</v>
      </c>
      <c r="AQ50" s="5">
        <v>4.2719999999999998E-3</v>
      </c>
      <c r="AR50" s="5">
        <v>2.336E-3</v>
      </c>
      <c r="AS50" s="5">
        <v>7.6103E-4</v>
      </c>
      <c r="AT50" s="5">
        <v>-2.8133E-5</v>
      </c>
      <c r="AU50" s="5">
        <v>-2.1600999999999999E-4</v>
      </c>
      <c r="AV50" s="5">
        <v>-3.9576999999999999E-4</v>
      </c>
      <c r="AW50" s="5">
        <v>-6.7520000000000004E-4</v>
      </c>
      <c r="AX50" s="9">
        <f t="shared" si="0"/>
        <v>4.0273345153664302</v>
      </c>
      <c r="AY50" s="5">
        <v>0.48638999999999999</v>
      </c>
      <c r="AZ50" s="5">
        <v>0.29038999999999998</v>
      </c>
      <c r="BA50" s="5">
        <v>0.21695999999999999</v>
      </c>
      <c r="BB50" s="5">
        <v>6.2794000000000003E-2</v>
      </c>
      <c r="BC50" s="5">
        <v>2.0213999999999999E-2</v>
      </c>
      <c r="BD50" s="5">
        <v>7.9365000000000008E-3</v>
      </c>
      <c r="BE50" s="5">
        <v>5.6882E-3</v>
      </c>
      <c r="BF50" s="5">
        <v>3.5400000000000002E-3</v>
      </c>
      <c r="BG50" s="5">
        <v>2.3489000000000001E-3</v>
      </c>
      <c r="BH50" s="5">
        <v>2.1324E-3</v>
      </c>
      <c r="BI50" s="5">
        <v>1.8600999999999999E-3</v>
      </c>
      <c r="BJ50" s="5">
        <v>1.2945999999999999E-3</v>
      </c>
      <c r="BL50" s="2"/>
      <c r="BM50" s="1"/>
      <c r="BP50" s="2"/>
    </row>
    <row r="51" spans="1:68">
      <c r="A51" t="s">
        <v>54</v>
      </c>
      <c r="B51" s="54">
        <v>45391</v>
      </c>
      <c r="C51" s="124">
        <v>5</v>
      </c>
      <c r="D51" s="59">
        <v>16.260075078586812</v>
      </c>
      <c r="E51" s="60" t="s">
        <v>52</v>
      </c>
      <c r="F51" s="177" t="s">
        <v>51</v>
      </c>
      <c r="G51" s="8">
        <v>5.78</v>
      </c>
      <c r="H51" s="31">
        <v>246.8</v>
      </c>
      <c r="I51" s="31">
        <v>117.1</v>
      </c>
      <c r="J51" s="8">
        <v>12.22</v>
      </c>
      <c r="K51" s="10">
        <v>19</v>
      </c>
      <c r="L51" s="8">
        <v>6.62</v>
      </c>
      <c r="M51" s="8">
        <v>0.12</v>
      </c>
      <c r="N51" s="1">
        <v>8.6219999999999999</v>
      </c>
      <c r="O51" s="1">
        <v>6.9829999999999997</v>
      </c>
      <c r="P51" s="1">
        <v>6.8579999999999997</v>
      </c>
      <c r="Q51" s="1">
        <v>0.27589999999999998</v>
      </c>
      <c r="R51" s="1">
        <v>0.09</v>
      </c>
      <c r="S51" s="9">
        <v>0.3</v>
      </c>
      <c r="T51" s="8">
        <v>0.02</v>
      </c>
      <c r="U51" s="10">
        <v>0</v>
      </c>
      <c r="V51" s="10">
        <v>0.02</v>
      </c>
      <c r="W51" s="9">
        <v>0.8</v>
      </c>
      <c r="X51" s="13">
        <v>48</v>
      </c>
      <c r="Y51" s="1">
        <v>0.33979999999999999</v>
      </c>
      <c r="Z51" s="5">
        <v>2.4499999999999999E-3</v>
      </c>
      <c r="AA51" s="5">
        <v>2.5000000000000001E-3</v>
      </c>
      <c r="AB51" s="1">
        <v>1.0599499999999999</v>
      </c>
      <c r="AC51" s="1">
        <v>5.6400000000000006E-2</v>
      </c>
      <c r="AD51" s="1">
        <v>0.36695</v>
      </c>
      <c r="AE51" s="1">
        <v>0.34155000000000002</v>
      </c>
      <c r="AF51" s="5">
        <v>1.4200000000000001E-2</v>
      </c>
      <c r="AG51" s="1">
        <v>0.47235000000000005</v>
      </c>
      <c r="AH51" s="35">
        <v>8.9999999999999998E-4</v>
      </c>
      <c r="AI51" s="5">
        <v>4.6850000000000003E-2</v>
      </c>
      <c r="AJ51" s="2">
        <v>2.8879999999999999</v>
      </c>
      <c r="AK51" s="2">
        <f>(0.037-0.0158)/0.0031</f>
        <v>6.8387096774193541</v>
      </c>
      <c r="AL51" s="5">
        <v>0.46172999999999997</v>
      </c>
      <c r="AM51" s="5">
        <v>0.27549000000000001</v>
      </c>
      <c r="AN51" s="5">
        <v>0.20388999999999999</v>
      </c>
      <c r="AO51" s="5">
        <v>5.4744000000000001E-2</v>
      </c>
      <c r="AP51" s="5">
        <v>1.4622E-2</v>
      </c>
      <c r="AQ51" s="5">
        <v>3.6540000000000001E-3</v>
      </c>
      <c r="AR51" s="5">
        <v>2.0523E-3</v>
      </c>
      <c r="AS51" s="5">
        <v>3.8433E-4</v>
      </c>
      <c r="AT51" s="5">
        <v>-5.4646000000000002E-4</v>
      </c>
      <c r="AU51" s="5">
        <v>-6.6471E-4</v>
      </c>
      <c r="AV51" s="5">
        <v>-7.5531000000000003E-4</v>
      </c>
      <c r="AW51" s="5">
        <v>-1.1649E-3</v>
      </c>
      <c r="AX51" s="9">
        <f t="shared" si="0"/>
        <v>4.0170603674540688</v>
      </c>
      <c r="AY51" s="5">
        <v>0.48669000000000001</v>
      </c>
      <c r="AZ51" s="5">
        <v>0.29364000000000001</v>
      </c>
      <c r="BA51" s="5">
        <v>0.21948000000000001</v>
      </c>
      <c r="BB51" s="5">
        <v>6.4088999999999993E-2</v>
      </c>
      <c r="BC51" s="5">
        <v>2.0857000000000001E-2</v>
      </c>
      <c r="BD51" s="5">
        <v>8.4943999999999992E-3</v>
      </c>
      <c r="BE51" s="5">
        <v>6.2766000000000002E-3</v>
      </c>
      <c r="BF51" s="5">
        <v>4.2167000000000003E-3</v>
      </c>
      <c r="BG51" s="5">
        <v>3.0799E-3</v>
      </c>
      <c r="BH51" s="5">
        <v>2.8086000000000001E-3</v>
      </c>
      <c r="BI51" s="5">
        <v>2.5801999999999999E-3</v>
      </c>
      <c r="BJ51" s="5">
        <v>2.0308000000000001E-3</v>
      </c>
      <c r="BL51" s="2"/>
      <c r="BM51" s="1"/>
      <c r="BP51" s="2"/>
    </row>
    <row r="52" spans="1:68">
      <c r="A52" t="s">
        <v>54</v>
      </c>
      <c r="B52" s="54">
        <v>45391</v>
      </c>
      <c r="C52" s="123">
        <v>7.5</v>
      </c>
      <c r="D52" s="59">
        <v>16.194378577094138</v>
      </c>
      <c r="E52" s="60" t="s">
        <v>52</v>
      </c>
      <c r="F52" s="177" t="s">
        <v>51</v>
      </c>
      <c r="G52" s="1">
        <v>5.75</v>
      </c>
      <c r="H52" s="27">
        <v>250.7</v>
      </c>
      <c r="I52" s="31">
        <v>115.4</v>
      </c>
      <c r="J52" s="1">
        <v>12.12</v>
      </c>
      <c r="K52" s="10">
        <v>21</v>
      </c>
      <c r="L52" s="1">
        <v>6.36</v>
      </c>
      <c r="M52" s="8">
        <v>0.11</v>
      </c>
      <c r="N52" s="1">
        <v>8.8059359999999991</v>
      </c>
      <c r="O52" s="1">
        <v>7.0570000000000004</v>
      </c>
      <c r="P52" s="1">
        <v>6.85</v>
      </c>
      <c r="Q52" s="1">
        <v>0.29289999999999999</v>
      </c>
      <c r="R52" s="1">
        <v>1.7000000000000001E-2</v>
      </c>
      <c r="S52" s="9">
        <v>0.2</v>
      </c>
      <c r="T52" s="8">
        <v>0.01</v>
      </c>
      <c r="U52" s="10">
        <v>0</v>
      </c>
      <c r="V52" s="10">
        <v>0.04</v>
      </c>
      <c r="W52" s="9">
        <v>0.6</v>
      </c>
      <c r="X52" s="13">
        <v>49</v>
      </c>
      <c r="Y52" s="1">
        <v>0.35314999999999996</v>
      </c>
      <c r="Z52" s="5">
        <v>2.5000000000000001E-3</v>
      </c>
      <c r="AA52" s="5">
        <v>2.5999999999999999E-3</v>
      </c>
      <c r="AB52" s="1">
        <v>1.0823499999999999</v>
      </c>
      <c r="AC52" s="1">
        <v>5.7200000000000001E-2</v>
      </c>
      <c r="AD52" s="1">
        <v>0.37695000000000001</v>
      </c>
      <c r="AE52" s="1">
        <v>0.34499999999999997</v>
      </c>
      <c r="AF52" s="5">
        <v>1.44E-2</v>
      </c>
      <c r="AG52" s="1">
        <v>0.48170000000000002</v>
      </c>
      <c r="AH52" s="35">
        <v>8.9999999999999998E-4</v>
      </c>
      <c r="AI52" s="5">
        <v>7.9649999999999999E-2</v>
      </c>
      <c r="AJ52" s="2">
        <v>2.9160000000000004</v>
      </c>
      <c r="AK52" s="2">
        <f>(0.05-0.0158)/0.0031</f>
        <v>11.03225806451613</v>
      </c>
      <c r="AL52" s="5">
        <v>0.46473999999999999</v>
      </c>
      <c r="AM52" s="5">
        <v>0.27795999999999998</v>
      </c>
      <c r="AN52" s="5">
        <v>0.20585999999999999</v>
      </c>
      <c r="AO52" s="5">
        <v>5.5789999999999999E-2</v>
      </c>
      <c r="AP52" s="5">
        <v>1.5027E-2</v>
      </c>
      <c r="AQ52" s="5">
        <v>3.9830000000000004E-3</v>
      </c>
      <c r="AR52" s="5">
        <v>2.1491000000000001E-3</v>
      </c>
      <c r="AS52" s="5">
        <v>4.8255999999999999E-4</v>
      </c>
      <c r="AT52" s="5">
        <v>-2.8372E-4</v>
      </c>
      <c r="AU52" s="5">
        <v>-4.8494E-4</v>
      </c>
      <c r="AV52" s="5">
        <v>-6.6757000000000003E-4</v>
      </c>
      <c r="AW52" s="5">
        <v>-9.899100000000001E-4</v>
      </c>
      <c r="AX52" s="9">
        <f t="shared" si="0"/>
        <v>4.0578102189781022</v>
      </c>
      <c r="AY52" s="5">
        <v>0.48755999999999999</v>
      </c>
      <c r="AZ52" s="5">
        <v>0.29403000000000001</v>
      </c>
      <c r="BA52" s="5">
        <v>0.21970999999999999</v>
      </c>
      <c r="BB52" s="5">
        <v>6.3746999999999998E-2</v>
      </c>
      <c r="BC52" s="5">
        <v>2.0271999999999998E-2</v>
      </c>
      <c r="BD52" s="5">
        <v>7.9503000000000004E-3</v>
      </c>
      <c r="BE52" s="5">
        <v>5.7774000000000002E-3</v>
      </c>
      <c r="BF52" s="5">
        <v>3.7436000000000001E-3</v>
      </c>
      <c r="BG52" s="5">
        <v>2.5706000000000001E-3</v>
      </c>
      <c r="BH52" s="5">
        <v>2.2774000000000002E-3</v>
      </c>
      <c r="BI52" s="5">
        <v>2.0436999999999999E-3</v>
      </c>
      <c r="BJ52" s="5">
        <v>1.5111E-3</v>
      </c>
      <c r="BL52" s="2"/>
      <c r="BM52" s="1"/>
      <c r="BP52" s="2"/>
    </row>
    <row r="53" spans="1:68">
      <c r="A53" t="s">
        <v>54</v>
      </c>
      <c r="B53" s="54">
        <v>45391</v>
      </c>
      <c r="C53" s="124">
        <v>10</v>
      </c>
      <c r="D53" s="59">
        <v>16.098943489844352</v>
      </c>
      <c r="E53" s="84">
        <v>6.1959712711391481E-2</v>
      </c>
      <c r="F53" s="177" t="s">
        <v>51</v>
      </c>
      <c r="G53" s="8">
        <v>5.74</v>
      </c>
      <c r="H53" s="27">
        <v>255.3</v>
      </c>
      <c r="I53" s="31">
        <v>113.2</v>
      </c>
      <c r="J53" s="8">
        <v>11.91</v>
      </c>
      <c r="K53" s="10">
        <v>23</v>
      </c>
      <c r="L53" s="1">
        <v>6.31</v>
      </c>
      <c r="M53" s="8">
        <v>0.12</v>
      </c>
      <c r="N53" s="1">
        <v>8.9745439999999999</v>
      </c>
      <c r="O53" s="1">
        <v>7.1349999999999998</v>
      </c>
      <c r="P53" s="1">
        <v>6.7729999999999997</v>
      </c>
      <c r="Q53" s="1">
        <v>0.28320000000000001</v>
      </c>
      <c r="R53" s="1">
        <v>1.2999999999999999E-2</v>
      </c>
      <c r="S53" s="9">
        <v>0.3</v>
      </c>
      <c r="T53" s="8">
        <v>0</v>
      </c>
      <c r="U53" s="10">
        <v>1</v>
      </c>
      <c r="V53" s="10">
        <v>0.03</v>
      </c>
      <c r="W53" s="9">
        <v>1.1000000000000001</v>
      </c>
      <c r="X53" s="13">
        <v>49</v>
      </c>
      <c r="Y53" s="1">
        <v>0.35709999999999997</v>
      </c>
      <c r="Z53" s="5">
        <v>3.5999999999999999E-3</v>
      </c>
      <c r="AA53" s="5">
        <v>2.5999999999999999E-3</v>
      </c>
      <c r="AB53" s="1">
        <v>1.06925</v>
      </c>
      <c r="AC53" s="1">
        <v>5.9899999999999995E-2</v>
      </c>
      <c r="AD53" s="1">
        <v>0.35520000000000002</v>
      </c>
      <c r="AE53" s="1">
        <v>0.34714999999999996</v>
      </c>
      <c r="AF53" s="5">
        <v>1.4499999999999999E-2</v>
      </c>
      <c r="AG53" s="1">
        <v>0.47370000000000001</v>
      </c>
      <c r="AH53" s="35">
        <v>8.9999999999999998E-4</v>
      </c>
      <c r="AI53" s="5">
        <v>4.6800000000000001E-2</v>
      </c>
      <c r="AJ53" s="2">
        <v>2.8884999999999996</v>
      </c>
      <c r="AK53" s="2">
        <f>(0.041-0.0158)/0.0031</f>
        <v>8.129032258064516</v>
      </c>
      <c r="AL53" s="5">
        <v>0.50148000000000004</v>
      </c>
      <c r="AM53" s="5">
        <v>0.27861999999999998</v>
      </c>
      <c r="AN53" s="5">
        <v>0.20652000000000001</v>
      </c>
      <c r="AO53" s="5">
        <v>5.5990999999999999E-2</v>
      </c>
      <c r="AP53" s="5">
        <v>1.5569E-2</v>
      </c>
      <c r="AQ53" s="5">
        <v>4.2696000000000001E-3</v>
      </c>
      <c r="AR53" s="5">
        <v>2.3912999999999998E-3</v>
      </c>
      <c r="AS53" s="5">
        <v>6.7615999999999998E-4</v>
      </c>
      <c r="AT53" s="5">
        <v>-2.5082000000000001E-4</v>
      </c>
      <c r="AU53" s="5">
        <v>-4.1913999999999997E-4</v>
      </c>
      <c r="AV53" s="5">
        <v>-5.8317000000000004E-4</v>
      </c>
      <c r="AW53" s="5">
        <v>-8.6403000000000001E-4</v>
      </c>
      <c r="AX53" s="9">
        <f t="shared" si="0"/>
        <v>4.113686697179979</v>
      </c>
      <c r="AY53" s="5">
        <v>0.52376</v>
      </c>
      <c r="AZ53" s="5">
        <v>0.3241</v>
      </c>
      <c r="BA53" s="5">
        <v>0.25009999999999999</v>
      </c>
      <c r="BB53" s="5">
        <v>9.4954999999999998E-2</v>
      </c>
      <c r="BC53" s="5">
        <v>5.3557E-2</v>
      </c>
      <c r="BD53" s="5">
        <v>4.3611999999999998E-2</v>
      </c>
      <c r="BE53" s="5">
        <v>4.1482999999999999E-2</v>
      </c>
      <c r="BF53" s="5">
        <v>3.9067999999999999E-2</v>
      </c>
      <c r="BG53" s="5">
        <v>3.7922999999999998E-2</v>
      </c>
      <c r="BH53" s="5">
        <v>3.7787000000000001E-2</v>
      </c>
      <c r="BI53" s="5">
        <v>3.7144999999999997E-2</v>
      </c>
      <c r="BJ53" s="5">
        <v>3.7024000000000001E-2</v>
      </c>
      <c r="BL53" s="2"/>
      <c r="BM53" s="1"/>
      <c r="BP53" s="2"/>
    </row>
    <row r="54" spans="1:68">
      <c r="A54" t="s">
        <v>54</v>
      </c>
      <c r="B54" s="54">
        <v>45391</v>
      </c>
      <c r="C54" s="124">
        <v>14</v>
      </c>
      <c r="D54" s="59">
        <v>16.128682075601464</v>
      </c>
      <c r="E54" s="84">
        <v>6.853711924665544E-2</v>
      </c>
      <c r="F54" s="177" t="s">
        <v>51</v>
      </c>
      <c r="G54" s="8">
        <v>5.74</v>
      </c>
      <c r="H54" s="27">
        <v>257.89999999999998</v>
      </c>
      <c r="I54" s="31">
        <v>112.6</v>
      </c>
      <c r="J54" s="8">
        <v>11.84</v>
      </c>
      <c r="K54" s="10">
        <v>25</v>
      </c>
      <c r="L54" s="1">
        <v>6.34</v>
      </c>
      <c r="M54" s="8">
        <v>0.13</v>
      </c>
      <c r="N54" s="1">
        <v>9.8559040000000007</v>
      </c>
      <c r="O54" s="1">
        <v>7.1109999999999998</v>
      </c>
      <c r="P54" s="1">
        <v>7.2930000000000001</v>
      </c>
      <c r="Q54" s="1">
        <v>0.27729999999999999</v>
      </c>
      <c r="R54" s="1">
        <v>1.4E-2</v>
      </c>
      <c r="S54" s="9">
        <v>0.2</v>
      </c>
      <c r="T54" s="8">
        <v>0</v>
      </c>
      <c r="U54" s="10">
        <v>0</v>
      </c>
      <c r="V54" s="10">
        <v>0.05</v>
      </c>
      <c r="W54" s="9">
        <v>0.6</v>
      </c>
      <c r="X54" s="13">
        <v>49</v>
      </c>
      <c r="Y54" s="1">
        <v>0.3271</v>
      </c>
      <c r="Z54" s="5">
        <v>3.4999999999999996E-3</v>
      </c>
      <c r="AA54" s="5">
        <v>2.5500000000000002E-3</v>
      </c>
      <c r="AB54" s="1">
        <v>1.0648</v>
      </c>
      <c r="AC54" s="1">
        <v>6.6299999999999998E-2</v>
      </c>
      <c r="AD54" s="1">
        <v>0.37435000000000002</v>
      </c>
      <c r="AE54" s="1">
        <v>0.33774999999999999</v>
      </c>
      <c r="AF54" s="5">
        <v>1.4599999999999998E-2</v>
      </c>
      <c r="AG54" s="1">
        <v>0.45904999999999996</v>
      </c>
      <c r="AH54" s="35">
        <v>8.0000000000000004E-4</v>
      </c>
      <c r="AI54" s="5">
        <v>4.36E-2</v>
      </c>
      <c r="AJ54" s="2">
        <v>2.8725000000000001</v>
      </c>
      <c r="AK54" s="2">
        <f>(0.073-0.0158)/0.0031</f>
        <v>18.451612903225804</v>
      </c>
      <c r="AL54" s="5">
        <v>0.46259</v>
      </c>
      <c r="AM54" s="5">
        <v>0.27688000000000001</v>
      </c>
      <c r="AN54" s="5">
        <v>0.20502000000000001</v>
      </c>
      <c r="AO54" s="5">
        <v>5.5414999999999999E-2</v>
      </c>
      <c r="AP54" s="5">
        <v>1.4919E-2</v>
      </c>
      <c r="AQ54" s="5">
        <v>3.9592000000000004E-3</v>
      </c>
      <c r="AR54" s="5">
        <v>2.2287000000000001E-3</v>
      </c>
      <c r="AS54" s="5">
        <v>5.6028000000000002E-4</v>
      </c>
      <c r="AT54" s="5">
        <v>-2.5845000000000002E-4</v>
      </c>
      <c r="AU54" s="5">
        <v>-4.3630999999999997E-4</v>
      </c>
      <c r="AV54" s="5">
        <v>-6.5041000000000003E-4</v>
      </c>
      <c r="AW54" s="5">
        <v>-1.0261999999999999E-3</v>
      </c>
      <c r="AX54" s="9">
        <f t="shared" si="0"/>
        <v>3.7965172082819145</v>
      </c>
      <c r="AY54" s="5">
        <v>0.498</v>
      </c>
      <c r="AZ54" s="5">
        <v>0.30348999999999998</v>
      </c>
      <c r="BA54" s="5">
        <v>0.22908999999999999</v>
      </c>
      <c r="BB54" s="5">
        <v>7.1664000000000005E-2</v>
      </c>
      <c r="BC54" s="5">
        <v>2.7334000000000001E-2</v>
      </c>
      <c r="BD54" s="5">
        <v>1.44E-2</v>
      </c>
      <c r="BE54" s="5">
        <v>1.1958999999999999E-2</v>
      </c>
      <c r="BF54" s="5">
        <v>9.3922999999999993E-3</v>
      </c>
      <c r="BG54" s="5">
        <v>8.0766999999999992E-3</v>
      </c>
      <c r="BH54" s="5">
        <v>7.7834000000000002E-3</v>
      </c>
      <c r="BI54" s="5">
        <v>7.4530000000000004E-3</v>
      </c>
      <c r="BJ54" s="5">
        <v>6.7204999999999999E-3</v>
      </c>
      <c r="BL54" s="2"/>
      <c r="BM54" s="1"/>
      <c r="BP54" s="2"/>
    </row>
    <row r="55" spans="1:68">
      <c r="A55" t="s">
        <v>54</v>
      </c>
      <c r="B55" s="54">
        <v>45426</v>
      </c>
      <c r="C55" s="123">
        <v>0</v>
      </c>
      <c r="D55" s="59">
        <v>14.546061515409038</v>
      </c>
      <c r="E55" s="60" t="s">
        <v>55</v>
      </c>
      <c r="F55" s="177" t="s">
        <v>52</v>
      </c>
      <c r="G55" s="8">
        <v>6.2</v>
      </c>
      <c r="H55" s="31">
        <v>134</v>
      </c>
      <c r="I55" s="31">
        <v>121.6</v>
      </c>
      <c r="J55" s="8">
        <v>10.74</v>
      </c>
      <c r="K55" s="10">
        <v>10</v>
      </c>
      <c r="L55" s="8">
        <v>13.85</v>
      </c>
      <c r="M55" s="8">
        <v>0.2</v>
      </c>
      <c r="N55" s="1">
        <v>11.01</v>
      </c>
      <c r="O55" s="1">
        <v>6.0949999999999998</v>
      </c>
      <c r="P55" s="1">
        <v>5.93</v>
      </c>
      <c r="Q55" s="1">
        <v>0.2351</v>
      </c>
      <c r="R55" s="1">
        <v>7.0000000000000001E-3</v>
      </c>
      <c r="S55" s="8">
        <v>0.3</v>
      </c>
      <c r="T55" s="13">
        <v>0.01</v>
      </c>
      <c r="U55" s="10">
        <v>3</v>
      </c>
      <c r="V55" s="13">
        <v>0.05</v>
      </c>
      <c r="W55" s="9">
        <v>1.1000000000000001</v>
      </c>
      <c r="X55" s="13">
        <v>27</v>
      </c>
      <c r="Y55" s="1">
        <v>0.24995000000000001</v>
      </c>
      <c r="Z55" s="5">
        <v>0</v>
      </c>
      <c r="AA55" s="5">
        <v>1.7499999999999998E-3</v>
      </c>
      <c r="AB55" s="1">
        <v>1.3444500000000001</v>
      </c>
      <c r="AC55" s="1">
        <v>4.3249999999999997E-2</v>
      </c>
      <c r="AD55" s="1">
        <v>0.45334999999999998</v>
      </c>
      <c r="AE55" s="1">
        <v>0.37819999999999998</v>
      </c>
      <c r="AF55" s="5">
        <v>1.235E-2</v>
      </c>
      <c r="AG55" s="1">
        <v>0.76495000000000002</v>
      </c>
      <c r="AH55" s="35">
        <v>5.0000000000000002E-5</v>
      </c>
      <c r="AI55" s="5">
        <v>5.0499999999999998E-3</v>
      </c>
      <c r="AJ55" s="2">
        <v>3.1680000000000001</v>
      </c>
      <c r="AK55" s="2">
        <f>(0.024-0.0158)/0.0031</f>
        <v>2.6451612903225805</v>
      </c>
      <c r="AL55" s="5">
        <v>0.43080000000000002</v>
      </c>
      <c r="AM55" s="5">
        <v>0.22850000000000001</v>
      </c>
      <c r="AN55" s="5">
        <v>0.16882</v>
      </c>
      <c r="AO55" s="5">
        <v>4.5108000000000002E-2</v>
      </c>
      <c r="AP55" s="5">
        <v>1.2926E-2</v>
      </c>
      <c r="AQ55" s="5">
        <v>3.4045999999999998E-3</v>
      </c>
      <c r="AR55" s="5">
        <v>1.8797E-3</v>
      </c>
      <c r="AS55" s="5">
        <v>5.8126E-4</v>
      </c>
      <c r="AT55" s="5">
        <v>-1.092E-4</v>
      </c>
      <c r="AU55" s="5">
        <v>-3.0374999999999998E-4</v>
      </c>
      <c r="AV55" s="5">
        <v>-3.2281999999999998E-4</v>
      </c>
      <c r="AW55" s="5">
        <v>0</v>
      </c>
      <c r="AX55" s="9">
        <f t="shared" si="0"/>
        <v>3.853288364249579</v>
      </c>
      <c r="AY55" s="5">
        <v>0.39641999999999999</v>
      </c>
      <c r="AZ55" s="5">
        <v>0.23422999999999999</v>
      </c>
      <c r="BA55" s="5">
        <v>0.17366000000000001</v>
      </c>
      <c r="BB55" s="5">
        <v>4.7493E-2</v>
      </c>
      <c r="BC55" s="5">
        <v>1.4057999999999999E-2</v>
      </c>
      <c r="BD55" s="5">
        <v>4.5795000000000002E-3</v>
      </c>
      <c r="BE55" s="5">
        <v>3.0251000000000002E-3</v>
      </c>
      <c r="BF55" s="5">
        <v>1.6169999999999999E-3</v>
      </c>
      <c r="BG55" s="5">
        <v>7.9202999999999999E-4</v>
      </c>
      <c r="BH55" s="5">
        <v>6.3944000000000002E-4</v>
      </c>
      <c r="BI55" s="5">
        <v>5.3167000000000004E-4</v>
      </c>
      <c r="BJ55" s="5">
        <v>2.1647999999999999E-4</v>
      </c>
      <c r="BL55" s="2"/>
      <c r="BM55" s="1"/>
      <c r="BP55" s="2"/>
    </row>
    <row r="56" spans="1:68">
      <c r="A56" t="s">
        <v>54</v>
      </c>
      <c r="B56" s="54">
        <v>45426</v>
      </c>
      <c r="C56" s="123">
        <v>2.5</v>
      </c>
      <c r="D56" s="59">
        <v>14.538853170232123</v>
      </c>
      <c r="E56" s="84">
        <v>9.6847038472971825E-2</v>
      </c>
      <c r="F56" s="177" t="s">
        <v>52</v>
      </c>
      <c r="G56" s="8">
        <v>6.23</v>
      </c>
      <c r="H56" s="31">
        <v>146.6</v>
      </c>
      <c r="I56" s="31">
        <v>120.2</v>
      </c>
      <c r="J56" s="8">
        <v>10.93</v>
      </c>
      <c r="K56" s="10">
        <v>12</v>
      </c>
      <c r="L56" s="8">
        <v>12.57</v>
      </c>
      <c r="M56" s="8">
        <v>0.2</v>
      </c>
      <c r="N56" s="1">
        <v>10.32</v>
      </c>
      <c r="O56" s="1">
        <v>6.016</v>
      </c>
      <c r="P56" s="1">
        <v>6.1289999999999996</v>
      </c>
      <c r="Q56" s="1">
        <v>0.26690000000000003</v>
      </c>
      <c r="R56" s="1">
        <v>8.9999999999999993E-3</v>
      </c>
      <c r="S56" s="8">
        <v>0.3</v>
      </c>
      <c r="T56" s="13">
        <v>0.01</v>
      </c>
      <c r="U56" s="10">
        <v>3</v>
      </c>
      <c r="V56" s="13">
        <v>0.03</v>
      </c>
      <c r="W56" s="9">
        <v>1.2</v>
      </c>
      <c r="X56" s="13">
        <v>25</v>
      </c>
      <c r="Y56" s="1">
        <v>0.25650000000000001</v>
      </c>
      <c r="Z56" s="5">
        <v>0</v>
      </c>
      <c r="AA56" s="5">
        <v>1.9000000000000002E-3</v>
      </c>
      <c r="AB56" s="1">
        <v>1.4390000000000001</v>
      </c>
      <c r="AC56" s="1">
        <v>4.5799999999999993E-2</v>
      </c>
      <c r="AD56" s="1">
        <v>0.37095</v>
      </c>
      <c r="AE56" s="1">
        <v>0.38839999999999997</v>
      </c>
      <c r="AF56" s="5">
        <v>1.29E-2</v>
      </c>
      <c r="AG56" s="1">
        <v>0.77210000000000001</v>
      </c>
      <c r="AH56" s="35">
        <v>0</v>
      </c>
      <c r="AI56" s="5">
        <v>1.15E-2</v>
      </c>
      <c r="AJ56" s="2">
        <v>3.1230000000000002</v>
      </c>
      <c r="AK56" s="2">
        <f>(0.021-0.0158)/0.0031</f>
        <v>1.6774193548387097</v>
      </c>
      <c r="AL56" s="5">
        <v>0.43514999999999998</v>
      </c>
      <c r="AM56" s="5">
        <v>0.22897999999999999</v>
      </c>
      <c r="AN56" s="5">
        <v>0.16952999999999999</v>
      </c>
      <c r="AO56" s="5">
        <v>4.4852999999999997E-2</v>
      </c>
      <c r="AP56" s="5">
        <v>1.2595E-2</v>
      </c>
      <c r="AQ56" s="5">
        <v>3.2028999999999998E-3</v>
      </c>
      <c r="AR56" s="5">
        <v>1.6149999999999999E-3</v>
      </c>
      <c r="AS56" s="5">
        <v>3.8957999999999999E-4</v>
      </c>
      <c r="AT56" s="5">
        <v>-2.6082999999999998E-4</v>
      </c>
      <c r="AU56" s="5">
        <v>-4.3630999999999997E-4</v>
      </c>
      <c r="AV56" s="5">
        <v>-3.7384000000000001E-4</v>
      </c>
      <c r="AW56" s="5">
        <v>0</v>
      </c>
      <c r="AX56" s="9">
        <f t="shared" si="0"/>
        <v>3.7360091368901944</v>
      </c>
      <c r="AY56" s="5">
        <v>0.40199000000000001</v>
      </c>
      <c r="AZ56" s="5">
        <v>0.23513999999999999</v>
      </c>
      <c r="BA56" s="5">
        <v>0.17474000000000001</v>
      </c>
      <c r="BB56" s="5">
        <v>4.7632000000000001E-2</v>
      </c>
      <c r="BC56" s="5">
        <v>1.4364E-2</v>
      </c>
      <c r="BD56" s="5">
        <v>4.7292999999999996E-3</v>
      </c>
      <c r="BE56" s="5">
        <v>3.0469999999999998E-3</v>
      </c>
      <c r="BF56" s="5">
        <v>1.6360000000000001E-3</v>
      </c>
      <c r="BG56" s="5">
        <v>8.6211999999999997E-4</v>
      </c>
      <c r="BH56" s="5">
        <v>5.9699999999999998E-4</v>
      </c>
      <c r="BI56" s="5">
        <v>7.0286000000000003E-4</v>
      </c>
      <c r="BJ56" s="5">
        <v>2.7943E-4</v>
      </c>
      <c r="BL56" s="2"/>
      <c r="BM56" s="1"/>
      <c r="BP56" s="2"/>
    </row>
    <row r="57" spans="1:68">
      <c r="A57" t="s">
        <v>54</v>
      </c>
      <c r="B57" s="54">
        <v>45426</v>
      </c>
      <c r="C57" s="124">
        <v>5</v>
      </c>
      <c r="D57" s="59">
        <v>14.194010308042968</v>
      </c>
      <c r="E57" s="60" t="s">
        <v>55</v>
      </c>
      <c r="F57" s="177" t="s">
        <v>52</v>
      </c>
      <c r="G57" s="8">
        <v>6.23</v>
      </c>
      <c r="H57" s="31">
        <v>156.4</v>
      </c>
      <c r="I57" s="31">
        <v>118.9</v>
      </c>
      <c r="J57" s="8">
        <v>10.99</v>
      </c>
      <c r="K57" s="10">
        <v>15</v>
      </c>
      <c r="L57" s="8">
        <v>11.87</v>
      </c>
      <c r="M57" s="8">
        <v>0.14000000000000001</v>
      </c>
      <c r="N57" s="1">
        <v>10.36</v>
      </c>
      <c r="O57" s="1">
        <v>5.9790000000000001</v>
      </c>
      <c r="P57" s="1">
        <v>5.8639999999999999</v>
      </c>
      <c r="Q57" s="1">
        <v>0.2394</v>
      </c>
      <c r="R57" s="1">
        <v>8.0000000000000002E-3</v>
      </c>
      <c r="S57" s="8">
        <v>0.3</v>
      </c>
      <c r="T57" s="13">
        <v>0.01</v>
      </c>
      <c r="U57" s="10">
        <v>2</v>
      </c>
      <c r="V57" s="13">
        <v>0.16</v>
      </c>
      <c r="W57" s="9">
        <v>0.9</v>
      </c>
      <c r="X57" s="13">
        <v>24</v>
      </c>
      <c r="Y57" s="1">
        <v>0.26870000000000005</v>
      </c>
      <c r="Z57" s="5">
        <v>1.1999999999999999E-3</v>
      </c>
      <c r="AA57" s="5">
        <v>1.7499999999999998E-3</v>
      </c>
      <c r="AB57" s="1">
        <v>1.3946499999999999</v>
      </c>
      <c r="AC57" s="1">
        <v>4.9799999999999997E-2</v>
      </c>
      <c r="AD57" s="1">
        <v>0.59004999999999996</v>
      </c>
      <c r="AE57" s="1">
        <v>0.37424999999999997</v>
      </c>
      <c r="AF57" s="5">
        <v>1.2150000000000001E-2</v>
      </c>
      <c r="AG57" s="1">
        <v>0.7994</v>
      </c>
      <c r="AH57" s="35">
        <v>0</v>
      </c>
      <c r="AI57" s="5">
        <v>3.39E-2</v>
      </c>
      <c r="AJ57" s="2">
        <v>3.2275</v>
      </c>
      <c r="AK57" s="2">
        <f>(0.02-0.0158)/0.0031</f>
        <v>1.354838709677419</v>
      </c>
      <c r="AL57" s="5">
        <v>0.39167999999999997</v>
      </c>
      <c r="AM57" s="5">
        <v>0.22767999999999999</v>
      </c>
      <c r="AN57" s="5">
        <v>0.16875000000000001</v>
      </c>
      <c r="AO57" s="5">
        <v>4.4846999999999998E-2</v>
      </c>
      <c r="AP57" s="5">
        <v>1.2234E-2</v>
      </c>
      <c r="AQ57" s="5">
        <v>3.0092999999999999E-3</v>
      </c>
      <c r="AR57" s="5">
        <v>1.5039000000000001E-3</v>
      </c>
      <c r="AS57" s="5">
        <v>2.6894000000000001E-4</v>
      </c>
      <c r="AT57" s="5">
        <v>-4.2439000000000002E-4</v>
      </c>
      <c r="AU57" s="5">
        <v>0</v>
      </c>
      <c r="AV57" s="5">
        <v>0</v>
      </c>
      <c r="AW57" s="5">
        <v>0</v>
      </c>
      <c r="AX57" s="9">
        <f t="shared" si="0"/>
        <v>3.8826739427012282</v>
      </c>
      <c r="AY57" s="5">
        <v>0.40064</v>
      </c>
      <c r="AZ57" s="5">
        <v>0.23374</v>
      </c>
      <c r="BA57" s="5">
        <v>0.17405000000000001</v>
      </c>
      <c r="BB57" s="5">
        <v>4.8198999999999999E-2</v>
      </c>
      <c r="BC57" s="5">
        <v>1.4585000000000001E-2</v>
      </c>
      <c r="BD57" s="5">
        <v>4.9547999999999997E-3</v>
      </c>
      <c r="BE57" s="5">
        <v>3.2344000000000001E-3</v>
      </c>
      <c r="BF57" s="5">
        <v>1.8209999999999999E-3</v>
      </c>
      <c r="BG57" s="5">
        <v>1.0671999999999999E-3</v>
      </c>
      <c r="BH57" s="5">
        <v>9.2458999999999998E-4</v>
      </c>
      <c r="BI57" s="5">
        <v>9.3221999999999999E-4</v>
      </c>
      <c r="BJ57" s="5">
        <v>5.4741000000000002E-4</v>
      </c>
      <c r="BL57" s="2"/>
      <c r="BM57" s="1"/>
      <c r="BP57" s="2"/>
    </row>
    <row r="58" spans="1:68">
      <c r="A58" t="s">
        <v>54</v>
      </c>
      <c r="B58" s="54">
        <v>45426</v>
      </c>
      <c r="C58" s="123">
        <v>7.5</v>
      </c>
      <c r="D58" s="59">
        <v>14.31170073419344</v>
      </c>
      <c r="E58" s="60" t="s">
        <v>55</v>
      </c>
      <c r="F58" s="177" t="s">
        <v>52</v>
      </c>
      <c r="G58" s="1">
        <v>6.16</v>
      </c>
      <c r="H58" s="27">
        <v>171.3</v>
      </c>
      <c r="I58" s="31">
        <v>115.6</v>
      </c>
      <c r="J58" s="1">
        <v>11.12</v>
      </c>
      <c r="K58" s="10">
        <v>18</v>
      </c>
      <c r="L58" s="1">
        <v>10.17</v>
      </c>
      <c r="M58" s="8">
        <v>0.16</v>
      </c>
      <c r="N58" s="1">
        <v>10.36</v>
      </c>
      <c r="O58" s="1">
        <v>5.819</v>
      </c>
      <c r="P58" s="1">
        <v>6.2089999999999996</v>
      </c>
      <c r="Q58" s="1">
        <v>0.24970000000000001</v>
      </c>
      <c r="R58" s="1">
        <v>8.9999999999999993E-3</v>
      </c>
      <c r="S58" s="8">
        <v>0.3</v>
      </c>
      <c r="T58" s="13">
        <v>0.02</v>
      </c>
      <c r="U58" s="10">
        <v>2</v>
      </c>
      <c r="V58" s="13">
        <v>0.03</v>
      </c>
      <c r="W58" s="9">
        <v>0.9</v>
      </c>
      <c r="X58" s="13">
        <v>24</v>
      </c>
      <c r="Y58" s="1">
        <v>0.28039999999999998</v>
      </c>
      <c r="Z58" s="5">
        <v>5.5000000000000003E-4</v>
      </c>
      <c r="AA58" s="5">
        <v>1.9499999999999999E-3</v>
      </c>
      <c r="AB58" s="1">
        <v>1.4630999999999998</v>
      </c>
      <c r="AC58" s="1">
        <v>5.1299999999999998E-2</v>
      </c>
      <c r="AD58" s="1">
        <v>0.48920000000000002</v>
      </c>
      <c r="AE58" s="1">
        <v>0.38464999999999999</v>
      </c>
      <c r="AF58" s="5">
        <v>1.26E-2</v>
      </c>
      <c r="AG58" s="1">
        <v>0.77954999999999997</v>
      </c>
      <c r="AH58" s="35">
        <v>1E-4</v>
      </c>
      <c r="AI58" s="5">
        <v>1.46E-2</v>
      </c>
      <c r="AJ58" s="2">
        <v>3.3025000000000002</v>
      </c>
      <c r="AK58" s="2">
        <f>(0.018-0.0158)/0.0031</f>
        <v>0.70967741935483775</v>
      </c>
      <c r="AL58" s="5">
        <v>0.39224999999999999</v>
      </c>
      <c r="AM58" s="5">
        <v>0.22786000000000001</v>
      </c>
      <c r="AN58" s="5">
        <v>0.16925000000000001</v>
      </c>
      <c r="AO58" s="5">
        <v>4.5039999999999997E-2</v>
      </c>
      <c r="AP58" s="5">
        <v>1.2331999999999999E-2</v>
      </c>
      <c r="AQ58" s="5">
        <v>3.0837E-3</v>
      </c>
      <c r="AR58" s="5">
        <v>1.7014E-3</v>
      </c>
      <c r="AS58" s="5">
        <v>4.8350999999999998E-4</v>
      </c>
      <c r="AT58" s="5">
        <v>-1.5974000000000001E-4</v>
      </c>
      <c r="AU58" s="5">
        <v>-2.2602000000000001E-4</v>
      </c>
      <c r="AV58" s="5">
        <v>-2.5797E-4</v>
      </c>
      <c r="AW58" s="5">
        <v>-4.7016000000000001E-4</v>
      </c>
      <c r="AX58" s="9">
        <f t="shared" si="0"/>
        <v>3.6698341117732327</v>
      </c>
      <c r="AY58" s="5">
        <v>0.40176000000000001</v>
      </c>
      <c r="AZ58" s="5">
        <v>0.23449</v>
      </c>
      <c r="BA58" s="5">
        <v>0.17466000000000001</v>
      </c>
      <c r="BB58" s="5">
        <v>4.8127000000000003E-2</v>
      </c>
      <c r="BC58" s="5">
        <v>1.4449E-2</v>
      </c>
      <c r="BD58" s="5">
        <v>4.4990000000000004E-3</v>
      </c>
      <c r="BE58" s="5">
        <v>2.9229999999999998E-3</v>
      </c>
      <c r="BF58" s="5">
        <v>1.4848999999999999E-3</v>
      </c>
      <c r="BG58" s="5">
        <v>6.8855000000000001E-4</v>
      </c>
      <c r="BH58" s="5">
        <v>5.2977000000000005E-4</v>
      </c>
      <c r="BI58" s="5">
        <v>4.9972999999999999E-4</v>
      </c>
      <c r="BJ58" s="5">
        <v>1.4019E-4</v>
      </c>
      <c r="BL58" s="2"/>
      <c r="BM58" s="1"/>
      <c r="BP58" s="2"/>
    </row>
    <row r="59" spans="1:68">
      <c r="A59" t="s">
        <v>54</v>
      </c>
      <c r="B59" s="54">
        <v>45426</v>
      </c>
      <c r="C59" s="124">
        <v>10</v>
      </c>
      <c r="D59" s="59">
        <v>15.105299146711346</v>
      </c>
      <c r="E59" s="60" t="s">
        <v>55</v>
      </c>
      <c r="F59" s="177" t="s">
        <v>52</v>
      </c>
      <c r="G59" s="8">
        <v>5.94</v>
      </c>
      <c r="H59" s="27">
        <v>191.3</v>
      </c>
      <c r="I59" s="31">
        <v>106.6</v>
      </c>
      <c r="J59" s="8">
        <v>10.74</v>
      </c>
      <c r="K59" s="10">
        <v>22</v>
      </c>
      <c r="L59" s="1">
        <v>8.2100000000000009</v>
      </c>
      <c r="M59" s="8">
        <v>0.16</v>
      </c>
      <c r="N59" s="1">
        <v>11.17</v>
      </c>
      <c r="O59" s="1">
        <v>6.3460000000000001</v>
      </c>
      <c r="P59" s="1">
        <v>6.5129999999999999</v>
      </c>
      <c r="Q59" s="1">
        <v>0.31269999999999998</v>
      </c>
      <c r="R59" s="1">
        <v>1.4E-2</v>
      </c>
      <c r="S59" s="8">
        <v>0.3</v>
      </c>
      <c r="T59" s="13">
        <v>0.03</v>
      </c>
      <c r="U59" s="10">
        <v>1</v>
      </c>
      <c r="V59" s="13">
        <v>0.05</v>
      </c>
      <c r="W59" s="9">
        <v>0.7</v>
      </c>
      <c r="X59" s="13">
        <v>25</v>
      </c>
      <c r="Y59" s="1">
        <v>0.27449999999999997</v>
      </c>
      <c r="Z59" s="5">
        <v>5.0000000000000002E-5</v>
      </c>
      <c r="AA59" s="5">
        <v>1.7000000000000001E-3</v>
      </c>
      <c r="AB59" s="1">
        <v>1.3022499999999999</v>
      </c>
      <c r="AC59" s="1">
        <v>5.6649999999999999E-2</v>
      </c>
      <c r="AD59" s="1">
        <v>0.45094999999999996</v>
      </c>
      <c r="AE59" s="1">
        <v>0.35344999999999999</v>
      </c>
      <c r="AF59" s="5">
        <v>1.3600000000000001E-2</v>
      </c>
      <c r="AG59" s="1">
        <v>0.71960000000000002</v>
      </c>
      <c r="AH59" s="35">
        <v>1E-4</v>
      </c>
      <c r="AI59" s="5">
        <v>7.6E-3</v>
      </c>
      <c r="AJ59" s="2">
        <v>3.0709999999999997</v>
      </c>
      <c r="AK59" s="2">
        <f>(0.027-0.0158)/0.0031</f>
        <v>3.6129032258064511</v>
      </c>
      <c r="AL59" s="5">
        <v>0.41576999999999997</v>
      </c>
      <c r="AM59" s="5">
        <v>0.24073</v>
      </c>
      <c r="AN59" s="5">
        <v>0.17849999999999999</v>
      </c>
      <c r="AO59" s="5">
        <v>4.7302999999999998E-2</v>
      </c>
      <c r="AP59" s="5">
        <v>1.2687E-2</v>
      </c>
      <c r="AQ59" s="5">
        <v>3.0684000000000002E-3</v>
      </c>
      <c r="AR59" s="5">
        <v>1.4867999999999999E-3</v>
      </c>
      <c r="AS59" s="5">
        <v>3.2854E-4</v>
      </c>
      <c r="AT59" s="5">
        <v>-3.8052000000000002E-4</v>
      </c>
      <c r="AU59" s="5">
        <v>-4.6349E-4</v>
      </c>
      <c r="AV59" s="5">
        <v>-4.4870000000000001E-4</v>
      </c>
      <c r="AW59" s="5">
        <v>0</v>
      </c>
      <c r="AX59" s="9">
        <f t="shared" si="0"/>
        <v>3.6961461692000617</v>
      </c>
      <c r="AY59" s="5">
        <v>0.43071999999999999</v>
      </c>
      <c r="AZ59" s="5">
        <v>0.25162000000000001</v>
      </c>
      <c r="BA59" s="5">
        <v>0.18808</v>
      </c>
      <c r="BB59" s="5">
        <v>5.2741000000000003E-2</v>
      </c>
      <c r="BC59" s="5">
        <v>1.6223000000000001E-2</v>
      </c>
      <c r="BD59" s="5">
        <v>5.5122000000000001E-3</v>
      </c>
      <c r="BE59" s="5">
        <v>3.8443000000000001E-3</v>
      </c>
      <c r="BF59" s="5">
        <v>2.2035000000000002E-3</v>
      </c>
      <c r="BG59" s="5">
        <v>1.2612000000000001E-3</v>
      </c>
      <c r="BH59" s="5">
        <v>9.8514999999999996E-4</v>
      </c>
      <c r="BI59" s="5">
        <v>9.3364999999999995E-4</v>
      </c>
      <c r="BJ59" s="5">
        <v>4.6109999999999999E-4</v>
      </c>
      <c r="BL59" s="2"/>
      <c r="BM59" s="1"/>
      <c r="BP59" s="2"/>
    </row>
    <row r="60" spans="1:68">
      <c r="A60" t="s">
        <v>54</v>
      </c>
      <c r="B60" s="54">
        <v>45426</v>
      </c>
      <c r="C60" s="124">
        <v>14</v>
      </c>
      <c r="D60" s="59">
        <v>15.268382182895394</v>
      </c>
      <c r="E60" s="84">
        <v>0.11162310301877247</v>
      </c>
      <c r="F60" s="177" t="s">
        <v>52</v>
      </c>
      <c r="G60" s="8">
        <v>5.87</v>
      </c>
      <c r="H60" s="27">
        <v>199.4</v>
      </c>
      <c r="I60" s="31">
        <v>104</v>
      </c>
      <c r="J60" s="8">
        <v>10.53</v>
      </c>
      <c r="K60" s="10">
        <v>25</v>
      </c>
      <c r="L60" s="1">
        <v>7.99</v>
      </c>
      <c r="M60" s="8">
        <v>0.12</v>
      </c>
      <c r="N60" s="1">
        <v>11.05</v>
      </c>
      <c r="O60" s="1">
        <v>6.22</v>
      </c>
      <c r="P60" s="1">
        <v>6.2249999999999996</v>
      </c>
      <c r="Q60" s="1">
        <v>0.27510000000000001</v>
      </c>
      <c r="R60" s="1">
        <v>1.2E-2</v>
      </c>
      <c r="S60" s="8">
        <v>0.3</v>
      </c>
      <c r="T60" s="13">
        <v>0.02</v>
      </c>
      <c r="U60" s="10">
        <v>1</v>
      </c>
      <c r="V60" s="13">
        <v>0.06</v>
      </c>
      <c r="W60" s="9">
        <v>1.3</v>
      </c>
      <c r="X60" s="13">
        <v>27</v>
      </c>
      <c r="Y60" s="1">
        <v>0.30205000000000004</v>
      </c>
      <c r="Z60" s="5">
        <v>0</v>
      </c>
      <c r="AA60" s="5">
        <v>1.8E-3</v>
      </c>
      <c r="AB60" s="1">
        <v>1.24865</v>
      </c>
      <c r="AC60" s="1">
        <v>6.4549999999999996E-2</v>
      </c>
      <c r="AD60" s="1">
        <v>0.42494999999999999</v>
      </c>
      <c r="AE60" s="1">
        <v>0.34134999999999999</v>
      </c>
      <c r="AF60" s="5">
        <v>1.46E-2</v>
      </c>
      <c r="AG60" s="1">
        <v>0.67645</v>
      </c>
      <c r="AH60" s="35">
        <v>1.5000000000000001E-4</v>
      </c>
      <c r="AI60" s="5">
        <v>1.0500000000000001E-2</v>
      </c>
      <c r="AJ60" s="2">
        <v>3.0739999999999998</v>
      </c>
      <c r="AK60" s="2">
        <f>(0.029-0.0158)/0.0031</f>
        <v>4.258064516129032</v>
      </c>
      <c r="AL60" s="5">
        <v>0.41765999999999998</v>
      </c>
      <c r="AM60" s="5">
        <v>0.24295</v>
      </c>
      <c r="AN60" s="5">
        <v>0.18013000000000001</v>
      </c>
      <c r="AO60" s="5">
        <v>4.7960000000000003E-2</v>
      </c>
      <c r="AP60" s="5">
        <v>1.2696000000000001E-2</v>
      </c>
      <c r="AQ60" s="5">
        <v>3.1451999999999999E-3</v>
      </c>
      <c r="AR60" s="5">
        <v>1.3824E-3</v>
      </c>
      <c r="AS60" s="5">
        <v>2.3127E-4</v>
      </c>
      <c r="AT60" s="5">
        <v>-4.1437000000000001E-4</v>
      </c>
      <c r="AU60" s="5">
        <v>0</v>
      </c>
      <c r="AV60" s="5">
        <v>0</v>
      </c>
      <c r="AW60" s="5">
        <v>0</v>
      </c>
      <c r="AX60" s="9">
        <f t="shared" si="0"/>
        <v>3.9028112449799202</v>
      </c>
      <c r="AY60" s="5">
        <v>0.43754999999999999</v>
      </c>
      <c r="AZ60" s="5">
        <v>0.25669999999999998</v>
      </c>
      <c r="BA60" s="5">
        <v>0.19222</v>
      </c>
      <c r="BB60" s="5">
        <v>5.4668000000000001E-2</v>
      </c>
      <c r="BC60" s="5">
        <v>1.7018999999999999E-2</v>
      </c>
      <c r="BD60" s="5">
        <v>6.0949000000000003E-3</v>
      </c>
      <c r="BE60" s="5">
        <v>4.0894E-3</v>
      </c>
      <c r="BF60" s="5">
        <v>2.3741999999999999E-3</v>
      </c>
      <c r="BG60" s="5">
        <v>1.4051999999999999E-3</v>
      </c>
      <c r="BH60" s="5">
        <v>1.1563000000000001E-3</v>
      </c>
      <c r="BI60" s="5">
        <v>1.1244E-3</v>
      </c>
      <c r="BJ60" s="5">
        <v>6.2752000000000001E-4</v>
      </c>
      <c r="BL60" s="2"/>
      <c r="BM60" s="1"/>
      <c r="BP60" s="2"/>
    </row>
    <row r="61" spans="1:68">
      <c r="B61" s="54"/>
      <c r="C61" s="124"/>
      <c r="D61" s="59"/>
      <c r="E61" s="84"/>
      <c r="F61" s="177"/>
      <c r="G61" s="8"/>
      <c r="H61" s="27"/>
      <c r="I61" s="31"/>
      <c r="J61" s="8"/>
      <c r="K61" s="10"/>
      <c r="L61" s="1"/>
      <c r="M61" s="8"/>
      <c r="N61" s="1"/>
      <c r="O61" s="1"/>
      <c r="P61" s="1"/>
      <c r="Q61" s="1"/>
      <c r="R61" s="1"/>
      <c r="S61" s="8"/>
      <c r="T61" s="13"/>
      <c r="U61" s="10"/>
      <c r="V61" s="13"/>
      <c r="W61" s="9"/>
      <c r="X61" s="13"/>
      <c r="Y61" s="1"/>
      <c r="Z61" s="35"/>
      <c r="AA61" s="35"/>
      <c r="AB61" s="1"/>
      <c r="AC61" s="1"/>
      <c r="AD61" s="1"/>
      <c r="AE61" s="1"/>
      <c r="AF61" s="5"/>
      <c r="AG61" s="1"/>
      <c r="AH61" s="35"/>
      <c r="AI61" s="5"/>
      <c r="AJ61" s="2"/>
      <c r="AK61" s="2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9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L61" s="2"/>
      <c r="BM61" s="1"/>
      <c r="BP61" s="2"/>
    </row>
    <row r="62" spans="1:68" s="7" customFormat="1">
      <c r="A62" s="23" t="s">
        <v>43</v>
      </c>
      <c r="B62" s="54">
        <v>45426</v>
      </c>
      <c r="C62" s="123"/>
      <c r="D62" s="59">
        <v>9.2965979365769158</v>
      </c>
      <c r="E62" s="84">
        <v>0.13920899977706364</v>
      </c>
      <c r="F62" s="177" t="s">
        <v>52</v>
      </c>
      <c r="G62" s="15">
        <v>6.71</v>
      </c>
      <c r="H62" s="14">
        <v>163</v>
      </c>
      <c r="I62" s="14">
        <v>125.3</v>
      </c>
      <c r="J62" s="15">
        <v>11.92</v>
      </c>
      <c r="K62" s="7">
        <v>25</v>
      </c>
      <c r="L62" s="15">
        <v>10.4</v>
      </c>
      <c r="M62" s="15">
        <v>0.2</v>
      </c>
      <c r="N62" s="16">
        <v>6.22</v>
      </c>
      <c r="O62" s="1">
        <v>2.4209999999999998</v>
      </c>
      <c r="P62" s="1">
        <v>3.4430000000000001</v>
      </c>
      <c r="Q62" s="1">
        <v>0.26740000000000003</v>
      </c>
      <c r="R62" s="15">
        <v>1.4E-2</v>
      </c>
      <c r="S62" s="15">
        <v>0.4</v>
      </c>
      <c r="T62" s="18">
        <v>0.02</v>
      </c>
      <c r="U62" s="7">
        <v>4</v>
      </c>
      <c r="V62" s="18">
        <v>0.06</v>
      </c>
      <c r="W62" s="16">
        <v>1</v>
      </c>
      <c r="X62" s="18">
        <v>7</v>
      </c>
      <c r="Y62" s="15">
        <v>7.9700000000000007E-2</v>
      </c>
      <c r="Z62" s="37">
        <v>0</v>
      </c>
      <c r="AA62" s="37">
        <v>6.0000000000000006E-4</v>
      </c>
      <c r="AB62" s="15">
        <v>2.1315</v>
      </c>
      <c r="AC62" s="15">
        <v>2.8549999999999999E-2</v>
      </c>
      <c r="AD62" s="15">
        <v>2.8672</v>
      </c>
      <c r="AE62" s="15">
        <v>0.43099999999999999</v>
      </c>
      <c r="AF62" s="18">
        <v>9.5E-4</v>
      </c>
      <c r="AG62" s="15">
        <v>1.3366500000000001</v>
      </c>
      <c r="AH62" s="37">
        <v>0</v>
      </c>
      <c r="AI62" s="18">
        <v>1.8149999999999999E-2</v>
      </c>
      <c r="AJ62" s="16">
        <v>6.1040000000000001</v>
      </c>
      <c r="AK62" s="2">
        <v>0</v>
      </c>
      <c r="AL62" s="5">
        <v>0.23042000000000001</v>
      </c>
      <c r="AM62" s="5">
        <v>8.1464999999999996E-2</v>
      </c>
      <c r="AN62" s="5">
        <v>6.2092000000000001E-2</v>
      </c>
      <c r="AO62" s="5">
        <v>1.7819999999999999E-2</v>
      </c>
      <c r="AP62" s="5">
        <v>4.9119000000000003E-3</v>
      </c>
      <c r="AQ62" s="5">
        <v>8.3923000000000005E-4</v>
      </c>
      <c r="AR62" s="5">
        <v>1.2826999999999999E-4</v>
      </c>
      <c r="AS62" s="5">
        <v>-4.6538999999999999E-4</v>
      </c>
      <c r="AT62" s="5">
        <v>0</v>
      </c>
      <c r="AU62" s="5">
        <v>0</v>
      </c>
      <c r="AV62" s="5">
        <v>0</v>
      </c>
      <c r="AW62" s="5">
        <v>0</v>
      </c>
      <c r="AX62" s="9">
        <f t="shared" si="0"/>
        <v>2.3661051408655243</v>
      </c>
      <c r="AY62" s="5">
        <v>0.23052</v>
      </c>
      <c r="AZ62" s="5">
        <v>8.1854999999999997E-2</v>
      </c>
      <c r="BA62" s="5">
        <v>6.2717999999999996E-2</v>
      </c>
      <c r="BB62" s="5">
        <v>1.8903E-2</v>
      </c>
      <c r="BC62" s="5">
        <v>6.0134000000000003E-3</v>
      </c>
      <c r="BD62" s="5">
        <v>1.5296999999999999E-3</v>
      </c>
      <c r="BE62" s="5">
        <v>7.4673000000000003E-4</v>
      </c>
      <c r="BF62" s="5">
        <v>1.1826E-4</v>
      </c>
      <c r="BG62" s="5">
        <v>-2.3127E-4</v>
      </c>
      <c r="BH62" s="5">
        <v>-3.3665000000000002E-4</v>
      </c>
      <c r="BI62" s="5">
        <v>-3.5667000000000001E-4</v>
      </c>
      <c r="BJ62" s="5">
        <v>0</v>
      </c>
      <c r="BL62" s="16"/>
      <c r="BM62" s="15"/>
      <c r="BP62" s="16"/>
    </row>
    <row r="63" spans="1:68" s="19" customFormat="1">
      <c r="A63" s="23" t="s">
        <v>44</v>
      </c>
      <c r="B63" s="54">
        <v>45427</v>
      </c>
      <c r="C63" s="119"/>
      <c r="D63" s="59">
        <v>6.7016300237000355</v>
      </c>
      <c r="E63" s="60" t="s">
        <v>55</v>
      </c>
      <c r="F63" s="177" t="s">
        <v>52</v>
      </c>
      <c r="G63"/>
      <c r="H63"/>
      <c r="I63"/>
      <c r="J63"/>
      <c r="K63" s="10">
        <v>30</v>
      </c>
      <c r="L63" s="1">
        <v>10</v>
      </c>
      <c r="AX63" s="72"/>
    </row>
    <row r="64" spans="1:68" s="19" customFormat="1">
      <c r="A64" s="23" t="s">
        <v>45</v>
      </c>
      <c r="B64" s="54">
        <v>45427</v>
      </c>
      <c r="C64" s="119"/>
      <c r="D64" s="59">
        <v>6.6239833877815908</v>
      </c>
      <c r="E64" s="60" t="s">
        <v>55</v>
      </c>
      <c r="F64" s="177" t="s">
        <v>52</v>
      </c>
      <c r="G64"/>
      <c r="H64"/>
      <c r="I64"/>
      <c r="J64"/>
      <c r="K64" s="14">
        <v>31.9</v>
      </c>
      <c r="L64" s="15">
        <v>9.3000000000000007</v>
      </c>
      <c r="AX64" s="72"/>
    </row>
    <row r="66" spans="4:5" ht="15.75">
      <c r="D66" s="26"/>
      <c r="E66" s="30"/>
    </row>
    <row r="67" spans="4:5" ht="15.75">
      <c r="D67" s="26"/>
      <c r="E67" s="30"/>
    </row>
    <row r="68" spans="4:5" ht="15.75">
      <c r="D68" s="26"/>
      <c r="E68" s="30"/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2573-DECD-4243-B865-55B614C6C0E2}">
  <dimension ref="A1:I26"/>
  <sheetViews>
    <sheetView workbookViewId="0">
      <selection activeCell="I2" sqref="I2"/>
    </sheetView>
  </sheetViews>
  <sheetFormatPr defaultRowHeight="15"/>
  <cols>
    <col min="1" max="1" width="43.7109375" customWidth="1"/>
    <col min="2" max="2" width="13.7109375" bestFit="1" customWidth="1"/>
    <col min="3" max="3" width="9.5703125" customWidth="1"/>
  </cols>
  <sheetData>
    <row r="1" spans="1:9">
      <c r="A1" s="101" t="s">
        <v>207</v>
      </c>
      <c r="B1" s="41"/>
      <c r="C1" s="41"/>
      <c r="E1" s="63"/>
      <c r="F1" s="76"/>
    </row>
    <row r="2" spans="1:9">
      <c r="A2" s="116" t="s">
        <v>206</v>
      </c>
      <c r="B2" s="41"/>
      <c r="E2" s="63"/>
      <c r="F2" s="76"/>
      <c r="I2" t="s">
        <v>352</v>
      </c>
    </row>
    <row r="3" spans="1:9">
      <c r="B3" s="41"/>
      <c r="D3" s="116"/>
      <c r="E3" s="63"/>
      <c r="F3" s="76"/>
    </row>
    <row r="4" spans="1:9" ht="31.5">
      <c r="A4" s="104"/>
      <c r="B4" s="104" t="s">
        <v>53</v>
      </c>
      <c r="C4" s="105" t="s">
        <v>38</v>
      </c>
      <c r="D4" s="106" t="s">
        <v>47</v>
      </c>
      <c r="E4" s="106" t="s">
        <v>49</v>
      </c>
      <c r="F4" s="175" t="s">
        <v>48</v>
      </c>
      <c r="G4" s="176"/>
    </row>
    <row r="5" spans="1:9">
      <c r="A5" t="s">
        <v>62</v>
      </c>
      <c r="B5" s="172">
        <v>45055</v>
      </c>
      <c r="C5" s="23">
        <v>5</v>
      </c>
      <c r="D5" s="173">
        <v>2.4934579640738606</v>
      </c>
      <c r="E5" s="174">
        <v>0.34561042601543762</v>
      </c>
      <c r="F5" s="174">
        <v>8.5798532470928959E-2</v>
      </c>
    </row>
    <row r="6" spans="1:9">
      <c r="A6" t="s">
        <v>62</v>
      </c>
      <c r="B6" s="172">
        <v>45083</v>
      </c>
      <c r="C6" s="23">
        <v>5</v>
      </c>
      <c r="D6" s="173">
        <v>1.5919963100504617</v>
      </c>
      <c r="E6" s="174">
        <v>0.44377515749857899</v>
      </c>
      <c r="F6" s="174">
        <v>8.8711564549146499E-2</v>
      </c>
    </row>
    <row r="7" spans="1:9">
      <c r="A7" t="s">
        <v>62</v>
      </c>
      <c r="B7" s="172">
        <v>45118</v>
      </c>
      <c r="C7" s="23">
        <v>5</v>
      </c>
      <c r="D7" s="173">
        <v>1.5164585921704954</v>
      </c>
      <c r="E7" s="174">
        <v>0.43272090444700007</v>
      </c>
      <c r="F7" s="174">
        <v>9.3428259779688605E-2</v>
      </c>
    </row>
    <row r="8" spans="1:9">
      <c r="A8" t="s">
        <v>62</v>
      </c>
      <c r="B8" s="172">
        <v>45153</v>
      </c>
      <c r="C8" s="23">
        <v>5</v>
      </c>
      <c r="D8" s="173">
        <v>1.8411571345731459</v>
      </c>
      <c r="E8" s="174">
        <v>0.3527573226831906</v>
      </c>
      <c r="F8" s="174">
        <v>9.1070657264189447E-2</v>
      </c>
    </row>
    <row r="9" spans="1:9">
      <c r="A9" t="s">
        <v>62</v>
      </c>
      <c r="B9" s="172">
        <v>45181</v>
      </c>
      <c r="C9" s="23">
        <v>5</v>
      </c>
      <c r="D9" s="173">
        <v>1.94046836734335</v>
      </c>
      <c r="E9" s="174">
        <v>0.37327837704379208</v>
      </c>
      <c r="F9" s="174">
        <v>9.4190028439098544E-2</v>
      </c>
    </row>
    <row r="10" spans="1:9">
      <c r="A10" t="s">
        <v>62</v>
      </c>
      <c r="B10" s="172">
        <v>45208</v>
      </c>
      <c r="C10" s="23">
        <v>5</v>
      </c>
      <c r="D10" s="173">
        <v>2.4535926675534698</v>
      </c>
      <c r="E10" s="174">
        <v>0.39128094242275546</v>
      </c>
      <c r="F10" s="174">
        <v>0.10462954367310767</v>
      </c>
    </row>
    <row r="11" spans="1:9">
      <c r="A11" t="s">
        <v>62</v>
      </c>
      <c r="B11" s="172">
        <v>45244</v>
      </c>
      <c r="C11" s="23">
        <v>5</v>
      </c>
      <c r="D11" s="173">
        <v>2.9248878158268226</v>
      </c>
      <c r="E11" s="174">
        <v>0.36099242196581921</v>
      </c>
      <c r="F11" s="174">
        <v>9.6784369996477909E-2</v>
      </c>
    </row>
    <row r="12" spans="1:9">
      <c r="A12" t="s">
        <v>62</v>
      </c>
      <c r="B12" s="172">
        <v>45272</v>
      </c>
      <c r="C12" s="23">
        <v>5</v>
      </c>
      <c r="D12" s="173">
        <v>3.279789664875123</v>
      </c>
      <c r="E12" s="174">
        <v>0.35968624988198949</v>
      </c>
      <c r="F12" s="174">
        <v>9.3663209822771265E-2</v>
      </c>
    </row>
    <row r="13" spans="1:9">
      <c r="A13" t="s">
        <v>62</v>
      </c>
      <c r="B13" s="172">
        <v>45328</v>
      </c>
      <c r="C13" s="23">
        <v>5</v>
      </c>
      <c r="D13" s="173">
        <v>5.4541977567702684</v>
      </c>
      <c r="E13" s="174">
        <v>0.32713212178126838</v>
      </c>
      <c r="F13" s="174">
        <v>8.0568470201662856E-2</v>
      </c>
    </row>
    <row r="14" spans="1:9">
      <c r="A14" t="s">
        <v>62</v>
      </c>
      <c r="B14" s="172">
        <v>45363</v>
      </c>
      <c r="C14" s="23">
        <v>5</v>
      </c>
      <c r="D14" s="173">
        <v>4.2374118969449857</v>
      </c>
      <c r="E14" s="174">
        <v>0.31765026550182474</v>
      </c>
      <c r="F14" s="174">
        <v>7.748136338760396E-2</v>
      </c>
    </row>
    <row r="15" spans="1:9">
      <c r="A15" t="s">
        <v>62</v>
      </c>
      <c r="B15" s="172">
        <v>45391</v>
      </c>
      <c r="C15" s="23">
        <v>5</v>
      </c>
      <c r="D15" s="173">
        <v>2.8406163163468596</v>
      </c>
      <c r="E15" s="174">
        <v>0.31804989616980761</v>
      </c>
      <c r="F15" s="174">
        <v>8.245625522066527E-2</v>
      </c>
    </row>
    <row r="16" spans="1:9">
      <c r="A16" t="s">
        <v>62</v>
      </c>
      <c r="B16" s="172">
        <v>45426</v>
      </c>
      <c r="C16" s="23">
        <v>5</v>
      </c>
      <c r="D16" s="173">
        <v>0.7641339043669878</v>
      </c>
      <c r="E16" s="174">
        <v>0.31933141091753792</v>
      </c>
      <c r="F16" s="174">
        <v>7.5155374268708136E-2</v>
      </c>
    </row>
    <row r="17" spans="1:6">
      <c r="A17" t="s">
        <v>64</v>
      </c>
      <c r="B17" s="172">
        <v>45426</v>
      </c>
      <c r="C17" s="23">
        <v>0</v>
      </c>
      <c r="D17" s="173">
        <v>5.0936052852230471</v>
      </c>
      <c r="E17" s="174">
        <v>0.42453422140571384</v>
      </c>
      <c r="F17" s="174">
        <v>0.10678619001748699</v>
      </c>
    </row>
    <row r="18" spans="1:6">
      <c r="B18" s="172"/>
      <c r="F18" s="171"/>
    </row>
    <row r="19" spans="1:6">
      <c r="A19" t="s">
        <v>54</v>
      </c>
      <c r="B19" s="172">
        <v>45426</v>
      </c>
      <c r="C19" s="23">
        <v>2.5</v>
      </c>
      <c r="D19" s="173">
        <v>15.49726081502638</v>
      </c>
      <c r="E19" s="174">
        <v>4.5346981215732378E-2</v>
      </c>
      <c r="F19" s="60" t="s">
        <v>50</v>
      </c>
    </row>
    <row r="20" spans="1:6">
      <c r="A20" s="23" t="s">
        <v>43</v>
      </c>
      <c r="B20" s="172">
        <v>45427</v>
      </c>
      <c r="C20" s="23">
        <v>0</v>
      </c>
      <c r="D20" s="173">
        <v>10.07418754258175</v>
      </c>
      <c r="E20" s="174">
        <v>4.0363880550824585E-2</v>
      </c>
      <c r="F20" s="60" t="s">
        <v>50</v>
      </c>
    </row>
    <row r="21" spans="1:6">
      <c r="A21" s="23" t="s">
        <v>44</v>
      </c>
      <c r="B21" s="172">
        <v>45427</v>
      </c>
      <c r="C21" s="23">
        <v>0</v>
      </c>
      <c r="D21" s="173">
        <v>6.5917427910296773</v>
      </c>
      <c r="E21" s="174">
        <v>5.0905454769384836E-2</v>
      </c>
      <c r="F21" s="60" t="s">
        <v>50</v>
      </c>
    </row>
    <row r="26" spans="1:6">
      <c r="A26" s="23"/>
    </row>
  </sheetData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71EC6-409C-47FE-A4BD-9ADF86ADC41E}">
  <dimension ref="A1:R113"/>
  <sheetViews>
    <sheetView workbookViewId="0">
      <selection activeCell="H1" sqref="H1"/>
    </sheetView>
  </sheetViews>
  <sheetFormatPr defaultRowHeight="15"/>
  <cols>
    <col min="1" max="1" width="32.85546875" bestFit="1" customWidth="1"/>
    <col min="2" max="5" width="9.7109375" bestFit="1" customWidth="1"/>
    <col min="6" max="6" width="10.7109375" bestFit="1" customWidth="1"/>
    <col min="7" max="9" width="9.7109375" bestFit="1" customWidth="1"/>
    <col min="11" max="11" width="10" bestFit="1" customWidth="1"/>
    <col min="12" max="12" width="9.7109375" bestFit="1" customWidth="1"/>
    <col min="13" max="14" width="10" bestFit="1" customWidth="1"/>
    <col min="15" max="15" width="10.7109375" bestFit="1" customWidth="1"/>
    <col min="16" max="18" width="10" bestFit="1" customWidth="1"/>
  </cols>
  <sheetData>
    <row r="1" spans="1:18">
      <c r="A1" s="178" t="s">
        <v>318</v>
      </c>
      <c r="C1" t="s">
        <v>350</v>
      </c>
      <c r="H1" t="s">
        <v>352</v>
      </c>
    </row>
    <row r="2" spans="1:18">
      <c r="B2" t="s">
        <v>346</v>
      </c>
      <c r="K2" t="s">
        <v>343</v>
      </c>
    </row>
    <row r="3" spans="1:18">
      <c r="A3" s="179" t="s">
        <v>345</v>
      </c>
      <c r="B3" s="180">
        <v>44984</v>
      </c>
      <c r="C3" s="181">
        <v>45033</v>
      </c>
      <c r="D3" s="181">
        <v>45103</v>
      </c>
      <c r="E3" s="181">
        <v>45166</v>
      </c>
      <c r="F3" s="181">
        <v>45215</v>
      </c>
      <c r="G3" s="181">
        <v>45348</v>
      </c>
      <c r="H3" s="181">
        <v>45397</v>
      </c>
      <c r="I3" s="181">
        <v>45453</v>
      </c>
      <c r="J3" s="178"/>
      <c r="K3" s="181">
        <v>44984</v>
      </c>
      <c r="L3" s="181">
        <v>45033</v>
      </c>
      <c r="M3" s="181">
        <v>45103</v>
      </c>
      <c r="N3" s="181">
        <v>45166</v>
      </c>
      <c r="O3" s="181">
        <v>45215</v>
      </c>
      <c r="P3" s="181">
        <v>45348</v>
      </c>
      <c r="Q3" s="181">
        <v>45397</v>
      </c>
      <c r="R3" s="181">
        <v>45453</v>
      </c>
    </row>
    <row r="4" spans="1:18">
      <c r="A4" s="182"/>
      <c r="B4" s="183" t="s">
        <v>208</v>
      </c>
      <c r="C4" s="184" t="s">
        <v>208</v>
      </c>
      <c r="D4" s="184" t="s">
        <v>208</v>
      </c>
      <c r="E4" s="184" t="s">
        <v>208</v>
      </c>
      <c r="F4" s="184" t="s">
        <v>208</v>
      </c>
      <c r="G4" s="184" t="s">
        <v>208</v>
      </c>
      <c r="H4" s="184" t="s">
        <v>208</v>
      </c>
      <c r="I4" s="184" t="s">
        <v>208</v>
      </c>
      <c r="K4" s="184" t="s">
        <v>209</v>
      </c>
      <c r="L4" s="184" t="s">
        <v>209</v>
      </c>
      <c r="M4" s="184" t="s">
        <v>209</v>
      </c>
      <c r="N4" s="184" t="s">
        <v>209</v>
      </c>
      <c r="O4" s="184" t="s">
        <v>209</v>
      </c>
      <c r="P4" s="184" t="s">
        <v>209</v>
      </c>
      <c r="Q4" s="184" t="s">
        <v>209</v>
      </c>
      <c r="R4" s="184" t="s">
        <v>209</v>
      </c>
    </row>
    <row r="5" spans="1:18">
      <c r="A5" s="185" t="s">
        <v>210</v>
      </c>
      <c r="B5" s="186"/>
      <c r="C5" s="186"/>
      <c r="D5" s="186"/>
      <c r="E5" s="186"/>
      <c r="F5" s="186"/>
      <c r="G5" s="186"/>
      <c r="H5" s="187">
        <v>10</v>
      </c>
      <c r="I5" s="186"/>
      <c r="J5" s="19"/>
      <c r="K5" s="188"/>
      <c r="L5" s="188"/>
      <c r="M5" s="188"/>
      <c r="N5" s="188"/>
      <c r="O5" s="188"/>
      <c r="P5" s="188"/>
      <c r="Q5" s="188">
        <v>1.655E-3</v>
      </c>
      <c r="R5" s="188"/>
    </row>
    <row r="6" spans="1:18">
      <c r="A6" s="185" t="s">
        <v>211</v>
      </c>
      <c r="B6" s="186"/>
      <c r="C6" s="186"/>
      <c r="D6" s="186"/>
      <c r="E6" s="186"/>
      <c r="F6" s="186"/>
      <c r="G6" s="186"/>
      <c r="H6" s="186"/>
      <c r="I6" s="187">
        <v>20</v>
      </c>
      <c r="J6" s="19"/>
      <c r="K6" s="188"/>
      <c r="L6" s="188"/>
      <c r="M6" s="188"/>
      <c r="N6" s="188"/>
      <c r="O6" s="188"/>
      <c r="P6" s="188"/>
      <c r="Q6" s="188"/>
      <c r="R6" s="188">
        <v>1.676E-3</v>
      </c>
    </row>
    <row r="7" spans="1:18">
      <c r="A7" s="185" t="s">
        <v>212</v>
      </c>
      <c r="B7" s="186"/>
      <c r="C7" s="186"/>
      <c r="D7" s="186"/>
      <c r="E7" s="186"/>
      <c r="F7" s="186"/>
      <c r="G7" s="186"/>
      <c r="H7" s="187">
        <v>80</v>
      </c>
      <c r="I7" s="186"/>
      <c r="J7" s="19"/>
      <c r="K7" s="188"/>
      <c r="L7" s="188"/>
      <c r="M7" s="188"/>
      <c r="N7" s="188"/>
      <c r="O7" s="188"/>
      <c r="P7" s="188"/>
      <c r="Q7" s="188">
        <v>6.4339999999999996E-3</v>
      </c>
      <c r="R7" s="188"/>
    </row>
    <row r="8" spans="1:18">
      <c r="A8" s="185" t="s">
        <v>213</v>
      </c>
      <c r="B8" s="186"/>
      <c r="C8" s="186"/>
      <c r="D8" s="186"/>
      <c r="E8" s="186"/>
      <c r="F8" s="186"/>
      <c r="G8" s="186"/>
      <c r="H8" s="186"/>
      <c r="I8" s="186"/>
      <c r="J8" s="19"/>
      <c r="K8" s="188"/>
      <c r="L8" s="188"/>
      <c r="M8" s="188"/>
      <c r="N8" s="188"/>
      <c r="O8" s="188"/>
      <c r="P8" s="188"/>
      <c r="Q8" s="188"/>
      <c r="R8" s="188"/>
    </row>
    <row r="9" spans="1:18">
      <c r="A9" s="185" t="s">
        <v>214</v>
      </c>
      <c r="B9" s="186"/>
      <c r="C9" s="186"/>
      <c r="D9" s="186"/>
      <c r="E9" s="186"/>
      <c r="F9" s="186"/>
      <c r="G9" s="186"/>
      <c r="H9" s="186"/>
      <c r="I9" s="186"/>
      <c r="J9" s="19"/>
      <c r="K9" s="188"/>
      <c r="L9" s="188"/>
      <c r="M9" s="188"/>
      <c r="N9" s="188"/>
      <c r="O9" s="188"/>
      <c r="P9" s="188"/>
      <c r="Q9" s="188"/>
      <c r="R9" s="188"/>
    </row>
    <row r="10" spans="1:18">
      <c r="A10" s="185" t="s">
        <v>215</v>
      </c>
      <c r="B10" s="187">
        <v>1760</v>
      </c>
      <c r="C10" s="186"/>
      <c r="D10" s="187">
        <v>328000</v>
      </c>
      <c r="E10" s="187">
        <v>265600</v>
      </c>
      <c r="F10" s="187">
        <v>32000</v>
      </c>
      <c r="G10" s="186"/>
      <c r="H10" s="187">
        <v>1600</v>
      </c>
      <c r="I10" s="187">
        <v>395200</v>
      </c>
      <c r="J10" s="19"/>
      <c r="K10" s="188">
        <v>9.2150000000000001E-4</v>
      </c>
      <c r="L10" s="188"/>
      <c r="M10" s="188">
        <v>0.12520000000000001</v>
      </c>
      <c r="N10" s="188">
        <v>0.1391</v>
      </c>
      <c r="O10" s="188">
        <v>1.6760000000000001E-2</v>
      </c>
      <c r="P10" s="188"/>
      <c r="Q10" s="188">
        <v>8.3779999999999998E-4</v>
      </c>
      <c r="R10" s="188">
        <v>0.10589999999999999</v>
      </c>
    </row>
    <row r="11" spans="1:18">
      <c r="A11" s="185" t="s">
        <v>216</v>
      </c>
      <c r="B11" s="186"/>
      <c r="C11" s="186"/>
      <c r="D11" s="187">
        <v>216000</v>
      </c>
      <c r="E11" s="187">
        <v>24000</v>
      </c>
      <c r="F11" s="187">
        <v>4800</v>
      </c>
      <c r="G11" s="186"/>
      <c r="H11" s="186"/>
      <c r="I11" s="187">
        <v>100800</v>
      </c>
      <c r="J11" s="19"/>
      <c r="K11" s="188"/>
      <c r="L11" s="188"/>
      <c r="M11" s="188">
        <v>0.1099</v>
      </c>
      <c r="N11" s="188">
        <v>1.634E-2</v>
      </c>
      <c r="O11" s="188">
        <v>3.7699999999999999E-3</v>
      </c>
      <c r="P11" s="188"/>
      <c r="Q11" s="188"/>
      <c r="R11" s="188">
        <v>3.1029999999999999E-2</v>
      </c>
    </row>
    <row r="12" spans="1:18">
      <c r="A12" s="185" t="s">
        <v>217</v>
      </c>
      <c r="B12" s="187">
        <v>170</v>
      </c>
      <c r="C12" s="187">
        <v>170</v>
      </c>
      <c r="D12" s="187">
        <v>15</v>
      </c>
      <c r="E12" s="186"/>
      <c r="F12" s="186"/>
      <c r="G12" s="187">
        <v>20</v>
      </c>
      <c r="H12" s="186"/>
      <c r="I12" s="186"/>
      <c r="J12" s="19"/>
      <c r="K12" s="188">
        <v>5.5190000000000003E-2</v>
      </c>
      <c r="L12" s="188">
        <v>5.0650000000000001E-2</v>
      </c>
      <c r="M12" s="188">
        <v>3.056E-4</v>
      </c>
      <c r="N12" s="188"/>
      <c r="O12" s="188"/>
      <c r="P12" s="188">
        <v>4.3290000000000004E-3</v>
      </c>
      <c r="Q12" s="188"/>
      <c r="R12" s="188"/>
    </row>
    <row r="13" spans="1:18">
      <c r="A13" s="185" t="s">
        <v>218</v>
      </c>
      <c r="B13" s="186"/>
      <c r="C13" s="186"/>
      <c r="D13" s="186"/>
      <c r="E13" s="186"/>
      <c r="F13" s="186"/>
      <c r="G13" s="186"/>
      <c r="H13" s="187">
        <v>50</v>
      </c>
      <c r="I13" s="186"/>
      <c r="J13" s="19"/>
      <c r="K13" s="188"/>
      <c r="L13" s="188"/>
      <c r="M13" s="188"/>
      <c r="N13" s="188"/>
      <c r="O13" s="188"/>
      <c r="P13" s="188"/>
      <c r="Q13" s="188">
        <v>1.3469999999999999E-2</v>
      </c>
      <c r="R13" s="188"/>
    </row>
    <row r="14" spans="1:18">
      <c r="A14" s="185" t="s">
        <v>219</v>
      </c>
      <c r="B14" s="186"/>
      <c r="C14" s="186"/>
      <c r="D14" s="186"/>
      <c r="E14" s="186"/>
      <c r="F14" s="186"/>
      <c r="G14" s="187">
        <v>60</v>
      </c>
      <c r="H14" s="186"/>
      <c r="I14" s="186"/>
      <c r="J14" s="19"/>
      <c r="K14" s="188"/>
      <c r="L14" s="188"/>
      <c r="M14" s="188"/>
      <c r="N14" s="188"/>
      <c r="O14" s="188"/>
      <c r="P14" s="188">
        <v>5.0799999999999998E-2</v>
      </c>
      <c r="Q14" s="188"/>
      <c r="R14" s="188"/>
    </row>
    <row r="15" spans="1:18">
      <c r="A15" s="185" t="s">
        <v>220</v>
      </c>
      <c r="B15" s="186"/>
      <c r="C15" s="186"/>
      <c r="D15" s="186"/>
      <c r="E15" s="186"/>
      <c r="F15" s="186"/>
      <c r="G15" s="186"/>
      <c r="H15" s="186"/>
      <c r="I15" s="186"/>
      <c r="J15" s="19"/>
      <c r="K15" s="188"/>
      <c r="L15" s="188"/>
      <c r="M15" s="188"/>
      <c r="N15" s="188"/>
      <c r="O15" s="188"/>
      <c r="P15" s="188"/>
      <c r="Q15" s="188"/>
      <c r="R15" s="188"/>
    </row>
    <row r="16" spans="1:18">
      <c r="A16" s="185" t="s">
        <v>221</v>
      </c>
      <c r="B16" s="186"/>
      <c r="C16" s="186"/>
      <c r="D16" s="186"/>
      <c r="E16" s="186"/>
      <c r="F16" s="186"/>
      <c r="G16" s="186"/>
      <c r="H16" s="186"/>
      <c r="I16" s="187">
        <v>5</v>
      </c>
      <c r="J16" s="19"/>
      <c r="K16" s="188"/>
      <c r="L16" s="188"/>
      <c r="M16" s="188"/>
      <c r="N16" s="188"/>
      <c r="O16" s="188"/>
      <c r="P16" s="188"/>
      <c r="Q16" s="188"/>
      <c r="R16" s="188">
        <v>4.424E-3</v>
      </c>
    </row>
    <row r="17" spans="1:18">
      <c r="A17" s="185" t="s">
        <v>222</v>
      </c>
      <c r="B17" s="186"/>
      <c r="C17" s="186"/>
      <c r="D17" s="186"/>
      <c r="E17" s="186"/>
      <c r="F17" s="186"/>
      <c r="G17" s="186"/>
      <c r="H17" s="186"/>
      <c r="I17" s="186"/>
      <c r="J17" s="19"/>
      <c r="K17" s="188"/>
      <c r="L17" s="188"/>
      <c r="M17" s="188"/>
      <c r="N17" s="188"/>
      <c r="O17" s="188"/>
      <c r="P17" s="188"/>
      <c r="Q17" s="188"/>
      <c r="R17" s="188"/>
    </row>
    <row r="18" spans="1:18">
      <c r="A18" s="185" t="s">
        <v>223</v>
      </c>
      <c r="B18" s="186"/>
      <c r="C18" s="186"/>
      <c r="D18" s="187">
        <v>5</v>
      </c>
      <c r="E18" s="186"/>
      <c r="F18" s="186"/>
      <c r="G18" s="186"/>
      <c r="H18" s="186"/>
      <c r="I18" s="187">
        <v>25</v>
      </c>
      <c r="J18" s="19"/>
      <c r="K18" s="188"/>
      <c r="L18" s="188"/>
      <c r="M18" s="188">
        <v>0.1575</v>
      </c>
      <c r="N18" s="188"/>
      <c r="O18" s="188"/>
      <c r="P18" s="188"/>
      <c r="Q18" s="188"/>
      <c r="R18" s="188">
        <v>1.4690000000000001</v>
      </c>
    </row>
    <row r="19" spans="1:18">
      <c r="A19" s="185" t="s">
        <v>224</v>
      </c>
      <c r="B19" s="186"/>
      <c r="C19" s="186"/>
      <c r="D19" s="186"/>
      <c r="E19" s="186"/>
      <c r="F19" s="187">
        <v>10</v>
      </c>
      <c r="G19" s="186"/>
      <c r="H19" s="186"/>
      <c r="I19" s="186"/>
      <c r="J19" s="19"/>
      <c r="K19" s="188"/>
      <c r="L19" s="188"/>
      <c r="M19" s="188"/>
      <c r="N19" s="188"/>
      <c r="O19" s="188">
        <v>4.712E-3</v>
      </c>
      <c r="P19" s="188"/>
      <c r="Q19" s="188"/>
      <c r="R19" s="188"/>
    </row>
    <row r="20" spans="1:18">
      <c r="A20" s="185" t="s">
        <v>225</v>
      </c>
      <c r="B20" s="186"/>
      <c r="C20" s="186"/>
      <c r="D20" s="187">
        <v>400</v>
      </c>
      <c r="E20" s="186"/>
      <c r="F20" s="186"/>
      <c r="G20" s="186"/>
      <c r="H20" s="186"/>
      <c r="I20" s="186"/>
      <c r="J20" s="19"/>
      <c r="K20" s="188"/>
      <c r="L20" s="188"/>
      <c r="M20" s="188">
        <v>4.5240000000000002E-2</v>
      </c>
      <c r="N20" s="188"/>
      <c r="O20" s="188"/>
      <c r="P20" s="188"/>
      <c r="Q20" s="188"/>
      <c r="R20" s="188"/>
    </row>
    <row r="21" spans="1:18">
      <c r="A21" s="185" t="s">
        <v>226</v>
      </c>
      <c r="B21" s="186"/>
      <c r="C21" s="186"/>
      <c r="D21" s="187">
        <v>30</v>
      </c>
      <c r="E21" s="187">
        <v>140</v>
      </c>
      <c r="F21" s="187">
        <v>1080</v>
      </c>
      <c r="G21" s="186"/>
      <c r="H21" s="186"/>
      <c r="I21" s="186"/>
      <c r="J21" s="19"/>
      <c r="K21" s="188"/>
      <c r="L21" s="188"/>
      <c r="M21" s="188">
        <v>3.3930000000000002E-3</v>
      </c>
      <c r="N21" s="188">
        <v>2.5139999999999999E-2</v>
      </c>
      <c r="O21" s="188">
        <v>0.1221</v>
      </c>
      <c r="P21" s="188"/>
      <c r="Q21" s="188"/>
      <c r="R21" s="188"/>
    </row>
    <row r="22" spans="1:18">
      <c r="A22" s="185" t="s">
        <v>227</v>
      </c>
      <c r="B22" s="186"/>
      <c r="C22" s="187">
        <v>10</v>
      </c>
      <c r="D22" s="186"/>
      <c r="E22" s="186"/>
      <c r="F22" s="186"/>
      <c r="G22" s="186"/>
      <c r="H22" s="187">
        <v>10</v>
      </c>
      <c r="I22" s="186"/>
      <c r="J22" s="19"/>
      <c r="K22" s="188"/>
      <c r="L22" s="188">
        <v>3.4849999999999999E-2</v>
      </c>
      <c r="M22" s="188"/>
      <c r="N22" s="188"/>
      <c r="O22" s="188"/>
      <c r="P22" s="188"/>
      <c r="Q22" s="188">
        <v>2.036E-2</v>
      </c>
      <c r="R22" s="188"/>
    </row>
    <row r="23" spans="1:18">
      <c r="A23" s="185" t="s">
        <v>228</v>
      </c>
      <c r="B23" s="186"/>
      <c r="C23" s="186"/>
      <c r="D23" s="187">
        <v>10</v>
      </c>
      <c r="E23" s="186"/>
      <c r="F23" s="186"/>
      <c r="G23" s="186"/>
      <c r="H23" s="186"/>
      <c r="I23" s="187">
        <v>5</v>
      </c>
      <c r="J23" s="19"/>
      <c r="K23" s="188"/>
      <c r="L23" s="188"/>
      <c r="M23" s="188">
        <v>1.474E-2</v>
      </c>
      <c r="N23" s="188"/>
      <c r="O23" s="188"/>
      <c r="P23" s="188"/>
      <c r="Q23" s="188"/>
      <c r="R23" s="188">
        <v>5.8640000000000003E-3</v>
      </c>
    </row>
    <row r="24" spans="1:18">
      <c r="A24" s="185" t="s">
        <v>229</v>
      </c>
      <c r="B24" s="187">
        <v>5</v>
      </c>
      <c r="C24" s="186"/>
      <c r="D24" s="186"/>
      <c r="E24" s="186"/>
      <c r="F24" s="186"/>
      <c r="G24" s="186"/>
      <c r="H24" s="186"/>
      <c r="I24" s="186"/>
      <c r="J24" s="19"/>
      <c r="K24" s="188">
        <v>3.1669999999999997E-2</v>
      </c>
      <c r="L24" s="188"/>
      <c r="M24" s="188"/>
      <c r="N24" s="188"/>
      <c r="O24" s="188"/>
      <c r="P24" s="188"/>
      <c r="Q24" s="188"/>
      <c r="R24" s="188"/>
    </row>
    <row r="25" spans="1:18">
      <c r="A25" s="185" t="s">
        <v>230</v>
      </c>
      <c r="B25" s="187">
        <v>240</v>
      </c>
      <c r="C25" s="187">
        <v>140</v>
      </c>
      <c r="D25" s="187">
        <v>50</v>
      </c>
      <c r="E25" s="187">
        <v>60</v>
      </c>
      <c r="F25" s="186"/>
      <c r="G25" s="187">
        <v>440</v>
      </c>
      <c r="H25" s="187">
        <v>50</v>
      </c>
      <c r="I25" s="187">
        <v>50</v>
      </c>
      <c r="J25" s="19"/>
      <c r="K25" s="188">
        <v>0.32669999999999999</v>
      </c>
      <c r="L25" s="188">
        <v>0.1759</v>
      </c>
      <c r="M25" s="188">
        <v>6.2829999999999997E-2</v>
      </c>
      <c r="N25" s="188">
        <v>0.13270000000000001</v>
      </c>
      <c r="O25" s="188"/>
      <c r="P25" s="188">
        <v>0.50680000000000003</v>
      </c>
      <c r="Q25" s="188">
        <v>6.5449999999999994E-2</v>
      </c>
      <c r="R25" s="188">
        <v>7.603E-2</v>
      </c>
    </row>
    <row r="26" spans="1:18">
      <c r="A26" s="185" t="s">
        <v>231</v>
      </c>
      <c r="B26" s="186"/>
      <c r="C26" s="187">
        <v>60</v>
      </c>
      <c r="D26" s="187">
        <v>20</v>
      </c>
      <c r="E26" s="187">
        <v>70</v>
      </c>
      <c r="F26" s="186"/>
      <c r="G26" s="187">
        <v>60</v>
      </c>
      <c r="H26" s="187">
        <v>30</v>
      </c>
      <c r="I26" s="187">
        <v>10</v>
      </c>
      <c r="J26" s="19"/>
      <c r="K26" s="188"/>
      <c r="L26" s="188">
        <v>4.2220000000000001E-2</v>
      </c>
      <c r="M26" s="188">
        <v>1.273E-2</v>
      </c>
      <c r="N26" s="188">
        <v>4.4569999999999999E-2</v>
      </c>
      <c r="O26" s="188"/>
      <c r="P26" s="188">
        <v>4.8349999999999997E-2</v>
      </c>
      <c r="Q26" s="188">
        <v>2.0109999999999999E-2</v>
      </c>
      <c r="R26" s="188">
        <v>4.875E-3</v>
      </c>
    </row>
    <row r="27" spans="1:18">
      <c r="A27" s="185" t="s">
        <v>232</v>
      </c>
      <c r="B27" s="187">
        <v>100</v>
      </c>
      <c r="C27" s="187">
        <v>80</v>
      </c>
      <c r="D27" s="187">
        <v>30</v>
      </c>
      <c r="E27" s="187">
        <v>20</v>
      </c>
      <c r="F27" s="187">
        <v>10</v>
      </c>
      <c r="G27" s="187">
        <v>200</v>
      </c>
      <c r="H27" s="187">
        <v>5</v>
      </c>
      <c r="I27" s="187">
        <v>30</v>
      </c>
      <c r="J27" s="19"/>
      <c r="K27" s="188">
        <v>0.28739999999999999</v>
      </c>
      <c r="L27" s="188">
        <v>0.19109999999999999</v>
      </c>
      <c r="M27" s="188">
        <v>8.3129999999999996E-2</v>
      </c>
      <c r="N27" s="188">
        <v>4.7780000000000003E-2</v>
      </c>
      <c r="O27" s="188">
        <v>1.414E-2</v>
      </c>
      <c r="P27" s="188">
        <v>0.68330000000000002</v>
      </c>
      <c r="Q27" s="188">
        <v>1.056E-2</v>
      </c>
      <c r="R27" s="188">
        <v>8.6209999999999995E-2</v>
      </c>
    </row>
    <row r="28" spans="1:18">
      <c r="A28" s="185" t="s">
        <v>233</v>
      </c>
      <c r="B28" s="186"/>
      <c r="C28" s="186"/>
      <c r="D28" s="186"/>
      <c r="E28" s="186"/>
      <c r="F28" s="186"/>
      <c r="G28" s="186"/>
      <c r="H28" s="186"/>
      <c r="I28" s="186"/>
      <c r="J28" s="19"/>
      <c r="K28" s="188"/>
      <c r="L28" s="188"/>
      <c r="M28" s="188"/>
      <c r="N28" s="188"/>
      <c r="O28" s="188"/>
      <c r="P28" s="188"/>
      <c r="Q28" s="188"/>
      <c r="R28" s="188"/>
    </row>
    <row r="29" spans="1:18">
      <c r="A29" s="185" t="s">
        <v>234</v>
      </c>
      <c r="B29" s="186"/>
      <c r="C29" s="186"/>
      <c r="D29" s="186"/>
      <c r="E29" s="186"/>
      <c r="F29" s="187">
        <v>100</v>
      </c>
      <c r="G29" s="186"/>
      <c r="H29" s="186"/>
      <c r="I29" s="186"/>
      <c r="J29" s="19"/>
      <c r="K29" s="188"/>
      <c r="L29" s="188"/>
      <c r="M29" s="188"/>
      <c r="N29" s="188"/>
      <c r="O29" s="188">
        <v>1.272E-2</v>
      </c>
      <c r="P29" s="188"/>
      <c r="Q29" s="188"/>
      <c r="R29" s="188"/>
    </row>
    <row r="30" spans="1:18">
      <c r="A30" s="185" t="s">
        <v>235</v>
      </c>
      <c r="B30" s="187">
        <v>1440</v>
      </c>
      <c r="C30" s="187">
        <v>1120</v>
      </c>
      <c r="D30" s="187">
        <v>372000</v>
      </c>
      <c r="E30" s="187">
        <v>159200</v>
      </c>
      <c r="F30" s="187">
        <v>53280</v>
      </c>
      <c r="G30" s="187">
        <v>1200</v>
      </c>
      <c r="H30" s="187">
        <v>240</v>
      </c>
      <c r="I30" s="187">
        <v>640</v>
      </c>
      <c r="J30" s="19"/>
      <c r="K30" s="188">
        <v>7.54E-4</v>
      </c>
      <c r="L30" s="188">
        <v>5.8640000000000005E-4</v>
      </c>
      <c r="M30" s="188">
        <v>0.1948</v>
      </c>
      <c r="N30" s="188">
        <v>8.3360000000000004E-2</v>
      </c>
      <c r="O30" s="188">
        <v>2.7900000000000001E-2</v>
      </c>
      <c r="P30" s="188">
        <v>6.2830000000000004E-4</v>
      </c>
      <c r="Q30" s="188">
        <v>1.2569999999999999E-4</v>
      </c>
      <c r="R30" s="188">
        <v>3.3510000000000001E-4</v>
      </c>
    </row>
    <row r="31" spans="1:18">
      <c r="A31" s="185" t="s">
        <v>236</v>
      </c>
      <c r="B31" s="186"/>
      <c r="C31" s="186"/>
      <c r="D31" s="187">
        <v>24000</v>
      </c>
      <c r="E31" s="186"/>
      <c r="F31" s="186"/>
      <c r="G31" s="186"/>
      <c r="H31" s="186"/>
      <c r="I31" s="186"/>
      <c r="J31" s="19"/>
      <c r="K31" s="188"/>
      <c r="L31" s="188"/>
      <c r="M31" s="188">
        <v>1.634E-2</v>
      </c>
      <c r="N31" s="188"/>
      <c r="O31" s="188"/>
      <c r="P31" s="188"/>
      <c r="Q31" s="188"/>
      <c r="R31" s="188"/>
    </row>
    <row r="32" spans="1:18">
      <c r="A32" s="185" t="s">
        <v>237</v>
      </c>
      <c r="B32" s="186"/>
      <c r="C32" s="186"/>
      <c r="D32" s="187">
        <v>44000</v>
      </c>
      <c r="E32" s="186"/>
      <c r="F32" s="186"/>
      <c r="G32" s="186"/>
      <c r="H32" s="186"/>
      <c r="I32" s="187">
        <v>8000</v>
      </c>
      <c r="J32" s="19"/>
      <c r="K32" s="188"/>
      <c r="L32" s="188"/>
      <c r="M32" s="188">
        <v>2.426E-2</v>
      </c>
      <c r="N32" s="188"/>
      <c r="O32" s="188"/>
      <c r="P32" s="188"/>
      <c r="Q32" s="188"/>
      <c r="R32" s="188">
        <v>3.2169999999999998E-3</v>
      </c>
    </row>
    <row r="33" spans="1:18">
      <c r="A33" s="185" t="s">
        <v>238</v>
      </c>
      <c r="B33" s="186"/>
      <c r="C33" s="186"/>
      <c r="D33" s="186"/>
      <c r="E33" s="186"/>
      <c r="F33" s="187">
        <v>240</v>
      </c>
      <c r="G33" s="186"/>
      <c r="H33" s="186"/>
      <c r="I33" s="186"/>
      <c r="J33" s="19"/>
      <c r="K33" s="188"/>
      <c r="L33" s="188"/>
      <c r="M33" s="188"/>
      <c r="N33" s="188"/>
      <c r="O33" s="188">
        <v>3.6949999999999997E-2</v>
      </c>
      <c r="P33" s="188"/>
      <c r="Q33" s="188"/>
      <c r="R33" s="188"/>
    </row>
    <row r="34" spans="1:18">
      <c r="A34" s="185" t="s">
        <v>239</v>
      </c>
      <c r="B34" s="187">
        <v>5</v>
      </c>
      <c r="C34" s="187">
        <v>180</v>
      </c>
      <c r="D34" s="187">
        <v>30</v>
      </c>
      <c r="E34" s="187">
        <v>30</v>
      </c>
      <c r="F34" s="186"/>
      <c r="G34" s="186"/>
      <c r="H34" s="187">
        <v>140</v>
      </c>
      <c r="I34" s="186"/>
      <c r="J34" s="19"/>
      <c r="K34" s="188">
        <v>1.4540000000000001E-2</v>
      </c>
      <c r="L34" s="188">
        <v>0.56110000000000004</v>
      </c>
      <c r="M34" s="188">
        <v>6.1280000000000001E-2</v>
      </c>
      <c r="N34" s="188">
        <v>2.7869999999999999E-2</v>
      </c>
      <c r="O34" s="188"/>
      <c r="P34" s="188"/>
      <c r="Q34" s="188">
        <v>0.56999999999999995</v>
      </c>
      <c r="R34" s="188"/>
    </row>
    <row r="35" spans="1:18">
      <c r="A35" s="185" t="s">
        <v>240</v>
      </c>
      <c r="B35" s="186"/>
      <c r="C35" s="187">
        <v>20</v>
      </c>
      <c r="D35" s="186"/>
      <c r="E35" s="186"/>
      <c r="F35" s="186"/>
      <c r="G35" s="187">
        <v>80</v>
      </c>
      <c r="H35" s="187">
        <v>160</v>
      </c>
      <c r="I35" s="186"/>
      <c r="J35" s="19"/>
      <c r="K35" s="188"/>
      <c r="L35" s="188">
        <v>7.54E-4</v>
      </c>
      <c r="M35" s="188"/>
      <c r="N35" s="188"/>
      <c r="O35" s="188"/>
      <c r="P35" s="188">
        <v>2.0110000000000002E-3</v>
      </c>
      <c r="Q35" s="188">
        <v>6.032E-3</v>
      </c>
      <c r="R35" s="188"/>
    </row>
    <row r="36" spans="1:18">
      <c r="A36" s="185" t="s">
        <v>241</v>
      </c>
      <c r="B36" s="187">
        <v>1760</v>
      </c>
      <c r="C36" s="186"/>
      <c r="D36" s="186"/>
      <c r="E36" s="186"/>
      <c r="F36" s="186"/>
      <c r="G36" s="187">
        <v>2880</v>
      </c>
      <c r="H36" s="187">
        <v>2720</v>
      </c>
      <c r="I36" s="186"/>
      <c r="J36" s="19"/>
      <c r="K36" s="188">
        <v>2.4879999999999999E-2</v>
      </c>
      <c r="L36" s="188"/>
      <c r="M36" s="188"/>
      <c r="N36" s="188"/>
      <c r="O36" s="188"/>
      <c r="P36" s="188">
        <v>4.0719999999999999E-2</v>
      </c>
      <c r="Q36" s="188">
        <v>3.8449999999999998E-2</v>
      </c>
      <c r="R36" s="188"/>
    </row>
    <row r="37" spans="1:18">
      <c r="A37" s="185" t="s">
        <v>242</v>
      </c>
      <c r="B37" s="186"/>
      <c r="C37" s="186"/>
      <c r="D37" s="186"/>
      <c r="E37" s="186"/>
      <c r="F37" s="186"/>
      <c r="G37" s="186"/>
      <c r="H37" s="186"/>
      <c r="I37" s="186"/>
      <c r="J37" s="19"/>
      <c r="K37" s="188"/>
      <c r="L37" s="188"/>
      <c r="M37" s="188"/>
      <c r="N37" s="188"/>
      <c r="O37" s="188"/>
      <c r="P37" s="188"/>
      <c r="Q37" s="188"/>
      <c r="R37" s="188"/>
    </row>
    <row r="38" spans="1:18">
      <c r="A38" s="185" t="s">
        <v>243</v>
      </c>
      <c r="B38" s="186"/>
      <c r="C38" s="186"/>
      <c r="D38" s="187">
        <v>320</v>
      </c>
      <c r="E38" s="186"/>
      <c r="F38" s="186"/>
      <c r="G38" s="186"/>
      <c r="H38" s="187">
        <v>80</v>
      </c>
      <c r="I38" s="186"/>
      <c r="J38" s="19"/>
      <c r="K38" s="188"/>
      <c r="L38" s="188"/>
      <c r="M38" s="188">
        <v>4.6909999999999999E-3</v>
      </c>
      <c r="N38" s="188"/>
      <c r="O38" s="188"/>
      <c r="P38" s="188"/>
      <c r="Q38" s="188">
        <v>8.3779999999999998E-4</v>
      </c>
      <c r="R38" s="188"/>
    </row>
    <row r="39" spans="1:18">
      <c r="A39" s="185" t="s">
        <v>244</v>
      </c>
      <c r="B39" s="186"/>
      <c r="C39" s="187">
        <v>30</v>
      </c>
      <c r="D39" s="186"/>
      <c r="E39" s="186"/>
      <c r="F39" s="186"/>
      <c r="G39" s="186"/>
      <c r="H39" s="186"/>
      <c r="I39" s="187">
        <v>10</v>
      </c>
      <c r="J39" s="19"/>
      <c r="K39" s="188"/>
      <c r="L39" s="188">
        <v>6.927E-3</v>
      </c>
      <c r="M39" s="188"/>
      <c r="N39" s="188"/>
      <c r="O39" s="188"/>
      <c r="P39" s="188"/>
      <c r="Q39" s="188"/>
      <c r="R39" s="188">
        <v>1.508E-3</v>
      </c>
    </row>
    <row r="40" spans="1:18">
      <c r="A40" s="185" t="s">
        <v>245</v>
      </c>
      <c r="B40" s="186"/>
      <c r="C40" s="186"/>
      <c r="D40" s="186"/>
      <c r="E40" s="186"/>
      <c r="F40" s="186"/>
      <c r="G40" s="186"/>
      <c r="H40" s="186"/>
      <c r="I40" s="186"/>
      <c r="J40" s="19"/>
      <c r="K40" s="188"/>
      <c r="L40" s="188"/>
      <c r="M40" s="188"/>
      <c r="N40" s="188"/>
      <c r="O40" s="188"/>
      <c r="P40" s="188"/>
      <c r="Q40" s="188"/>
      <c r="R40" s="188"/>
    </row>
    <row r="41" spans="1:18">
      <c r="A41" s="185" t="s">
        <v>246</v>
      </c>
      <c r="B41" s="186"/>
      <c r="C41" s="186"/>
      <c r="D41" s="186"/>
      <c r="E41" s="186"/>
      <c r="F41" s="186"/>
      <c r="G41" s="186"/>
      <c r="H41" s="186"/>
      <c r="I41" s="186"/>
      <c r="J41" s="19"/>
      <c r="K41" s="188"/>
      <c r="L41" s="188"/>
      <c r="M41" s="188"/>
      <c r="N41" s="188"/>
      <c r="O41" s="188"/>
      <c r="P41" s="188"/>
      <c r="Q41" s="188"/>
      <c r="R41" s="188"/>
    </row>
    <row r="42" spans="1:18">
      <c r="A42" s="185" t="s">
        <v>247</v>
      </c>
      <c r="B42" s="186"/>
      <c r="C42" s="186"/>
      <c r="D42" s="186"/>
      <c r="E42" s="186"/>
      <c r="F42" s="186"/>
      <c r="G42" s="186"/>
      <c r="H42" s="186"/>
      <c r="I42" s="186"/>
      <c r="J42" s="19"/>
      <c r="K42" s="188"/>
      <c r="L42" s="188"/>
      <c r="M42" s="188"/>
      <c r="N42" s="188"/>
      <c r="O42" s="188"/>
      <c r="P42" s="188"/>
      <c r="Q42" s="188"/>
      <c r="R42" s="188"/>
    </row>
    <row r="43" spans="1:18">
      <c r="A43" s="185" t="s">
        <v>248</v>
      </c>
      <c r="B43" s="186"/>
      <c r="C43" s="186"/>
      <c r="D43" s="186"/>
      <c r="E43" s="186"/>
      <c r="F43" s="186"/>
      <c r="G43" s="186"/>
      <c r="H43" s="186"/>
      <c r="I43" s="186"/>
      <c r="J43" s="19"/>
      <c r="K43" s="188"/>
      <c r="L43" s="188"/>
      <c r="M43" s="188"/>
      <c r="N43" s="188"/>
      <c r="O43" s="188"/>
      <c r="P43" s="188"/>
      <c r="Q43" s="188"/>
      <c r="R43" s="188"/>
    </row>
    <row r="44" spans="1:18">
      <c r="A44" s="185" t="s">
        <v>249</v>
      </c>
      <c r="B44" s="186"/>
      <c r="C44" s="186"/>
      <c r="D44" s="186"/>
      <c r="E44" s="187">
        <v>10</v>
      </c>
      <c r="F44" s="187">
        <v>10</v>
      </c>
      <c r="G44" s="186"/>
      <c r="H44" s="187">
        <v>20</v>
      </c>
      <c r="I44" s="186"/>
      <c r="J44" s="19"/>
      <c r="K44" s="188"/>
      <c r="L44" s="188"/>
      <c r="M44" s="188"/>
      <c r="N44" s="188">
        <v>4.6079999999999998E-4</v>
      </c>
      <c r="O44" s="188">
        <v>1.4610000000000001E-3</v>
      </c>
      <c r="P44" s="188"/>
      <c r="Q44" s="188">
        <v>2.6809999999999998E-3</v>
      </c>
      <c r="R44" s="188"/>
    </row>
    <row r="45" spans="1:18">
      <c r="A45" s="185" t="s">
        <v>250</v>
      </c>
      <c r="B45" s="187">
        <v>5</v>
      </c>
      <c r="C45" s="186"/>
      <c r="D45" s="186"/>
      <c r="E45" s="186"/>
      <c r="F45" s="186"/>
      <c r="G45" s="186"/>
      <c r="H45" s="186"/>
      <c r="I45" s="186"/>
      <c r="J45" s="19"/>
      <c r="K45" s="188">
        <v>1.362E-2</v>
      </c>
      <c r="L45" s="188"/>
      <c r="M45" s="188"/>
      <c r="N45" s="188"/>
      <c r="O45" s="188"/>
      <c r="P45" s="188"/>
      <c r="Q45" s="188"/>
      <c r="R45" s="188"/>
    </row>
    <row r="46" spans="1:18">
      <c r="A46" s="185" t="s">
        <v>251</v>
      </c>
      <c r="B46" s="186"/>
      <c r="C46" s="186"/>
      <c r="D46" s="187">
        <v>320</v>
      </c>
      <c r="E46" s="187">
        <v>110</v>
      </c>
      <c r="F46" s="187">
        <v>40</v>
      </c>
      <c r="G46" s="186"/>
      <c r="H46" s="186"/>
      <c r="I46" s="187">
        <v>240</v>
      </c>
      <c r="J46" s="19"/>
      <c r="K46" s="188"/>
      <c r="L46" s="188"/>
      <c r="M46" s="188">
        <v>5.747E-2</v>
      </c>
      <c r="N46" s="188">
        <v>7.1989999999999997E-3</v>
      </c>
      <c r="O46" s="188">
        <v>2.6180000000000001E-3</v>
      </c>
      <c r="P46" s="188"/>
      <c r="Q46" s="188"/>
      <c r="R46" s="188">
        <v>1.5709999999999998E-2</v>
      </c>
    </row>
    <row r="47" spans="1:18">
      <c r="A47" s="185" t="s">
        <v>252</v>
      </c>
      <c r="B47" s="186"/>
      <c r="C47" s="187">
        <v>180</v>
      </c>
      <c r="D47" s="186"/>
      <c r="E47" s="186"/>
      <c r="F47" s="186"/>
      <c r="G47" s="187">
        <v>10</v>
      </c>
      <c r="H47" s="186"/>
      <c r="I47" s="186"/>
      <c r="J47" s="19"/>
      <c r="K47" s="188"/>
      <c r="L47" s="188">
        <v>0.1404</v>
      </c>
      <c r="M47" s="188"/>
      <c r="N47" s="188"/>
      <c r="O47" s="188"/>
      <c r="P47" s="188">
        <v>2.2499999999999999E-2</v>
      </c>
      <c r="Q47" s="188"/>
      <c r="R47" s="188"/>
    </row>
    <row r="48" spans="1:18">
      <c r="A48" s="185" t="s">
        <v>253</v>
      </c>
      <c r="B48" s="187">
        <v>30</v>
      </c>
      <c r="C48" s="186"/>
      <c r="D48" s="186"/>
      <c r="E48" s="186"/>
      <c r="F48" s="186"/>
      <c r="G48" s="186"/>
      <c r="H48" s="186"/>
      <c r="I48" s="186"/>
      <c r="J48" s="19"/>
      <c r="K48" s="188">
        <v>9.1669999999999998E-3</v>
      </c>
      <c r="L48" s="188"/>
      <c r="M48" s="188"/>
      <c r="N48" s="188"/>
      <c r="O48" s="188"/>
      <c r="P48" s="188"/>
      <c r="Q48" s="188"/>
      <c r="R48" s="188"/>
    </row>
    <row r="49" spans="1:18">
      <c r="A49" s="185" t="s">
        <v>254</v>
      </c>
      <c r="B49" s="186"/>
      <c r="C49" s="186"/>
      <c r="D49" s="187">
        <v>320</v>
      </c>
      <c r="E49" s="186"/>
      <c r="F49" s="186"/>
      <c r="G49" s="186"/>
      <c r="H49" s="186"/>
      <c r="I49" s="186"/>
      <c r="J49" s="19"/>
      <c r="K49" s="188"/>
      <c r="L49" s="188"/>
      <c r="M49" s="188">
        <v>9.6840000000000001E-4</v>
      </c>
      <c r="N49" s="188"/>
      <c r="O49" s="188"/>
      <c r="P49" s="188"/>
      <c r="Q49" s="188"/>
      <c r="R49" s="188"/>
    </row>
    <row r="50" spans="1:18">
      <c r="A50" s="185" t="s">
        <v>255</v>
      </c>
      <c r="B50" s="187">
        <v>60</v>
      </c>
      <c r="C50" s="186"/>
      <c r="D50" s="186"/>
      <c r="E50" s="187">
        <v>250</v>
      </c>
      <c r="F50" s="186"/>
      <c r="G50" s="187">
        <v>180</v>
      </c>
      <c r="H50" s="187">
        <v>40</v>
      </c>
      <c r="I50" s="187">
        <v>160</v>
      </c>
      <c r="J50" s="19"/>
      <c r="K50" s="188">
        <v>2.29E-2</v>
      </c>
      <c r="L50" s="188"/>
      <c r="M50" s="188"/>
      <c r="N50" s="188">
        <v>7.5840000000000005E-2</v>
      </c>
      <c r="O50" s="188"/>
      <c r="P50" s="188">
        <v>0.16289999999999999</v>
      </c>
      <c r="Q50" s="188">
        <v>1.072E-2</v>
      </c>
      <c r="R50" s="188">
        <v>4.2889999999999998E-2</v>
      </c>
    </row>
    <row r="51" spans="1:18">
      <c r="A51" s="185" t="s">
        <v>256</v>
      </c>
      <c r="B51" s="186"/>
      <c r="C51" s="187">
        <v>160</v>
      </c>
      <c r="D51" s="187">
        <v>320</v>
      </c>
      <c r="E51" s="187">
        <v>120</v>
      </c>
      <c r="F51" s="187">
        <v>640</v>
      </c>
      <c r="G51" s="187">
        <v>480</v>
      </c>
      <c r="H51" s="187">
        <v>360</v>
      </c>
      <c r="I51" s="187">
        <v>720</v>
      </c>
      <c r="J51" s="19"/>
      <c r="K51" s="188"/>
      <c r="L51" s="188">
        <v>1.047E-2</v>
      </c>
      <c r="M51" s="188">
        <v>2.094E-2</v>
      </c>
      <c r="N51" s="188">
        <v>4.0210000000000003E-3</v>
      </c>
      <c r="O51" s="188">
        <v>2.145E-2</v>
      </c>
      <c r="P51" s="188">
        <v>1.6080000000000001E-2</v>
      </c>
      <c r="Q51" s="188">
        <v>5.0889999999999998E-3</v>
      </c>
      <c r="R51" s="188">
        <v>4.7120000000000002E-2</v>
      </c>
    </row>
    <row r="52" spans="1:18">
      <c r="A52" s="185" t="s">
        <v>257</v>
      </c>
      <c r="B52" s="187">
        <v>80</v>
      </c>
      <c r="C52" s="186"/>
      <c r="D52" s="186"/>
      <c r="E52" s="186"/>
      <c r="F52" s="186"/>
      <c r="G52" s="187">
        <v>80</v>
      </c>
      <c r="H52" s="187">
        <v>80</v>
      </c>
      <c r="I52" s="186"/>
      <c r="J52" s="19"/>
      <c r="K52" s="188">
        <v>9.0480000000000005E-3</v>
      </c>
      <c r="L52" s="188"/>
      <c r="M52" s="188"/>
      <c r="N52" s="188"/>
      <c r="O52" s="188"/>
      <c r="P52" s="188">
        <v>9.4249999999999994E-3</v>
      </c>
      <c r="Q52" s="188">
        <v>3.1419999999999998E-3</v>
      </c>
      <c r="R52" s="188"/>
    </row>
    <row r="53" spans="1:18">
      <c r="A53" s="185" t="s">
        <v>258</v>
      </c>
      <c r="B53" s="186"/>
      <c r="C53" s="186"/>
      <c r="D53" s="186"/>
      <c r="E53" s="186"/>
      <c r="F53" s="186"/>
      <c r="G53" s="187">
        <v>320</v>
      </c>
      <c r="H53" s="186"/>
      <c r="I53" s="186"/>
      <c r="J53" s="19"/>
      <c r="K53" s="188"/>
      <c r="L53" s="188"/>
      <c r="M53" s="188"/>
      <c r="N53" s="188"/>
      <c r="O53" s="188"/>
      <c r="P53" s="188">
        <v>4.5240000000000002E-3</v>
      </c>
      <c r="Q53" s="188"/>
      <c r="R53" s="188"/>
    </row>
    <row r="54" spans="1:18">
      <c r="A54" s="185" t="s">
        <v>259</v>
      </c>
      <c r="B54" s="186"/>
      <c r="C54" s="186"/>
      <c r="D54" s="186"/>
      <c r="E54" s="187">
        <v>20</v>
      </c>
      <c r="F54" s="186"/>
      <c r="G54" s="186"/>
      <c r="H54" s="186"/>
      <c r="I54" s="186"/>
      <c r="J54" s="19"/>
      <c r="K54" s="188"/>
      <c r="L54" s="188"/>
      <c r="M54" s="188"/>
      <c r="N54" s="188">
        <v>4.4180000000000001E-3</v>
      </c>
      <c r="O54" s="188"/>
      <c r="P54" s="188"/>
      <c r="Q54" s="188"/>
      <c r="R54" s="188"/>
    </row>
    <row r="55" spans="1:18">
      <c r="A55" s="185" t="s">
        <v>260</v>
      </c>
      <c r="B55" s="186"/>
      <c r="C55" s="186"/>
      <c r="D55" s="186"/>
      <c r="E55" s="187">
        <v>10</v>
      </c>
      <c r="F55" s="186"/>
      <c r="G55" s="187">
        <v>80</v>
      </c>
      <c r="H55" s="186"/>
      <c r="I55" s="186"/>
      <c r="J55" s="19"/>
      <c r="K55" s="188"/>
      <c r="L55" s="188"/>
      <c r="M55" s="188"/>
      <c r="N55" s="188">
        <v>1.3090000000000001E-3</v>
      </c>
      <c r="O55" s="188"/>
      <c r="P55" s="188">
        <v>1.357E-2</v>
      </c>
      <c r="Q55" s="188"/>
      <c r="R55" s="188"/>
    </row>
    <row r="56" spans="1:18">
      <c r="A56" s="185" t="s">
        <v>261</v>
      </c>
      <c r="B56" s="187">
        <v>80</v>
      </c>
      <c r="C56" s="187">
        <v>80</v>
      </c>
      <c r="D56" s="186"/>
      <c r="E56" s="186"/>
      <c r="F56" s="186"/>
      <c r="G56" s="186"/>
      <c r="H56" s="187">
        <v>40</v>
      </c>
      <c r="I56" s="186"/>
      <c r="J56" s="19"/>
      <c r="K56" s="188">
        <v>9.0480000000000005E-3</v>
      </c>
      <c r="L56" s="188">
        <v>9.0480000000000005E-3</v>
      </c>
      <c r="M56" s="188"/>
      <c r="N56" s="188"/>
      <c r="O56" s="188"/>
      <c r="P56" s="188"/>
      <c r="Q56" s="188">
        <v>4.5240000000000002E-3</v>
      </c>
      <c r="R56" s="188"/>
    </row>
    <row r="57" spans="1:18">
      <c r="A57" s="185" t="s">
        <v>262</v>
      </c>
      <c r="B57" s="187">
        <v>240</v>
      </c>
      <c r="C57" s="186"/>
      <c r="D57" s="186"/>
      <c r="E57" s="186"/>
      <c r="F57" s="186"/>
      <c r="G57" s="187">
        <v>80</v>
      </c>
      <c r="H57" s="187">
        <v>80</v>
      </c>
      <c r="I57" s="186"/>
      <c r="J57" s="19"/>
      <c r="K57" s="188">
        <v>3.3930000000000002E-3</v>
      </c>
      <c r="L57" s="188"/>
      <c r="M57" s="188"/>
      <c r="N57" s="188"/>
      <c r="O57" s="188"/>
      <c r="P57" s="188">
        <v>1.1310000000000001E-3</v>
      </c>
      <c r="Q57" s="188">
        <v>1.1310000000000001E-3</v>
      </c>
      <c r="R57" s="188"/>
    </row>
    <row r="58" spans="1:18">
      <c r="A58" s="185" t="s">
        <v>263</v>
      </c>
      <c r="B58" s="187">
        <v>80</v>
      </c>
      <c r="C58" s="186"/>
      <c r="D58" s="186"/>
      <c r="E58" s="186"/>
      <c r="F58" s="186"/>
      <c r="G58" s="186"/>
      <c r="H58" s="186"/>
      <c r="I58" s="186"/>
      <c r="J58" s="19"/>
      <c r="K58" s="188">
        <v>1.4370000000000001E-2</v>
      </c>
      <c r="L58" s="188"/>
      <c r="M58" s="188"/>
      <c r="N58" s="188"/>
      <c r="O58" s="188"/>
      <c r="P58" s="188"/>
      <c r="Q58" s="188"/>
      <c r="R58" s="188"/>
    </row>
    <row r="59" spans="1:18">
      <c r="A59" s="185" t="s">
        <v>264</v>
      </c>
      <c r="B59" s="187">
        <v>160</v>
      </c>
      <c r="C59" s="187">
        <v>2320</v>
      </c>
      <c r="D59" s="187">
        <v>1600</v>
      </c>
      <c r="E59" s="187">
        <v>560</v>
      </c>
      <c r="F59" s="186"/>
      <c r="G59" s="186"/>
      <c r="H59" s="187">
        <v>240</v>
      </c>
      <c r="I59" s="187">
        <v>720</v>
      </c>
      <c r="J59" s="19"/>
      <c r="K59" s="188">
        <v>3.016E-3</v>
      </c>
      <c r="L59" s="188">
        <v>4.3729999999999998E-2</v>
      </c>
      <c r="M59" s="188">
        <v>3.0159999999999999E-2</v>
      </c>
      <c r="N59" s="188">
        <v>1.056E-2</v>
      </c>
      <c r="O59" s="188"/>
      <c r="P59" s="188"/>
      <c r="Q59" s="188">
        <v>5.6550000000000003E-3</v>
      </c>
      <c r="R59" s="188">
        <v>1.357E-2</v>
      </c>
    </row>
    <row r="60" spans="1:18">
      <c r="A60" s="185" t="s">
        <v>265</v>
      </c>
      <c r="B60" s="187">
        <v>320</v>
      </c>
      <c r="C60" s="187">
        <v>320</v>
      </c>
      <c r="D60" s="187">
        <v>80</v>
      </c>
      <c r="E60" s="187">
        <v>80</v>
      </c>
      <c r="F60" s="187">
        <v>80</v>
      </c>
      <c r="G60" s="187">
        <v>480</v>
      </c>
      <c r="H60" s="187">
        <v>240</v>
      </c>
      <c r="I60" s="187">
        <v>240</v>
      </c>
      <c r="J60" s="19"/>
      <c r="K60" s="188">
        <v>4.5240000000000002E-3</v>
      </c>
      <c r="L60" s="188">
        <v>4.5240000000000002E-3</v>
      </c>
      <c r="M60" s="188">
        <v>1.1310000000000001E-3</v>
      </c>
      <c r="N60" s="188">
        <v>2.6809999999999998E-3</v>
      </c>
      <c r="O60" s="188">
        <v>1.1310000000000001E-3</v>
      </c>
      <c r="P60" s="188">
        <v>6.7860000000000004E-3</v>
      </c>
      <c r="Q60" s="188">
        <v>3.3930000000000002E-3</v>
      </c>
      <c r="R60" s="188">
        <v>3.3930000000000002E-3</v>
      </c>
    </row>
    <row r="61" spans="1:18">
      <c r="A61" s="185" t="s">
        <v>266</v>
      </c>
      <c r="B61" s="187">
        <v>60</v>
      </c>
      <c r="C61" s="187">
        <v>20</v>
      </c>
      <c r="D61" s="186"/>
      <c r="E61" s="186"/>
      <c r="F61" s="186"/>
      <c r="G61" s="187">
        <v>10</v>
      </c>
      <c r="H61" s="186"/>
      <c r="I61" s="187">
        <v>30</v>
      </c>
      <c r="J61" s="19"/>
      <c r="K61" s="188">
        <v>2.2620000000000001E-3</v>
      </c>
      <c r="L61" s="188">
        <v>6.7860000000000001E-4</v>
      </c>
      <c r="M61" s="188"/>
      <c r="N61" s="188"/>
      <c r="O61" s="188"/>
      <c r="P61" s="188">
        <v>2.1779999999999998E-3</v>
      </c>
      <c r="Q61" s="188"/>
      <c r="R61" s="188">
        <v>7.6650000000000004E-4</v>
      </c>
    </row>
    <row r="62" spans="1:18">
      <c r="A62" s="185" t="s">
        <v>267</v>
      </c>
      <c r="B62" s="187">
        <v>80</v>
      </c>
      <c r="C62" s="186"/>
      <c r="D62" s="186"/>
      <c r="E62" s="186"/>
      <c r="F62" s="186"/>
      <c r="G62" s="186"/>
      <c r="H62" s="186"/>
      <c r="I62" s="186"/>
      <c r="J62" s="19"/>
      <c r="K62" s="188">
        <v>1.885E-3</v>
      </c>
      <c r="L62" s="188"/>
      <c r="M62" s="188"/>
      <c r="N62" s="188"/>
      <c r="O62" s="188"/>
      <c r="P62" s="188"/>
      <c r="Q62" s="188"/>
      <c r="R62" s="188"/>
    </row>
    <row r="63" spans="1:18">
      <c r="A63" s="185" t="s">
        <v>268</v>
      </c>
      <c r="B63" s="187">
        <v>20</v>
      </c>
      <c r="C63" s="186"/>
      <c r="D63" s="186"/>
      <c r="E63" s="186"/>
      <c r="F63" s="186"/>
      <c r="G63" s="186"/>
      <c r="H63" s="187">
        <v>10</v>
      </c>
      <c r="I63" s="187">
        <v>40</v>
      </c>
      <c r="J63" s="19"/>
      <c r="K63" s="188">
        <v>5.2779999999999997E-3</v>
      </c>
      <c r="L63" s="188"/>
      <c r="M63" s="188"/>
      <c r="N63" s="188"/>
      <c r="O63" s="188"/>
      <c r="P63" s="188"/>
      <c r="Q63" s="188">
        <v>1.5920000000000001E-3</v>
      </c>
      <c r="R63" s="188">
        <v>5.6969999999999998E-3</v>
      </c>
    </row>
    <row r="64" spans="1:18">
      <c r="A64" s="185" t="s">
        <v>269</v>
      </c>
      <c r="B64" s="186"/>
      <c r="C64" s="186"/>
      <c r="D64" s="186"/>
      <c r="E64" s="186"/>
      <c r="F64" s="186"/>
      <c r="G64" s="187">
        <v>20</v>
      </c>
      <c r="H64" s="187">
        <v>10</v>
      </c>
      <c r="I64" s="186"/>
      <c r="J64" s="19"/>
      <c r="K64" s="188"/>
      <c r="L64" s="188"/>
      <c r="M64" s="188"/>
      <c r="N64" s="188"/>
      <c r="O64" s="188"/>
      <c r="P64" s="188">
        <v>1.047E-2</v>
      </c>
      <c r="Q64" s="188">
        <v>8.378E-3</v>
      </c>
      <c r="R64" s="188"/>
    </row>
    <row r="65" spans="1:18">
      <c r="A65" s="185" t="s">
        <v>270</v>
      </c>
      <c r="B65" s="186"/>
      <c r="C65" s="186"/>
      <c r="D65" s="187">
        <v>50200</v>
      </c>
      <c r="E65" s="186"/>
      <c r="F65" s="186"/>
      <c r="G65" s="186"/>
      <c r="H65" s="186"/>
      <c r="I65" s="187">
        <v>30720</v>
      </c>
      <c r="J65" s="19"/>
      <c r="K65" s="188"/>
      <c r="L65" s="188"/>
      <c r="M65" s="188">
        <v>9.0159999999999997E-3</v>
      </c>
      <c r="N65" s="188"/>
      <c r="O65" s="188"/>
      <c r="P65" s="188"/>
      <c r="Q65" s="188"/>
      <c r="R65" s="188">
        <v>5.5170000000000002E-3</v>
      </c>
    </row>
    <row r="66" spans="1:18">
      <c r="A66" s="185" t="s">
        <v>271</v>
      </c>
      <c r="B66" s="186"/>
      <c r="C66" s="186"/>
      <c r="D66" s="186"/>
      <c r="E66" s="186"/>
      <c r="F66" s="186"/>
      <c r="G66" s="186"/>
      <c r="H66" s="186"/>
      <c r="I66" s="186"/>
      <c r="J66" s="19"/>
      <c r="K66" s="188"/>
      <c r="L66" s="188"/>
      <c r="M66" s="188"/>
      <c r="N66" s="188"/>
      <c r="O66" s="188"/>
      <c r="P66" s="188"/>
      <c r="Q66" s="188"/>
      <c r="R66" s="188"/>
    </row>
    <row r="67" spans="1:18">
      <c r="A67" s="185" t="s">
        <v>272</v>
      </c>
      <c r="B67" s="186"/>
      <c r="C67" s="186"/>
      <c r="D67" s="186"/>
      <c r="E67" s="187">
        <v>580</v>
      </c>
      <c r="F67" s="187">
        <v>320</v>
      </c>
      <c r="G67" s="186"/>
      <c r="H67" s="186"/>
      <c r="I67" s="187">
        <v>320</v>
      </c>
      <c r="J67" s="19"/>
      <c r="K67" s="188"/>
      <c r="L67" s="188"/>
      <c r="M67" s="188"/>
      <c r="N67" s="188">
        <v>3.7960000000000001E-2</v>
      </c>
      <c r="O67" s="188">
        <v>2.094E-2</v>
      </c>
      <c r="P67" s="188"/>
      <c r="Q67" s="188"/>
      <c r="R67" s="188">
        <v>3.619E-2</v>
      </c>
    </row>
    <row r="68" spans="1:18">
      <c r="A68" s="185" t="s">
        <v>273</v>
      </c>
      <c r="B68" s="186"/>
      <c r="C68" s="186"/>
      <c r="D68" s="186"/>
      <c r="E68" s="187">
        <v>80</v>
      </c>
      <c r="F68" s="187">
        <v>1280</v>
      </c>
      <c r="G68" s="186"/>
      <c r="H68" s="186"/>
      <c r="I68" s="187">
        <v>240</v>
      </c>
      <c r="J68" s="19"/>
      <c r="K68" s="188"/>
      <c r="L68" s="188"/>
      <c r="M68" s="188"/>
      <c r="N68" s="188">
        <v>1.1310000000000001E-3</v>
      </c>
      <c r="O68" s="188">
        <v>1.8100000000000002E-2</v>
      </c>
      <c r="P68" s="188"/>
      <c r="Q68" s="188"/>
      <c r="R68" s="188">
        <v>3.3930000000000002E-3</v>
      </c>
    </row>
    <row r="69" spans="1:18">
      <c r="A69" s="185" t="s">
        <v>274</v>
      </c>
      <c r="B69" s="187">
        <v>40</v>
      </c>
      <c r="C69" s="187">
        <v>1200</v>
      </c>
      <c r="D69" s="186"/>
      <c r="E69" s="186"/>
      <c r="F69" s="186"/>
      <c r="G69" s="186"/>
      <c r="H69" s="187">
        <v>40</v>
      </c>
      <c r="I69" s="186"/>
      <c r="J69" s="19"/>
      <c r="K69" s="188">
        <v>7.7070000000000003E-4</v>
      </c>
      <c r="L69" s="188">
        <v>1.307E-2</v>
      </c>
      <c r="M69" s="188"/>
      <c r="N69" s="188"/>
      <c r="O69" s="188"/>
      <c r="P69" s="188"/>
      <c r="Q69" s="188">
        <v>5.1940000000000005E-4</v>
      </c>
      <c r="R69" s="188"/>
    </row>
    <row r="70" spans="1:18">
      <c r="A70" s="185" t="s">
        <v>275</v>
      </c>
      <c r="B70" s="186"/>
      <c r="C70" s="186"/>
      <c r="D70" s="187">
        <v>30</v>
      </c>
      <c r="E70" s="187">
        <v>100</v>
      </c>
      <c r="F70" s="187">
        <v>410</v>
      </c>
      <c r="G70" s="186"/>
      <c r="H70" s="186"/>
      <c r="I70" s="186"/>
      <c r="J70" s="19"/>
      <c r="K70" s="188"/>
      <c r="L70" s="188"/>
      <c r="M70" s="188">
        <v>1.244E-2</v>
      </c>
      <c r="N70" s="188">
        <v>1.7590000000000001E-2</v>
      </c>
      <c r="O70" s="188">
        <v>0.1234</v>
      </c>
      <c r="P70" s="188"/>
      <c r="Q70" s="188"/>
      <c r="R70" s="188"/>
    </row>
    <row r="71" spans="1:18">
      <c r="A71" s="185" t="s">
        <v>276</v>
      </c>
      <c r="B71" s="186"/>
      <c r="C71" s="186"/>
      <c r="D71" s="186"/>
      <c r="E71" s="186"/>
      <c r="F71" s="187">
        <v>160</v>
      </c>
      <c r="G71" s="186"/>
      <c r="H71" s="186"/>
      <c r="I71" s="186"/>
      <c r="J71" s="19"/>
      <c r="K71" s="188"/>
      <c r="L71" s="188"/>
      <c r="M71" s="188"/>
      <c r="N71" s="188"/>
      <c r="O71" s="188">
        <v>4.9259999999999998E-2</v>
      </c>
      <c r="P71" s="188"/>
      <c r="Q71" s="188"/>
      <c r="R71" s="188"/>
    </row>
    <row r="72" spans="1:18">
      <c r="A72" s="185" t="s">
        <v>277</v>
      </c>
      <c r="B72" s="187">
        <v>20</v>
      </c>
      <c r="C72" s="186"/>
      <c r="D72" s="186"/>
      <c r="E72" s="186"/>
      <c r="F72" s="186"/>
      <c r="G72" s="186"/>
      <c r="H72" s="186"/>
      <c r="I72" s="186"/>
      <c r="J72" s="19"/>
      <c r="K72" s="188">
        <v>4.0740000000000004E-3</v>
      </c>
      <c r="L72" s="188"/>
      <c r="M72" s="188"/>
      <c r="N72" s="188"/>
      <c r="O72" s="188"/>
      <c r="P72" s="188"/>
      <c r="Q72" s="188"/>
      <c r="R72" s="188"/>
    </row>
    <row r="73" spans="1:18">
      <c r="A73" s="185" t="s">
        <v>278</v>
      </c>
      <c r="B73" s="187">
        <v>10</v>
      </c>
      <c r="C73" s="186"/>
      <c r="D73" s="186"/>
      <c r="E73" s="186"/>
      <c r="F73" s="186"/>
      <c r="G73" s="186"/>
      <c r="H73" s="186"/>
      <c r="I73" s="186"/>
      <c r="J73" s="19"/>
      <c r="K73" s="188">
        <v>4.0109999999999998E-3</v>
      </c>
      <c r="L73" s="188"/>
      <c r="M73" s="188"/>
      <c r="N73" s="188"/>
      <c r="O73" s="188"/>
      <c r="P73" s="188"/>
      <c r="Q73" s="188"/>
      <c r="R73" s="188"/>
    </row>
    <row r="74" spans="1:18">
      <c r="A74" s="185" t="s">
        <v>279</v>
      </c>
      <c r="B74" s="187">
        <v>10</v>
      </c>
      <c r="C74" s="186"/>
      <c r="D74" s="186"/>
      <c r="E74" s="186"/>
      <c r="F74" s="186"/>
      <c r="G74" s="186"/>
      <c r="H74" s="186"/>
      <c r="I74" s="186"/>
      <c r="J74" s="19"/>
      <c r="K74" s="188">
        <v>3.947E-3</v>
      </c>
      <c r="L74" s="188"/>
      <c r="M74" s="188"/>
      <c r="N74" s="188"/>
      <c r="O74" s="188"/>
      <c r="P74" s="188"/>
      <c r="Q74" s="188"/>
      <c r="R74" s="188"/>
    </row>
    <row r="75" spans="1:18">
      <c r="A75" s="185" t="s">
        <v>280</v>
      </c>
      <c r="B75" s="186"/>
      <c r="C75" s="187">
        <v>320</v>
      </c>
      <c r="D75" s="186"/>
      <c r="E75" s="187">
        <v>40</v>
      </c>
      <c r="F75" s="186"/>
      <c r="G75" s="186"/>
      <c r="H75" s="187">
        <v>120</v>
      </c>
      <c r="I75" s="187">
        <v>80</v>
      </c>
      <c r="J75" s="19"/>
      <c r="K75" s="188"/>
      <c r="L75" s="188">
        <v>6.0319999999999999E-2</v>
      </c>
      <c r="M75" s="188"/>
      <c r="N75" s="188">
        <v>2.346E-3</v>
      </c>
      <c r="O75" s="188"/>
      <c r="P75" s="188"/>
      <c r="Q75" s="188">
        <v>1.8100000000000002E-2</v>
      </c>
      <c r="R75" s="188">
        <v>1.206E-2</v>
      </c>
    </row>
    <row r="76" spans="1:18">
      <c r="A76" s="185" t="s">
        <v>281</v>
      </c>
      <c r="B76" s="186"/>
      <c r="C76" s="186"/>
      <c r="D76" s="186"/>
      <c r="E76" s="187">
        <v>10</v>
      </c>
      <c r="F76" s="187">
        <v>40</v>
      </c>
      <c r="G76" s="186"/>
      <c r="H76" s="187">
        <v>10</v>
      </c>
      <c r="I76" s="187">
        <v>60</v>
      </c>
      <c r="J76" s="19"/>
      <c r="K76" s="188"/>
      <c r="L76" s="188"/>
      <c r="M76" s="188"/>
      <c r="N76" s="188">
        <v>2.3089999999999999E-3</v>
      </c>
      <c r="O76" s="188">
        <v>9.2359999999999994E-3</v>
      </c>
      <c r="P76" s="188"/>
      <c r="Q76" s="188">
        <v>3.016E-3</v>
      </c>
      <c r="R76" s="188">
        <v>1.3849999999999999E-2</v>
      </c>
    </row>
    <row r="77" spans="1:18">
      <c r="A77" s="185" t="s">
        <v>282</v>
      </c>
      <c r="B77" s="186"/>
      <c r="C77" s="186"/>
      <c r="D77" s="187">
        <v>80</v>
      </c>
      <c r="E77" s="186"/>
      <c r="F77" s="187">
        <v>320</v>
      </c>
      <c r="G77" s="186"/>
      <c r="H77" s="186"/>
      <c r="I77" s="186"/>
      <c r="J77" s="19"/>
      <c r="K77" s="188"/>
      <c r="L77" s="188"/>
      <c r="M77" s="188">
        <v>1.026E-2</v>
      </c>
      <c r="N77" s="188"/>
      <c r="O77" s="188">
        <v>3.2840000000000001E-2</v>
      </c>
      <c r="P77" s="188"/>
      <c r="Q77" s="188"/>
      <c r="R77" s="188"/>
    </row>
    <row r="78" spans="1:18">
      <c r="A78" s="185" t="s">
        <v>283</v>
      </c>
      <c r="B78" s="186"/>
      <c r="C78" s="186"/>
      <c r="D78" s="186"/>
      <c r="E78" s="186"/>
      <c r="F78" s="186"/>
      <c r="G78" s="186"/>
      <c r="H78" s="186"/>
      <c r="I78" s="186"/>
      <c r="J78" s="19"/>
      <c r="K78" s="188"/>
      <c r="L78" s="188"/>
      <c r="M78" s="188"/>
      <c r="N78" s="188"/>
      <c r="O78" s="188"/>
      <c r="P78" s="188"/>
      <c r="Q78" s="188"/>
      <c r="R78" s="188"/>
    </row>
    <row r="79" spans="1:18">
      <c r="A79" s="185" t="s">
        <v>284</v>
      </c>
      <c r="B79" s="186"/>
      <c r="C79" s="186"/>
      <c r="D79" s="186"/>
      <c r="E79" s="186"/>
      <c r="F79" s="186"/>
      <c r="G79" s="186"/>
      <c r="H79" s="186"/>
      <c r="I79" s="186"/>
      <c r="J79" s="19"/>
      <c r="K79" s="188"/>
      <c r="L79" s="188"/>
      <c r="M79" s="188"/>
      <c r="N79" s="188"/>
      <c r="O79" s="188"/>
      <c r="P79" s="188"/>
      <c r="Q79" s="188"/>
      <c r="R79" s="188"/>
    </row>
    <row r="80" spans="1:18">
      <c r="A80" s="185" t="s">
        <v>285</v>
      </c>
      <c r="B80" s="187">
        <v>5</v>
      </c>
      <c r="C80" s="186"/>
      <c r="D80" s="186"/>
      <c r="E80" s="186"/>
      <c r="F80" s="186"/>
      <c r="G80" s="187">
        <v>15</v>
      </c>
      <c r="H80" s="186"/>
      <c r="I80" s="186"/>
      <c r="J80" s="19"/>
      <c r="K80" s="188">
        <v>3.5340000000000003E-2</v>
      </c>
      <c r="L80" s="188"/>
      <c r="M80" s="188"/>
      <c r="N80" s="188"/>
      <c r="O80" s="188"/>
      <c r="P80" s="188">
        <v>0.19159999999999999</v>
      </c>
      <c r="Q80" s="188"/>
      <c r="R80" s="188"/>
    </row>
    <row r="81" spans="1:18">
      <c r="A81" s="185" t="s">
        <v>286</v>
      </c>
      <c r="B81" s="187">
        <v>160</v>
      </c>
      <c r="C81" s="187">
        <v>480</v>
      </c>
      <c r="D81" s="187">
        <v>120</v>
      </c>
      <c r="E81" s="187">
        <v>40</v>
      </c>
      <c r="F81" s="187">
        <v>400</v>
      </c>
      <c r="G81" s="187">
        <v>2080</v>
      </c>
      <c r="H81" s="187">
        <v>80</v>
      </c>
      <c r="I81" s="187">
        <v>960</v>
      </c>
      <c r="J81" s="19"/>
      <c r="K81" s="188">
        <v>7.5060000000000002E-2</v>
      </c>
      <c r="L81" s="188">
        <v>0.28499999999999998</v>
      </c>
      <c r="M81" s="188">
        <v>5.228E-2</v>
      </c>
      <c r="N81" s="188">
        <v>2.375E-2</v>
      </c>
      <c r="O81" s="188">
        <v>0.17430000000000001</v>
      </c>
      <c r="P81" s="188">
        <v>0.47049999999999997</v>
      </c>
      <c r="Q81" s="188">
        <v>3.7530000000000001E-2</v>
      </c>
      <c r="R81" s="188">
        <v>0.45040000000000002</v>
      </c>
    </row>
    <row r="82" spans="1:18">
      <c r="A82" s="185" t="s">
        <v>287</v>
      </c>
      <c r="B82" s="186"/>
      <c r="C82" s="186"/>
      <c r="D82" s="186"/>
      <c r="E82" s="186"/>
      <c r="F82" s="186"/>
      <c r="G82" s="186"/>
      <c r="H82" s="186"/>
      <c r="I82" s="186"/>
      <c r="J82" s="19"/>
      <c r="K82" s="188"/>
      <c r="L82" s="188"/>
      <c r="M82" s="188"/>
      <c r="N82" s="188"/>
      <c r="O82" s="188"/>
      <c r="P82" s="188"/>
      <c r="Q82" s="188"/>
      <c r="R82" s="188"/>
    </row>
    <row r="83" spans="1:18">
      <c r="A83" s="185" t="s">
        <v>288</v>
      </c>
      <c r="B83" s="186"/>
      <c r="C83" s="186"/>
      <c r="D83" s="187">
        <v>20</v>
      </c>
      <c r="E83" s="187">
        <v>5</v>
      </c>
      <c r="F83" s="186"/>
      <c r="G83" s="186"/>
      <c r="H83" s="186"/>
      <c r="I83" s="187">
        <v>420</v>
      </c>
      <c r="J83" s="19"/>
      <c r="K83" s="188"/>
      <c r="L83" s="188"/>
      <c r="M83" s="188">
        <v>3.5920000000000001E-3</v>
      </c>
      <c r="N83" s="188">
        <v>1.34E-3</v>
      </c>
      <c r="O83" s="188"/>
      <c r="P83" s="188"/>
      <c r="Q83" s="188"/>
      <c r="R83" s="188">
        <v>2.7490000000000001E-2</v>
      </c>
    </row>
    <row r="84" spans="1:18">
      <c r="A84" s="185" t="s">
        <v>289</v>
      </c>
      <c r="B84" s="186"/>
      <c r="C84" s="186"/>
      <c r="D84" s="186"/>
      <c r="E84" s="186"/>
      <c r="F84" s="186"/>
      <c r="G84" s="186"/>
      <c r="H84" s="186"/>
      <c r="I84" s="186"/>
      <c r="J84" s="19"/>
      <c r="K84" s="188"/>
      <c r="L84" s="188"/>
      <c r="M84" s="188"/>
      <c r="N84" s="188"/>
      <c r="O84" s="188"/>
      <c r="P84" s="188"/>
      <c r="Q84" s="188"/>
      <c r="R84" s="188"/>
    </row>
    <row r="85" spans="1:18">
      <c r="A85" s="185" t="s">
        <v>290</v>
      </c>
      <c r="B85" s="186"/>
      <c r="C85" s="186"/>
      <c r="D85" s="186"/>
      <c r="E85" s="186"/>
      <c r="F85" s="186"/>
      <c r="G85" s="186"/>
      <c r="H85" s="186"/>
      <c r="I85" s="186"/>
      <c r="J85" s="19"/>
      <c r="K85" s="188"/>
      <c r="L85" s="188"/>
      <c r="M85" s="188"/>
      <c r="N85" s="188"/>
      <c r="O85" s="188"/>
      <c r="P85" s="188"/>
      <c r="Q85" s="188"/>
      <c r="R85" s="188"/>
    </row>
    <row r="86" spans="1:18">
      <c r="A86" s="185" t="s">
        <v>291</v>
      </c>
      <c r="B86" s="186"/>
      <c r="C86" s="187">
        <v>1160</v>
      </c>
      <c r="D86" s="186"/>
      <c r="E86" s="186"/>
      <c r="F86" s="187">
        <v>150</v>
      </c>
      <c r="G86" s="186"/>
      <c r="H86" s="186"/>
      <c r="I86" s="186"/>
      <c r="J86" s="19"/>
      <c r="K86" s="188"/>
      <c r="L86" s="188">
        <v>5.5979999999999997E-3</v>
      </c>
      <c r="M86" s="188"/>
      <c r="N86" s="188"/>
      <c r="O86" s="188">
        <v>1.7179999999999999E-3</v>
      </c>
      <c r="P86" s="188"/>
      <c r="Q86" s="188"/>
      <c r="R86" s="188"/>
    </row>
    <row r="87" spans="1:18">
      <c r="A87" s="185" t="s">
        <v>292</v>
      </c>
      <c r="B87" s="187">
        <v>240</v>
      </c>
      <c r="C87" s="187">
        <v>640</v>
      </c>
      <c r="D87" s="186"/>
      <c r="E87" s="187">
        <v>80</v>
      </c>
      <c r="F87" s="187">
        <v>80</v>
      </c>
      <c r="G87" s="187">
        <v>800</v>
      </c>
      <c r="H87" s="187">
        <v>720</v>
      </c>
      <c r="I87" s="187">
        <v>400</v>
      </c>
      <c r="J87" s="19"/>
      <c r="K87" s="188">
        <v>1.6080000000000001E-2</v>
      </c>
      <c r="L87" s="188">
        <v>7.5399999999999995E-2</v>
      </c>
      <c r="M87" s="188"/>
      <c r="N87" s="188">
        <v>9.4249999999999994E-3</v>
      </c>
      <c r="O87" s="188">
        <v>5.3619999999999996E-3</v>
      </c>
      <c r="P87" s="188">
        <v>6.0319999999999999E-2</v>
      </c>
      <c r="Q87" s="188">
        <v>8.4820000000000007E-2</v>
      </c>
      <c r="R87" s="188">
        <v>2.681E-2</v>
      </c>
    </row>
    <row r="88" spans="1:18">
      <c r="A88" s="185" t="s">
        <v>293</v>
      </c>
      <c r="B88" s="186"/>
      <c r="C88" s="186"/>
      <c r="D88" s="186"/>
      <c r="E88" s="186"/>
      <c r="F88" s="186"/>
      <c r="G88" s="186"/>
      <c r="H88" s="186"/>
      <c r="I88" s="187">
        <v>40</v>
      </c>
      <c r="J88" s="19"/>
      <c r="K88" s="188"/>
      <c r="L88" s="188"/>
      <c r="M88" s="188"/>
      <c r="N88" s="188"/>
      <c r="O88" s="188"/>
      <c r="P88" s="188"/>
      <c r="Q88" s="188"/>
      <c r="R88" s="188">
        <v>6.7020000000000003E-4</v>
      </c>
    </row>
    <row r="89" spans="1:18">
      <c r="A89" s="185" t="s">
        <v>294</v>
      </c>
      <c r="B89" s="186"/>
      <c r="C89" s="186"/>
      <c r="D89" s="187">
        <v>40</v>
      </c>
      <c r="E89" s="186"/>
      <c r="F89" s="186"/>
      <c r="G89" s="186"/>
      <c r="H89" s="186"/>
      <c r="I89" s="186"/>
      <c r="J89" s="19"/>
      <c r="K89" s="188"/>
      <c r="L89" s="188"/>
      <c r="M89" s="188">
        <v>5.8640000000000005E-4</v>
      </c>
      <c r="N89" s="188"/>
      <c r="O89" s="188"/>
      <c r="P89" s="188"/>
      <c r="Q89" s="188"/>
      <c r="R89" s="188"/>
    </row>
    <row r="90" spans="1:18">
      <c r="A90" s="185" t="s">
        <v>295</v>
      </c>
      <c r="B90" s="186"/>
      <c r="C90" s="186"/>
      <c r="D90" s="187">
        <v>80</v>
      </c>
      <c r="E90" s="186"/>
      <c r="F90" s="186"/>
      <c r="G90" s="186"/>
      <c r="H90" s="186"/>
      <c r="I90" s="186"/>
      <c r="J90" s="19"/>
      <c r="K90" s="188"/>
      <c r="L90" s="188"/>
      <c r="M90" s="188">
        <v>1.005E-3</v>
      </c>
      <c r="N90" s="188"/>
      <c r="O90" s="188"/>
      <c r="P90" s="188"/>
      <c r="Q90" s="188"/>
      <c r="R90" s="188"/>
    </row>
    <row r="91" spans="1:18">
      <c r="A91" s="185" t="s">
        <v>296</v>
      </c>
      <c r="B91" s="186"/>
      <c r="C91" s="186"/>
      <c r="D91" s="186"/>
      <c r="E91" s="186"/>
      <c r="F91" s="186"/>
      <c r="G91" s="186"/>
      <c r="H91" s="186"/>
      <c r="I91" s="187">
        <v>80</v>
      </c>
      <c r="J91" s="19"/>
      <c r="K91" s="188"/>
      <c r="L91" s="188"/>
      <c r="M91" s="188"/>
      <c r="N91" s="188"/>
      <c r="O91" s="188"/>
      <c r="P91" s="188"/>
      <c r="Q91" s="188"/>
      <c r="R91" s="188">
        <v>3.7699999999999999E-3</v>
      </c>
    </row>
    <row r="92" spans="1:18">
      <c r="A92" s="185" t="s">
        <v>297</v>
      </c>
      <c r="B92" s="186"/>
      <c r="C92" s="186"/>
      <c r="D92" s="186"/>
      <c r="E92" s="187">
        <v>320</v>
      </c>
      <c r="F92" s="187">
        <v>12800</v>
      </c>
      <c r="G92" s="186"/>
      <c r="H92" s="186"/>
      <c r="I92" s="186"/>
      <c r="J92" s="19"/>
      <c r="K92" s="188"/>
      <c r="L92" s="188"/>
      <c r="M92" s="188"/>
      <c r="N92" s="188">
        <v>4.3429999999999999E-4</v>
      </c>
      <c r="O92" s="188">
        <v>1.34E-2</v>
      </c>
      <c r="P92" s="188"/>
      <c r="Q92" s="188"/>
      <c r="R92" s="188"/>
    </row>
    <row r="93" spans="1:18">
      <c r="A93" s="185" t="s">
        <v>298</v>
      </c>
      <c r="B93" s="186"/>
      <c r="C93" s="186"/>
      <c r="D93" s="187">
        <v>4800</v>
      </c>
      <c r="E93" s="186"/>
      <c r="F93" s="186"/>
      <c r="G93" s="186"/>
      <c r="H93" s="186"/>
      <c r="I93" s="186"/>
      <c r="J93" s="19"/>
      <c r="K93" s="188"/>
      <c r="L93" s="188"/>
      <c r="M93" s="188">
        <v>2.3279999999999999E-2</v>
      </c>
      <c r="N93" s="188"/>
      <c r="O93" s="188"/>
      <c r="P93" s="188"/>
      <c r="Q93" s="188"/>
      <c r="R93" s="188"/>
    </row>
    <row r="94" spans="1:18">
      <c r="A94" s="185" t="s">
        <v>299</v>
      </c>
      <c r="B94" s="186"/>
      <c r="C94" s="186"/>
      <c r="D94" s="187">
        <v>20</v>
      </c>
      <c r="E94" s="186"/>
      <c r="F94" s="187">
        <v>20</v>
      </c>
      <c r="G94" s="186"/>
      <c r="H94" s="186"/>
      <c r="I94" s="187">
        <v>40</v>
      </c>
      <c r="J94" s="19"/>
      <c r="K94" s="188"/>
      <c r="L94" s="188"/>
      <c r="M94" s="188">
        <v>7.6340000000000002E-3</v>
      </c>
      <c r="N94" s="188"/>
      <c r="O94" s="188">
        <v>7.6340000000000002E-3</v>
      </c>
      <c r="P94" s="188"/>
      <c r="Q94" s="188"/>
      <c r="R94" s="188">
        <v>2.094E-2</v>
      </c>
    </row>
    <row r="95" spans="1:18">
      <c r="A95" s="185" t="s">
        <v>300</v>
      </c>
      <c r="B95" s="186"/>
      <c r="C95" s="186"/>
      <c r="D95" s="186"/>
      <c r="E95" s="186"/>
      <c r="F95" s="187">
        <v>10</v>
      </c>
      <c r="G95" s="186"/>
      <c r="H95" s="186"/>
      <c r="I95" s="186"/>
      <c r="J95" s="19"/>
      <c r="K95" s="188"/>
      <c r="L95" s="188"/>
      <c r="M95" s="188"/>
      <c r="N95" s="188"/>
      <c r="O95" s="188">
        <v>0.1404</v>
      </c>
      <c r="P95" s="188"/>
      <c r="Q95" s="188"/>
      <c r="R95" s="188"/>
    </row>
    <row r="96" spans="1:18">
      <c r="A96" s="185" t="s">
        <v>301</v>
      </c>
      <c r="B96" s="186"/>
      <c r="C96" s="186"/>
      <c r="D96" s="186"/>
      <c r="E96" s="187">
        <v>5</v>
      </c>
      <c r="F96" s="186"/>
      <c r="G96" s="186"/>
      <c r="H96" s="186"/>
      <c r="I96" s="186"/>
      <c r="J96" s="19"/>
      <c r="K96" s="188"/>
      <c r="L96" s="188"/>
      <c r="M96" s="188"/>
      <c r="N96" s="188">
        <v>4.224E-2</v>
      </c>
      <c r="O96" s="188"/>
      <c r="P96" s="188"/>
      <c r="Q96" s="188"/>
      <c r="R96" s="188"/>
    </row>
    <row r="97" spans="1:18">
      <c r="A97" s="185" t="s">
        <v>302</v>
      </c>
      <c r="B97" s="186"/>
      <c r="C97" s="186"/>
      <c r="D97" s="186"/>
      <c r="E97" s="186"/>
      <c r="F97" s="186"/>
      <c r="G97" s="186"/>
      <c r="H97" s="186"/>
      <c r="I97" s="186"/>
      <c r="J97" s="19"/>
      <c r="K97" s="188"/>
      <c r="L97" s="188"/>
      <c r="M97" s="188"/>
      <c r="N97" s="188"/>
      <c r="O97" s="188"/>
      <c r="P97" s="188"/>
      <c r="Q97" s="188"/>
      <c r="R97" s="188"/>
    </row>
    <row r="98" spans="1:18">
      <c r="A98" s="185" t="s">
        <v>303</v>
      </c>
      <c r="B98" s="186"/>
      <c r="C98" s="187">
        <v>80</v>
      </c>
      <c r="D98" s="186"/>
      <c r="E98" s="186"/>
      <c r="F98" s="186"/>
      <c r="G98" s="186"/>
      <c r="H98" s="187">
        <v>80</v>
      </c>
      <c r="I98" s="186"/>
      <c r="J98" s="19"/>
      <c r="K98" s="188"/>
      <c r="L98" s="188">
        <v>1.508E-3</v>
      </c>
      <c r="M98" s="188"/>
      <c r="N98" s="188"/>
      <c r="O98" s="188"/>
      <c r="P98" s="188"/>
      <c r="Q98" s="188">
        <v>3.3509999999999998E-3</v>
      </c>
      <c r="R98" s="188"/>
    </row>
    <row r="99" spans="1:18">
      <c r="A99" s="185" t="s">
        <v>304</v>
      </c>
      <c r="B99" s="187">
        <v>80</v>
      </c>
      <c r="C99" s="186"/>
      <c r="D99" s="186"/>
      <c r="E99" s="186"/>
      <c r="F99" s="186"/>
      <c r="G99" s="187">
        <v>10</v>
      </c>
      <c r="H99" s="186"/>
      <c r="I99" s="186"/>
      <c r="J99" s="19"/>
      <c r="K99" s="188">
        <v>6.7860000000000004E-3</v>
      </c>
      <c r="L99" s="188"/>
      <c r="M99" s="188"/>
      <c r="N99" s="188"/>
      <c r="O99" s="188"/>
      <c r="P99" s="188">
        <v>5.8900000000000001E-4</v>
      </c>
      <c r="Q99" s="188"/>
      <c r="R99" s="188"/>
    </row>
    <row r="100" spans="1:18">
      <c r="A100" s="185" t="s">
        <v>305</v>
      </c>
      <c r="B100" s="187">
        <v>40</v>
      </c>
      <c r="C100" s="186"/>
      <c r="D100" s="186"/>
      <c r="E100" s="187">
        <v>10</v>
      </c>
      <c r="F100" s="186"/>
      <c r="G100" s="187">
        <v>560</v>
      </c>
      <c r="H100" s="186"/>
      <c r="I100" s="186"/>
      <c r="J100" s="19"/>
      <c r="K100" s="188">
        <v>8.2100000000000003E-3</v>
      </c>
      <c r="L100" s="188"/>
      <c r="M100" s="188"/>
      <c r="N100" s="188">
        <v>3.016E-3</v>
      </c>
      <c r="O100" s="188"/>
      <c r="P100" s="188">
        <v>0.39029999999999998</v>
      </c>
      <c r="Q100" s="188"/>
      <c r="R100" s="188"/>
    </row>
    <row r="101" spans="1:18">
      <c r="A101" s="185" t="s">
        <v>306</v>
      </c>
      <c r="B101" s="186"/>
      <c r="C101" s="186"/>
      <c r="D101" s="186"/>
      <c r="E101" s="187">
        <v>10</v>
      </c>
      <c r="F101" s="186"/>
      <c r="G101" s="186"/>
      <c r="H101" s="187">
        <v>10</v>
      </c>
      <c r="I101" s="187">
        <v>5</v>
      </c>
      <c r="J101" s="19"/>
      <c r="K101" s="188"/>
      <c r="L101" s="188"/>
      <c r="M101" s="188"/>
      <c r="N101" s="188">
        <v>2.4499999999999999E-3</v>
      </c>
      <c r="O101" s="188"/>
      <c r="P101" s="188"/>
      <c r="Q101" s="188">
        <v>2.5600000000000002E-3</v>
      </c>
      <c r="R101" s="188">
        <v>1.2800000000000001E-3</v>
      </c>
    </row>
    <row r="102" spans="1:18">
      <c r="A102" s="185" t="s">
        <v>307</v>
      </c>
      <c r="B102" s="187">
        <v>10</v>
      </c>
      <c r="C102" s="186"/>
      <c r="D102" s="186"/>
      <c r="E102" s="186"/>
      <c r="F102" s="186"/>
      <c r="G102" s="186"/>
      <c r="H102" s="186"/>
      <c r="I102" s="186"/>
      <c r="J102" s="19"/>
      <c r="K102" s="188">
        <v>1.508E-3</v>
      </c>
      <c r="L102" s="188"/>
      <c r="M102" s="188"/>
      <c r="N102" s="188"/>
      <c r="O102" s="188"/>
      <c r="P102" s="188"/>
      <c r="Q102" s="188"/>
      <c r="R102" s="188"/>
    </row>
    <row r="103" spans="1:18">
      <c r="A103" s="185" t="s">
        <v>308</v>
      </c>
      <c r="B103" s="187">
        <v>320</v>
      </c>
      <c r="C103" s="186"/>
      <c r="D103" s="186"/>
      <c r="E103" s="186"/>
      <c r="F103" s="186"/>
      <c r="G103" s="186"/>
      <c r="H103" s="186"/>
      <c r="I103" s="186"/>
      <c r="J103" s="19"/>
      <c r="K103" s="188">
        <v>1.072E-2</v>
      </c>
      <c r="L103" s="188"/>
      <c r="M103" s="188"/>
      <c r="N103" s="188"/>
      <c r="O103" s="188"/>
      <c r="P103" s="188"/>
      <c r="Q103" s="188"/>
      <c r="R103" s="188"/>
    </row>
    <row r="104" spans="1:18">
      <c r="A104" s="185" t="s">
        <v>309</v>
      </c>
      <c r="B104" s="187">
        <v>5</v>
      </c>
      <c r="C104" s="187">
        <v>5</v>
      </c>
      <c r="D104" s="186"/>
      <c r="E104" s="186"/>
      <c r="F104" s="186"/>
      <c r="G104" s="187">
        <v>10</v>
      </c>
      <c r="H104" s="186"/>
      <c r="I104" s="186"/>
      <c r="J104" s="19"/>
      <c r="K104" s="188">
        <v>1.2290000000000001E-2</v>
      </c>
      <c r="L104" s="188">
        <v>7.3720000000000001E-3</v>
      </c>
      <c r="M104" s="188"/>
      <c r="N104" s="188"/>
      <c r="O104" s="188"/>
      <c r="P104" s="188">
        <v>4.189E-3</v>
      </c>
      <c r="Q104" s="188"/>
      <c r="R104" s="188"/>
    </row>
    <row r="105" spans="1:18">
      <c r="A105" s="185" t="s">
        <v>310</v>
      </c>
      <c r="B105" s="186"/>
      <c r="C105" s="186"/>
      <c r="D105" s="186"/>
      <c r="E105" s="186"/>
      <c r="F105" s="187">
        <v>5</v>
      </c>
      <c r="G105" s="186"/>
      <c r="H105" s="186"/>
      <c r="I105" s="186"/>
      <c r="J105" s="19"/>
      <c r="K105" s="188"/>
      <c r="L105" s="188"/>
      <c r="M105" s="188"/>
      <c r="N105" s="188"/>
      <c r="O105" s="188">
        <v>8.8360000000000001E-3</v>
      </c>
      <c r="P105" s="188"/>
      <c r="Q105" s="188"/>
      <c r="R105" s="188"/>
    </row>
    <row r="106" spans="1:18">
      <c r="A106" s="185" t="s">
        <v>311</v>
      </c>
      <c r="B106" s="186"/>
      <c r="C106" s="186"/>
      <c r="D106" s="186"/>
      <c r="E106" s="186"/>
      <c r="F106" s="186"/>
      <c r="G106" s="186"/>
      <c r="H106" s="187">
        <v>10</v>
      </c>
      <c r="I106" s="186"/>
      <c r="J106" s="19"/>
      <c r="K106" s="188"/>
      <c r="L106" s="188"/>
      <c r="M106" s="188"/>
      <c r="N106" s="188"/>
      <c r="O106" s="188"/>
      <c r="P106" s="188"/>
      <c r="Q106" s="188">
        <v>5.2360000000000002E-3</v>
      </c>
      <c r="R106" s="188"/>
    </row>
    <row r="107" spans="1:18">
      <c r="A107" s="185" t="s">
        <v>312</v>
      </c>
      <c r="B107" s="186"/>
      <c r="C107" s="187">
        <v>10</v>
      </c>
      <c r="D107" s="186"/>
      <c r="E107" s="186"/>
      <c r="F107" s="186"/>
      <c r="G107" s="187">
        <v>20</v>
      </c>
      <c r="H107" s="186"/>
      <c r="I107" s="186"/>
      <c r="J107" s="19"/>
      <c r="K107" s="188"/>
      <c r="L107" s="188">
        <v>1.15E-2</v>
      </c>
      <c r="M107" s="188"/>
      <c r="N107" s="188"/>
      <c r="O107" s="188"/>
      <c r="P107" s="188">
        <v>1.3939999999999999E-2</v>
      </c>
      <c r="Q107" s="188"/>
      <c r="R107" s="188"/>
    </row>
    <row r="108" spans="1:18">
      <c r="A108" s="185" t="s">
        <v>313</v>
      </c>
      <c r="B108" s="186"/>
      <c r="C108" s="186"/>
      <c r="D108" s="186"/>
      <c r="E108" s="186"/>
      <c r="F108" s="186"/>
      <c r="G108" s="186"/>
      <c r="H108" s="186"/>
      <c r="I108" s="187">
        <v>30</v>
      </c>
      <c r="J108" s="19"/>
      <c r="K108" s="188"/>
      <c r="L108" s="188"/>
      <c r="M108" s="188"/>
      <c r="N108" s="188"/>
      <c r="O108" s="188"/>
      <c r="P108" s="188"/>
      <c r="Q108" s="188"/>
      <c r="R108" s="188">
        <v>2.0910000000000002E-2</v>
      </c>
    </row>
    <row r="109" spans="1:18">
      <c r="A109" s="185" t="s">
        <v>314</v>
      </c>
      <c r="B109" s="187">
        <v>15680</v>
      </c>
      <c r="C109" s="186"/>
      <c r="D109" s="186"/>
      <c r="E109" s="186"/>
      <c r="F109" s="186"/>
      <c r="G109" s="186"/>
      <c r="H109" s="186"/>
      <c r="I109" s="186"/>
      <c r="J109" s="19"/>
      <c r="K109" s="188">
        <v>0.14430000000000001</v>
      </c>
      <c r="L109" s="188"/>
      <c r="M109" s="188"/>
      <c r="N109" s="188"/>
      <c r="O109" s="188"/>
      <c r="P109" s="188"/>
      <c r="Q109" s="188"/>
      <c r="R109" s="188"/>
    </row>
    <row r="110" spans="1:18">
      <c r="A110" s="185" t="s">
        <v>315</v>
      </c>
      <c r="B110" s="186"/>
      <c r="C110" s="186"/>
      <c r="D110" s="187">
        <v>160</v>
      </c>
      <c r="E110" s="186"/>
      <c r="F110" s="186"/>
      <c r="G110" s="186"/>
      <c r="H110" s="186"/>
      <c r="I110" s="186"/>
      <c r="J110" s="19"/>
      <c r="K110" s="188"/>
      <c r="L110" s="188"/>
      <c r="M110" s="188">
        <v>2.4129999999999999E-2</v>
      </c>
      <c r="N110" s="188"/>
      <c r="O110" s="188"/>
      <c r="P110" s="188"/>
      <c r="Q110" s="188"/>
      <c r="R110" s="188"/>
    </row>
    <row r="111" spans="1:18">
      <c r="A111" s="185" t="s">
        <v>316</v>
      </c>
      <c r="B111" s="186"/>
      <c r="C111" s="186"/>
      <c r="D111" s="187">
        <v>280</v>
      </c>
      <c r="E111" s="187">
        <v>120</v>
      </c>
      <c r="F111" s="186"/>
      <c r="G111" s="186"/>
      <c r="H111" s="186"/>
      <c r="I111" s="187">
        <v>40</v>
      </c>
      <c r="J111" s="19"/>
      <c r="K111" s="188"/>
      <c r="L111" s="188"/>
      <c r="M111" s="188">
        <v>5.2780000000000001E-2</v>
      </c>
      <c r="N111" s="188">
        <v>2.4879999999999999E-2</v>
      </c>
      <c r="O111" s="188"/>
      <c r="P111" s="188"/>
      <c r="Q111" s="188"/>
      <c r="R111" s="188">
        <v>6.7860000000000004E-3</v>
      </c>
    </row>
    <row r="112" spans="1:18" ht="15.75" thickBot="1">
      <c r="A112" s="189" t="s">
        <v>317</v>
      </c>
      <c r="B112" s="190"/>
      <c r="C112" s="190"/>
      <c r="D112" s="191">
        <v>720</v>
      </c>
      <c r="E112" s="191">
        <v>720</v>
      </c>
      <c r="F112" s="191">
        <v>50410</v>
      </c>
      <c r="G112" s="190"/>
      <c r="H112" s="191">
        <v>280</v>
      </c>
      <c r="I112" s="191">
        <v>7850</v>
      </c>
      <c r="J112" s="19"/>
      <c r="K112" s="192"/>
      <c r="L112" s="192"/>
      <c r="M112" s="192">
        <v>1.0189999999999999E-2</v>
      </c>
      <c r="N112" s="192">
        <v>9.6600000000000002E-3</v>
      </c>
      <c r="O112" s="192">
        <v>0.60809999999999997</v>
      </c>
      <c r="P112" s="192"/>
      <c r="Q112" s="192">
        <v>3.6649999999999999E-3</v>
      </c>
      <c r="R112" s="192">
        <v>7.4319999999999997E-2</v>
      </c>
    </row>
    <row r="113" spans="1:18" ht="15.75" thickBot="1">
      <c r="A113" s="193" t="s">
        <v>319</v>
      </c>
      <c r="B113" s="194">
        <f>SUM(B5:B112)</f>
        <v>23315</v>
      </c>
      <c r="C113" s="194">
        <f t="shared" ref="C113:I113" si="0">SUM(C5:C112)</f>
        <v>8785</v>
      </c>
      <c r="D113" s="194">
        <f t="shared" si="0"/>
        <v>1044100</v>
      </c>
      <c r="E113" s="194">
        <f t="shared" si="0"/>
        <v>452400</v>
      </c>
      <c r="F113" s="194">
        <f t="shared" si="0"/>
        <v>158695</v>
      </c>
      <c r="G113" s="194">
        <f t="shared" si="0"/>
        <v>10175</v>
      </c>
      <c r="H113" s="194">
        <f t="shared" si="0"/>
        <v>7645</v>
      </c>
      <c r="I113" s="194">
        <f t="shared" si="0"/>
        <v>548230</v>
      </c>
      <c r="J113" s="195"/>
      <c r="K113" s="194">
        <f t="shared" ref="K113:R113" si="1">SUM(K5:K112)</f>
        <v>1.1636632000000002</v>
      </c>
      <c r="L113" s="194">
        <f t="shared" si="1"/>
        <v>1.7327059999999996</v>
      </c>
      <c r="M113" s="194">
        <f t="shared" si="1"/>
        <v>1.2342023999999996</v>
      </c>
      <c r="N113" s="194">
        <f t="shared" si="1"/>
        <v>0.80188010000000021</v>
      </c>
      <c r="O113" s="194">
        <f t="shared" si="1"/>
        <v>1.4792380000000001</v>
      </c>
      <c r="P113" s="194">
        <f t="shared" si="1"/>
        <v>2.7179403000000004</v>
      </c>
      <c r="Q113" s="194">
        <f t="shared" si="1"/>
        <v>0.95942469999999991</v>
      </c>
      <c r="R113" s="194">
        <f t="shared" si="1"/>
        <v>2.6236018000000003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8ACCE-5D73-4606-96E2-F4B21993849D}">
  <dimension ref="A1:N50"/>
  <sheetViews>
    <sheetView workbookViewId="0">
      <selection activeCell="H1" sqref="H1"/>
    </sheetView>
  </sheetViews>
  <sheetFormatPr defaultRowHeight="15"/>
  <cols>
    <col min="1" max="1" width="28.7109375" bestFit="1" customWidth="1"/>
    <col min="2" max="2" width="9.7109375" bestFit="1" customWidth="1"/>
    <col min="3" max="3" width="8.7109375" bestFit="1" customWidth="1"/>
    <col min="4" max="4" width="9.7109375" bestFit="1" customWidth="1"/>
    <col min="5" max="5" width="10.7109375" bestFit="1" customWidth="1"/>
    <col min="6" max="7" width="9.7109375" bestFit="1" customWidth="1"/>
    <col min="9" max="11" width="10" bestFit="1" customWidth="1"/>
    <col min="12" max="12" width="10.7109375" bestFit="1" customWidth="1"/>
    <col min="13" max="13" width="10" bestFit="1" customWidth="1"/>
    <col min="14" max="14" width="11" bestFit="1" customWidth="1"/>
  </cols>
  <sheetData>
    <row r="1" spans="1:14">
      <c r="A1" s="178" t="s">
        <v>349</v>
      </c>
      <c r="C1" t="s">
        <v>350</v>
      </c>
      <c r="H1" t="s">
        <v>352</v>
      </c>
    </row>
    <row r="2" spans="1:14">
      <c r="B2" t="s">
        <v>346</v>
      </c>
      <c r="I2" t="s">
        <v>343</v>
      </c>
    </row>
    <row r="3" spans="1:14">
      <c r="A3" s="179" t="s">
        <v>345</v>
      </c>
      <c r="B3" s="180">
        <v>45040</v>
      </c>
      <c r="C3" s="181">
        <v>45082</v>
      </c>
      <c r="D3" s="181">
        <v>45159</v>
      </c>
      <c r="E3" s="181">
        <v>45222</v>
      </c>
      <c r="F3" s="181">
        <v>45404</v>
      </c>
      <c r="G3" s="181">
        <v>45460</v>
      </c>
      <c r="H3" s="178"/>
      <c r="I3" s="181">
        <v>45040</v>
      </c>
      <c r="J3" s="181">
        <v>45082</v>
      </c>
      <c r="K3" s="181">
        <v>45159</v>
      </c>
      <c r="L3" s="181">
        <v>45222</v>
      </c>
      <c r="M3" s="181">
        <v>45404</v>
      </c>
      <c r="N3" s="181">
        <v>45460</v>
      </c>
    </row>
    <row r="4" spans="1:14">
      <c r="A4" s="182"/>
      <c r="B4" s="196" t="s">
        <v>208</v>
      </c>
      <c r="C4" s="197" t="s">
        <v>208</v>
      </c>
      <c r="D4" s="197" t="s">
        <v>208</v>
      </c>
      <c r="E4" s="197" t="s">
        <v>208</v>
      </c>
      <c r="F4" s="197" t="s">
        <v>208</v>
      </c>
      <c r="G4" s="197" t="s">
        <v>208</v>
      </c>
      <c r="I4" s="184" t="s">
        <v>209</v>
      </c>
      <c r="J4" s="184" t="s">
        <v>209</v>
      </c>
      <c r="K4" s="184" t="s">
        <v>209</v>
      </c>
      <c r="L4" s="184" t="s">
        <v>209</v>
      </c>
      <c r="M4" s="184" t="s">
        <v>209</v>
      </c>
      <c r="N4" s="184" t="s">
        <v>209</v>
      </c>
    </row>
    <row r="5" spans="1:14">
      <c r="A5" s="182" t="s">
        <v>210</v>
      </c>
      <c r="B5" s="186"/>
      <c r="C5" s="186"/>
      <c r="D5" s="186"/>
      <c r="E5" s="186"/>
      <c r="F5" s="186"/>
      <c r="G5" s="187">
        <v>5</v>
      </c>
      <c r="H5" s="19"/>
      <c r="I5" s="188"/>
      <c r="J5" s="188"/>
      <c r="K5" s="188"/>
      <c r="L5" s="188"/>
      <c r="M5" s="188"/>
      <c r="N5" s="188">
        <v>2.1880000000000001E-4</v>
      </c>
    </row>
    <row r="6" spans="1:14">
      <c r="A6" s="185" t="s">
        <v>215</v>
      </c>
      <c r="B6" s="186"/>
      <c r="C6" s="186"/>
      <c r="D6" s="186"/>
      <c r="E6" s="187">
        <v>3200</v>
      </c>
      <c r="F6" s="186"/>
      <c r="G6" s="186"/>
      <c r="H6" s="19"/>
      <c r="I6" s="188"/>
      <c r="J6" s="188"/>
      <c r="K6" s="188"/>
      <c r="L6" s="188">
        <v>1.2210000000000001E-3</v>
      </c>
      <c r="M6" s="188"/>
      <c r="N6" s="188"/>
    </row>
    <row r="7" spans="1:14">
      <c r="A7" s="185" t="s">
        <v>217</v>
      </c>
      <c r="B7" s="186"/>
      <c r="C7" s="186"/>
      <c r="D7" s="186"/>
      <c r="E7" s="186"/>
      <c r="F7" s="186"/>
      <c r="G7" s="187">
        <v>8</v>
      </c>
      <c r="H7" s="19"/>
      <c r="I7" s="188"/>
      <c r="J7" s="188"/>
      <c r="K7" s="188"/>
      <c r="L7" s="188"/>
      <c r="M7" s="188"/>
      <c r="N7" s="188">
        <v>1.7060000000000001E-3</v>
      </c>
    </row>
    <row r="8" spans="1:14">
      <c r="A8" s="185" t="s">
        <v>320</v>
      </c>
      <c r="B8" s="186"/>
      <c r="C8" s="186"/>
      <c r="D8" s="186"/>
      <c r="E8" s="186"/>
      <c r="F8" s="186"/>
      <c r="G8" s="187">
        <v>5</v>
      </c>
      <c r="H8" s="19"/>
      <c r="I8" s="188"/>
      <c r="J8" s="188"/>
      <c r="K8" s="188"/>
      <c r="L8" s="188"/>
      <c r="M8" s="188"/>
      <c r="N8" s="188">
        <v>4.1889999999999999E-4</v>
      </c>
    </row>
    <row r="9" spans="1:14">
      <c r="A9" s="185" t="s">
        <v>220</v>
      </c>
      <c r="B9" s="186"/>
      <c r="C9" s="186"/>
      <c r="D9" s="187">
        <v>8</v>
      </c>
      <c r="E9" s="186"/>
      <c r="F9" s="186"/>
      <c r="G9" s="186"/>
      <c r="H9" s="19"/>
      <c r="I9" s="188"/>
      <c r="J9" s="188"/>
      <c r="K9" s="188">
        <v>1.206E-3</v>
      </c>
      <c r="L9" s="188"/>
      <c r="M9" s="188"/>
      <c r="N9" s="188"/>
    </row>
    <row r="10" spans="1:14">
      <c r="A10" s="185" t="s">
        <v>321</v>
      </c>
      <c r="B10" s="186"/>
      <c r="C10" s="186"/>
      <c r="D10" s="186"/>
      <c r="E10" s="186"/>
      <c r="F10" s="186"/>
      <c r="G10" s="186"/>
      <c r="H10" s="19"/>
      <c r="I10" s="188"/>
      <c r="J10" s="188"/>
      <c r="K10" s="188"/>
      <c r="L10" s="188"/>
      <c r="M10" s="188"/>
      <c r="N10" s="188"/>
    </row>
    <row r="11" spans="1:14">
      <c r="A11" s="185" t="s">
        <v>322</v>
      </c>
      <c r="B11" s="186"/>
      <c r="C11" s="186"/>
      <c r="D11" s="186"/>
      <c r="E11" s="186"/>
      <c r="F11" s="186"/>
      <c r="G11" s="186"/>
      <c r="H11" s="19"/>
      <c r="I11" s="188"/>
      <c r="J11" s="188"/>
      <c r="K11" s="188"/>
      <c r="L11" s="188"/>
      <c r="M11" s="188"/>
      <c r="N11" s="188"/>
    </row>
    <row r="12" spans="1:14">
      <c r="A12" s="185" t="s">
        <v>323</v>
      </c>
      <c r="B12" s="186"/>
      <c r="C12" s="186"/>
      <c r="D12" s="186"/>
      <c r="E12" s="187">
        <v>112</v>
      </c>
      <c r="F12" s="186"/>
      <c r="G12" s="186"/>
      <c r="H12" s="19"/>
      <c r="I12" s="188"/>
      <c r="J12" s="188"/>
      <c r="K12" s="188"/>
      <c r="L12" s="188">
        <v>9.4999999999999998E-3</v>
      </c>
      <c r="M12" s="188"/>
      <c r="N12" s="188"/>
    </row>
    <row r="13" spans="1:14">
      <c r="A13" s="185" t="s">
        <v>230</v>
      </c>
      <c r="B13" s="186"/>
      <c r="C13" s="187">
        <v>8</v>
      </c>
      <c r="D13" s="186"/>
      <c r="E13" s="186"/>
      <c r="F13" s="186"/>
      <c r="G13" s="186"/>
      <c r="H13" s="19"/>
      <c r="I13" s="188"/>
      <c r="J13" s="188">
        <v>1.089E-2</v>
      </c>
      <c r="K13" s="188"/>
      <c r="L13" s="188"/>
      <c r="M13" s="188"/>
      <c r="N13" s="188"/>
    </row>
    <row r="14" spans="1:14">
      <c r="A14" s="185" t="s">
        <v>231</v>
      </c>
      <c r="B14" s="187">
        <v>10</v>
      </c>
      <c r="C14" s="187">
        <v>30</v>
      </c>
      <c r="D14" s="186"/>
      <c r="E14" s="186"/>
      <c r="F14" s="186"/>
      <c r="G14" s="187">
        <v>35</v>
      </c>
      <c r="H14" s="19"/>
      <c r="I14" s="188">
        <v>5.6969999999999998E-3</v>
      </c>
      <c r="J14" s="188">
        <v>1.4619999999999999E-2</v>
      </c>
      <c r="K14" s="188"/>
      <c r="L14" s="188"/>
      <c r="M14" s="188"/>
      <c r="N14" s="188">
        <v>1.5270000000000001E-2</v>
      </c>
    </row>
    <row r="15" spans="1:14">
      <c r="A15" s="185" t="s">
        <v>232</v>
      </c>
      <c r="B15" s="187">
        <v>5</v>
      </c>
      <c r="C15" s="186"/>
      <c r="D15" s="186"/>
      <c r="E15" s="186"/>
      <c r="F15" s="186"/>
      <c r="G15" s="186"/>
      <c r="H15" s="19"/>
      <c r="I15" s="188">
        <v>1.4880000000000001E-2</v>
      </c>
      <c r="J15" s="188"/>
      <c r="K15" s="188"/>
      <c r="L15" s="188"/>
      <c r="M15" s="188"/>
      <c r="N15" s="188"/>
    </row>
    <row r="16" spans="1:14">
      <c r="A16" s="185" t="s">
        <v>233</v>
      </c>
      <c r="B16" s="186"/>
      <c r="C16" s="186"/>
      <c r="D16" s="187">
        <v>5</v>
      </c>
      <c r="E16" s="186"/>
      <c r="F16" s="186"/>
      <c r="G16" s="186"/>
      <c r="H16" s="19"/>
      <c r="I16" s="188"/>
      <c r="J16" s="188"/>
      <c r="K16" s="188">
        <v>3.6050000000000001E-3</v>
      </c>
      <c r="L16" s="188"/>
      <c r="M16" s="188"/>
      <c r="N16" s="188"/>
    </row>
    <row r="17" spans="1:14">
      <c r="A17" s="185" t="s">
        <v>235</v>
      </c>
      <c r="B17" s="187">
        <v>200</v>
      </c>
      <c r="C17" s="187">
        <v>520</v>
      </c>
      <c r="D17" s="187">
        <v>400</v>
      </c>
      <c r="E17" s="187">
        <v>8560</v>
      </c>
      <c r="F17" s="187">
        <v>280</v>
      </c>
      <c r="G17" s="187">
        <v>180</v>
      </c>
      <c r="H17" s="19"/>
      <c r="I17" s="188">
        <v>1.047E-4</v>
      </c>
      <c r="J17" s="188">
        <v>2.1779999999999998E-3</v>
      </c>
      <c r="K17" s="188">
        <v>7.069E-4</v>
      </c>
      <c r="L17" s="188">
        <v>4.4819999999999999E-3</v>
      </c>
      <c r="M17" s="188">
        <v>1.4660000000000001E-4</v>
      </c>
      <c r="N17" s="188">
        <v>9.4250000000000001E-5</v>
      </c>
    </row>
    <row r="18" spans="1:14">
      <c r="A18" s="185" t="s">
        <v>237</v>
      </c>
      <c r="B18" s="186"/>
      <c r="C18" s="186"/>
      <c r="D18" s="186"/>
      <c r="E18" s="187">
        <v>3200</v>
      </c>
      <c r="F18" s="186"/>
      <c r="G18" s="186"/>
      <c r="H18" s="19"/>
      <c r="I18" s="188"/>
      <c r="J18" s="188"/>
      <c r="K18" s="188"/>
      <c r="L18" s="188">
        <v>1.5009999999999999E-3</v>
      </c>
      <c r="M18" s="188"/>
      <c r="N18" s="188"/>
    </row>
    <row r="19" spans="1:14">
      <c r="A19" s="185" t="s">
        <v>324</v>
      </c>
      <c r="B19" s="186"/>
      <c r="C19" s="186"/>
      <c r="D19" s="186"/>
      <c r="E19" s="186"/>
      <c r="F19" s="187">
        <v>190</v>
      </c>
      <c r="G19" s="187">
        <v>300</v>
      </c>
      <c r="H19" s="19"/>
      <c r="I19" s="188"/>
      <c r="J19" s="188"/>
      <c r="K19" s="188"/>
      <c r="L19" s="188"/>
      <c r="M19" s="188">
        <v>0.13700000000000001</v>
      </c>
      <c r="N19" s="188">
        <v>7.6969999999999997E-2</v>
      </c>
    </row>
    <row r="20" spans="1:14">
      <c r="A20" s="185" t="s">
        <v>325</v>
      </c>
      <c r="B20" s="186"/>
      <c r="C20" s="186"/>
      <c r="D20" s="187">
        <v>2</v>
      </c>
      <c r="E20" s="186"/>
      <c r="F20" s="187">
        <v>30</v>
      </c>
      <c r="G20" s="187">
        <v>25</v>
      </c>
      <c r="H20" s="19"/>
      <c r="I20" s="188"/>
      <c r="J20" s="188"/>
      <c r="K20" s="188">
        <v>4.618E-4</v>
      </c>
      <c r="L20" s="188"/>
      <c r="M20" s="188">
        <v>1.6080000000000001E-2</v>
      </c>
      <c r="N20" s="188">
        <v>2.8760000000000001E-2</v>
      </c>
    </row>
    <row r="21" spans="1:14">
      <c r="A21" s="185" t="s">
        <v>326</v>
      </c>
      <c r="B21" s="186"/>
      <c r="C21" s="186"/>
      <c r="D21" s="186"/>
      <c r="E21" s="186"/>
      <c r="F21" s="186"/>
      <c r="G21" s="186"/>
      <c r="H21" s="19"/>
      <c r="I21" s="188"/>
      <c r="J21" s="188"/>
      <c r="K21" s="188"/>
      <c r="L21" s="188"/>
      <c r="M21" s="188"/>
      <c r="N21" s="188"/>
    </row>
    <row r="22" spans="1:14">
      <c r="A22" s="185" t="s">
        <v>327</v>
      </c>
      <c r="B22" s="187">
        <v>5</v>
      </c>
      <c r="C22" s="186"/>
      <c r="D22" s="186"/>
      <c r="E22" s="186"/>
      <c r="F22" s="186"/>
      <c r="G22" s="186"/>
      <c r="H22" s="19"/>
      <c r="I22" s="188">
        <v>3.1419999999999998E-3</v>
      </c>
      <c r="J22" s="188"/>
      <c r="K22" s="188"/>
      <c r="L22" s="188"/>
      <c r="M22" s="188"/>
      <c r="N22" s="188"/>
    </row>
    <row r="23" spans="1:14">
      <c r="A23" s="185" t="s">
        <v>251</v>
      </c>
      <c r="B23" s="186"/>
      <c r="C23" s="186"/>
      <c r="D23" s="186"/>
      <c r="E23" s="187">
        <v>20</v>
      </c>
      <c r="F23" s="186"/>
      <c r="G23" s="186"/>
      <c r="H23" s="19"/>
      <c r="I23" s="188"/>
      <c r="J23" s="188"/>
      <c r="K23" s="188"/>
      <c r="L23" s="188">
        <v>2.2620000000000001E-3</v>
      </c>
      <c r="M23" s="188"/>
      <c r="N23" s="188"/>
    </row>
    <row r="24" spans="1:14">
      <c r="A24" s="185" t="s">
        <v>328</v>
      </c>
      <c r="B24" s="186"/>
      <c r="C24" s="187">
        <v>6</v>
      </c>
      <c r="D24" s="187">
        <v>1</v>
      </c>
      <c r="E24" s="187">
        <v>2</v>
      </c>
      <c r="F24" s="186"/>
      <c r="G24" s="186"/>
      <c r="H24" s="19"/>
      <c r="I24" s="188"/>
      <c r="J24" s="188">
        <v>0.1676</v>
      </c>
      <c r="K24" s="188">
        <v>2.827E-2</v>
      </c>
      <c r="L24" s="188">
        <v>3.6639999999999999E-2</v>
      </c>
      <c r="M24" s="188"/>
      <c r="N24" s="188"/>
    </row>
    <row r="25" spans="1:14">
      <c r="A25" s="185" t="s">
        <v>329</v>
      </c>
      <c r="B25" s="186"/>
      <c r="C25" s="186"/>
      <c r="D25" s="186"/>
      <c r="E25" s="187">
        <v>4</v>
      </c>
      <c r="F25" s="186"/>
      <c r="G25" s="186"/>
      <c r="H25" s="19"/>
      <c r="I25" s="188"/>
      <c r="J25" s="188"/>
      <c r="K25" s="188"/>
      <c r="L25" s="188">
        <v>0.1239</v>
      </c>
      <c r="M25" s="188"/>
      <c r="N25" s="188"/>
    </row>
    <row r="26" spans="1:14">
      <c r="A26" s="185" t="s">
        <v>330</v>
      </c>
      <c r="B26" s="187">
        <v>5</v>
      </c>
      <c r="C26" s="187">
        <v>4</v>
      </c>
      <c r="D26" s="187">
        <v>8</v>
      </c>
      <c r="E26" s="187">
        <v>15</v>
      </c>
      <c r="F26" s="187">
        <v>2</v>
      </c>
      <c r="G26" s="187">
        <v>4</v>
      </c>
      <c r="H26" s="19"/>
      <c r="I26" s="188">
        <v>9.4079999999999997E-2</v>
      </c>
      <c r="J26" s="188">
        <v>6.8629999999999997E-2</v>
      </c>
      <c r="K26" s="188">
        <v>0.2681</v>
      </c>
      <c r="L26" s="188">
        <v>0.76449999999999996</v>
      </c>
      <c r="M26" s="188">
        <v>9.6509999999999999E-2</v>
      </c>
      <c r="N26" s="188">
        <v>0.17730000000000001</v>
      </c>
    </row>
    <row r="27" spans="1:14">
      <c r="A27" s="185" t="s">
        <v>255</v>
      </c>
      <c r="B27" s="186"/>
      <c r="C27" s="186"/>
      <c r="D27" s="186"/>
      <c r="E27" s="186"/>
      <c r="F27" s="186"/>
      <c r="G27" s="186"/>
      <c r="H27" s="19"/>
      <c r="I27" s="188"/>
      <c r="J27" s="188"/>
      <c r="K27" s="188"/>
      <c r="L27" s="188"/>
      <c r="M27" s="188"/>
      <c r="N27" s="188"/>
    </row>
    <row r="28" spans="1:14">
      <c r="A28" s="185" t="s">
        <v>256</v>
      </c>
      <c r="B28" s="186"/>
      <c r="C28" s="187">
        <v>60</v>
      </c>
      <c r="D28" s="187">
        <v>480</v>
      </c>
      <c r="E28" s="187">
        <v>240</v>
      </c>
      <c r="F28" s="187">
        <v>40</v>
      </c>
      <c r="G28" s="187">
        <v>20</v>
      </c>
      <c r="H28" s="19"/>
      <c r="I28" s="188"/>
      <c r="J28" s="188">
        <v>3.9269999999999999E-3</v>
      </c>
      <c r="K28" s="188">
        <v>6.7860000000000004E-3</v>
      </c>
      <c r="L28" s="188">
        <v>8.0420000000000005E-3</v>
      </c>
      <c r="M28" s="188">
        <v>5.6550000000000003E-4</v>
      </c>
      <c r="N28" s="188">
        <v>6.7020000000000003E-4</v>
      </c>
    </row>
    <row r="29" spans="1:14">
      <c r="A29" s="185" t="s">
        <v>331</v>
      </c>
      <c r="B29" s="187">
        <v>40</v>
      </c>
      <c r="C29" s="186"/>
      <c r="D29" s="187">
        <v>5</v>
      </c>
      <c r="E29" s="186"/>
      <c r="F29" s="186"/>
      <c r="G29" s="187">
        <v>60</v>
      </c>
      <c r="H29" s="19"/>
      <c r="I29" s="188">
        <v>1.696E-3</v>
      </c>
      <c r="J29" s="188"/>
      <c r="K29" s="188">
        <v>3.3510000000000001E-4</v>
      </c>
      <c r="L29" s="188"/>
      <c r="M29" s="188"/>
      <c r="N29" s="188">
        <v>3.519E-3</v>
      </c>
    </row>
    <row r="30" spans="1:14">
      <c r="A30" s="185" t="s">
        <v>258</v>
      </c>
      <c r="B30" s="187">
        <v>3040</v>
      </c>
      <c r="C30" s="187">
        <v>680</v>
      </c>
      <c r="D30" s="187">
        <v>800</v>
      </c>
      <c r="E30" s="187">
        <v>160</v>
      </c>
      <c r="F30" s="187">
        <v>440</v>
      </c>
      <c r="G30" s="187">
        <v>60</v>
      </c>
      <c r="H30" s="19"/>
      <c r="I30" s="188">
        <v>5.2159999999999998E-2</v>
      </c>
      <c r="J30" s="188">
        <v>9.613E-3</v>
      </c>
      <c r="K30" s="188">
        <v>1.1310000000000001E-2</v>
      </c>
      <c r="L30" s="188">
        <v>2.2620000000000001E-3</v>
      </c>
      <c r="M30" s="188">
        <v>1.474E-2</v>
      </c>
      <c r="N30" s="188">
        <v>8.4820000000000002E-4</v>
      </c>
    </row>
    <row r="31" spans="1:14">
      <c r="A31" s="185" t="s">
        <v>332</v>
      </c>
      <c r="B31" s="186"/>
      <c r="C31" s="186"/>
      <c r="D31" s="187">
        <v>160</v>
      </c>
      <c r="E31" s="186"/>
      <c r="F31" s="186"/>
      <c r="G31" s="186"/>
      <c r="H31" s="19"/>
      <c r="I31" s="188"/>
      <c r="J31" s="188"/>
      <c r="K31" s="188">
        <v>6.2830000000000004E-3</v>
      </c>
      <c r="L31" s="188"/>
      <c r="M31" s="188"/>
      <c r="N31" s="188"/>
    </row>
    <row r="32" spans="1:14">
      <c r="A32" s="185" t="s">
        <v>262</v>
      </c>
      <c r="B32" s="186"/>
      <c r="C32" s="186"/>
      <c r="D32" s="186"/>
      <c r="E32" s="186"/>
      <c r="F32" s="186"/>
      <c r="G32" s="187">
        <v>40</v>
      </c>
      <c r="H32" s="19"/>
      <c r="I32" s="188"/>
      <c r="J32" s="188"/>
      <c r="K32" s="188"/>
      <c r="L32" s="188"/>
      <c r="M32" s="188"/>
      <c r="N32" s="188">
        <v>5.6550000000000003E-4</v>
      </c>
    </row>
    <row r="33" spans="1:14">
      <c r="A33" s="185" t="s">
        <v>263</v>
      </c>
      <c r="B33" s="186"/>
      <c r="C33" s="186"/>
      <c r="D33" s="186"/>
      <c r="E33" s="186"/>
      <c r="F33" s="186"/>
      <c r="G33" s="186"/>
      <c r="H33" s="19"/>
      <c r="I33" s="188"/>
      <c r="J33" s="188"/>
      <c r="K33" s="188"/>
      <c r="L33" s="188"/>
      <c r="M33" s="188"/>
      <c r="N33" s="188"/>
    </row>
    <row r="34" spans="1:14">
      <c r="A34" s="185" t="s">
        <v>264</v>
      </c>
      <c r="B34" s="186"/>
      <c r="C34" s="186"/>
      <c r="D34" s="186"/>
      <c r="E34" s="186"/>
      <c r="F34" s="186"/>
      <c r="G34" s="186"/>
      <c r="H34" s="19"/>
      <c r="I34" s="188"/>
      <c r="J34" s="188"/>
      <c r="K34" s="188"/>
      <c r="L34" s="188"/>
      <c r="M34" s="188"/>
      <c r="N34" s="188"/>
    </row>
    <row r="35" spans="1:14">
      <c r="A35" s="185" t="s">
        <v>265</v>
      </c>
      <c r="B35" s="187">
        <v>160</v>
      </c>
      <c r="C35" s="187">
        <v>60</v>
      </c>
      <c r="D35" s="187">
        <v>160</v>
      </c>
      <c r="E35" s="187">
        <v>240</v>
      </c>
      <c r="F35" s="187">
        <v>1080</v>
      </c>
      <c r="G35" s="187">
        <v>100</v>
      </c>
      <c r="H35" s="19"/>
      <c r="I35" s="188">
        <v>6.7020000000000003E-4</v>
      </c>
      <c r="J35" s="188">
        <v>8.4820000000000002E-4</v>
      </c>
      <c r="K35" s="188">
        <v>2.2620000000000001E-3</v>
      </c>
      <c r="L35" s="188">
        <v>3.3930000000000002E-3</v>
      </c>
      <c r="M35" s="188">
        <v>1.5270000000000001E-2</v>
      </c>
      <c r="N35" s="188">
        <v>1.4139999999999999E-3</v>
      </c>
    </row>
    <row r="36" spans="1:14">
      <c r="A36" s="185" t="s">
        <v>333</v>
      </c>
      <c r="B36" s="187">
        <v>45</v>
      </c>
      <c r="C36" s="186"/>
      <c r="D36" s="187">
        <v>40</v>
      </c>
      <c r="E36" s="187">
        <v>2</v>
      </c>
      <c r="F36" s="186"/>
      <c r="G36" s="186"/>
      <c r="H36" s="19"/>
      <c r="I36" s="188">
        <v>1.6590000000000001E-2</v>
      </c>
      <c r="J36" s="188"/>
      <c r="K36" s="188">
        <v>1.1780000000000001E-2</v>
      </c>
      <c r="L36" s="188">
        <v>4.5239999999999999E-4</v>
      </c>
      <c r="M36" s="188"/>
      <c r="N36" s="188"/>
    </row>
    <row r="37" spans="1:14">
      <c r="A37" s="185" t="s">
        <v>269</v>
      </c>
      <c r="B37" s="186"/>
      <c r="C37" s="186"/>
      <c r="D37" s="186"/>
      <c r="E37" s="186"/>
      <c r="F37" s="186"/>
      <c r="G37" s="186"/>
      <c r="H37" s="19"/>
      <c r="I37" s="188"/>
      <c r="J37" s="188"/>
      <c r="K37" s="188"/>
      <c r="L37" s="188"/>
      <c r="M37" s="188"/>
      <c r="N37" s="188"/>
    </row>
    <row r="38" spans="1:14">
      <c r="A38" s="185" t="s">
        <v>334</v>
      </c>
      <c r="B38" s="186"/>
      <c r="C38" s="186"/>
      <c r="D38" s="186"/>
      <c r="E38" s="186"/>
      <c r="F38" s="186"/>
      <c r="G38" s="187">
        <v>10560</v>
      </c>
      <c r="H38" s="19"/>
      <c r="I38" s="188"/>
      <c r="J38" s="188"/>
      <c r="K38" s="188"/>
      <c r="L38" s="188"/>
      <c r="M38" s="188"/>
      <c r="N38" s="188">
        <v>4.0309999999999999E-3</v>
      </c>
    </row>
    <row r="39" spans="1:14">
      <c r="A39" s="185" t="s">
        <v>335</v>
      </c>
      <c r="B39" s="186"/>
      <c r="C39" s="187">
        <v>800</v>
      </c>
      <c r="D39" s="187">
        <v>271360</v>
      </c>
      <c r="E39" s="187">
        <v>1200</v>
      </c>
      <c r="F39" s="186"/>
      <c r="G39" s="186"/>
      <c r="H39" s="19"/>
      <c r="I39" s="188"/>
      <c r="J39" s="188">
        <v>4.1889999999999999E-4</v>
      </c>
      <c r="K39" s="188">
        <v>0.1421</v>
      </c>
      <c r="L39" s="188">
        <v>2.5739999999999999E-3</v>
      </c>
      <c r="M39" s="188"/>
      <c r="N39" s="188"/>
    </row>
    <row r="40" spans="1:14">
      <c r="A40" s="185" t="s">
        <v>280</v>
      </c>
      <c r="B40" s="186"/>
      <c r="C40" s="186"/>
      <c r="D40" s="187">
        <v>5</v>
      </c>
      <c r="E40" s="186"/>
      <c r="F40" s="186"/>
      <c r="G40" s="186"/>
      <c r="H40" s="19"/>
      <c r="I40" s="188"/>
      <c r="J40" s="188"/>
      <c r="K40" s="188">
        <v>6.5970000000000004E-4</v>
      </c>
      <c r="L40" s="188"/>
      <c r="M40" s="188"/>
      <c r="N40" s="188"/>
    </row>
    <row r="41" spans="1:14">
      <c r="A41" s="185" t="s">
        <v>336</v>
      </c>
      <c r="B41" s="186"/>
      <c r="C41" s="186"/>
      <c r="D41" s="186"/>
      <c r="E41" s="186"/>
      <c r="F41" s="186"/>
      <c r="G41" s="187">
        <v>15</v>
      </c>
      <c r="H41" s="19"/>
      <c r="I41" s="188"/>
      <c r="J41" s="188"/>
      <c r="K41" s="188"/>
      <c r="L41" s="188"/>
      <c r="M41" s="188"/>
      <c r="N41" s="188">
        <v>3.8479999999999999E-3</v>
      </c>
    </row>
    <row r="42" spans="1:14">
      <c r="A42" s="185" t="s">
        <v>337</v>
      </c>
      <c r="B42" s="186"/>
      <c r="C42" s="186"/>
      <c r="D42" s="187">
        <v>40</v>
      </c>
      <c r="E42" s="187">
        <v>4</v>
      </c>
      <c r="F42" s="186"/>
      <c r="G42" s="187">
        <v>10</v>
      </c>
      <c r="H42" s="19"/>
      <c r="I42" s="188"/>
      <c r="J42" s="188"/>
      <c r="K42" s="188">
        <v>4.9740000000000001E-3</v>
      </c>
      <c r="L42" s="188">
        <v>9.2360000000000001E-4</v>
      </c>
      <c r="M42" s="188"/>
      <c r="N42" s="188">
        <v>1.178E-3</v>
      </c>
    </row>
    <row r="43" spans="1:14">
      <c r="A43" s="185" t="s">
        <v>285</v>
      </c>
      <c r="B43" s="186"/>
      <c r="C43" s="187">
        <v>5</v>
      </c>
      <c r="D43" s="187">
        <v>4</v>
      </c>
      <c r="E43" s="186"/>
      <c r="F43" s="187">
        <v>14</v>
      </c>
      <c r="G43" s="186"/>
      <c r="H43" s="19"/>
      <c r="I43" s="188"/>
      <c r="J43" s="188">
        <v>3.2939999999999997E-2</v>
      </c>
      <c r="K43" s="188">
        <v>1.7590000000000001E-2</v>
      </c>
      <c r="L43" s="188"/>
      <c r="M43" s="188">
        <v>0.11</v>
      </c>
      <c r="N43" s="188"/>
    </row>
    <row r="44" spans="1:14">
      <c r="A44" s="185" t="s">
        <v>338</v>
      </c>
      <c r="B44" s="186"/>
      <c r="C44" s="186"/>
      <c r="D44" s="186"/>
      <c r="E44" s="186"/>
      <c r="F44" s="186"/>
      <c r="G44" s="187">
        <v>5</v>
      </c>
      <c r="H44" s="19"/>
      <c r="I44" s="188"/>
      <c r="J44" s="188"/>
      <c r="K44" s="188"/>
      <c r="L44" s="188"/>
      <c r="M44" s="188"/>
      <c r="N44" s="188">
        <v>2.9689999999999999E-3</v>
      </c>
    </row>
    <row r="45" spans="1:14">
      <c r="A45" s="185" t="s">
        <v>339</v>
      </c>
      <c r="B45" s="186"/>
      <c r="C45" s="186"/>
      <c r="D45" s="186"/>
      <c r="E45" s="187">
        <v>2</v>
      </c>
      <c r="F45" s="187">
        <v>2</v>
      </c>
      <c r="G45" s="186"/>
      <c r="H45" s="19"/>
      <c r="I45" s="188"/>
      <c r="J45" s="188"/>
      <c r="K45" s="188"/>
      <c r="L45" s="188">
        <v>2.0730000000000002E-3</v>
      </c>
      <c r="M45" s="188">
        <v>1.1310000000000001E-3</v>
      </c>
      <c r="N45" s="188"/>
    </row>
    <row r="46" spans="1:14">
      <c r="A46" s="185" t="s">
        <v>340</v>
      </c>
      <c r="B46" s="186"/>
      <c r="C46" s="186"/>
      <c r="D46" s="186"/>
      <c r="E46" s="186"/>
      <c r="F46" s="186"/>
      <c r="G46" s="187">
        <v>140</v>
      </c>
      <c r="H46" s="19"/>
      <c r="I46" s="188"/>
      <c r="J46" s="188"/>
      <c r="K46" s="188"/>
      <c r="L46" s="188"/>
      <c r="M46" s="188"/>
      <c r="N46" s="188">
        <v>1.4189999999999999E-3</v>
      </c>
    </row>
    <row r="47" spans="1:14">
      <c r="A47" s="185" t="s">
        <v>341</v>
      </c>
      <c r="B47" s="186"/>
      <c r="C47" s="186"/>
      <c r="D47" s="186"/>
      <c r="E47" s="186"/>
      <c r="F47" s="186"/>
      <c r="G47" s="187">
        <v>8</v>
      </c>
      <c r="H47" s="19"/>
      <c r="I47" s="188"/>
      <c r="J47" s="188"/>
      <c r="K47" s="188"/>
      <c r="L47" s="188"/>
      <c r="M47" s="188"/>
      <c r="N47" s="188">
        <v>7.9170000000000004E-3</v>
      </c>
    </row>
    <row r="48" spans="1:14">
      <c r="A48" s="185" t="s">
        <v>315</v>
      </c>
      <c r="B48" s="187">
        <v>8640</v>
      </c>
      <c r="C48" s="187">
        <v>60</v>
      </c>
      <c r="D48" s="186"/>
      <c r="E48" s="186"/>
      <c r="F48" s="186"/>
      <c r="G48" s="187">
        <v>60</v>
      </c>
      <c r="H48" s="19"/>
      <c r="I48" s="198">
        <v>0.79169999999999996</v>
      </c>
      <c r="J48" s="199">
        <v>1.2319999999999999E-2</v>
      </c>
      <c r="K48" s="186"/>
      <c r="L48" s="186"/>
      <c r="M48" s="186"/>
      <c r="N48" s="200">
        <v>7.0689999999999998E-3</v>
      </c>
    </row>
    <row r="49" spans="1:14" ht="15.75" thickBot="1">
      <c r="A49" s="189" t="s">
        <v>342</v>
      </c>
      <c r="B49" s="190"/>
      <c r="C49" s="190"/>
      <c r="D49" s="190"/>
      <c r="E49" s="190"/>
      <c r="F49" s="191">
        <v>2</v>
      </c>
      <c r="G49" s="190"/>
      <c r="H49" s="19"/>
      <c r="I49" s="190"/>
      <c r="J49" s="190"/>
      <c r="K49" s="190"/>
      <c r="L49" s="190"/>
      <c r="M49" s="201">
        <v>6.3550000000000004E-3</v>
      </c>
      <c r="N49" s="190"/>
    </row>
    <row r="50" spans="1:14" ht="15.75" thickBot="1">
      <c r="A50" s="193" t="s">
        <v>344</v>
      </c>
      <c r="B50" s="194">
        <f t="shared" ref="B50:G50" si="0">SUM(B5:B49)</f>
        <v>12150</v>
      </c>
      <c r="C50" s="194">
        <f t="shared" si="0"/>
        <v>2233</v>
      </c>
      <c r="D50" s="194">
        <f t="shared" si="0"/>
        <v>273478</v>
      </c>
      <c r="E50" s="194">
        <f t="shared" si="0"/>
        <v>16961</v>
      </c>
      <c r="F50" s="194">
        <f t="shared" si="0"/>
        <v>2080</v>
      </c>
      <c r="G50" s="194">
        <f t="shared" si="0"/>
        <v>11640</v>
      </c>
      <c r="H50" s="195"/>
      <c r="I50" s="194">
        <f t="shared" ref="I50:N50" si="1">SUM(I5:I49)</f>
        <v>0.98071989999999998</v>
      </c>
      <c r="J50" s="194">
        <f t="shared" si="1"/>
        <v>0.32398510000000003</v>
      </c>
      <c r="K50" s="194">
        <f t="shared" si="1"/>
        <v>0.50642949999999998</v>
      </c>
      <c r="L50" s="194">
        <f t="shared" si="1"/>
        <v>0.96372599999999986</v>
      </c>
      <c r="M50" s="194">
        <f t="shared" si="1"/>
        <v>0.39779809999999999</v>
      </c>
      <c r="N50" s="194">
        <f t="shared" si="1"/>
        <v>0.33618585000000012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README</vt:lpstr>
      <vt:lpstr>Methods</vt:lpstr>
      <vt:lpstr>Sampling-analysis dates</vt:lpstr>
      <vt:lpstr>Vrchlice data</vt:lpstr>
      <vt:lpstr> Souš data</vt:lpstr>
      <vt:lpstr>Ge specific method</vt:lpstr>
      <vt:lpstr>Vrchlice phytoplankton data</vt:lpstr>
      <vt:lpstr> Souš phytoplankton data</vt:lpstr>
      <vt:lpstr>Methods!_Hlk200963152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Matousek</dc:creator>
  <cp:lastModifiedBy>Montserrat Filella</cp:lastModifiedBy>
  <dcterms:created xsi:type="dcterms:W3CDTF">2025-01-13T11:35:19Z</dcterms:created>
  <dcterms:modified xsi:type="dcterms:W3CDTF">2026-03-17T16:46:36Z</dcterms:modified>
</cp:coreProperties>
</file>