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hassler\Documents\Postdoc\PleistoDem\Ca mth\Article\JAAS review 1\Resubmission\"/>
    </mc:Choice>
  </mc:AlternateContent>
  <xr:revisionPtr revIDLastSave="0" documentId="13_ncr:1_{075AA982-199F-4BF3-B959-E8CE1DFFF86F}" xr6:coauthVersionLast="47" xr6:coauthVersionMax="47" xr10:uidLastSave="{00000000-0000-0000-0000-000000000000}"/>
  <bookViews>
    <workbookView xWindow="-120" yWindow="-120" windowWidth="20730" windowHeight="11160" activeTab="2" xr2:uid="{00000000-000D-0000-FFFF-FFFF00000000}"/>
  </bookViews>
  <sheets>
    <sheet name="TABLE S2" sheetId="1" r:id="rId1"/>
    <sheet name="TABLE S4" sheetId="4" r:id="rId2"/>
    <sheet name="TABLE S3" sheetId="2" r:id="rId3"/>
    <sheet name="TABLE S5"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80" i="2" l="1"/>
  <c r="AB93" i="2"/>
  <c r="C94" i="2"/>
  <c r="AA93" i="2"/>
  <c r="Z93" i="2"/>
  <c r="L93" i="2"/>
  <c r="K92" i="2"/>
  <c r="AA92" i="2" s="1"/>
  <c r="J92" i="2"/>
  <c r="Z91" i="2"/>
  <c r="K91" i="2"/>
  <c r="AC91" i="2" s="1"/>
  <c r="J91" i="2"/>
  <c r="K90" i="2"/>
  <c r="AA90" i="2" s="1"/>
  <c r="J90" i="2"/>
  <c r="K89" i="2"/>
  <c r="J89" i="2"/>
  <c r="K88" i="2"/>
  <c r="AA88" i="2" s="1"/>
  <c r="J88" i="2"/>
  <c r="AC87" i="2"/>
  <c r="Z87" i="2"/>
  <c r="L87" i="2"/>
  <c r="J87" i="2"/>
  <c r="K86" i="2"/>
  <c r="J86" i="2"/>
  <c r="K85" i="2"/>
  <c r="AC85" i="2" s="1"/>
  <c r="J85" i="2"/>
  <c r="K84" i="2"/>
  <c r="AA84" i="2" s="1"/>
  <c r="J84" i="2"/>
  <c r="AC83" i="2"/>
  <c r="L83" i="2"/>
  <c r="J83" i="2"/>
  <c r="Z82" i="2"/>
  <c r="K82" i="2"/>
  <c r="AC82" i="2" s="1"/>
  <c r="AA81" i="2"/>
  <c r="Z81" i="2"/>
  <c r="L81" i="2"/>
  <c r="L80" i="2"/>
  <c r="Z79" i="2"/>
  <c r="L79" i="2"/>
  <c r="AA78" i="2"/>
  <c r="L78" i="2"/>
  <c r="AA77" i="2"/>
  <c r="L77" i="2"/>
  <c r="Z76" i="2"/>
  <c r="L76" i="2"/>
  <c r="L75" i="2"/>
  <c r="AA74" i="2"/>
  <c r="Z74" i="2"/>
  <c r="L74" i="2"/>
  <c r="L73" i="2"/>
  <c r="J73" i="2"/>
  <c r="I71" i="2"/>
  <c r="C72" i="2"/>
  <c r="X69" i="2"/>
  <c r="H69" i="2"/>
  <c r="H68" i="2"/>
  <c r="D67" i="2"/>
  <c r="T68" i="2" s="1"/>
  <c r="C67" i="2"/>
  <c r="J66" i="2"/>
  <c r="F66" i="2"/>
  <c r="J65" i="2"/>
  <c r="W38" i="2"/>
  <c r="AB50" i="2"/>
  <c r="C53" i="2"/>
  <c r="J53" i="2" s="1"/>
  <c r="AB52" i="2"/>
  <c r="Z52" i="2"/>
  <c r="K52" i="2"/>
  <c r="AB51" i="2"/>
  <c r="Z51" i="2"/>
  <c r="L51" i="2"/>
  <c r="Z50" i="2"/>
  <c r="L50" i="2"/>
  <c r="AB49" i="2"/>
  <c r="L49" i="2"/>
  <c r="AB48" i="2"/>
  <c r="Z48" i="2"/>
  <c r="L48" i="2"/>
  <c r="AB47" i="2"/>
  <c r="Z47" i="2"/>
  <c r="L47" i="2"/>
  <c r="I45" i="2"/>
  <c r="C46" i="2"/>
  <c r="H43" i="2"/>
  <c r="X42" i="2"/>
  <c r="H42" i="2"/>
  <c r="D41" i="2"/>
  <c r="T42" i="2" s="1"/>
  <c r="C41" i="2"/>
  <c r="C54" i="2" s="1"/>
  <c r="AB40" i="2"/>
  <c r="V40" i="2"/>
  <c r="J40" i="2"/>
  <c r="F40" i="2"/>
  <c r="AB39" i="2"/>
  <c r="V39" i="2"/>
  <c r="J39" i="2"/>
  <c r="F39" i="2"/>
  <c r="AB38" i="2"/>
  <c r="V38" i="2"/>
  <c r="J38" i="2"/>
  <c r="F38" i="2"/>
  <c r="AB37" i="2"/>
  <c r="V37" i="2"/>
  <c r="J37" i="2"/>
  <c r="F37" i="2"/>
  <c r="AB36" i="2"/>
  <c r="V36" i="2"/>
  <c r="J36" i="2"/>
  <c r="F36" i="2"/>
  <c r="AA20" i="2"/>
  <c r="AB7" i="2"/>
  <c r="K23" i="2"/>
  <c r="J23" i="2"/>
  <c r="K22" i="2"/>
  <c r="J22" i="2"/>
  <c r="K21" i="2"/>
  <c r="J21" i="2"/>
  <c r="C21" i="2"/>
  <c r="C24" i="2" s="1"/>
  <c r="L20" i="2"/>
  <c r="L19" i="2"/>
  <c r="L18" i="2"/>
  <c r="L17" i="2"/>
  <c r="L16" i="2"/>
  <c r="L15" i="2"/>
  <c r="C14" i="2"/>
  <c r="H11" i="2"/>
  <c r="D10" i="2"/>
  <c r="C10" i="2"/>
  <c r="J9" i="2"/>
  <c r="F9" i="2"/>
  <c r="J8" i="2"/>
  <c r="F8" i="2"/>
  <c r="J7" i="2"/>
  <c r="E7" i="2"/>
  <c r="W6" i="2"/>
  <c r="J6" i="2"/>
  <c r="J5" i="2"/>
  <c r="F5" i="2"/>
  <c r="Q25" i="3"/>
  <c r="AB19" i="2" l="1"/>
  <c r="T12" i="2"/>
  <c r="AA17" i="2"/>
  <c r="V9" i="2"/>
  <c r="V101" i="2"/>
  <c r="V5" i="2"/>
  <c r="V8" i="2"/>
  <c r="AB18" i="2"/>
  <c r="AC20" i="2"/>
  <c r="Z21" i="2"/>
  <c r="AB66" i="2"/>
  <c r="X68" i="2"/>
  <c r="Z78" i="2"/>
  <c r="AB86" i="2"/>
  <c r="Z89" i="2"/>
  <c r="AB90" i="2"/>
  <c r="AB15" i="2"/>
  <c r="I13" i="2"/>
  <c r="Y45" i="2"/>
  <c r="AB65" i="2"/>
  <c r="Z75" i="2"/>
  <c r="Z77" i="2"/>
  <c r="Z80" i="2"/>
  <c r="W7" i="2"/>
  <c r="G14" i="2"/>
  <c r="AA15" i="2"/>
  <c r="AA16" i="2"/>
  <c r="AC17" i="2"/>
  <c r="AC18" i="2"/>
  <c r="AC19" i="2"/>
  <c r="AA21" i="2"/>
  <c r="AA23" i="2"/>
  <c r="J41" i="2"/>
  <c r="J54" i="2" s="1"/>
  <c r="L84" i="2"/>
  <c r="W5" i="2"/>
  <c r="Y11" i="2"/>
  <c r="AC16" i="2"/>
  <c r="J24" i="2"/>
  <c r="P5" i="2" s="1"/>
  <c r="N107" i="2"/>
  <c r="V41" i="2"/>
  <c r="V59" i="2" s="1"/>
  <c r="T43" i="2"/>
  <c r="V65" i="2"/>
  <c r="X71" i="2"/>
  <c r="AB75" i="2"/>
  <c r="AB76" i="2"/>
  <c r="AB79" i="2"/>
  <c r="AB80" i="2"/>
  <c r="AA82" i="2"/>
  <c r="Z84" i="2"/>
  <c r="AA85" i="2"/>
  <c r="AB87" i="2"/>
  <c r="AC90" i="2"/>
  <c r="AA91" i="2"/>
  <c r="AB92" i="2"/>
  <c r="W8" i="2"/>
  <c r="W9" i="2"/>
  <c r="T11" i="2"/>
  <c r="AC15" i="2"/>
  <c r="AA18" i="2"/>
  <c r="AA19" i="2"/>
  <c r="AC21" i="2"/>
  <c r="X43" i="2"/>
  <c r="Z49" i="2"/>
  <c r="W65" i="2"/>
  <c r="V66" i="2"/>
  <c r="V67" i="2"/>
  <c r="V100" i="2" s="1"/>
  <c r="T69" i="2"/>
  <c r="Y70" i="2"/>
  <c r="Y71" i="2"/>
  <c r="AA73" i="2"/>
  <c r="AB74" i="2"/>
  <c r="AC75" i="2"/>
  <c r="AC76" i="2"/>
  <c r="AB77" i="2"/>
  <c r="AB78" i="2"/>
  <c r="AC79" i="2"/>
  <c r="AB81" i="2"/>
  <c r="AB82" i="2"/>
  <c r="AB84" i="2"/>
  <c r="AC84" i="2"/>
  <c r="Z86" i="2"/>
  <c r="AC88" i="2"/>
  <c r="Z90" i="2"/>
  <c r="AB91" i="2"/>
  <c r="Z92" i="2"/>
  <c r="E10" i="2"/>
  <c r="W10" i="2" s="1"/>
  <c r="W29" i="2" s="1"/>
  <c r="W30" i="2" s="1"/>
  <c r="T13" i="2"/>
  <c r="T70" i="2"/>
  <c r="P6" i="2"/>
  <c r="T44" i="2"/>
  <c r="J67" i="2"/>
  <c r="T71" i="2"/>
  <c r="AB54" i="2"/>
  <c r="R43" i="2"/>
  <c r="R42" i="2"/>
  <c r="AC22" i="2"/>
  <c r="L22" i="2"/>
  <c r="AA50" i="2"/>
  <c r="AC48" i="2"/>
  <c r="AC51" i="2"/>
  <c r="AA49" i="2"/>
  <c r="AC47" i="2"/>
  <c r="AC50" i="2"/>
  <c r="AC49" i="2"/>
  <c r="W40" i="2"/>
  <c r="W36" i="2"/>
  <c r="AA52" i="2"/>
  <c r="AA51" i="2"/>
  <c r="AA48" i="2"/>
  <c r="AA47" i="2"/>
  <c r="Y42" i="2"/>
  <c r="W37" i="2"/>
  <c r="C96" i="2"/>
  <c r="Z73" i="2"/>
  <c r="J94" i="2"/>
  <c r="AB73" i="2"/>
  <c r="AA22" i="2"/>
  <c r="L23" i="2"/>
  <c r="Z22" i="2"/>
  <c r="Z19" i="2"/>
  <c r="AB17" i="2"/>
  <c r="Z15" i="2"/>
  <c r="X14" i="2"/>
  <c r="X13" i="2"/>
  <c r="X12" i="2"/>
  <c r="X11" i="2"/>
  <c r="AB8" i="2"/>
  <c r="V6" i="2"/>
  <c r="AB5" i="2"/>
  <c r="X31" i="2"/>
  <c r="X32" i="2" s="1"/>
  <c r="Z23" i="2"/>
  <c r="AB21" i="2"/>
  <c r="AB20" i="2"/>
  <c r="Z18" i="2"/>
  <c r="AB16" i="2"/>
  <c r="V10" i="2"/>
  <c r="AB9" i="2"/>
  <c r="V7" i="2"/>
  <c r="Y43" i="2"/>
  <c r="Y44" i="2"/>
  <c r="AB88" i="2"/>
  <c r="Z88" i="2"/>
  <c r="AB6" i="2"/>
  <c r="J10" i="2"/>
  <c r="J25" i="2" s="1"/>
  <c r="R11" i="2" s="1"/>
  <c r="AB10" i="2"/>
  <c r="Y12" i="2"/>
  <c r="Y13" i="2"/>
  <c r="AB22" i="2"/>
  <c r="AB23" i="2"/>
  <c r="AB24" i="2"/>
  <c r="C26" i="2"/>
  <c r="T31" i="2"/>
  <c r="T32" i="2" s="1"/>
  <c r="W39" i="2"/>
  <c r="C56" i="2"/>
  <c r="AB89" i="2"/>
  <c r="H14" i="2"/>
  <c r="C97" i="2"/>
  <c r="T14" i="2"/>
  <c r="Z16" i="2"/>
  <c r="Z17" i="2"/>
  <c r="Z20" i="2"/>
  <c r="AC23" i="2"/>
  <c r="V31" i="2"/>
  <c r="V32" i="2" s="1"/>
  <c r="C55" i="2"/>
  <c r="AC52" i="2"/>
  <c r="AB53" i="2"/>
  <c r="Z53" i="2"/>
  <c r="Z59" i="2" s="1"/>
  <c r="Z60" i="2"/>
  <c r="Z61" i="2" s="1"/>
  <c r="C95" i="2"/>
  <c r="Y69" i="2"/>
  <c r="Z83" i="2"/>
  <c r="AB83" i="2"/>
  <c r="AB85" i="2"/>
  <c r="Z85" i="2"/>
  <c r="V102" i="2"/>
  <c r="V110" i="2" s="1"/>
  <c r="V109" i="2"/>
  <c r="C25" i="2"/>
  <c r="C27" i="2"/>
  <c r="AB41" i="2"/>
  <c r="G46" i="2"/>
  <c r="R44" i="2"/>
  <c r="X44" i="2"/>
  <c r="X45" i="2"/>
  <c r="R45" i="2"/>
  <c r="AC86" i="2"/>
  <c r="L86" i="2"/>
  <c r="AC89" i="2"/>
  <c r="L89" i="2"/>
  <c r="AC93" i="2"/>
  <c r="AA83" i="2"/>
  <c r="AA80" i="2"/>
  <c r="AC78" i="2"/>
  <c r="AA76" i="2"/>
  <c r="AC74" i="2"/>
  <c r="W66" i="2"/>
  <c r="AA87" i="2"/>
  <c r="AC81" i="2"/>
  <c r="AA79" i="2"/>
  <c r="AC77" i="2"/>
  <c r="AA75" i="2"/>
  <c r="AC73" i="2"/>
  <c r="L21" i="2"/>
  <c r="E41" i="2"/>
  <c r="U45" i="2"/>
  <c r="T45" i="2"/>
  <c r="V60" i="2"/>
  <c r="V61" i="2" s="1"/>
  <c r="G72" i="2"/>
  <c r="H72" i="2" s="1"/>
  <c r="AA86" i="2"/>
  <c r="AA89" i="2"/>
  <c r="L90" i="2"/>
  <c r="AC92" i="2"/>
  <c r="L92" i="2"/>
  <c r="K53" i="2"/>
  <c r="AB67" i="2"/>
  <c r="Y68" i="2"/>
  <c r="X70" i="2"/>
  <c r="K94" i="2"/>
  <c r="E67" i="2"/>
  <c r="L85" i="2"/>
  <c r="L88" i="2"/>
  <c r="K24" i="2" l="1"/>
  <c r="Z24" i="2"/>
  <c r="U13" i="2"/>
  <c r="Z31" i="2"/>
  <c r="Z32" i="2" s="1"/>
  <c r="U11" i="2"/>
  <c r="F10" i="2"/>
  <c r="U12" i="2"/>
  <c r="R13" i="2"/>
  <c r="J95" i="2"/>
  <c r="R71" i="2" s="1"/>
  <c r="Y72" i="2"/>
  <c r="Y99" i="2" s="1"/>
  <c r="Y100" i="2" s="1"/>
  <c r="I72" i="2"/>
  <c r="U72" i="2"/>
  <c r="U99" i="2" s="1"/>
  <c r="R69" i="2"/>
  <c r="AB95" i="2"/>
  <c r="R68" i="2"/>
  <c r="R70" i="2"/>
  <c r="U69" i="2"/>
  <c r="AC94" i="2"/>
  <c r="L94" i="2"/>
  <c r="AA94" i="2"/>
  <c r="AA99" i="2" s="1"/>
  <c r="AA100" i="2" s="1"/>
  <c r="X46" i="2"/>
  <c r="X59" i="2" s="1"/>
  <c r="R46" i="2"/>
  <c r="R59" i="2" s="1"/>
  <c r="T60" i="2"/>
  <c r="T61" i="2" s="1"/>
  <c r="R60" i="2"/>
  <c r="R61" i="2" s="1"/>
  <c r="T46" i="2"/>
  <c r="T59" i="2" s="1"/>
  <c r="X60" i="2"/>
  <c r="X61" i="2" s="1"/>
  <c r="AB25" i="2"/>
  <c r="R14" i="2"/>
  <c r="AB94" i="2"/>
  <c r="Z101" i="2"/>
  <c r="Z94" i="2"/>
  <c r="Z100" i="2" s="1"/>
  <c r="H46" i="2"/>
  <c r="F67" i="2"/>
  <c r="U68" i="2"/>
  <c r="W67" i="2"/>
  <c r="W99" i="2" s="1"/>
  <c r="W100" i="2" s="1"/>
  <c r="U70" i="2"/>
  <c r="U71" i="2"/>
  <c r="T101" i="2"/>
  <c r="X72" i="2"/>
  <c r="X100" i="2" s="1"/>
  <c r="R72" i="2"/>
  <c r="R100" i="2" s="1"/>
  <c r="X101" i="2"/>
  <c r="R101" i="2"/>
  <c r="T72" i="2"/>
  <c r="T100" i="2" s="1"/>
  <c r="T30" i="2"/>
  <c r="AA24" i="2"/>
  <c r="AA29" i="2" s="1"/>
  <c r="AA30" i="2" s="1"/>
  <c r="Q6" i="2"/>
  <c r="AC24" i="2"/>
  <c r="K25" i="2"/>
  <c r="S14" i="2" s="1"/>
  <c r="S29" i="2" s="1"/>
  <c r="Q5" i="2"/>
  <c r="L24" i="2"/>
  <c r="Z30" i="2"/>
  <c r="U14" i="2"/>
  <c r="U29" i="2" s="1"/>
  <c r="I14" i="2"/>
  <c r="Y14" i="2"/>
  <c r="Y29" i="2" s="1"/>
  <c r="Y30" i="2" s="1"/>
  <c r="AC53" i="2"/>
  <c r="L53" i="2"/>
  <c r="AA53" i="2"/>
  <c r="AA58" i="2" s="1"/>
  <c r="AA59" i="2" s="1"/>
  <c r="U42" i="2"/>
  <c r="W41" i="2"/>
  <c r="W58" i="2" s="1"/>
  <c r="W59" i="2" s="1"/>
  <c r="F41" i="2"/>
  <c r="U44" i="2"/>
  <c r="U43" i="2"/>
  <c r="R12" i="2"/>
  <c r="K95" i="2"/>
  <c r="K54" i="2"/>
  <c r="V107" i="2"/>
  <c r="V30" i="2"/>
  <c r="X30" i="2"/>
  <c r="R31" i="2"/>
  <c r="R32" i="2" s="1"/>
  <c r="T107" i="2" l="1"/>
  <c r="X107" i="2"/>
  <c r="X108" i="2"/>
  <c r="L95" i="2"/>
  <c r="AC95" i="2"/>
  <c r="S68" i="2"/>
  <c r="S70" i="2"/>
  <c r="S69" i="2"/>
  <c r="S71" i="2"/>
  <c r="R109" i="2"/>
  <c r="R102" i="2"/>
  <c r="R110" i="2" s="1"/>
  <c r="J14" i="2" s="1"/>
  <c r="Z109" i="2"/>
  <c r="Z102" i="2"/>
  <c r="Z110" i="2" s="1"/>
  <c r="AA107" i="2"/>
  <c r="S72" i="2"/>
  <c r="S99" i="2" s="1"/>
  <c r="Z108" i="2"/>
  <c r="X102" i="2"/>
  <c r="X110" i="2" s="1"/>
  <c r="X109" i="2"/>
  <c r="T109" i="2"/>
  <c r="T102" i="2"/>
  <c r="T110" i="2" s="1"/>
  <c r="Y107" i="2"/>
  <c r="V108" i="2"/>
  <c r="L54" i="2"/>
  <c r="AC54" i="2"/>
  <c r="S45" i="2"/>
  <c r="S42" i="2"/>
  <c r="S43" i="2"/>
  <c r="S44" i="2"/>
  <c r="Z107" i="2"/>
  <c r="AC25" i="2"/>
  <c r="S11" i="2"/>
  <c r="L25" i="2"/>
  <c r="S13" i="2"/>
  <c r="S12" i="2"/>
  <c r="T108" i="2"/>
  <c r="W107" i="2"/>
  <c r="U46" i="2"/>
  <c r="U58" i="2" s="1"/>
  <c r="I46" i="2"/>
  <c r="Y46" i="2"/>
  <c r="Y58" i="2" s="1"/>
  <c r="Y59" i="2" s="1"/>
  <c r="S46" i="2"/>
  <c r="S58" i="2" s="1"/>
  <c r="R107" i="2"/>
  <c r="R30" i="2"/>
  <c r="AB68" i="2" l="1"/>
  <c r="AB42" i="2"/>
  <c r="J71" i="2"/>
  <c r="J70" i="2"/>
  <c r="J11" i="2"/>
  <c r="AB69" i="2"/>
  <c r="J45" i="2"/>
  <c r="J44" i="2"/>
  <c r="J69" i="2"/>
  <c r="J68" i="2"/>
  <c r="AB70" i="2"/>
  <c r="AB44" i="2"/>
  <c r="AB43" i="2"/>
  <c r="J43" i="2"/>
  <c r="AB71" i="2"/>
  <c r="AB45" i="2"/>
  <c r="J42" i="2"/>
  <c r="AB14" i="2"/>
  <c r="AB12" i="2"/>
  <c r="AB13" i="2"/>
  <c r="J12" i="2"/>
  <c r="AB11" i="2"/>
  <c r="J13" i="2"/>
  <c r="AB46" i="2"/>
  <c r="AB59" i="2" s="1"/>
  <c r="AC58" i="2" s="1"/>
  <c r="AC59" i="2" s="1"/>
  <c r="AB72" i="2"/>
  <c r="AB100" i="2" s="1"/>
  <c r="AC99" i="2" s="1"/>
  <c r="AC100" i="2" s="1"/>
  <c r="J72" i="2"/>
  <c r="J46" i="2"/>
  <c r="R108" i="2"/>
  <c r="J56" i="2" l="1"/>
  <c r="J55" i="2"/>
  <c r="K55" i="2"/>
  <c r="J26" i="2"/>
  <c r="K26" i="2" s="1"/>
  <c r="J27" i="2"/>
  <c r="AB107" i="2"/>
  <c r="AB30" i="2"/>
  <c r="J97" i="2"/>
  <c r="J96" i="2"/>
  <c r="K96" i="2" s="1"/>
  <c r="AB33" i="2" l="1"/>
  <c r="AB62" i="2"/>
  <c r="AB103" i="2"/>
  <c r="AB104" i="2" s="1"/>
  <c r="L26" i="2"/>
  <c r="Q9" i="2"/>
  <c r="Q8" i="2"/>
  <c r="Q7" i="2"/>
  <c r="AC26" i="2"/>
  <c r="Q10" i="2"/>
  <c r="Q29" i="2" s="1"/>
  <c r="AC96" i="2"/>
  <c r="Q65" i="2"/>
  <c r="L96" i="2"/>
  <c r="Q66" i="2"/>
  <c r="Q67" i="2"/>
  <c r="Q99" i="2" s="1"/>
  <c r="AC55" i="2"/>
  <c r="Q38" i="2"/>
  <c r="Q39" i="2"/>
  <c r="L55" i="2"/>
  <c r="Q40" i="2"/>
  <c r="Q37" i="2"/>
  <c r="Q36" i="2"/>
  <c r="Q41" i="2"/>
  <c r="Q58" i="2" s="1"/>
  <c r="AB108" i="2"/>
  <c r="AC29" i="2"/>
  <c r="AC30" i="2" s="1"/>
  <c r="AB55" i="2"/>
  <c r="P37" i="2"/>
  <c r="P38" i="2"/>
  <c r="P39" i="2"/>
  <c r="P36" i="2"/>
  <c r="P40" i="2"/>
  <c r="P60" i="2"/>
  <c r="P61" i="2" s="1"/>
  <c r="P41" i="2"/>
  <c r="P59" i="2" s="1"/>
  <c r="AB97" i="2"/>
  <c r="AB101" i="2"/>
  <c r="K97" i="2"/>
  <c r="P8" i="2"/>
  <c r="P9" i="2"/>
  <c r="AB26" i="2"/>
  <c r="P7" i="2"/>
  <c r="P10" i="2"/>
  <c r="P31" i="2"/>
  <c r="P32" i="2" s="1"/>
  <c r="AB96" i="2"/>
  <c r="P65" i="2"/>
  <c r="P101" i="2"/>
  <c r="P66" i="2"/>
  <c r="P67" i="2"/>
  <c r="P100" i="2" s="1"/>
  <c r="AB63" i="2"/>
  <c r="AB31" i="2"/>
  <c r="AB32" i="2" s="1"/>
  <c r="AB34" i="2"/>
  <c r="AB27" i="2"/>
  <c r="K27" i="2"/>
  <c r="AB56" i="2"/>
  <c r="AB60" i="2"/>
  <c r="AB61" i="2" s="1"/>
  <c r="K56" i="2"/>
  <c r="AB102" i="2" l="1"/>
  <c r="AB110" i="2" s="1"/>
  <c r="AB109" i="2"/>
  <c r="AC27" i="2"/>
  <c r="L27" i="2"/>
  <c r="P102" i="2"/>
  <c r="P110" i="2" s="1"/>
  <c r="P109" i="2"/>
  <c r="P107" i="2"/>
  <c r="P30" i="2"/>
  <c r="AC107" i="2"/>
  <c r="L56" i="2"/>
  <c r="AC56" i="2"/>
  <c r="L97" i="2"/>
  <c r="AC97" i="2"/>
  <c r="P10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tc={B4A2507D-01F8-41F1-9CE1-4F18C6416DE4}</author>
    <author>tc={35768558-3C57-4E41-B192-A05CCEC6755D}</author>
  </authors>
  <commentList>
    <comment ref="B36" authorId="0" shapeId="0" xr:uid="{B4A2507D-01F8-41F1-9CE1-4F18C6416DE4}">
      <text>
        <r>
          <rPr>
            <sz val="11"/>
            <color theme="1"/>
            <rFont val="Calibri"/>
            <family val="2"/>
            <scheme val="minor"/>
          </rPr>
          <t>Outliers</t>
        </r>
      </text>
    </comment>
    <comment ref="B37" authorId="1" shapeId="0" xr:uid="{35768558-3C57-4E41-B192-A05CCEC6755D}">
      <text>
        <r>
          <rPr>
            <sz val="11"/>
            <color theme="1"/>
            <rFont val="Calibri"/>
            <family val="2"/>
            <scheme val="minor"/>
          </rPr>
          <t>Outliers</t>
        </r>
      </text>
    </comment>
  </commentList>
</comments>
</file>

<file path=xl/sharedStrings.xml><?xml version="1.0" encoding="utf-8"?>
<sst xmlns="http://schemas.openxmlformats.org/spreadsheetml/2006/main" count="414" uniqueCount="163">
  <si>
    <t>TABLE S2: δCa values of Ca-spiked reference material matrices (matrice extracted through chromatography, spiked with 50 µg of Ca from alpha-Ottawa, purified a second time through identical chromatography)</t>
  </si>
  <si>
    <t>2SD (‰)</t>
  </si>
  <si>
    <t>2SE (‰)</t>
  </si>
  <si>
    <t>ID</t>
  </si>
  <si>
    <t>n</t>
  </si>
  <si>
    <t>44/42</t>
  </si>
  <si>
    <t>43/42</t>
  </si>
  <si>
    <t>44/43</t>
  </si>
  <si>
    <t>All</t>
  </si>
  <si>
    <t>CACB1</t>
  </si>
  <si>
    <t>-</t>
  </si>
  <si>
    <t>DOLT5</t>
  </si>
  <si>
    <t>DORM5</t>
  </si>
  <si>
    <t>SRM1486</t>
  </si>
  <si>
    <t>TORT3</t>
  </si>
  <si>
    <t>IAPSO</t>
  </si>
  <si>
    <t>TABLE S3: δ44/42Ca data set for SRM1486, SRM1400 and IAPSO (this study and literature). SRM1486 and IAPSO data are used for conversions between delta scales.</t>
  </si>
  <si>
    <t>Reference material</t>
  </si>
  <si>
    <t>Method</t>
  </si>
  <si>
    <r>
      <t>δ</t>
    </r>
    <r>
      <rPr>
        <b/>
        <vertAlign val="superscript"/>
        <sz val="12"/>
        <color theme="1"/>
        <rFont val="Calibri"/>
        <family val="2"/>
        <scheme val="minor"/>
      </rPr>
      <t>44/42</t>
    </r>
    <r>
      <rPr>
        <b/>
        <sz val="12"/>
        <color theme="1"/>
        <rFont val="Calibri"/>
        <family val="2"/>
        <scheme val="minor"/>
      </rPr>
      <t>Ca (‰)</t>
    </r>
  </si>
  <si>
    <t>2SD</t>
  </si>
  <si>
    <t>2SE</t>
  </si>
  <si>
    <r>
      <rPr>
        <b/>
        <sz val="12"/>
        <color theme="1"/>
        <rFont val="Aptos Narrow"/>
        <family val="2"/>
      </rPr>
      <t>Δ</t>
    </r>
    <r>
      <rPr>
        <b/>
        <vertAlign val="superscript"/>
        <sz val="12"/>
        <color theme="1"/>
        <rFont val="Calibri"/>
        <family val="2"/>
        <scheme val="minor"/>
      </rPr>
      <t>44/42</t>
    </r>
    <r>
      <rPr>
        <b/>
        <sz val="12"/>
        <color theme="1"/>
        <rFont val="Calibri"/>
        <family val="2"/>
        <scheme val="minor"/>
      </rPr>
      <t>Ca (‰)</t>
    </r>
  </si>
  <si>
    <t>References</t>
  </si>
  <si>
    <r>
      <t xml:space="preserve">rel. </t>
    </r>
    <r>
      <rPr>
        <b/>
        <i/>
        <sz val="8"/>
        <color theme="1"/>
        <rFont val="Calibri"/>
        <family val="2"/>
        <scheme val="minor"/>
      </rPr>
      <t>ICP Ca Lyon</t>
    </r>
  </si>
  <si>
    <r>
      <t xml:space="preserve">rel. </t>
    </r>
    <r>
      <rPr>
        <b/>
        <i/>
        <sz val="8"/>
        <color theme="1"/>
        <rFont val="Calibri"/>
        <family val="2"/>
        <scheme val="minor"/>
      </rPr>
      <t>WIGL</t>
    </r>
  </si>
  <si>
    <r>
      <t xml:space="preserve">rel. </t>
    </r>
    <r>
      <rPr>
        <b/>
        <i/>
        <sz val="8"/>
        <color theme="1"/>
        <rFont val="Calibri"/>
        <family val="2"/>
        <scheme val="minor"/>
      </rPr>
      <t>SRM915a</t>
    </r>
  </si>
  <si>
    <t>Lyon-SRM915a</t>
  </si>
  <si>
    <t>WIGL-SRM915a</t>
  </si>
  <si>
    <t>Ottawa-Lyon</t>
  </si>
  <si>
    <t>Ottawa-WIGL</t>
  </si>
  <si>
    <t>Ottawa-SRM915a</t>
  </si>
  <si>
    <r>
      <t xml:space="preserve">Martin, J. E., Tacail, T., Cerling, T. E., &amp; Balter, V. (2018). Calcium isotopes in enamel of modern and Plio-Pleistocene East African mammals. </t>
    </r>
    <r>
      <rPr>
        <i/>
        <sz val="11"/>
        <color theme="1"/>
        <rFont val="Calibri"/>
        <family val="2"/>
        <scheme val="minor"/>
      </rPr>
      <t>Earth and Planetary Science Letters</t>
    </r>
    <r>
      <rPr>
        <sz val="11"/>
        <color theme="1"/>
        <rFont val="Calibri"/>
        <family val="2"/>
        <scheme val="minor"/>
      </rPr>
      <t xml:space="preserve">, </t>
    </r>
    <r>
      <rPr>
        <i/>
        <sz val="11"/>
        <color theme="1"/>
        <rFont val="Calibri"/>
        <family val="2"/>
        <scheme val="minor"/>
      </rPr>
      <t>503</t>
    </r>
    <r>
      <rPr>
        <sz val="11"/>
        <color theme="1"/>
        <rFont val="Calibri"/>
        <family val="2"/>
        <scheme val="minor"/>
      </rPr>
      <t>, 227–235. https://doi.org/10.1016/j.epsl.2018.09.026</t>
    </r>
  </si>
  <si>
    <t>Hassler et al. 2018 Proc. Roy. Soc. B 285(1876), 20180197.;Martin et al. 2017a Curr. Biol. 27,1641-1644.; Martin et al. 2017b Palaeontology 60, 485-502.; Tacail et al. 2014  J. Anal. At. Spec. 29(3), 529-535.; Tacail et al. 2016  J. Anal. At. Spec. 31(1), 152-162.; Tacail et al. 2017 Proc. Nat. Acad. Sci. 201704412.</t>
  </si>
  <si>
    <r>
      <t xml:space="preserve">Dodat, P.-J., Tacail, T., Albalat, E., Gomez-Olivencia, A., Couture-Veschambre, C., Holliday, T., Madelaine, S., Martin, J. E., Rmoutilova, R., Maureille, B., &amp; Balter, V. (2021). Isotopic calcium biogeochemistry of MIS 5 fossil vertebrate bones : application to the study of the dietary reconstruction of Regourdou 1 Neandertal fossil. </t>
    </r>
    <r>
      <rPr>
        <i/>
        <sz val="11"/>
        <color theme="1"/>
        <rFont val="Calibri"/>
        <family val="2"/>
        <scheme val="minor"/>
      </rPr>
      <t>Journal of Human Evolution</t>
    </r>
    <r>
      <rPr>
        <sz val="11"/>
        <color theme="1"/>
        <rFont val="Calibri"/>
        <family val="2"/>
        <scheme val="minor"/>
      </rPr>
      <t xml:space="preserve">, </t>
    </r>
    <r>
      <rPr>
        <i/>
        <sz val="11"/>
        <color theme="1"/>
        <rFont val="Calibri"/>
        <family val="2"/>
        <scheme val="minor"/>
      </rPr>
      <t>151</t>
    </r>
    <r>
      <rPr>
        <sz val="11"/>
        <color theme="1"/>
        <rFont val="Calibri"/>
        <family val="2"/>
        <scheme val="minor"/>
      </rPr>
      <t>, 102925. https://doi.org/10.1016/j.jhevol.2020.102925</t>
    </r>
  </si>
  <si>
    <r>
      <t xml:space="preserve">Delette, L., Albalat, E., Télouk, P., Vanhaecke, F., &amp; Balter, V. (2025). K, Mg, and Ca isotopic analysis from a single aliquot of thirteen biological certified reference materials. </t>
    </r>
    <r>
      <rPr>
        <i/>
        <sz val="11"/>
        <color theme="1"/>
        <rFont val="Calibri"/>
        <family val="2"/>
        <scheme val="minor"/>
      </rPr>
      <t>Journal of Analytical Atomic Spectrometry</t>
    </r>
    <r>
      <rPr>
        <sz val="11"/>
        <color theme="1"/>
        <rFont val="Calibri"/>
        <family val="2"/>
        <scheme val="minor"/>
      </rPr>
      <t>. https://doi.org/10.1039/D5JA00293A</t>
    </r>
  </si>
  <si>
    <t>pulled from ICP-Ca Lyon reported above</t>
  </si>
  <si>
    <r>
      <t xml:space="preserve">Koutamanis, D., Roberts, G. L., &amp; Dosseto, A. (2021). Inter- and intra-individual variability of calcium and strontium isotopes in modern Tasmanian wombats. </t>
    </r>
    <r>
      <rPr>
        <i/>
        <sz val="11"/>
        <color theme="1"/>
        <rFont val="Calibri"/>
        <family val="2"/>
        <scheme val="minor"/>
      </rPr>
      <t>Palaeogeography, Palaeoclimatology, Palaeoecology</t>
    </r>
    <r>
      <rPr>
        <sz val="11"/>
        <color theme="1"/>
        <rFont val="Calibri"/>
        <family val="2"/>
        <scheme val="minor"/>
      </rPr>
      <t xml:space="preserve">, </t>
    </r>
    <r>
      <rPr>
        <i/>
        <sz val="11"/>
        <color theme="1"/>
        <rFont val="Calibri"/>
        <family val="2"/>
        <scheme val="minor"/>
      </rPr>
      <t>574</t>
    </r>
    <r>
      <rPr>
        <sz val="11"/>
        <color theme="1"/>
        <rFont val="Calibri"/>
        <family val="2"/>
        <scheme val="minor"/>
      </rPr>
      <t>, 110435. https://doi.org/10.1016/j.palaeo.2021.110435</t>
    </r>
  </si>
  <si>
    <t>this study</t>
  </si>
  <si>
    <t>pulled from WIGL reported above</t>
  </si>
  <si>
    <t>Karasinski, J., Bulska, E., Halicz, L., Wojciechowski, M., &amp; Krata, A. A. (2018). Direct determination of &lt;scp&gt; δ 44/42 Ca &lt;/scp&gt; isotope ratio by ion chromatography/low‐resolution multicollector &lt;scp&gt;ICPMS&lt;/scp&gt;. Journal of Mass Spectrometry, 53(1), 78–82. https://doi.org/10.1002/jms.4039</t>
  </si>
  <si>
    <r>
      <t xml:space="preserve">Bao, Z., Zong, C., Chen, K., Lv, N., &amp; Yuan, H. (2020). Chromatographic purification of Ca and Mg from biological and geological samples for isotope analysis by MC-ICP-MS. </t>
    </r>
    <r>
      <rPr>
        <i/>
        <sz val="11"/>
        <color theme="1"/>
        <rFont val="Calibri"/>
        <family val="2"/>
        <scheme val="minor"/>
      </rPr>
      <t>International Journal of Mass Spectrometry</t>
    </r>
    <r>
      <rPr>
        <sz val="11"/>
        <color theme="1"/>
        <rFont val="Calibri"/>
        <family val="2"/>
        <scheme val="minor"/>
      </rPr>
      <t xml:space="preserve">, </t>
    </r>
    <r>
      <rPr>
        <i/>
        <sz val="11"/>
        <color theme="1"/>
        <rFont val="Calibri"/>
        <family val="2"/>
        <scheme val="minor"/>
      </rPr>
      <t>448</t>
    </r>
    <r>
      <rPr>
        <sz val="11"/>
        <color theme="1"/>
        <rFont val="Calibri"/>
        <family val="2"/>
        <scheme val="minor"/>
      </rPr>
      <t>, 116268. https://doi.org/10.1016/j.ijms.2019.116268</t>
    </r>
  </si>
  <si>
    <r>
      <t xml:space="preserve">Eisenhauer, A., Hastuti, A., Heuser, A., Kolevica, A., Brandt, B., Shroff, R., Oehme, J., &amp; Müller, M. (2024). Calcium isotope composition in serum and urine for the assessment of bone mineral balance (BMB) – The Osteolabs post-market follow-up study. </t>
    </r>
    <r>
      <rPr>
        <i/>
        <sz val="11"/>
        <color theme="1"/>
        <rFont val="Calibri"/>
        <family val="2"/>
        <scheme val="minor"/>
      </rPr>
      <t>Bone</t>
    </r>
    <r>
      <rPr>
        <sz val="11"/>
        <color theme="1"/>
        <rFont val="Calibri"/>
        <family val="2"/>
        <scheme val="minor"/>
      </rPr>
      <t xml:space="preserve">, </t>
    </r>
    <r>
      <rPr>
        <i/>
        <sz val="11"/>
        <color theme="1"/>
        <rFont val="Calibri"/>
        <family val="2"/>
        <scheme val="minor"/>
      </rPr>
      <t>188</t>
    </r>
    <r>
      <rPr>
        <sz val="11"/>
        <color theme="1"/>
        <rFont val="Calibri"/>
        <family val="2"/>
        <scheme val="minor"/>
      </rPr>
      <t>, 117210. https://doi.org/10.1016/j.bone.2024.117210</t>
    </r>
  </si>
  <si>
    <r>
      <t xml:space="preserve">Lanping, F., Zhou, L., Yang, L., Zhang, W., Wang, Q., Shuoyun, T., &amp; Hu, Z. (2018). A rapid and simple single-stage method for Ca separation from geological and biological samples for isotopic analysis by MC-ICP-MS. </t>
    </r>
    <r>
      <rPr>
        <i/>
        <sz val="11"/>
        <color theme="1"/>
        <rFont val="Calibri"/>
        <family val="2"/>
        <scheme val="minor"/>
      </rPr>
      <t>Journal of Analytical Atomic Spectrometry</t>
    </r>
    <r>
      <rPr>
        <sz val="11"/>
        <color theme="1"/>
        <rFont val="Calibri"/>
        <family val="2"/>
        <scheme val="minor"/>
      </rPr>
      <t xml:space="preserve">, </t>
    </r>
    <r>
      <rPr>
        <i/>
        <sz val="11"/>
        <color theme="1"/>
        <rFont val="Calibri"/>
        <family val="2"/>
        <scheme val="minor"/>
      </rPr>
      <t>33</t>
    </r>
    <r>
      <rPr>
        <sz val="11"/>
        <color theme="1"/>
        <rFont val="Calibri"/>
        <family val="2"/>
        <scheme val="minor"/>
      </rPr>
      <t>, 413–421. https://doi.org/10.1039/C7JA00370F</t>
    </r>
  </si>
  <si>
    <r>
      <t xml:space="preserve">Mayfield, K. K., Eisenhauer, A., Santiago Ramos, D. P., Higgins, J. A., Horner, T., Auro, M., Magna, T., Moosdorf, N., Charette, M. A., Eagle Gonneea, M., Brady, C. E., Komar, N., Peucker-Ehrenbrink, B., &amp; Paytan, A. (2021). The Importance of Groundwater Discharge in the Marine Isotope Budgets of Li, Mg, Ca, Sr, and Ba. </t>
    </r>
    <r>
      <rPr>
        <i/>
        <sz val="11"/>
        <color theme="1"/>
        <rFont val="Calibri"/>
        <family val="2"/>
        <scheme val="minor"/>
      </rPr>
      <t>Nature Communications</t>
    </r>
    <r>
      <rPr>
        <sz val="11"/>
        <color theme="1"/>
        <rFont val="Calibri"/>
        <family val="2"/>
        <scheme val="minor"/>
      </rPr>
      <t xml:space="preserve">, </t>
    </r>
    <r>
      <rPr>
        <i/>
        <sz val="11"/>
        <color theme="1"/>
        <rFont val="Calibri"/>
        <family val="2"/>
        <scheme val="minor"/>
      </rPr>
      <t>12</t>
    </r>
    <r>
      <rPr>
        <sz val="11"/>
        <color theme="1"/>
        <rFont val="Calibri"/>
        <family val="2"/>
        <scheme val="minor"/>
      </rPr>
      <t>(1), 148. https://doi.org/10.1038/s41467-020-20248-3</t>
    </r>
  </si>
  <si>
    <r>
      <t xml:space="preserve">Retzmann, A., Walls, D., Miller, K. A., Irrgeher, J., Prohaska, T., &amp; Wieser, M. E. (2022). A double-spike MC TIMS measurement procedure for low-amount Ca isotopic analysis of limited biological tissue samples. </t>
    </r>
    <r>
      <rPr>
        <i/>
        <sz val="11"/>
        <color theme="1"/>
        <rFont val="Calibri"/>
        <family val="2"/>
        <scheme val="minor"/>
      </rPr>
      <t>Analytical and Bioanalytical Chemistry</t>
    </r>
    <r>
      <rPr>
        <sz val="11"/>
        <color theme="1"/>
        <rFont val="Calibri"/>
        <family val="2"/>
        <scheme val="minor"/>
      </rPr>
      <t xml:space="preserve">, </t>
    </r>
    <r>
      <rPr>
        <i/>
        <sz val="11"/>
        <color theme="1"/>
        <rFont val="Calibri"/>
        <family val="2"/>
        <scheme val="minor"/>
      </rPr>
      <t>414</t>
    </r>
    <r>
      <rPr>
        <sz val="11"/>
        <color theme="1"/>
        <rFont val="Calibri"/>
        <family val="2"/>
        <scheme val="minor"/>
      </rPr>
      <t>(1), 675–689. https://doi.org/10.1007/S00216-021-03650-8/FIGURES/7</t>
    </r>
  </si>
  <si>
    <t>Heuser and Eisenhauer 2008 Geostand. Geoanal. Res. 32(3)</t>
  </si>
  <si>
    <t>Heuser et al. 2016 Isotopes. Environ. Health Stud. 52(6), 633-648</t>
  </si>
  <si>
    <r>
      <t xml:space="preserve">Li, Q., Thirlwall, M., &amp; Müller, W. (2016). Ca isotopic analysis of laser-cut microsamples of (bio)apatite without chemical purification. </t>
    </r>
    <r>
      <rPr>
        <i/>
        <sz val="11"/>
        <color theme="1"/>
        <rFont val="Calibri"/>
        <family val="2"/>
        <scheme val="minor"/>
      </rPr>
      <t>Chemical Geology</t>
    </r>
    <r>
      <rPr>
        <sz val="11"/>
        <color theme="1"/>
        <rFont val="Calibri"/>
        <family val="2"/>
        <scheme val="minor"/>
      </rPr>
      <t xml:space="preserve">, </t>
    </r>
    <r>
      <rPr>
        <i/>
        <sz val="11"/>
        <color theme="1"/>
        <rFont val="Calibri"/>
        <family val="2"/>
        <scheme val="minor"/>
      </rPr>
      <t>422</t>
    </r>
    <r>
      <rPr>
        <sz val="11"/>
        <color theme="1"/>
        <rFont val="Calibri"/>
        <family val="2"/>
        <scheme val="minor"/>
      </rPr>
      <t>, 1–12. https://doi.org/10.1016/j.chemgeo.2015.12.007</t>
    </r>
  </si>
  <si>
    <t>pulled from SRM915a reported above</t>
  </si>
  <si>
    <t>pulled from ICP Ca Lyon, WIGL and SRM915a reported above</t>
  </si>
  <si>
    <t>Measured rel to alpha-Ottawa</t>
  </si>
  <si>
    <t>2SD from original reference standard</t>
  </si>
  <si>
    <t>without approximation</t>
  </si>
  <si>
    <r>
      <rPr>
        <sz val="11"/>
        <color theme="1"/>
        <rFont val="Symbol"/>
        <family val="1"/>
        <charset val="2"/>
      </rPr>
      <t>d</t>
    </r>
    <r>
      <rPr>
        <vertAlign val="subscript"/>
        <sz val="11"/>
        <color theme="1"/>
        <rFont val="Calibri"/>
        <family val="2"/>
        <scheme val="minor"/>
      </rPr>
      <t>y/z</t>
    </r>
    <r>
      <rPr>
        <sz val="11"/>
        <color theme="1"/>
        <rFont val="Calibri"/>
        <family val="1"/>
        <charset val="2"/>
        <scheme val="minor"/>
      </rPr>
      <t xml:space="preserve"> - 915a/ICP Ca Lyon</t>
    </r>
  </si>
  <si>
    <r>
      <rPr>
        <sz val="11"/>
        <color theme="1"/>
        <rFont val="Symbol"/>
        <family val="1"/>
        <charset val="2"/>
      </rPr>
      <t>d</t>
    </r>
    <r>
      <rPr>
        <vertAlign val="subscript"/>
        <sz val="11"/>
        <color theme="1"/>
        <rFont val="Calibri"/>
        <family val="2"/>
        <scheme val="minor"/>
      </rPr>
      <t>y/z</t>
    </r>
    <r>
      <rPr>
        <sz val="11"/>
        <color theme="1"/>
        <rFont val="Calibri"/>
        <family val="1"/>
        <charset val="2"/>
        <scheme val="minor"/>
      </rPr>
      <t xml:space="preserve"> - 915a/WIGL</t>
    </r>
  </si>
  <si>
    <r>
      <rPr>
        <sz val="11"/>
        <color theme="1"/>
        <rFont val="Symbol"/>
        <family val="1"/>
        <charset val="2"/>
      </rPr>
      <t>d</t>
    </r>
    <r>
      <rPr>
        <vertAlign val="subscript"/>
        <sz val="11"/>
        <color theme="1"/>
        <rFont val="Calibri"/>
        <family val="2"/>
        <scheme val="minor"/>
      </rPr>
      <t>y/z</t>
    </r>
    <r>
      <rPr>
        <sz val="11"/>
        <color theme="1"/>
        <rFont val="Calibri"/>
        <family val="1"/>
        <charset val="2"/>
        <scheme val="minor"/>
      </rPr>
      <t xml:space="preserve"> - ICP Ca Lyon/alpha-Ottawa</t>
    </r>
  </si>
  <si>
    <r>
      <rPr>
        <sz val="11"/>
        <color theme="1"/>
        <rFont val="Symbol"/>
        <family val="1"/>
        <charset val="2"/>
      </rPr>
      <t>d</t>
    </r>
    <r>
      <rPr>
        <vertAlign val="subscript"/>
        <sz val="11"/>
        <color theme="1"/>
        <rFont val="Calibri"/>
        <family val="2"/>
        <scheme val="minor"/>
      </rPr>
      <t>y/z</t>
    </r>
    <r>
      <rPr>
        <sz val="11"/>
        <color theme="1"/>
        <rFont val="Calibri"/>
        <family val="1"/>
        <charset val="2"/>
        <scheme val="minor"/>
      </rPr>
      <t xml:space="preserve"> - WIGL/alpha-Ottawa</t>
    </r>
  </si>
  <si>
    <r>
      <rPr>
        <sz val="11"/>
        <color theme="1"/>
        <rFont val="Symbol"/>
        <family val="1"/>
        <charset val="2"/>
      </rPr>
      <t>d</t>
    </r>
    <r>
      <rPr>
        <vertAlign val="subscript"/>
        <sz val="11"/>
        <color theme="1"/>
        <rFont val="Calibri"/>
        <family val="2"/>
        <scheme val="minor"/>
      </rPr>
      <t>y/z</t>
    </r>
    <r>
      <rPr>
        <sz val="11"/>
        <color theme="1"/>
        <rFont val="Calibri"/>
        <family val="1"/>
        <charset val="2"/>
        <scheme val="minor"/>
      </rPr>
      <t xml:space="preserve"> - 915a/alpha-Ottawa</t>
    </r>
  </si>
  <si>
    <r>
      <rPr>
        <sz val="11"/>
        <color theme="1"/>
        <rFont val="Symbol"/>
        <family val="1"/>
        <charset val="2"/>
      </rPr>
      <t>d</t>
    </r>
    <r>
      <rPr>
        <vertAlign val="subscript"/>
        <sz val="11"/>
        <color theme="1"/>
        <rFont val="Calibri"/>
        <family val="2"/>
        <scheme val="minor"/>
      </rPr>
      <t>z/y</t>
    </r>
    <r>
      <rPr>
        <sz val="11"/>
        <color theme="1"/>
        <rFont val="Calibri"/>
        <family val="1"/>
        <charset val="2"/>
        <scheme val="minor"/>
      </rPr>
      <t xml:space="preserve">  - ICP Ca Lyon/915a</t>
    </r>
  </si>
  <si>
    <r>
      <rPr>
        <sz val="11"/>
        <color theme="1"/>
        <rFont val="Symbol"/>
        <family val="1"/>
        <charset val="2"/>
      </rPr>
      <t>d</t>
    </r>
    <r>
      <rPr>
        <vertAlign val="subscript"/>
        <sz val="11"/>
        <color theme="1"/>
        <rFont val="Calibri"/>
        <family val="2"/>
        <scheme val="minor"/>
      </rPr>
      <t>z/y</t>
    </r>
    <r>
      <rPr>
        <sz val="11"/>
        <color theme="1"/>
        <rFont val="Calibri"/>
        <family val="1"/>
        <charset val="2"/>
        <scheme val="minor"/>
      </rPr>
      <t xml:space="preserve">  - WIGL/915a</t>
    </r>
  </si>
  <si>
    <r>
      <rPr>
        <sz val="11"/>
        <color theme="1"/>
        <rFont val="Symbol"/>
        <family val="1"/>
        <charset val="2"/>
      </rPr>
      <t>d</t>
    </r>
    <r>
      <rPr>
        <vertAlign val="subscript"/>
        <sz val="11"/>
        <color theme="1"/>
        <rFont val="Calibri"/>
        <family val="2"/>
        <scheme val="minor"/>
      </rPr>
      <t>z/y</t>
    </r>
    <r>
      <rPr>
        <sz val="11"/>
        <color theme="1"/>
        <rFont val="Calibri"/>
        <family val="1"/>
        <charset val="2"/>
        <scheme val="minor"/>
      </rPr>
      <t xml:space="preserve">  - alpha-Ottawa/ICP Ca Lyon</t>
    </r>
  </si>
  <si>
    <r>
      <rPr>
        <sz val="11"/>
        <color theme="1"/>
        <rFont val="Symbol"/>
        <family val="1"/>
        <charset val="2"/>
      </rPr>
      <t>d</t>
    </r>
    <r>
      <rPr>
        <vertAlign val="subscript"/>
        <sz val="11"/>
        <color theme="1"/>
        <rFont val="Calibri"/>
        <family val="2"/>
        <scheme val="minor"/>
      </rPr>
      <t>z/y</t>
    </r>
    <r>
      <rPr>
        <sz val="11"/>
        <color theme="1"/>
        <rFont val="Calibri"/>
        <family val="1"/>
        <charset val="2"/>
        <scheme val="minor"/>
      </rPr>
      <t xml:space="preserve">  - alpha-Ottawa/WIGL</t>
    </r>
  </si>
  <si>
    <r>
      <rPr>
        <sz val="11"/>
        <color theme="1"/>
        <rFont val="Symbol"/>
        <family val="1"/>
        <charset val="2"/>
      </rPr>
      <t>d</t>
    </r>
    <r>
      <rPr>
        <vertAlign val="subscript"/>
        <sz val="11"/>
        <color theme="1"/>
        <rFont val="Calibri"/>
        <family val="2"/>
        <scheme val="minor"/>
      </rPr>
      <t>z/y</t>
    </r>
    <r>
      <rPr>
        <sz val="11"/>
        <color theme="1"/>
        <rFont val="Calibri"/>
        <family val="1"/>
        <charset val="2"/>
        <scheme val="minor"/>
      </rPr>
      <t xml:space="preserve">  - alpha-Ottawa/915a</t>
    </r>
  </si>
  <si>
    <t>NRC mes rel to 915a</t>
  </si>
  <si>
    <t>2 point calibration</t>
  </si>
  <si>
    <t>SRM1400</t>
  </si>
  <si>
    <t>Tacail et al. 2016  J. Anal. At. Spec. 31(1)</t>
  </si>
  <si>
    <t>Dodat, P.-J., Martin, J. E., Olive, S., Hassler, A., Albalat, E., Boisserie, J.-R., Merceron, G., Souron, A., Maureille, B., &amp; Balter, V. (2023). Limits of calcium isotopes diagenesis in fossil bone and enamel. Geochimica et Cosmochimica Acta, 351, 45–50. https://doi.org/10.1016/j.gca.2023.04.012</t>
  </si>
  <si>
    <r>
      <t xml:space="preserve">Dodat, P.-J., Albalat, E., Balter, V., Couture-Veschambre, C., Hardy, M., Henrion, J., Holliday, T., &amp; Maureille, B. (2024). Diverse bone-calcium isotope compositions in Neandertals suggest different dietary strategies. </t>
    </r>
    <r>
      <rPr>
        <i/>
        <sz val="11"/>
        <color theme="1"/>
        <rFont val="Calibri"/>
        <family val="2"/>
        <scheme val="minor"/>
      </rPr>
      <t>Journal of Human Evolution</t>
    </r>
    <r>
      <rPr>
        <sz val="11"/>
        <color theme="1"/>
        <rFont val="Calibri"/>
        <family val="2"/>
        <scheme val="minor"/>
      </rPr>
      <t xml:space="preserve">, </t>
    </r>
    <r>
      <rPr>
        <i/>
        <sz val="11"/>
        <color theme="1"/>
        <rFont val="Calibri"/>
        <family val="2"/>
        <scheme val="minor"/>
      </rPr>
      <t>193</t>
    </r>
    <r>
      <rPr>
        <sz val="11"/>
        <color theme="1"/>
        <rFont val="Calibri"/>
        <family val="2"/>
        <scheme val="minor"/>
      </rPr>
      <t>, 103566. https://doi.org/10.1016/j.jhevol.2024.103566</t>
    </r>
  </si>
  <si>
    <t>pulled from ICP-Ca Lyon reported above (excluding outliers)</t>
  </si>
  <si>
    <r>
      <t xml:space="preserve">Koutamanis, D., McCurry, M., Tacail, T., &amp; Dosseto, A. (2023). Reconstructing Pleistocene Australian herbivore megafauna diet using calcium and strontium isotopes. </t>
    </r>
    <r>
      <rPr>
        <i/>
        <sz val="11"/>
        <color theme="1"/>
        <rFont val="Calibri"/>
        <family val="2"/>
        <scheme val="minor"/>
      </rPr>
      <t>Royal Society Open Science</t>
    </r>
    <r>
      <rPr>
        <sz val="11"/>
        <color theme="1"/>
        <rFont val="Calibri"/>
        <family val="2"/>
        <scheme val="minor"/>
      </rPr>
      <t xml:space="preserve">, </t>
    </r>
    <r>
      <rPr>
        <i/>
        <sz val="11"/>
        <color theme="1"/>
        <rFont val="Calibri"/>
        <family val="2"/>
        <scheme val="minor"/>
      </rPr>
      <t>10</t>
    </r>
    <r>
      <rPr>
        <sz val="11"/>
        <color theme="1"/>
        <rFont val="Calibri"/>
        <family val="2"/>
        <scheme val="minor"/>
      </rPr>
      <t>(11). https://doi.org/10.1098/RSOS.230991</t>
    </r>
  </si>
  <si>
    <r>
      <t xml:space="preserve">Romaniello, S. J., Field, M. P., Smith, H. B., Gordon, G. W., Kim, M. H., &amp; Anbar, A. D. (2015). Fully automated chromatographic purification of Sr and Ca for isotopic analysis. </t>
    </r>
    <r>
      <rPr>
        <i/>
        <sz val="11"/>
        <color theme="1"/>
        <rFont val="Calibri"/>
        <family val="2"/>
        <scheme val="minor"/>
      </rPr>
      <t>Journal of Analytical Atomic Spectrometry</t>
    </r>
    <r>
      <rPr>
        <sz val="11"/>
        <color theme="1"/>
        <rFont val="Calibri"/>
        <family val="2"/>
        <scheme val="minor"/>
      </rPr>
      <t xml:space="preserve">, </t>
    </r>
    <r>
      <rPr>
        <i/>
        <sz val="11"/>
        <color theme="1"/>
        <rFont val="Calibri"/>
        <family val="2"/>
        <scheme val="minor"/>
      </rPr>
      <t>30</t>
    </r>
    <r>
      <rPr>
        <sz val="11"/>
        <color theme="1"/>
        <rFont val="Calibri"/>
        <family val="2"/>
        <scheme val="minor"/>
      </rPr>
      <t>(9), 1906–1912. https://doi.org/10.1039/c5ja00205b</t>
    </r>
  </si>
  <si>
    <r>
      <t xml:space="preserve">Lewis, J., Luu, T.-H., Coath, C. D., Wehrs, H., Schwieters, J. B., &amp; Elliott, T. (2022). Collision course; High-precision mass-independent and mass-dependent calcium isotope measurements using the prototype collision cell MC-ICPMS/MS, Proteus. </t>
    </r>
    <r>
      <rPr>
        <i/>
        <sz val="11"/>
        <color theme="1"/>
        <rFont val="Calibri"/>
        <family val="2"/>
        <scheme val="minor"/>
      </rPr>
      <t>Chemical Geology</t>
    </r>
    <r>
      <rPr>
        <sz val="11"/>
        <color theme="1"/>
        <rFont val="Calibri"/>
        <family val="2"/>
        <scheme val="minor"/>
      </rPr>
      <t>, 121185. https://doi.org/10.1016/j.chemgeo.2022.121185</t>
    </r>
  </si>
  <si>
    <t>pulled from ICP Ca Lyon (outliers excluded), WIGL and SRM915a reported above</t>
  </si>
  <si>
    <t>All but LGL outliers</t>
  </si>
  <si>
    <t>Seawater</t>
  </si>
  <si>
    <t>Martin et al. 2015 Chem. Geol.415, 118-125; Tacail et al. 2014  J. Anal. At. Spec. 29(3), 529-535.;Tacail et al. 2016  J. Anal. At. Spec. 31(1), 152-162.</t>
  </si>
  <si>
    <r>
      <t xml:space="preserve">Wieser, M. E., Buhl, D., Bouman, C., &amp; Schwieters, J. (2004). High precision calcium isotope ratio measurements using a magnetic sector multiple collector inductively coupled plasma mass spectrometer. </t>
    </r>
    <r>
      <rPr>
        <i/>
        <sz val="11"/>
        <color theme="1"/>
        <rFont val="Calibri"/>
        <family val="2"/>
        <scheme val="minor"/>
      </rPr>
      <t>Journal of Analytical Atomic Spectrometry</t>
    </r>
    <r>
      <rPr>
        <sz val="11"/>
        <color theme="1"/>
        <rFont val="Calibri"/>
        <family val="2"/>
        <scheme val="minor"/>
      </rPr>
      <t xml:space="preserve">, </t>
    </r>
    <r>
      <rPr>
        <i/>
        <sz val="11"/>
        <color theme="1"/>
        <rFont val="Calibri"/>
        <family val="2"/>
        <scheme val="minor"/>
      </rPr>
      <t>19</t>
    </r>
    <r>
      <rPr>
        <sz val="11"/>
        <color theme="1"/>
        <rFont val="Calibri"/>
        <family val="2"/>
        <scheme val="minor"/>
      </rPr>
      <t>(7), 844–851. https://doi.org/10.1039/b403339f</t>
    </r>
  </si>
  <si>
    <r>
      <t xml:space="preserve">Steuber, T., &amp; Buhl, D. (2006). Calcium-isotope fractionation in selected modern and ancient marine carbonates. </t>
    </r>
    <r>
      <rPr>
        <i/>
        <sz val="11"/>
        <color theme="1"/>
        <rFont val="Calibri"/>
        <family val="2"/>
        <scheme val="minor"/>
      </rPr>
      <t>Geochimica et Cosmochimica Acta</t>
    </r>
    <r>
      <rPr>
        <sz val="11"/>
        <color theme="1"/>
        <rFont val="Calibri"/>
        <family val="2"/>
        <scheme val="minor"/>
      </rPr>
      <t xml:space="preserve">, </t>
    </r>
    <r>
      <rPr>
        <i/>
        <sz val="11"/>
        <color theme="1"/>
        <rFont val="Calibri"/>
        <family val="2"/>
        <scheme val="minor"/>
      </rPr>
      <t>70</t>
    </r>
    <r>
      <rPr>
        <sz val="11"/>
        <color theme="1"/>
        <rFont val="Calibri"/>
        <family val="2"/>
        <scheme val="minor"/>
      </rPr>
      <t>(22), 5507–5521. https://doi.org/10.1016/j.gca.2006.08.028</t>
    </r>
  </si>
  <si>
    <r>
      <t xml:space="preserve">Morgan, J. L. L., Gordon, G. W., Arrua, R. C., Skulan, J. L., Anbar, A. D., &amp; Bullen, T. D. (2011). High-Precision Measurement of Variations in Calcium Isotope Ratios in Urine by Multiple Collector Inductively Coupled Plasma Mass Spectrometry. </t>
    </r>
    <r>
      <rPr>
        <i/>
        <sz val="11"/>
        <color theme="1"/>
        <rFont val="Calibri"/>
        <family val="2"/>
        <scheme val="minor"/>
      </rPr>
      <t>Analytical Chemistry</t>
    </r>
    <r>
      <rPr>
        <sz val="11"/>
        <color theme="1"/>
        <rFont val="Calibri"/>
        <family val="2"/>
        <scheme val="minor"/>
      </rPr>
      <t xml:space="preserve">, </t>
    </r>
    <r>
      <rPr>
        <i/>
        <sz val="11"/>
        <color theme="1"/>
        <rFont val="Calibri"/>
        <family val="2"/>
        <scheme val="minor"/>
      </rPr>
      <t>83</t>
    </r>
    <r>
      <rPr>
        <sz val="11"/>
        <color theme="1"/>
        <rFont val="Calibri"/>
        <family val="2"/>
        <scheme val="minor"/>
      </rPr>
      <t>(18), 6956–6962. https://doi.org/10.1021/ac200361t</t>
    </r>
  </si>
  <si>
    <r>
      <t xml:space="preserve">Müller, M. N., Kısakürek, B., Buhl, D., Gutperlet, R., Kolevica, A., Riebesell, U., Stoll, H., &amp; Eisenhauer, A. (2011). Response of the coccolithophores Emiliania huxleyi and Coccolithus braarudii to changing seawater Mg2+ and Ca2+ concentrations: Mg/Ca, Sr/Ca ratios and δ44/40Ca, δ26/24Mg of coccolith calcite. </t>
    </r>
    <r>
      <rPr>
        <i/>
        <sz val="11"/>
        <color theme="1"/>
        <rFont val="Calibri"/>
        <family val="2"/>
        <scheme val="minor"/>
      </rPr>
      <t>Geochimica et Cosmochimica Acta</t>
    </r>
    <r>
      <rPr>
        <sz val="11"/>
        <color theme="1"/>
        <rFont val="Calibri"/>
        <family val="2"/>
        <scheme val="minor"/>
      </rPr>
      <t xml:space="preserve">, </t>
    </r>
    <r>
      <rPr>
        <i/>
        <sz val="11"/>
        <color theme="1"/>
        <rFont val="Calibri"/>
        <family val="2"/>
        <scheme val="minor"/>
      </rPr>
      <t>75</t>
    </r>
    <r>
      <rPr>
        <sz val="11"/>
        <color theme="1"/>
        <rFont val="Calibri"/>
        <family val="2"/>
        <scheme val="minor"/>
      </rPr>
      <t>(8), 2088–2102. https://doi.org/10.1016/j.gca.2011.01.035</t>
    </r>
  </si>
  <si>
    <r>
      <t xml:space="preserve">Farkaš, J., Böhm, F., Wallmann, K., Blenkinsop, J., Eisenhauer, A., van Geldern, R., Munnecke, A., Voigt, S., &amp; Veizer, J. (2007). Calcium isotope record of Phanerozoic oceans: Implications for chemical evolution of seawater and its causative mechanisms. </t>
    </r>
    <r>
      <rPr>
        <i/>
        <sz val="11"/>
        <color theme="1"/>
        <rFont val="Calibri"/>
        <family val="2"/>
        <scheme val="minor"/>
      </rPr>
      <t>Geochimica et Cosmochimica Acta</t>
    </r>
    <r>
      <rPr>
        <sz val="11"/>
        <color theme="1"/>
        <rFont val="Calibri"/>
        <family val="2"/>
        <scheme val="minor"/>
      </rPr>
      <t xml:space="preserve">, </t>
    </r>
    <r>
      <rPr>
        <i/>
        <sz val="11"/>
        <color theme="1"/>
        <rFont val="Calibri"/>
        <family val="2"/>
        <scheme val="minor"/>
      </rPr>
      <t>71</t>
    </r>
    <r>
      <rPr>
        <sz val="11"/>
        <color theme="1"/>
        <rFont val="Calibri"/>
        <family val="2"/>
        <scheme val="minor"/>
      </rPr>
      <t>(21), 5117–5134. https://doi.org/10.1016/j.gca.2007.09.004</t>
    </r>
  </si>
  <si>
    <r>
      <t xml:space="preserve">Huang, S., Farkaš, J., Yu, G., Petaev, M. I., &amp; Jacobsen, S. B. (2012). Calcium isotopic ratios and rare earth element abundances in refractory inclusions from the Allende CV3 chondrite. </t>
    </r>
    <r>
      <rPr>
        <i/>
        <sz val="11"/>
        <color theme="1"/>
        <rFont val="Calibri"/>
        <family val="2"/>
        <scheme val="minor"/>
      </rPr>
      <t>Geochimica et Cosmochimica Acta</t>
    </r>
    <r>
      <rPr>
        <sz val="11"/>
        <color theme="1"/>
        <rFont val="Calibri"/>
        <family val="2"/>
        <scheme val="minor"/>
      </rPr>
      <t xml:space="preserve">, </t>
    </r>
    <r>
      <rPr>
        <i/>
        <sz val="11"/>
        <color theme="1"/>
        <rFont val="Calibri"/>
        <family val="2"/>
        <scheme val="minor"/>
      </rPr>
      <t>77</t>
    </r>
    <r>
      <rPr>
        <sz val="11"/>
        <color theme="1"/>
        <rFont val="Calibri"/>
        <family val="2"/>
        <scheme val="minor"/>
      </rPr>
      <t>, 252–265. https://doi.org/10.1016/j.gca.2011.11.002</t>
    </r>
  </si>
  <si>
    <r>
      <t xml:space="preserve">Amini, M., Eisenhauer, A., Böhm, F., Fietzke, J., Bach, W., Garbe-Schönberg, D., Rosner, M., Bock, B., Lackschewitz, K. S., &amp; Hauff, F. (2008). Calcium isotope (δ44/40Ca) fractionation along hydrothermal pathways, Logatchev field (Mid-Atlantic Ridge, 14°45′N). </t>
    </r>
    <r>
      <rPr>
        <i/>
        <sz val="11"/>
        <color theme="1"/>
        <rFont val="Calibri"/>
        <family val="2"/>
        <scheme val="minor"/>
      </rPr>
      <t>Geochimica et Cosmochimica Acta</t>
    </r>
    <r>
      <rPr>
        <sz val="11"/>
        <color theme="1"/>
        <rFont val="Calibri"/>
        <family val="2"/>
        <scheme val="minor"/>
      </rPr>
      <t xml:space="preserve">, </t>
    </r>
    <r>
      <rPr>
        <i/>
        <sz val="11"/>
        <color theme="1"/>
        <rFont val="Calibri"/>
        <family val="2"/>
        <scheme val="minor"/>
      </rPr>
      <t>72</t>
    </r>
    <r>
      <rPr>
        <sz val="11"/>
        <color theme="1"/>
        <rFont val="Calibri"/>
        <family val="2"/>
        <scheme val="minor"/>
      </rPr>
      <t>(16), 4107–4122. https://doi.org/10.1016/j.gca.2008.05.055</t>
    </r>
  </si>
  <si>
    <r>
      <t xml:space="preserve">Bern: Hippler, D., Schmitt, A., Gussone, N., Heuser, A., Stille, P., Eisenhauer, A., &amp; Nägler, T. F. (2003). Calcium Isotopic Composition of Various Reference Materials and Seawater. </t>
    </r>
    <r>
      <rPr>
        <i/>
        <sz val="11"/>
        <color theme="1"/>
        <rFont val="Calibri"/>
        <family val="2"/>
        <scheme val="minor"/>
      </rPr>
      <t>Geostandards Newsletter</t>
    </r>
    <r>
      <rPr>
        <sz val="11"/>
        <color theme="1"/>
        <rFont val="Calibri"/>
        <family val="2"/>
        <scheme val="minor"/>
      </rPr>
      <t xml:space="preserve">, </t>
    </r>
    <r>
      <rPr>
        <i/>
        <sz val="11"/>
        <color theme="1"/>
        <rFont val="Calibri"/>
        <family val="2"/>
        <scheme val="minor"/>
      </rPr>
      <t>27</t>
    </r>
    <r>
      <rPr>
        <sz val="11"/>
        <color theme="1"/>
        <rFont val="Calibri"/>
        <family val="2"/>
        <scheme val="minor"/>
      </rPr>
      <t>(1), 13–19. https://doi.org/10.1111/j.1751-908X.2003.tb00709.x</t>
    </r>
  </si>
  <si>
    <r>
      <t xml:space="preserve">Kiel: Hippler, D., Schmitt, A., Gussone, N., Heuser, A., Stille, P., Eisenhauer, A., &amp; Nägler, T. F. (2003). Calcium Isotopic Composition of Various Reference Materials and Seawater. </t>
    </r>
    <r>
      <rPr>
        <i/>
        <sz val="11"/>
        <color theme="1"/>
        <rFont val="Calibri"/>
        <family val="2"/>
        <scheme val="minor"/>
      </rPr>
      <t>Geostandards Newsletter</t>
    </r>
    <r>
      <rPr>
        <sz val="11"/>
        <color theme="1"/>
        <rFont val="Calibri"/>
        <family val="2"/>
        <scheme val="minor"/>
      </rPr>
      <t xml:space="preserve">, </t>
    </r>
    <r>
      <rPr>
        <i/>
        <sz val="11"/>
        <color theme="1"/>
        <rFont val="Calibri"/>
        <family val="2"/>
        <scheme val="minor"/>
      </rPr>
      <t>27</t>
    </r>
    <r>
      <rPr>
        <sz val="11"/>
        <color theme="1"/>
        <rFont val="Calibri"/>
        <family val="2"/>
        <scheme val="minor"/>
      </rPr>
      <t>(1), 13–19. https://doi.org/10.1111/j.1751-908X.2003.tb00709.x</t>
    </r>
  </si>
  <si>
    <r>
      <t xml:space="preserve">Strasbourg: Hippler, D., Schmitt, A., Gussone, N., Heuser, A., Stille, P., Eisenhauer, A., &amp; Nägler, T. F. (2003). Calcium Isotopic Composition of Various Reference Materials and Seawater. </t>
    </r>
    <r>
      <rPr>
        <i/>
        <sz val="11"/>
        <color theme="1"/>
        <rFont val="Calibri"/>
        <family val="2"/>
        <scheme val="minor"/>
      </rPr>
      <t>Geostandards Newsletter</t>
    </r>
    <r>
      <rPr>
        <sz val="11"/>
        <color theme="1"/>
        <rFont val="Calibri"/>
        <family val="2"/>
        <scheme val="minor"/>
      </rPr>
      <t xml:space="preserve">, </t>
    </r>
    <r>
      <rPr>
        <i/>
        <sz val="11"/>
        <color theme="1"/>
        <rFont val="Calibri"/>
        <family val="2"/>
        <scheme val="minor"/>
      </rPr>
      <t>27</t>
    </r>
    <r>
      <rPr>
        <sz val="11"/>
        <color theme="1"/>
        <rFont val="Calibri"/>
        <family val="2"/>
        <scheme val="minor"/>
      </rPr>
      <t>(1), 13–19. https://doi.org/10.1111/j.1751-908X.2003.tb00709.x</t>
    </r>
  </si>
  <si>
    <r>
      <t xml:space="preserve">Böhm, F., Gussone, N., Eisenhauer, A., Dullo, W.-C., Reynaud, S., &amp; Paytan, A. (2006). Calcium isotope fractionation in modern scleractinian corals. </t>
    </r>
    <r>
      <rPr>
        <i/>
        <sz val="11"/>
        <color theme="1"/>
        <rFont val="Calibri"/>
        <family val="2"/>
        <scheme val="minor"/>
      </rPr>
      <t>Geochimica et Cosmochimica Acta</t>
    </r>
    <r>
      <rPr>
        <sz val="11"/>
        <color theme="1"/>
        <rFont val="Calibri"/>
        <family val="2"/>
        <scheme val="minor"/>
      </rPr>
      <t xml:space="preserve">, </t>
    </r>
    <r>
      <rPr>
        <i/>
        <sz val="11"/>
        <color theme="1"/>
        <rFont val="Calibri"/>
        <family val="2"/>
        <scheme val="minor"/>
      </rPr>
      <t>70</t>
    </r>
    <r>
      <rPr>
        <sz val="11"/>
        <color theme="1"/>
        <rFont val="Calibri"/>
        <family val="2"/>
        <scheme val="minor"/>
      </rPr>
      <t>(17), 4452–4462. https://doi.org/10.1016/j.gca.2006.06.1546</t>
    </r>
  </si>
  <si>
    <r>
      <t xml:space="preserve">Teichert, B. M. A., Gussone, N., &amp; Torres, M. E. (2009). Controls on calcium isotope fractionation in sedimentary porewaters. </t>
    </r>
    <r>
      <rPr>
        <i/>
        <sz val="11"/>
        <color theme="1"/>
        <rFont val="Calibri"/>
        <family val="2"/>
        <scheme val="minor"/>
      </rPr>
      <t>Earth and Planetary Science Letters</t>
    </r>
    <r>
      <rPr>
        <sz val="11"/>
        <color theme="1"/>
        <rFont val="Calibri"/>
        <family val="2"/>
        <scheme val="minor"/>
      </rPr>
      <t xml:space="preserve">, </t>
    </r>
    <r>
      <rPr>
        <i/>
        <sz val="11"/>
        <color theme="1"/>
        <rFont val="Calibri"/>
        <family val="2"/>
        <scheme val="minor"/>
      </rPr>
      <t>279</t>
    </r>
    <r>
      <rPr>
        <sz val="11"/>
        <color theme="1"/>
        <rFont val="Calibri"/>
        <family val="2"/>
        <scheme val="minor"/>
      </rPr>
      <t>(3–4), 373–382. https://doi.org/10.1016/j.epsl.2009.01.011</t>
    </r>
  </si>
  <si>
    <r>
      <t xml:space="preserve">Gao, B., Su, B., Li, W., Yuan, M., Sun, J., Zhao, Y., &amp; Liu, X. (2022). High-precision analysis of calcium isotopes using a Nu Sapphire collision cell (CC)-MC-ICP-MS. </t>
    </r>
    <r>
      <rPr>
        <i/>
        <sz val="11"/>
        <color theme="1"/>
        <rFont val="Calibri"/>
        <family val="2"/>
        <scheme val="minor"/>
      </rPr>
      <t>Journal of Analytical Atomic Spectrometry</t>
    </r>
    <r>
      <rPr>
        <sz val="11"/>
        <color theme="1"/>
        <rFont val="Calibri"/>
        <family val="2"/>
        <scheme val="minor"/>
      </rPr>
      <t xml:space="preserve">, </t>
    </r>
    <r>
      <rPr>
        <i/>
        <sz val="11"/>
        <color theme="1"/>
        <rFont val="Calibri"/>
        <family val="2"/>
        <scheme val="minor"/>
      </rPr>
      <t>37</t>
    </r>
    <r>
      <rPr>
        <sz val="11"/>
        <color theme="1"/>
        <rFont val="Calibri"/>
        <family val="2"/>
        <scheme val="minor"/>
      </rPr>
      <t>(10), 2111–2121. https://doi.org/10.1039/D2JA00150K</t>
    </r>
  </si>
  <si>
    <t>2SD from Ottawa</t>
  </si>
  <si>
    <t>mean</t>
  </si>
  <si>
    <t>Average pond per standard (SRM1486, IAPSO)</t>
  </si>
  <si>
    <t>δCa 2SD values (‰)</t>
  </si>
  <si>
    <t>δCa 2SE values (‰)</t>
  </si>
  <si>
    <t>X/Ca</t>
  </si>
  <si>
    <t>Fe10-1</t>
  </si>
  <si>
    <t>Fe10-2</t>
  </si>
  <si>
    <t>Fe10-3</t>
  </si>
  <si>
    <t>Fe10-4</t>
  </si>
  <si>
    <t>Fe10-5</t>
  </si>
  <si>
    <t>Fe10-6</t>
  </si>
  <si>
    <t>K10-1</t>
  </si>
  <si>
    <t>K10-2</t>
  </si>
  <si>
    <t>K10-3</t>
  </si>
  <si>
    <t>K10-4</t>
  </si>
  <si>
    <t>K10-5</t>
  </si>
  <si>
    <t>K10-6</t>
  </si>
  <si>
    <t>Mg10-1</t>
  </si>
  <si>
    <t>Mg10-2</t>
  </si>
  <si>
    <t>Mg10-3</t>
  </si>
  <si>
    <t>Mg10-4</t>
  </si>
  <si>
    <t>Mg10-5</t>
  </si>
  <si>
    <t>Mg10-6</t>
  </si>
  <si>
    <t>Al10-1</t>
  </si>
  <si>
    <t>Al10-2</t>
  </si>
  <si>
    <t>Al10-3</t>
  </si>
  <si>
    <t>Al10-4</t>
  </si>
  <si>
    <t>Al10-5</t>
  </si>
  <si>
    <t>Al10-6</t>
  </si>
  <si>
    <t>uncorrected δCa mean values (‰)</t>
  </si>
  <si>
    <t>Sr2+ corrected δCa mean values (‰)</t>
  </si>
  <si>
    <t>uncorrected δCa 2SD values (‰)</t>
  </si>
  <si>
    <t>Sr2+ corrected δCa 2SD values (‰)</t>
  </si>
  <si>
    <t>Sr2+ corrected δCa 2SE values (‰)</t>
  </si>
  <si>
    <t>Sr/Ca</t>
  </si>
  <si>
    <t>Sr/Ca 10-6</t>
  </si>
  <si>
    <t>Sr/Ca 10-5</t>
  </si>
  <si>
    <t>Sr/Ca 10-4</t>
  </si>
  <si>
    <t>Sr/Ca 10-3</t>
  </si>
  <si>
    <t>Sr/Ca 10-2</t>
  </si>
  <si>
    <t>Sr/Ca 10-1</t>
  </si>
  <si>
    <t>Hybrid 10^11 &amp; 10^13 ampl (updated gain calibration)</t>
  </si>
  <si>
    <t>CACB-1 (no chromatography)</t>
  </si>
  <si>
    <t>Sr-spiked SRM1486</t>
  </si>
  <si>
    <r>
      <t>δCa</t>
    </r>
    <r>
      <rPr>
        <b/>
        <vertAlign val="subscript"/>
        <sz val="11"/>
        <color theme="1"/>
        <rFont val="Calibri"/>
        <family val="2"/>
        <scheme val="minor"/>
      </rPr>
      <t>alpha-Ottawa</t>
    </r>
    <r>
      <rPr>
        <b/>
        <sz val="11"/>
        <color theme="1"/>
        <rFont val="Calibri"/>
        <family val="2"/>
        <scheme val="minor"/>
      </rPr>
      <t xml:space="preserve"> mean values (‰)</t>
    </r>
  </si>
  <si>
    <t>WIGL-Lyon</t>
  </si>
  <si>
    <t>Reported rel to ICP Ca Lyon, converted to SRM915a</t>
  </si>
  <si>
    <t>Reported rel to WIGL, converted to SRM915a</t>
  </si>
  <si>
    <t>this study (previously unreported data, independently prepared and analyzed following Koutamanis et al. 2021 procedures from different batches of reference materials than those presented in the main text of the study)</t>
  </si>
  <si>
    <t xml:space="preserve">Reported rel to SRM915a </t>
  </si>
  <si>
    <t xml:space="preserve">Reported rel to SRM915a, converted from δ44/40Ca </t>
  </si>
  <si>
    <t>All (but WIGL)</t>
  </si>
  <si>
    <t xml:space="preserve">Converted from ICP Ca Lyon to SRM915a &amp; Reported directly rel to SRM915a </t>
  </si>
  <si>
    <t>pulled from ICP Ca Lyon and SRM915a reported above</t>
  </si>
  <si>
    <t>All (but ICP Ca Lyon)</t>
  </si>
  <si>
    <t xml:space="preserve">Converted from WIGL to SRM915a &amp; Reported directly rel to SRM915a </t>
  </si>
  <si>
    <t>pulled from WIGL and SRM915a reported above</t>
  </si>
  <si>
    <t xml:space="preserve">Converted from ICP Ca Lyon &amp; WIGL to SRM915a &amp; Reported directly rel to SRM915a </t>
  </si>
  <si>
    <r>
      <rPr>
        <sz val="11"/>
        <color theme="1"/>
        <rFont val="Symbol"/>
        <family val="1"/>
        <charset val="2"/>
      </rPr>
      <t>d</t>
    </r>
    <r>
      <rPr>
        <vertAlign val="subscript"/>
        <sz val="11"/>
        <color theme="1"/>
        <rFont val="Calibri"/>
        <family val="2"/>
        <scheme val="minor"/>
      </rPr>
      <t>y/z</t>
    </r>
    <r>
      <rPr>
        <sz val="11"/>
        <color theme="1"/>
        <rFont val="Calibri"/>
        <family val="1"/>
        <charset val="2"/>
        <scheme val="minor"/>
      </rPr>
      <t xml:space="preserve"> - Lyon/WIGL</t>
    </r>
  </si>
  <si>
    <r>
      <rPr>
        <sz val="11"/>
        <color theme="1"/>
        <rFont val="Symbol"/>
        <family val="1"/>
        <charset val="2"/>
      </rPr>
      <t>d</t>
    </r>
    <r>
      <rPr>
        <vertAlign val="subscript"/>
        <sz val="11"/>
        <color theme="1"/>
        <rFont val="Calibri"/>
        <family val="2"/>
        <scheme val="minor"/>
      </rPr>
      <t>z/y</t>
    </r>
    <r>
      <rPr>
        <sz val="11"/>
        <color theme="1"/>
        <rFont val="Calibri"/>
        <family val="1"/>
        <charset val="2"/>
        <scheme val="minor"/>
      </rPr>
      <t xml:space="preserve">  - WIGL/Lyon</t>
    </r>
  </si>
  <si>
    <r>
      <t>Δ</t>
    </r>
    <r>
      <rPr>
        <b/>
        <sz val="9.35"/>
        <color theme="1"/>
        <rFont val="Aptos Narrow"/>
        <family val="2"/>
      </rPr>
      <t xml:space="preserve"> </t>
    </r>
    <r>
      <rPr>
        <b/>
        <sz val="11"/>
        <color theme="1"/>
        <rFont val="Aptos Narrow"/>
        <family val="2"/>
      </rPr>
      <t>alpha to 915a</t>
    </r>
  </si>
  <si>
    <t>Reported rel to SRM915a</t>
  </si>
  <si>
    <t xml:space="preserve">Converted from ICP Ca Lyon (outliers excluded) &amp; WIGL to SRM915a &amp; Reported directly rel to SRM915a </t>
  </si>
  <si>
    <t>Average pond per n replicate (SRM1486, IAPSO)</t>
  </si>
  <si>
    <t>Ottawa-SRM915a (excluding Lyon &amp; WIGL)</t>
  </si>
  <si>
    <r>
      <t xml:space="preserve">rel. </t>
    </r>
    <r>
      <rPr>
        <b/>
        <i/>
        <sz val="8"/>
        <color theme="1"/>
        <rFont val="Calibri"/>
        <family val="2"/>
        <scheme val="minor"/>
      </rPr>
      <t>alpha-Ottawa</t>
    </r>
  </si>
  <si>
    <t>TABLE S4: Fe, K, Mg and Al doping experiments (δCa values reported relative to alpha-Ottawa)</t>
  </si>
  <si>
    <t>TABLE S5: Sr doping experiments  (δCa values reported relative to alpha-Ottawa).</t>
  </si>
  <si>
    <t>Figure 5A: full 10^11ampl rotating</t>
  </si>
  <si>
    <t>Figure 5B: hybrid 10^11 &amp; 10^13 ampl (outdated gain calibration)</t>
  </si>
  <si>
    <t>Figure 5C: hybrid 10^11 &amp; 10^13 ampl (updated gain calibration)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</si>
</sst>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E+00"/>
    <numFmt numFmtId="167" formatCode="0.E+00"/>
  </numFmts>
  <fonts count="27">
    <font>
      <sz val="11"/>
      <color theme="1"/>
      <name val="Calibri"/>
      <family val="2"/>
      <scheme val="minor"/>
    </font>
    <font>
      <b/>
      <sz val="11"/>
      <color theme="1"/>
      <name val="Calibri"/>
      <family val="2"/>
      <scheme val="minor"/>
    </font>
    <font>
      <sz val="11"/>
      <color rgb="FF9C5700"/>
      <name val="Calibri"/>
      <family val="2"/>
      <scheme val="minor"/>
    </font>
    <font>
      <sz val="11"/>
      <color theme="1"/>
      <name val="Calibri"/>
      <family val="2"/>
    </font>
    <font>
      <b/>
      <sz val="12"/>
      <color theme="1"/>
      <name val="Calibri"/>
      <family val="2"/>
      <scheme val="minor"/>
    </font>
    <font>
      <b/>
      <sz val="10"/>
      <color theme="1"/>
      <name val="Calibri"/>
      <family val="2"/>
      <scheme val="minor"/>
    </font>
    <font>
      <b/>
      <i/>
      <sz val="12"/>
      <color theme="1"/>
      <name val="Calibri"/>
      <family val="2"/>
      <scheme val="minor"/>
    </font>
    <font>
      <b/>
      <vertAlign val="superscript"/>
      <sz val="12"/>
      <color theme="1"/>
      <name val="Calibri"/>
      <family val="2"/>
      <scheme val="minor"/>
    </font>
    <font>
      <b/>
      <sz val="12"/>
      <color theme="1"/>
      <name val="Aptos Narrow"/>
      <family val="2"/>
    </font>
    <font>
      <b/>
      <sz val="8"/>
      <color theme="1"/>
      <name val="Calibri"/>
      <family val="2"/>
      <scheme val="minor"/>
    </font>
    <font>
      <b/>
      <i/>
      <sz val="8"/>
      <color theme="1"/>
      <name val="Calibri"/>
      <family val="2"/>
      <scheme val="minor"/>
    </font>
    <font>
      <sz val="10"/>
      <color theme="1"/>
      <name val="Calibri"/>
      <family val="2"/>
      <scheme val="minor"/>
    </font>
    <font>
      <i/>
      <sz val="10"/>
      <color theme="1"/>
      <name val="Calibri"/>
      <family val="2"/>
      <scheme val="minor"/>
    </font>
    <font>
      <i/>
      <sz val="11"/>
      <color theme="1"/>
      <name val="Calibri"/>
      <family val="2"/>
      <scheme val="minor"/>
    </font>
    <font>
      <b/>
      <i/>
      <sz val="10"/>
      <color theme="1"/>
      <name val="Calibri"/>
      <family val="2"/>
      <scheme val="minor"/>
    </font>
    <font>
      <b/>
      <sz val="11"/>
      <name val="Calibri"/>
      <family val="2"/>
      <scheme val="minor"/>
    </font>
    <font>
      <sz val="11"/>
      <color rgb="FF000000"/>
      <name val="Calibri"/>
      <family val="2"/>
    </font>
    <font>
      <b/>
      <sz val="11"/>
      <color rgb="FF000000"/>
      <name val="Calibri"/>
      <family val="2"/>
    </font>
    <font>
      <sz val="11"/>
      <color theme="1"/>
      <name val="Calibri"/>
      <family val="1"/>
      <charset val="2"/>
      <scheme val="minor"/>
    </font>
    <font>
      <sz val="11"/>
      <color theme="1"/>
      <name val="Symbol"/>
      <family val="1"/>
      <charset val="2"/>
    </font>
    <font>
      <vertAlign val="subscript"/>
      <sz val="11"/>
      <color theme="1"/>
      <name val="Calibri"/>
      <family val="2"/>
      <scheme val="minor"/>
    </font>
    <font>
      <sz val="8"/>
      <name val="Calibri"/>
      <family val="2"/>
      <scheme val="minor"/>
    </font>
    <font>
      <sz val="11"/>
      <name val="Calibri"/>
      <family val="2"/>
      <scheme val="minor"/>
    </font>
    <font>
      <b/>
      <vertAlign val="subscript"/>
      <sz val="11"/>
      <color theme="1"/>
      <name val="Calibri"/>
      <family val="2"/>
      <scheme val="minor"/>
    </font>
    <font>
      <b/>
      <sz val="11"/>
      <color theme="1"/>
      <name val="Aptos Narrow"/>
      <family val="2"/>
    </font>
    <font>
      <b/>
      <sz val="9.35"/>
      <color theme="1"/>
      <name val="Aptos Narrow"/>
      <family val="2"/>
    </font>
    <font>
      <sz val="11"/>
      <color theme="2" tint="-0.249977111117893"/>
      <name val="Calibri"/>
      <family val="2"/>
      <scheme val="minor"/>
    </font>
  </fonts>
  <fills count="3">
    <fill>
      <patternFill patternType="none"/>
    </fill>
    <fill>
      <patternFill patternType="gray125"/>
    </fill>
    <fill>
      <patternFill patternType="solid">
        <fgColor rgb="FFFFEB9C"/>
      </patternFill>
    </fill>
  </fills>
  <borders count="38">
    <border>
      <left/>
      <right/>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style="medium">
        <color rgb="FF000000"/>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medium">
        <color rgb="FF000000"/>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182">
    <xf numFmtId="0" fontId="0" fillId="0" borderId="0" xfId="0"/>
    <xf numFmtId="0" fontId="0" fillId="0" borderId="1" xfId="0" applyBorder="1" applyAlignment="1">
      <alignment horizontal="left" vertical="center"/>
    </xf>
    <xf numFmtId="0" fontId="0" fillId="0" borderId="5" xfId="0" applyBorder="1" applyAlignment="1">
      <alignment horizontal="left" vertical="center"/>
    </xf>
    <xf numFmtId="0" fontId="4" fillId="0" borderId="0" xfId="0" applyFont="1" applyAlignment="1">
      <alignment horizontal="left"/>
    </xf>
    <xf numFmtId="0" fontId="11" fillId="0" borderId="7" xfId="0" applyFont="1" applyBorder="1" applyAlignment="1">
      <alignment horizontal="center"/>
    </xf>
    <xf numFmtId="0" fontId="12" fillId="0" borderId="0" xfId="0" applyFont="1" applyAlignment="1">
      <alignment horizontal="center"/>
    </xf>
    <xf numFmtId="164" fontId="0" fillId="0" borderId="0" xfId="0" applyNumberFormat="1" applyAlignment="1">
      <alignment horizontal="center"/>
    </xf>
    <xf numFmtId="0" fontId="11" fillId="0" borderId="8" xfId="0" applyFont="1" applyBorder="1" applyAlignment="1">
      <alignment horizontal="center"/>
    </xf>
    <xf numFmtId="0" fontId="12" fillId="0" borderId="6" xfId="0" applyFont="1" applyBorder="1" applyAlignment="1">
      <alignment horizontal="center"/>
    </xf>
    <xf numFmtId="164" fontId="0" fillId="0" borderId="6" xfId="0" applyNumberFormat="1" applyBorder="1" applyAlignment="1">
      <alignment horizontal="center"/>
    </xf>
    <xf numFmtId="0" fontId="0" fillId="0" borderId="6" xfId="0" applyBorder="1"/>
    <xf numFmtId="0" fontId="1" fillId="0" borderId="0" xfId="0" applyFont="1"/>
    <xf numFmtId="0" fontId="5" fillId="0" borderId="9" xfId="0" applyFont="1" applyBorder="1" applyAlignment="1">
      <alignment horizontal="center" wrapText="1"/>
    </xf>
    <xf numFmtId="0" fontId="14" fillId="0" borderId="10" xfId="0" applyFont="1" applyBorder="1" applyAlignment="1">
      <alignment horizontal="center"/>
    </xf>
    <xf numFmtId="164" fontId="1" fillId="0" borderId="10" xfId="0" applyNumberFormat="1" applyFont="1" applyBorder="1" applyAlignment="1">
      <alignment horizontal="center"/>
    </xf>
    <xf numFmtId="0" fontId="0" fillId="0" borderId="11" xfId="0" applyBorder="1"/>
    <xf numFmtId="0" fontId="0" fillId="0" borderId="12" xfId="0" applyBorder="1"/>
    <xf numFmtId="0" fontId="5" fillId="0" borderId="0" xfId="0" applyFont="1" applyAlignment="1">
      <alignment horizontal="center"/>
    </xf>
    <xf numFmtId="0" fontId="14" fillId="0" borderId="0" xfId="0" applyFont="1" applyAlignment="1">
      <alignment horizontal="center"/>
    </xf>
    <xf numFmtId="164" fontId="1" fillId="0" borderId="0" xfId="0" applyNumberFormat="1" applyFont="1" applyAlignment="1">
      <alignment horizontal="center"/>
    </xf>
    <xf numFmtId="164" fontId="1" fillId="0" borderId="3" xfId="0" applyNumberFormat="1" applyFont="1" applyBorder="1"/>
    <xf numFmtId="164" fontId="15" fillId="0" borderId="14" xfId="1" applyNumberFormat="1" applyFont="1" applyFill="1" applyBorder="1" applyAlignment="1"/>
    <xf numFmtId="164" fontId="15" fillId="0" borderId="15" xfId="1" applyNumberFormat="1" applyFont="1" applyFill="1" applyBorder="1"/>
    <xf numFmtId="164" fontId="15" fillId="0" borderId="14" xfId="0" applyNumberFormat="1" applyFont="1" applyBorder="1"/>
    <xf numFmtId="164" fontId="15" fillId="0" borderId="15" xfId="0" applyNumberFormat="1" applyFont="1" applyBorder="1"/>
    <xf numFmtId="164" fontId="1" fillId="0" borderId="0" xfId="0" applyNumberFormat="1" applyFont="1"/>
    <xf numFmtId="0" fontId="4" fillId="0" borderId="16" xfId="0" applyFont="1" applyBorder="1" applyAlignment="1">
      <alignment horizontal="left"/>
    </xf>
    <xf numFmtId="0" fontId="2" fillId="2" borderId="17" xfId="1" applyBorder="1" applyAlignment="1">
      <alignment horizontal="center"/>
    </xf>
    <xf numFmtId="0" fontId="2" fillId="2" borderId="16" xfId="1" applyBorder="1" applyAlignment="1">
      <alignment horizontal="center"/>
    </xf>
    <xf numFmtId="164" fontId="2" fillId="2" borderId="16" xfId="1" applyNumberFormat="1" applyBorder="1" applyAlignment="1">
      <alignment horizontal="center"/>
    </xf>
    <xf numFmtId="0" fontId="2" fillId="2" borderId="16" xfId="1" applyBorder="1"/>
    <xf numFmtId="0" fontId="2" fillId="2" borderId="8" xfId="1" applyBorder="1" applyAlignment="1">
      <alignment horizontal="center"/>
    </xf>
    <xf numFmtId="0" fontId="2" fillId="2" borderId="6" xfId="1" applyBorder="1" applyAlignment="1">
      <alignment horizontal="center"/>
    </xf>
    <xf numFmtId="164" fontId="2" fillId="2" borderId="6" xfId="1" applyNumberFormat="1" applyBorder="1" applyAlignment="1">
      <alignment horizontal="center"/>
    </xf>
    <xf numFmtId="0" fontId="2" fillId="2" borderId="6" xfId="1" applyBorder="1"/>
    <xf numFmtId="0" fontId="11" fillId="0" borderId="17" xfId="0" applyFont="1" applyBorder="1" applyAlignment="1">
      <alignment horizontal="center"/>
    </xf>
    <xf numFmtId="0" fontId="12" fillId="0" borderId="16" xfId="0" applyFont="1" applyBorder="1" applyAlignment="1">
      <alignment horizontal="center"/>
    </xf>
    <xf numFmtId="164" fontId="0" fillId="0" borderId="16" xfId="0" applyNumberFormat="1" applyBorder="1" applyAlignment="1">
      <alignment horizontal="center"/>
    </xf>
    <xf numFmtId="0" fontId="5" fillId="0" borderId="8" xfId="0" applyFont="1" applyBorder="1" applyAlignment="1">
      <alignment horizontal="center" wrapText="1"/>
    </xf>
    <xf numFmtId="0" fontId="15" fillId="0" borderId="0" xfId="0" applyFont="1"/>
    <xf numFmtId="164" fontId="15" fillId="0" borderId="19" xfId="1" applyNumberFormat="1" applyFont="1" applyFill="1" applyBorder="1" applyAlignment="1"/>
    <xf numFmtId="164" fontId="1" fillId="0" borderId="19" xfId="0" applyNumberFormat="1" applyFont="1" applyBorder="1"/>
    <xf numFmtId="164" fontId="15" fillId="0" borderId="18" xfId="1" applyNumberFormat="1" applyFont="1" applyFill="1" applyBorder="1" applyAlignment="1"/>
    <xf numFmtId="164" fontId="1" fillId="0" borderId="14" xfId="0" applyNumberFormat="1" applyFont="1" applyBorder="1"/>
    <xf numFmtId="164" fontId="1" fillId="0" borderId="15" xfId="0" applyNumberFormat="1" applyFont="1" applyBorder="1"/>
    <xf numFmtId="164" fontId="11" fillId="0" borderId="0" xfId="0" applyNumberFormat="1" applyFont="1" applyAlignment="1">
      <alignment horizontal="center" wrapText="1"/>
    </xf>
    <xf numFmtId="164" fontId="15" fillId="0" borderId="0" xfId="1" applyNumberFormat="1" applyFont="1" applyFill="1" applyBorder="1" applyAlignment="1"/>
    <xf numFmtId="164" fontId="15" fillId="0" borderId="0" xfId="1" applyNumberFormat="1" applyFont="1" applyFill="1" applyBorder="1"/>
    <xf numFmtId="0" fontId="4" fillId="0" borderId="17" xfId="0" applyFont="1" applyBorder="1" applyAlignment="1">
      <alignment horizontal="center"/>
    </xf>
    <xf numFmtId="0" fontId="9" fillId="0" borderId="8" xfId="0" applyFont="1" applyBorder="1" applyAlignment="1">
      <alignment horizontal="center"/>
    </xf>
    <xf numFmtId="0" fontId="4" fillId="0" borderId="22" xfId="0" applyFont="1" applyBorder="1" applyAlignment="1">
      <alignment horizontal="center" vertical="center"/>
    </xf>
    <xf numFmtId="0" fontId="4" fillId="0" borderId="8" xfId="0" applyFont="1" applyBorder="1" applyAlignment="1">
      <alignment horizontal="center" vertical="center"/>
    </xf>
    <xf numFmtId="164" fontId="0" fillId="0" borderId="7" xfId="0" applyNumberFormat="1" applyBorder="1" applyAlignment="1">
      <alignment horizontal="center"/>
    </xf>
    <xf numFmtId="164" fontId="0" fillId="0" borderId="23" xfId="0" applyNumberFormat="1" applyBorder="1" applyAlignment="1">
      <alignment horizontal="center"/>
    </xf>
    <xf numFmtId="164" fontId="0" fillId="0" borderId="8" xfId="0" applyNumberFormat="1" applyBorder="1" applyAlignment="1">
      <alignment horizontal="center"/>
    </xf>
    <xf numFmtId="164" fontId="0" fillId="0" borderId="22" xfId="0" applyNumberFormat="1" applyBorder="1" applyAlignment="1">
      <alignment horizontal="center"/>
    </xf>
    <xf numFmtId="0" fontId="5" fillId="0" borderId="9" xfId="0" applyFont="1" applyBorder="1" applyAlignment="1">
      <alignment horizontal="center"/>
    </xf>
    <xf numFmtId="164" fontId="1" fillId="0" borderId="9" xfId="0" applyNumberFormat="1" applyFont="1" applyBorder="1" applyAlignment="1">
      <alignment horizontal="center"/>
    </xf>
    <xf numFmtId="164" fontId="1" fillId="0" borderId="21" xfId="0" applyNumberFormat="1" applyFont="1" applyBorder="1" applyAlignment="1">
      <alignment horizontal="center"/>
    </xf>
    <xf numFmtId="164" fontId="2" fillId="2" borderId="17" xfId="1" applyNumberFormat="1" applyBorder="1" applyAlignment="1">
      <alignment horizontal="center"/>
    </xf>
    <xf numFmtId="164" fontId="2" fillId="2" borderId="20" xfId="1" applyNumberFormat="1" applyBorder="1" applyAlignment="1">
      <alignment horizontal="center"/>
    </xf>
    <xf numFmtId="164" fontId="2" fillId="2" borderId="8" xfId="1" applyNumberFormat="1" applyBorder="1" applyAlignment="1">
      <alignment horizontal="center"/>
    </xf>
    <xf numFmtId="164" fontId="2" fillId="2" borderId="22" xfId="1" applyNumberFormat="1" applyBorder="1" applyAlignment="1">
      <alignment horizontal="center"/>
    </xf>
    <xf numFmtId="164" fontId="0" fillId="0" borderId="17" xfId="0" applyNumberFormat="1" applyBorder="1" applyAlignment="1">
      <alignment horizontal="center"/>
    </xf>
    <xf numFmtId="164" fontId="0" fillId="0" borderId="20" xfId="0" applyNumberFormat="1" applyBorder="1" applyAlignment="1">
      <alignment horizontal="center"/>
    </xf>
    <xf numFmtId="2" fontId="0" fillId="0" borderId="7" xfId="0" applyNumberFormat="1" applyBorder="1"/>
    <xf numFmtId="2" fontId="0" fillId="0" borderId="8" xfId="0" applyNumberFormat="1" applyBorder="1"/>
    <xf numFmtId="2" fontId="0" fillId="0" borderId="6" xfId="0" applyNumberFormat="1" applyBorder="1"/>
    <xf numFmtId="0" fontId="0" fillId="0" borderId="24" xfId="0" applyBorder="1"/>
    <xf numFmtId="0" fontId="3" fillId="0" borderId="7" xfId="0" applyFont="1" applyBorder="1"/>
    <xf numFmtId="2" fontId="3" fillId="0" borderId="7" xfId="0" applyNumberFormat="1" applyFont="1" applyBorder="1"/>
    <xf numFmtId="2" fontId="3" fillId="0" borderId="8" xfId="0" applyNumberFormat="1" applyFont="1" applyBorder="1"/>
    <xf numFmtId="2" fontId="3" fillId="0" borderId="6" xfId="0" applyNumberFormat="1" applyFont="1" applyBorder="1"/>
    <xf numFmtId="0" fontId="3" fillId="0" borderId="24" xfId="0" applyFont="1" applyBorder="1"/>
    <xf numFmtId="0" fontId="3" fillId="0" borderId="0" xfId="0" applyFont="1"/>
    <xf numFmtId="2" fontId="3" fillId="0" borderId="0" xfId="0" applyNumberFormat="1" applyFont="1"/>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3" fillId="0" borderId="27" xfId="0" applyFont="1" applyBorder="1"/>
    <xf numFmtId="0" fontId="3" fillId="0" borderId="28" xfId="0" applyFont="1" applyBorder="1"/>
    <xf numFmtId="0" fontId="16" fillId="0" borderId="29" xfId="0" applyFont="1" applyBorder="1"/>
    <xf numFmtId="0" fontId="3" fillId="0" borderId="30" xfId="0" applyFont="1" applyBorder="1"/>
    <xf numFmtId="0" fontId="17" fillId="0" borderId="29" xfId="0" applyFont="1" applyBorder="1" applyAlignment="1">
      <alignment horizontal="center" vertical="center"/>
    </xf>
    <xf numFmtId="0" fontId="3" fillId="0" borderId="31" xfId="0" applyFont="1" applyBorder="1"/>
    <xf numFmtId="2" fontId="3" fillId="0" borderId="23" xfId="0" applyNumberFormat="1" applyFont="1" applyBorder="1"/>
    <xf numFmtId="2" fontId="3" fillId="0" borderId="22" xfId="0" applyNumberFormat="1" applyFont="1" applyBorder="1"/>
    <xf numFmtId="0" fontId="3" fillId="0" borderId="23" xfId="0" applyFont="1" applyBorder="1"/>
    <xf numFmtId="0" fontId="3" fillId="0" borderId="32" xfId="0" applyFont="1" applyBorder="1"/>
    <xf numFmtId="11" fontId="3" fillId="0" borderId="24" xfId="0" applyNumberFormat="1" applyFont="1" applyBorder="1"/>
    <xf numFmtId="166" fontId="3" fillId="0" borderId="24" xfId="0" applyNumberFormat="1" applyFont="1" applyBorder="1"/>
    <xf numFmtId="166" fontId="3" fillId="0" borderId="30" xfId="0" applyNumberFormat="1" applyFont="1" applyBorder="1"/>
    <xf numFmtId="0" fontId="3" fillId="0" borderId="33" xfId="0" applyFont="1" applyBorder="1"/>
    <xf numFmtId="2" fontId="3" fillId="0" borderId="17" xfId="0" applyNumberFormat="1" applyFont="1" applyBorder="1"/>
    <xf numFmtId="2" fontId="3" fillId="0" borderId="16" xfId="0" applyNumberFormat="1" applyFont="1" applyBorder="1"/>
    <xf numFmtId="2" fontId="3" fillId="0" borderId="20" xfId="0" applyNumberFormat="1" applyFont="1" applyBorder="1"/>
    <xf numFmtId="166" fontId="3" fillId="0" borderId="33" xfId="0" applyNumberFormat="1" applyFont="1" applyBorder="1"/>
    <xf numFmtId="2" fontId="0" fillId="0" borderId="27" xfId="0" applyNumberFormat="1" applyBorder="1"/>
    <xf numFmtId="2" fontId="0" fillId="0" borderId="28" xfId="0" applyNumberFormat="1" applyBorder="1"/>
    <xf numFmtId="2" fontId="0" fillId="0" borderId="0" xfId="0" applyNumberFormat="1"/>
    <xf numFmtId="0" fontId="0" fillId="0" borderId="32" xfId="0" applyBorder="1"/>
    <xf numFmtId="2" fontId="0" fillId="0" borderId="31" xfId="0" applyNumberFormat="1" applyBorder="1"/>
    <xf numFmtId="2" fontId="0" fillId="0" borderId="23" xfId="0" applyNumberFormat="1" applyBorder="1"/>
    <xf numFmtId="167" fontId="0" fillId="0" borderId="32" xfId="0" applyNumberFormat="1" applyBorder="1"/>
    <xf numFmtId="167" fontId="0" fillId="0" borderId="24" xfId="0" applyNumberFormat="1" applyBorder="1"/>
    <xf numFmtId="0" fontId="0" fillId="0" borderId="30" xfId="0" applyBorder="1"/>
    <xf numFmtId="2" fontId="0" fillId="0" borderId="22" xfId="0" applyNumberFormat="1" applyBorder="1"/>
    <xf numFmtId="167" fontId="0" fillId="0" borderId="30" xfId="0" applyNumberFormat="1" applyBorder="1"/>
    <xf numFmtId="0" fontId="0" fillId="0" borderId="7"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2" fontId="0" fillId="0" borderId="0" xfId="0" applyNumberFormat="1" applyAlignment="1">
      <alignment horizontal="left" vertical="center"/>
    </xf>
    <xf numFmtId="0" fontId="0" fillId="0" borderId="8" xfId="0" applyBorder="1" applyAlignment="1">
      <alignment horizontal="left" vertical="center"/>
    </xf>
    <xf numFmtId="0" fontId="0" fillId="0" borderId="34" xfId="0" applyBorder="1" applyAlignment="1">
      <alignment horizontal="left" vertical="center"/>
    </xf>
    <xf numFmtId="0" fontId="0" fillId="0" borderId="6" xfId="0" applyBorder="1" applyAlignment="1">
      <alignment horizontal="left" vertical="center"/>
    </xf>
    <xf numFmtId="0" fontId="0" fillId="0" borderId="35" xfId="0" applyBorder="1" applyAlignment="1">
      <alignment horizontal="left" vertical="center"/>
    </xf>
    <xf numFmtId="0" fontId="0" fillId="0" borderId="22" xfId="0" applyBorder="1" applyAlignment="1">
      <alignment horizontal="left" vertical="center"/>
    </xf>
    <xf numFmtId="0" fontId="0" fillId="0" borderId="7" xfId="0" applyBorder="1" applyAlignment="1">
      <alignment vertical="center"/>
    </xf>
    <xf numFmtId="0" fontId="1" fillId="0" borderId="15" xfId="0" applyFont="1" applyBorder="1" applyAlignment="1">
      <alignment horizontal="center" vertical="center"/>
    </xf>
    <xf numFmtId="0" fontId="0" fillId="0" borderId="0" xfId="0" applyAlignment="1">
      <alignment vertical="center"/>
    </xf>
    <xf numFmtId="0" fontId="3" fillId="0" borderId="24" xfId="0" applyFont="1" applyBorder="1" applyAlignment="1">
      <alignment wrapText="1"/>
    </xf>
    <xf numFmtId="0" fontId="3" fillId="0" borderId="33" xfId="0" applyFont="1" applyBorder="1" applyAlignment="1">
      <alignment wrapText="1"/>
    </xf>
    <xf numFmtId="0" fontId="0" fillId="0" borderId="0" xfId="0" applyAlignment="1">
      <alignment horizontal="right"/>
    </xf>
    <xf numFmtId="0" fontId="18" fillId="0" borderId="0" xfId="0" applyFont="1" applyAlignment="1">
      <alignment horizontal="left"/>
    </xf>
    <xf numFmtId="165" fontId="0" fillId="0" borderId="16" xfId="0" applyNumberFormat="1" applyBorder="1" applyAlignment="1">
      <alignment horizontal="left" vertical="center"/>
    </xf>
    <xf numFmtId="165" fontId="15" fillId="0" borderId="14" xfId="1" applyNumberFormat="1" applyFont="1" applyFill="1" applyBorder="1" applyAlignment="1"/>
    <xf numFmtId="0" fontId="0" fillId="0" borderId="13" xfId="0" applyBorder="1" applyAlignment="1">
      <alignment horizontal="center"/>
    </xf>
    <xf numFmtId="165" fontId="22" fillId="0" borderId="14" xfId="0" applyNumberFormat="1" applyFont="1" applyBorder="1"/>
    <xf numFmtId="165" fontId="22" fillId="0" borderId="18" xfId="0" applyNumberFormat="1" applyFont="1" applyBorder="1"/>
    <xf numFmtId="165" fontId="22" fillId="0" borderId="15" xfId="0" applyNumberFormat="1" applyFont="1" applyBorder="1"/>
    <xf numFmtId="165" fontId="0" fillId="0" borderId="36" xfId="0" applyNumberFormat="1" applyBorder="1"/>
    <xf numFmtId="0" fontId="0" fillId="0" borderId="19" xfId="0" applyBorder="1" applyAlignment="1">
      <alignment wrapText="1"/>
    </xf>
    <xf numFmtId="164" fontId="0" fillId="0" borderId="0" xfId="0" applyNumberFormat="1"/>
    <xf numFmtId="0" fontId="4" fillId="0" borderId="8" xfId="0" applyFont="1" applyBorder="1" applyAlignment="1">
      <alignment horizontal="left" vertical="center" wrapText="1"/>
    </xf>
    <xf numFmtId="164" fontId="1" fillId="0" borderId="0" xfId="0" applyNumberFormat="1" applyFont="1" applyAlignment="1">
      <alignment horizontal="right"/>
    </xf>
    <xf numFmtId="164" fontId="24" fillId="0" borderId="0" xfId="0" applyNumberFormat="1" applyFont="1" applyAlignment="1">
      <alignment horizontal="right"/>
    </xf>
    <xf numFmtId="164" fontId="15" fillId="0" borderId="18" xfId="0" applyNumberFormat="1" applyFont="1" applyBorder="1"/>
    <xf numFmtId="165" fontId="0" fillId="0" borderId="0" xfId="0" applyNumberFormat="1"/>
    <xf numFmtId="0" fontId="26" fillId="0" borderId="19" xfId="0" applyFont="1" applyBorder="1" applyAlignment="1">
      <alignment wrapText="1"/>
    </xf>
    <xf numFmtId="165" fontId="26" fillId="0" borderId="14" xfId="0" applyNumberFormat="1" applyFont="1" applyBorder="1"/>
    <xf numFmtId="165" fontId="26" fillId="0" borderId="15" xfId="0" applyNumberFormat="1" applyFont="1" applyBorder="1"/>
    <xf numFmtId="0" fontId="22" fillId="0" borderId="15" xfId="0" applyFont="1" applyBorder="1"/>
    <xf numFmtId="165" fontId="1" fillId="0" borderId="0" xfId="0" applyNumberFormat="1" applyFont="1"/>
    <xf numFmtId="164" fontId="0" fillId="0" borderId="23" xfId="0" applyNumberFormat="1" applyBorder="1"/>
    <xf numFmtId="164" fontId="0" fillId="0" borderId="22" xfId="0" applyNumberFormat="1" applyBorder="1"/>
    <xf numFmtId="164" fontId="2" fillId="2" borderId="20" xfId="1" applyNumberFormat="1" applyBorder="1"/>
    <xf numFmtId="164" fontId="2" fillId="2" borderId="22" xfId="1" applyNumberFormat="1" applyBorder="1"/>
    <xf numFmtId="164" fontId="0" fillId="0" borderId="7" xfId="0" applyNumberFormat="1" applyBorder="1"/>
    <xf numFmtId="164" fontId="0" fillId="0" borderId="8" xfId="0" applyNumberFormat="1" applyBorder="1"/>
    <xf numFmtId="164" fontId="0" fillId="0" borderId="6" xfId="0" applyNumberFormat="1" applyBorder="1"/>
    <xf numFmtId="164" fontId="0" fillId="0" borderId="12" xfId="0" applyNumberFormat="1" applyBorder="1"/>
    <xf numFmtId="164" fontId="0" fillId="0" borderId="11" xfId="0" applyNumberFormat="1" applyBorder="1"/>
    <xf numFmtId="0" fontId="0" fillId="0" borderId="37" xfId="0" applyBorder="1"/>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37" xfId="0" applyFont="1" applyBorder="1" applyAlignment="1">
      <alignment horizontal="left" vertical="center"/>
    </xf>
    <xf numFmtId="164" fontId="0" fillId="0" borderId="13" xfId="0" applyNumberFormat="1" applyBorder="1" applyAlignment="1">
      <alignment horizontal="center" vertical="center"/>
    </xf>
    <xf numFmtId="164" fontId="0" fillId="0" borderId="3" xfId="0" applyNumberFormat="1" applyBorder="1" applyAlignment="1">
      <alignment horizontal="center" vertical="center"/>
    </xf>
    <xf numFmtId="164" fontId="0" fillId="0" borderId="13" xfId="0" applyNumberFormat="1" applyBorder="1" applyAlignment="1">
      <alignment horizontal="center" vertical="center" wrapText="1"/>
    </xf>
    <xf numFmtId="164" fontId="0" fillId="0" borderId="3" xfId="0" applyNumberFormat="1" applyBorder="1" applyAlignment="1">
      <alignment horizontal="center" vertical="center" wrapTex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21" xfId="0" applyFont="1" applyBorder="1" applyAlignment="1">
      <alignment horizont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1" fillId="0" borderId="13" xfId="0" applyFont="1" applyBorder="1" applyAlignment="1">
      <alignment horizontal="center" vertical="center"/>
    </xf>
    <xf numFmtId="0" fontId="1" fillId="0" borderId="3"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cellXfs>
  <cellStyles count="2">
    <cellStyle name="Neutre"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Hassler, Auguste" id="{437F5601-AD80-4416-A7F1-E8537C7F13F5}" userId="S::s06ah2@abdn.ac.uk::d8b3dd27-92ac-422c-8bd5-fae193bb5fb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6" dT="2025-06-12T15:13:08.59" personId="{437F5601-AD80-4416-A7F1-E8537C7F13F5}" id="{B4A2507D-01F8-41F1-9CE1-4F18C6416DE4}">
    <text>Outliers</text>
  </threadedComment>
  <threadedComment ref="B37" dT="2025-06-12T15:13:08.59" personId="{437F5601-AD80-4416-A7F1-E8537C7F13F5}" id="{35768558-3C57-4E41-B192-A05CCEC6755D}">
    <text>Outliers</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opLeftCell="A4" workbookViewId="0">
      <selection activeCell="A2" sqref="A2"/>
    </sheetView>
  </sheetViews>
  <sheetFormatPr baseColWidth="10" defaultColWidth="9.140625" defaultRowHeight="15"/>
  <sheetData>
    <row r="1" spans="1:10">
      <c r="A1" s="11" t="s">
        <v>0</v>
      </c>
    </row>
    <row r="2" spans="1:10" ht="15.75" thickBot="1"/>
    <row r="3" spans="1:10" ht="18.75" thickBot="1">
      <c r="A3" s="119"/>
      <c r="B3" s="121"/>
      <c r="C3" s="155" t="s">
        <v>136</v>
      </c>
      <c r="D3" s="156"/>
      <c r="E3" s="157"/>
      <c r="F3" s="158" t="s">
        <v>1</v>
      </c>
      <c r="G3" s="159"/>
      <c r="H3" s="160"/>
      <c r="I3" s="158" t="s">
        <v>2</v>
      </c>
      <c r="J3" s="160"/>
    </row>
    <row r="4" spans="1:10" ht="15.75" thickBot="1">
      <c r="A4" s="76" t="s">
        <v>3</v>
      </c>
      <c r="B4" s="78" t="s">
        <v>4</v>
      </c>
      <c r="C4" s="76" t="s">
        <v>5</v>
      </c>
      <c r="D4" s="77" t="s">
        <v>6</v>
      </c>
      <c r="E4" s="120" t="s">
        <v>7</v>
      </c>
      <c r="F4" s="76" t="s">
        <v>5</v>
      </c>
      <c r="G4" s="77" t="s">
        <v>6</v>
      </c>
      <c r="H4" s="120" t="s">
        <v>7</v>
      </c>
      <c r="I4" s="76" t="s">
        <v>5</v>
      </c>
      <c r="J4" s="120" t="s">
        <v>6</v>
      </c>
    </row>
    <row r="5" spans="1:10">
      <c r="A5" s="110" t="s">
        <v>8</v>
      </c>
      <c r="B5" s="1">
        <v>35</v>
      </c>
      <c r="C5" s="111">
        <v>0.01</v>
      </c>
      <c r="D5" s="111">
        <v>0.02</v>
      </c>
      <c r="E5" s="2">
        <v>-0.01</v>
      </c>
      <c r="F5" s="111">
        <v>0.17</v>
      </c>
      <c r="G5" s="111">
        <v>0.24</v>
      </c>
      <c r="H5" s="2">
        <v>0.15</v>
      </c>
      <c r="I5" s="111">
        <v>0.03</v>
      </c>
      <c r="J5" s="112">
        <v>0.04</v>
      </c>
    </row>
    <row r="6" spans="1:10">
      <c r="A6" s="110" t="s">
        <v>9</v>
      </c>
      <c r="B6" s="1">
        <v>1</v>
      </c>
      <c r="C6" s="111">
        <v>-0.02</v>
      </c>
      <c r="D6" s="111">
        <v>0.03</v>
      </c>
      <c r="E6" s="2">
        <v>-0.04</v>
      </c>
      <c r="F6" s="111" t="s">
        <v>10</v>
      </c>
      <c r="G6" s="111" t="s">
        <v>10</v>
      </c>
      <c r="H6" s="2" t="s">
        <v>10</v>
      </c>
      <c r="I6" s="111" t="s">
        <v>10</v>
      </c>
      <c r="J6" s="112" t="s">
        <v>10</v>
      </c>
    </row>
    <row r="7" spans="1:10">
      <c r="A7" s="110" t="s">
        <v>11</v>
      </c>
      <c r="B7" s="1">
        <v>6</v>
      </c>
      <c r="C7" s="113">
        <v>0</v>
      </c>
      <c r="D7" s="111">
        <v>-0.01</v>
      </c>
      <c r="E7" s="2">
        <v>0.01</v>
      </c>
      <c r="F7" s="111">
        <v>0.16</v>
      </c>
      <c r="G7" s="111">
        <v>0.23</v>
      </c>
      <c r="H7" s="2">
        <v>0.13</v>
      </c>
      <c r="I7" s="111">
        <v>7.0000000000000007E-2</v>
      </c>
      <c r="J7" s="112">
        <v>0.1</v>
      </c>
    </row>
    <row r="8" spans="1:10">
      <c r="A8" s="110" t="s">
        <v>12</v>
      </c>
      <c r="B8" s="1">
        <v>11</v>
      </c>
      <c r="C8" s="111">
        <v>0.02</v>
      </c>
      <c r="D8" s="111">
        <v>7.0000000000000007E-2</v>
      </c>
      <c r="E8" s="2">
        <v>-0.05</v>
      </c>
      <c r="F8" s="111">
        <v>0.23</v>
      </c>
      <c r="G8" s="111">
        <v>0.26</v>
      </c>
      <c r="H8" s="2">
        <v>0.15</v>
      </c>
      <c r="I8" s="111">
        <v>7.0000000000000007E-2</v>
      </c>
      <c r="J8" s="112">
        <v>0.08</v>
      </c>
    </row>
    <row r="9" spans="1:10">
      <c r="A9" s="110" t="s">
        <v>13</v>
      </c>
      <c r="B9" s="1">
        <v>5</v>
      </c>
      <c r="C9" s="111">
        <v>0.01</v>
      </c>
      <c r="D9" s="111">
        <v>0.05</v>
      </c>
      <c r="E9" s="2">
        <v>-0.04</v>
      </c>
      <c r="F9" s="111">
        <v>0.12</v>
      </c>
      <c r="G9" s="111">
        <v>0.14000000000000001</v>
      </c>
      <c r="H9" s="2">
        <v>0.14000000000000001</v>
      </c>
      <c r="I9" s="111">
        <v>0.06</v>
      </c>
      <c r="J9" s="112">
        <v>0.06</v>
      </c>
    </row>
    <row r="10" spans="1:10">
      <c r="A10" s="110" t="s">
        <v>14</v>
      </c>
      <c r="B10" s="1">
        <v>7</v>
      </c>
      <c r="C10" s="111">
        <v>-0.02</v>
      </c>
      <c r="D10" s="111">
        <v>-0.02</v>
      </c>
      <c r="E10" s="2">
        <v>0.01</v>
      </c>
      <c r="F10" s="111">
        <v>0.13</v>
      </c>
      <c r="G10" s="111">
        <v>0.26</v>
      </c>
      <c r="H10" s="2">
        <v>0.14000000000000001</v>
      </c>
      <c r="I10" s="111">
        <v>0.05</v>
      </c>
      <c r="J10" s="112">
        <v>0.1</v>
      </c>
    </row>
    <row r="11" spans="1:10">
      <c r="A11" s="114" t="s">
        <v>15</v>
      </c>
      <c r="B11" s="115">
        <v>5</v>
      </c>
      <c r="C11" s="116">
        <v>0.03</v>
      </c>
      <c r="D11" s="116">
        <v>-0.01</v>
      </c>
      <c r="E11" s="117">
        <v>0.04</v>
      </c>
      <c r="F11" s="116">
        <v>0.17</v>
      </c>
      <c r="G11" s="116">
        <v>0.28000000000000003</v>
      </c>
      <c r="H11" s="117">
        <v>0.16</v>
      </c>
      <c r="I11" s="116">
        <v>7.0000000000000007E-2</v>
      </c>
      <c r="J11" s="118">
        <v>0.12</v>
      </c>
    </row>
  </sheetData>
  <mergeCells count="3">
    <mergeCell ref="C3:E3"/>
    <mergeCell ref="F3:H3"/>
    <mergeCell ref="I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C36D8-DD75-4465-91E5-F088A6B1F279}">
  <dimension ref="A1:K28"/>
  <sheetViews>
    <sheetView zoomScale="70" zoomScaleNormal="70" workbookViewId="0"/>
  </sheetViews>
  <sheetFormatPr baseColWidth="10" defaultColWidth="11.42578125" defaultRowHeight="15"/>
  <cols>
    <col min="3" max="5" width="12.7109375" customWidth="1"/>
  </cols>
  <sheetData>
    <row r="1" spans="1:11">
      <c r="A1" s="11" t="s">
        <v>158</v>
      </c>
    </row>
    <row r="2" spans="1:11" ht="15.75" thickBot="1"/>
    <row r="3" spans="1:11" ht="18.75" thickBot="1">
      <c r="C3" s="155" t="s">
        <v>136</v>
      </c>
      <c r="D3" s="156"/>
      <c r="E3" s="157"/>
      <c r="F3" s="155" t="s">
        <v>94</v>
      </c>
      <c r="G3" s="156"/>
      <c r="H3" s="179"/>
      <c r="I3" s="180" t="s">
        <v>95</v>
      </c>
      <c r="J3" s="159"/>
      <c r="K3" s="177" t="s">
        <v>96</v>
      </c>
    </row>
    <row r="4" spans="1:11" ht="15.75" thickBot="1">
      <c r="A4" s="83" t="s">
        <v>3</v>
      </c>
      <c r="B4" s="85" t="s">
        <v>4</v>
      </c>
      <c r="C4" s="79" t="s">
        <v>5</v>
      </c>
      <c r="D4" s="79" t="s">
        <v>6</v>
      </c>
      <c r="E4" s="80" t="s">
        <v>7</v>
      </c>
      <c r="F4" s="79" t="s">
        <v>5</v>
      </c>
      <c r="G4" s="79" t="s">
        <v>6</v>
      </c>
      <c r="H4" s="80" t="s">
        <v>7</v>
      </c>
      <c r="I4" s="79" t="s">
        <v>5</v>
      </c>
      <c r="J4" s="79" t="s">
        <v>6</v>
      </c>
      <c r="K4" s="178"/>
    </row>
    <row r="5" spans="1:11">
      <c r="A5" s="102" t="s">
        <v>97</v>
      </c>
      <c r="B5" s="102">
        <v>4</v>
      </c>
      <c r="C5" s="99">
        <v>-5.9728355798288613E-2</v>
      </c>
      <c r="D5" s="100">
        <v>-8.1439751646900094E-2</v>
      </c>
      <c r="E5" s="103">
        <v>2.1715941954658646E-2</v>
      </c>
      <c r="F5" s="99">
        <v>0.12275107072536809</v>
      </c>
      <c r="G5" s="100">
        <v>9.9245747320448233E-2</v>
      </c>
      <c r="H5" s="103">
        <v>0.21352160945076623</v>
      </c>
      <c r="I5" s="99">
        <v>6.1375535362684044E-2</v>
      </c>
      <c r="J5" s="103">
        <v>4.9622873660224116E-2</v>
      </c>
      <c r="K5" s="105">
        <v>0.1</v>
      </c>
    </row>
    <row r="6" spans="1:11">
      <c r="A6" s="68" t="s">
        <v>98</v>
      </c>
      <c r="B6" s="68">
        <v>3</v>
      </c>
      <c r="C6" s="65">
        <v>3.5757412533884056E-3</v>
      </c>
      <c r="D6" s="101">
        <v>4.5913675593330559E-2</v>
      </c>
      <c r="E6" s="104">
        <v>-4.2339649313512716E-2</v>
      </c>
      <c r="F6" s="65">
        <v>0.10575354727358072</v>
      </c>
      <c r="G6" s="101">
        <v>0.11932446377295026</v>
      </c>
      <c r="H6" s="104">
        <v>0.14329120332120729</v>
      </c>
      <c r="I6" s="65">
        <v>6.1056838986159642E-2</v>
      </c>
      <c r="J6" s="104">
        <v>6.8892011280220586E-2</v>
      </c>
      <c r="K6" s="106">
        <v>0.01</v>
      </c>
    </row>
    <row r="7" spans="1:11">
      <c r="A7" s="68" t="s">
        <v>99</v>
      </c>
      <c r="B7" s="68">
        <v>4</v>
      </c>
      <c r="C7" s="65">
        <v>4.7734277622557553E-3</v>
      </c>
      <c r="D7" s="101">
        <v>-1.0633528443326767E-2</v>
      </c>
      <c r="E7" s="104">
        <v>1.5416024703035491E-2</v>
      </c>
      <c r="F7" s="65">
        <v>0.10951046455517896</v>
      </c>
      <c r="G7" s="101">
        <v>0.27752247411882563</v>
      </c>
      <c r="H7" s="104">
        <v>0.18693999099870373</v>
      </c>
      <c r="I7" s="65">
        <v>5.475523227758948E-2</v>
      </c>
      <c r="J7" s="104">
        <v>0.13876123705941282</v>
      </c>
      <c r="K7" s="106">
        <v>1E-3</v>
      </c>
    </row>
    <row r="8" spans="1:11">
      <c r="A8" s="68" t="s">
        <v>100</v>
      </c>
      <c r="B8" s="68">
        <v>7</v>
      </c>
      <c r="C8" s="65">
        <v>9.4317914891244616E-3</v>
      </c>
      <c r="D8" s="101">
        <v>8.695353229608889E-2</v>
      </c>
      <c r="E8" s="104">
        <v>-7.7505724450453534E-2</v>
      </c>
      <c r="F8" s="65">
        <v>9.245337468069488E-2</v>
      </c>
      <c r="G8" s="101">
        <v>0.22586316519607486</v>
      </c>
      <c r="H8" s="104">
        <v>0.2424729962024143</v>
      </c>
      <c r="I8" s="65">
        <v>3.4944091039113473E-2</v>
      </c>
      <c r="J8" s="104">
        <v>8.5368252205530459E-2</v>
      </c>
      <c r="K8" s="106">
        <v>1E-4</v>
      </c>
    </row>
    <row r="9" spans="1:11">
      <c r="A9" s="68" t="s">
        <v>101</v>
      </c>
      <c r="B9" s="68">
        <v>6</v>
      </c>
      <c r="C9" s="65">
        <v>-1.9658130850308542E-2</v>
      </c>
      <c r="D9" s="101">
        <v>-4.4988002613636592E-2</v>
      </c>
      <c r="E9" s="104">
        <v>2.5331379651938324E-2</v>
      </c>
      <c r="F9" s="65">
        <v>0.25936898364209304</v>
      </c>
      <c r="G9" s="101">
        <v>0.31072617457257345</v>
      </c>
      <c r="H9" s="104">
        <v>0.12393111100408538</v>
      </c>
      <c r="I9" s="65">
        <v>0.10588694417123415</v>
      </c>
      <c r="J9" s="104">
        <v>0.12685342957162898</v>
      </c>
      <c r="K9" s="106">
        <v>1.0000000000000001E-5</v>
      </c>
    </row>
    <row r="10" spans="1:11">
      <c r="A10" s="107" t="s">
        <v>102</v>
      </c>
      <c r="B10" s="107">
        <v>6</v>
      </c>
      <c r="C10" s="66">
        <v>-8.9200011274548352E-3</v>
      </c>
      <c r="D10" s="67">
        <v>3.2564623772916392E-3</v>
      </c>
      <c r="E10" s="108">
        <v>-1.21752228406935E-2</v>
      </c>
      <c r="F10" s="66">
        <v>0.17644151644721809</v>
      </c>
      <c r="G10" s="67">
        <v>0.21194257053069779</v>
      </c>
      <c r="H10" s="108">
        <v>0.14124687125814406</v>
      </c>
      <c r="I10" s="66">
        <v>7.2031947456428366E-2</v>
      </c>
      <c r="J10" s="108">
        <v>8.6525192095674094E-2</v>
      </c>
      <c r="K10" s="109">
        <v>9.9999999999999995E-7</v>
      </c>
    </row>
    <row r="11" spans="1:11">
      <c r="A11" s="68" t="s">
        <v>103</v>
      </c>
      <c r="B11" s="68">
        <v>6</v>
      </c>
      <c r="C11" s="65">
        <v>-3.9432981915647293E-2</v>
      </c>
      <c r="D11" s="101">
        <v>-3.3168290758704234E-2</v>
      </c>
      <c r="E11" s="104">
        <v>-6.2571628424342345E-3</v>
      </c>
      <c r="F11" s="65">
        <v>0.133967280101289</v>
      </c>
      <c r="G11" s="101">
        <v>0.2065990955776657</v>
      </c>
      <c r="H11" s="104">
        <v>0.25430427766626262</v>
      </c>
      <c r="I11" s="65">
        <v>5.469191307944473E-2</v>
      </c>
      <c r="J11" s="104">
        <v>8.4343727580962272E-2</v>
      </c>
      <c r="K11" s="106">
        <v>0.1</v>
      </c>
    </row>
    <row r="12" spans="1:11">
      <c r="A12" s="68" t="s">
        <v>104</v>
      </c>
      <c r="B12" s="68">
        <v>5</v>
      </c>
      <c r="C12" s="65">
        <v>-3.1477103544941265E-2</v>
      </c>
      <c r="D12" s="101">
        <v>4.4206710348992928E-3</v>
      </c>
      <c r="E12" s="104">
        <v>-3.5888929046956619E-2</v>
      </c>
      <c r="F12" s="65">
        <v>0.2008131796947851</v>
      </c>
      <c r="G12" s="101">
        <v>0.28078575424097152</v>
      </c>
      <c r="H12" s="104">
        <v>0.25811761685147583</v>
      </c>
      <c r="I12" s="65">
        <v>8.9806384115083987E-2</v>
      </c>
      <c r="J12" s="104">
        <v>0.12557120671927244</v>
      </c>
      <c r="K12" s="106">
        <v>0.01</v>
      </c>
    </row>
    <row r="13" spans="1:11">
      <c r="A13" s="68" t="s">
        <v>105</v>
      </c>
      <c r="B13" s="68">
        <v>6</v>
      </c>
      <c r="C13" s="65">
        <v>-2.6106887140405394E-2</v>
      </c>
      <c r="D13" s="101">
        <v>1.5896184201872703E-2</v>
      </c>
      <c r="E13" s="104">
        <v>-4.1992468294023887E-2</v>
      </c>
      <c r="F13" s="65">
        <v>8.4315404035667396E-2</v>
      </c>
      <c r="G13" s="101">
        <v>0.29171325865688524</v>
      </c>
      <c r="H13" s="104">
        <v>0.24382285952566901</v>
      </c>
      <c r="I13" s="65">
        <v>3.4421619557331112E-2</v>
      </c>
      <c r="J13" s="104">
        <v>0.1190914391523161</v>
      </c>
      <c r="K13" s="106">
        <v>1E-3</v>
      </c>
    </row>
    <row r="14" spans="1:11">
      <c r="A14" s="68" t="s">
        <v>106</v>
      </c>
      <c r="B14" s="68">
        <v>4</v>
      </c>
      <c r="C14" s="65">
        <v>-7.6962539403424568E-3</v>
      </c>
      <c r="D14" s="101">
        <v>-6.2526926557116003E-2</v>
      </c>
      <c r="E14" s="104">
        <v>5.4837115070677234E-2</v>
      </c>
      <c r="F14" s="65">
        <v>0.12221685931315771</v>
      </c>
      <c r="G14" s="101">
        <v>0.21659510183483496</v>
      </c>
      <c r="H14" s="104">
        <v>0.13485530457266004</v>
      </c>
      <c r="I14" s="65">
        <v>6.1108429656578853E-2</v>
      </c>
      <c r="J14" s="104">
        <v>0.10829755091741748</v>
      </c>
      <c r="K14" s="106">
        <v>1E-4</v>
      </c>
    </row>
    <row r="15" spans="1:11">
      <c r="A15" s="68" t="s">
        <v>107</v>
      </c>
      <c r="B15" s="68">
        <v>9</v>
      </c>
      <c r="C15" s="65">
        <v>-2.3078416135000366E-2</v>
      </c>
      <c r="D15" s="101">
        <v>-2.487932821155287E-3</v>
      </c>
      <c r="E15" s="104">
        <v>-2.0581114810341243E-2</v>
      </c>
      <c r="F15" s="65">
        <v>0.18202167205795139</v>
      </c>
      <c r="G15" s="101">
        <v>0.31688394556424532</v>
      </c>
      <c r="H15" s="104">
        <v>0.25269698408372054</v>
      </c>
      <c r="I15" s="65">
        <v>6.0673890685983799E-2</v>
      </c>
      <c r="J15" s="104">
        <v>0.10562798185474843</v>
      </c>
      <c r="K15" s="106">
        <v>1.0000000000000001E-5</v>
      </c>
    </row>
    <row r="16" spans="1:11">
      <c r="A16" s="107" t="s">
        <v>108</v>
      </c>
      <c r="B16" s="107">
        <v>7</v>
      </c>
      <c r="C16" s="66">
        <v>-4.0214799515293977E-2</v>
      </c>
      <c r="D16" s="67">
        <v>-4.5702620058001617E-2</v>
      </c>
      <c r="E16" s="108">
        <v>5.4926974791813521E-3</v>
      </c>
      <c r="F16" s="66">
        <v>0.15476808727931782</v>
      </c>
      <c r="G16" s="67">
        <v>0.15567101227154473</v>
      </c>
      <c r="H16" s="108">
        <v>0.24610703890914198</v>
      </c>
      <c r="I16" s="66">
        <v>5.8496838547173441E-2</v>
      </c>
      <c r="J16" s="108">
        <v>5.8838112116027345E-2</v>
      </c>
      <c r="K16" s="109">
        <v>9.9999999999999995E-7</v>
      </c>
    </row>
    <row r="17" spans="1:11">
      <c r="A17" s="68" t="s">
        <v>109</v>
      </c>
      <c r="B17" s="68">
        <v>4</v>
      </c>
      <c r="C17" s="65">
        <v>1.0916522491494218E-2</v>
      </c>
      <c r="D17" s="101">
        <v>-3.9540313714697684E-2</v>
      </c>
      <c r="E17" s="104">
        <v>5.0452225653585536E-2</v>
      </c>
      <c r="F17" s="65">
        <v>9.3921879027260707E-2</v>
      </c>
      <c r="G17" s="101">
        <v>0.13512709601517531</v>
      </c>
      <c r="H17" s="104">
        <v>8.4982150709194793E-2</v>
      </c>
      <c r="I17" s="65">
        <v>4.6960939513630354E-2</v>
      </c>
      <c r="J17" s="104">
        <v>6.7563548007587654E-2</v>
      </c>
      <c r="K17" s="106">
        <v>0.1</v>
      </c>
    </row>
    <row r="18" spans="1:11">
      <c r="A18" s="68" t="s">
        <v>110</v>
      </c>
      <c r="B18" s="68">
        <v>3</v>
      </c>
      <c r="C18" s="65">
        <v>-1.1088433637840289E-2</v>
      </c>
      <c r="D18" s="101">
        <v>6.8644194468910527E-2</v>
      </c>
      <c r="E18" s="104">
        <v>-7.9725391381901822E-2</v>
      </c>
      <c r="F18" s="65">
        <v>0.10660203107738961</v>
      </c>
      <c r="G18" s="101">
        <v>9.3840274164926726E-2</v>
      </c>
      <c r="H18" s="104">
        <v>0.19576259870146437</v>
      </c>
      <c r="I18" s="65">
        <v>6.1546711338691745E-2</v>
      </c>
      <c r="J18" s="104">
        <v>5.4178707549948732E-2</v>
      </c>
      <c r="K18" s="106">
        <v>0.01</v>
      </c>
    </row>
    <row r="19" spans="1:11">
      <c r="A19" s="68" t="s">
        <v>111</v>
      </c>
      <c r="B19" s="68">
        <v>4</v>
      </c>
      <c r="C19" s="65">
        <v>-1.5989137195360215E-2</v>
      </c>
      <c r="D19" s="101">
        <v>1.760359828395508E-2</v>
      </c>
      <c r="E19" s="104">
        <v>-3.3592101981450018E-2</v>
      </c>
      <c r="F19" s="65">
        <v>0.13657914061184556</v>
      </c>
      <c r="G19" s="101">
        <v>0.19343343494968965</v>
      </c>
      <c r="H19" s="104">
        <v>0.11027606065516758</v>
      </c>
      <c r="I19" s="65">
        <v>6.8289570305922781E-2</v>
      </c>
      <c r="J19" s="104">
        <v>9.6716717474844824E-2</v>
      </c>
      <c r="K19" s="106">
        <v>1E-3</v>
      </c>
    </row>
    <row r="20" spans="1:11">
      <c r="A20" s="68" t="s">
        <v>112</v>
      </c>
      <c r="B20" s="68">
        <v>3</v>
      </c>
      <c r="C20" s="65">
        <v>-1.3398105885002268E-2</v>
      </c>
      <c r="D20" s="101">
        <v>3.5199019118414832E-2</v>
      </c>
      <c r="E20" s="104">
        <v>-4.8589463375529419E-2</v>
      </c>
      <c r="F20" s="65">
        <v>0.21364726876657361</v>
      </c>
      <c r="G20" s="101">
        <v>0.32850099613767131</v>
      </c>
      <c r="H20" s="104">
        <v>0.12614201215328416</v>
      </c>
      <c r="I20" s="65">
        <v>0.1233493081340096</v>
      </c>
      <c r="J20" s="104">
        <v>0.18966013854914476</v>
      </c>
      <c r="K20" s="106">
        <v>1E-4</v>
      </c>
    </row>
    <row r="21" spans="1:11">
      <c r="A21" s="68" t="s">
        <v>113</v>
      </c>
      <c r="B21" s="68">
        <v>4</v>
      </c>
      <c r="C21" s="65">
        <v>-7.0616412534141304E-4</v>
      </c>
      <c r="D21" s="101">
        <v>-4.9858671485741857E-2</v>
      </c>
      <c r="E21" s="104">
        <v>4.9162020985371591E-2</v>
      </c>
      <c r="F21" s="65">
        <v>0.17870054358394422</v>
      </c>
      <c r="G21" s="101">
        <v>0.3289113261918592</v>
      </c>
      <c r="H21" s="104">
        <v>0.19479264973418009</v>
      </c>
      <c r="I21" s="65">
        <v>8.9350271791972108E-2</v>
      </c>
      <c r="J21" s="104">
        <v>0.1644556630959296</v>
      </c>
      <c r="K21" s="106">
        <v>1.0000000000000001E-5</v>
      </c>
    </row>
    <row r="22" spans="1:11">
      <c r="A22" s="107" t="s">
        <v>114</v>
      </c>
      <c r="B22" s="107">
        <v>8</v>
      </c>
      <c r="C22" s="66">
        <v>-2.6893071734410134E-2</v>
      </c>
      <c r="D22" s="67">
        <v>-4.4280609316771358E-4</v>
      </c>
      <c r="E22" s="108">
        <v>-2.6447932349252246E-2</v>
      </c>
      <c r="F22" s="66">
        <v>0.22251299908060562</v>
      </c>
      <c r="G22" s="67">
        <v>0.253717630608431</v>
      </c>
      <c r="H22" s="108">
        <v>0.14823213446969213</v>
      </c>
      <c r="I22" s="66">
        <v>7.8670225276026115E-2</v>
      </c>
      <c r="J22" s="108">
        <v>8.970272855490255E-2</v>
      </c>
      <c r="K22" s="109">
        <v>9.9999999999999995E-7</v>
      </c>
    </row>
    <row r="23" spans="1:11">
      <c r="A23" s="68" t="s">
        <v>115</v>
      </c>
      <c r="B23" s="68">
        <v>6</v>
      </c>
      <c r="C23" s="65">
        <v>-0.10410763109212444</v>
      </c>
      <c r="D23" s="101">
        <v>-0.10943114936923237</v>
      </c>
      <c r="E23" s="104">
        <v>5.3330164096106651E-3</v>
      </c>
      <c r="F23" s="65">
        <v>0.12641972226574436</v>
      </c>
      <c r="G23" s="101">
        <v>0.26289548067622492</v>
      </c>
      <c r="H23" s="104">
        <v>0.25246042754097275</v>
      </c>
      <c r="I23" s="65">
        <v>5.1610635495906498E-2</v>
      </c>
      <c r="J23" s="104">
        <v>0.10732663055674437</v>
      </c>
      <c r="K23" s="106">
        <v>0.1</v>
      </c>
    </row>
    <row r="24" spans="1:11">
      <c r="A24" s="68" t="s">
        <v>116</v>
      </c>
      <c r="B24" s="68">
        <v>7</v>
      </c>
      <c r="C24" s="65">
        <v>1.9143408382081364E-2</v>
      </c>
      <c r="D24" s="101">
        <v>4.767383850082637E-2</v>
      </c>
      <c r="E24" s="104">
        <v>-2.853192882271546E-2</v>
      </c>
      <c r="F24" s="65">
        <v>0.22594251057889858</v>
      </c>
      <c r="G24" s="101">
        <v>0.18064134802884294</v>
      </c>
      <c r="H24" s="104">
        <v>0.13215465796025208</v>
      </c>
      <c r="I24" s="65">
        <v>8.5398241941335148E-2</v>
      </c>
      <c r="J24" s="104">
        <v>6.8276011911398024E-2</v>
      </c>
      <c r="K24" s="106">
        <v>0.01</v>
      </c>
    </row>
    <row r="25" spans="1:11">
      <c r="A25" s="68" t="s">
        <v>117</v>
      </c>
      <c r="B25" s="68">
        <v>4</v>
      </c>
      <c r="C25" s="65">
        <v>-3.4087670353621924E-3</v>
      </c>
      <c r="D25" s="101">
        <v>4.9582031597467102E-2</v>
      </c>
      <c r="E25" s="104">
        <v>-5.2986632246260212E-2</v>
      </c>
      <c r="F25" s="65">
        <v>0.12216562582291482</v>
      </c>
      <c r="G25" s="101">
        <v>0.17545110464489144</v>
      </c>
      <c r="H25" s="104">
        <v>6.2725783534888335E-2</v>
      </c>
      <c r="I25" s="65">
        <v>6.108281291145741E-2</v>
      </c>
      <c r="J25" s="104">
        <v>8.7725552322445721E-2</v>
      </c>
      <c r="K25" s="106">
        <v>1E-3</v>
      </c>
    </row>
    <row r="26" spans="1:11">
      <c r="A26" s="68" t="s">
        <v>118</v>
      </c>
      <c r="B26" s="68">
        <v>4</v>
      </c>
      <c r="C26" s="65">
        <v>3.3809479364682593E-2</v>
      </c>
      <c r="D26" s="101">
        <v>-8.3797182063749531E-2</v>
      </c>
      <c r="E26" s="104">
        <v>0.1176139089019701</v>
      </c>
      <c r="F26" s="65">
        <v>0.22016959999041827</v>
      </c>
      <c r="G26" s="101">
        <v>0.23113373480229765</v>
      </c>
      <c r="H26" s="104">
        <v>6.2500219625106726E-2</v>
      </c>
      <c r="I26" s="65">
        <v>0.11008479999520913</v>
      </c>
      <c r="J26" s="104">
        <v>0.11556686740114883</v>
      </c>
      <c r="K26" s="106">
        <v>1E-4</v>
      </c>
    </row>
    <row r="27" spans="1:11">
      <c r="A27" s="68" t="s">
        <v>119</v>
      </c>
      <c r="B27" s="68">
        <v>5</v>
      </c>
      <c r="C27" s="65">
        <v>-3.2936129251481816E-3</v>
      </c>
      <c r="D27" s="101">
        <v>-0.11300676253223063</v>
      </c>
      <c r="E27" s="104">
        <v>0.10974177004083874</v>
      </c>
      <c r="F27" s="65">
        <v>0.10024434276521475</v>
      </c>
      <c r="G27" s="101">
        <v>0.26589005655269282</v>
      </c>
      <c r="H27" s="104">
        <v>0.3632928124836764</v>
      </c>
      <c r="I27" s="65">
        <v>4.4830632956561881E-2</v>
      </c>
      <c r="J27" s="104">
        <v>0.11890964819861691</v>
      </c>
      <c r="K27" s="106">
        <v>1.0000000000000001E-5</v>
      </c>
    </row>
    <row r="28" spans="1:11">
      <c r="A28" s="107" t="s">
        <v>120</v>
      </c>
      <c r="B28" s="107">
        <v>4</v>
      </c>
      <c r="C28" s="66">
        <v>-1.133255392765653E-2</v>
      </c>
      <c r="D28" s="67">
        <v>2.2015887348292296E-2</v>
      </c>
      <c r="E28" s="108">
        <v>-3.3336831226138397E-2</v>
      </c>
      <c r="F28" s="66">
        <v>0.22953251944335187</v>
      </c>
      <c r="G28" s="67">
        <v>0.3923903477834178</v>
      </c>
      <c r="H28" s="108">
        <v>0.16729091708430238</v>
      </c>
      <c r="I28" s="66">
        <v>0.11476625972167594</v>
      </c>
      <c r="J28" s="108">
        <v>0.1961951738917089</v>
      </c>
      <c r="K28" s="109">
        <v>9.9999999999999995E-7</v>
      </c>
    </row>
  </sheetData>
  <mergeCells count="4">
    <mergeCell ref="K3:K4"/>
    <mergeCell ref="C3:E3"/>
    <mergeCell ref="F3:H3"/>
    <mergeCell ref="I3:J3"/>
  </mergeCells>
  <conditionalFormatting sqref="B4">
    <cfRule type="containsBlanks" priority="1" stopIfTrue="1">
      <formula>LEN(TRIM(B4))=0</formula>
    </cfRule>
    <cfRule type="colorScale" priority="2">
      <colorScale>
        <cfvo type="min"/>
        <cfvo type="num" val="5"/>
        <color rgb="FFFFFFFF"/>
        <color rgb="FF00B050"/>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27FE-24D0-47D6-A726-3EA2680DE0BC}">
  <dimension ref="A1:AD110"/>
  <sheetViews>
    <sheetView tabSelected="1" workbookViewId="0">
      <selection activeCell="C41" sqref="C41"/>
    </sheetView>
  </sheetViews>
  <sheetFormatPr baseColWidth="10" defaultColWidth="11.42578125" defaultRowHeight="15"/>
  <cols>
    <col min="1" max="1" width="20.140625" bestFit="1" customWidth="1"/>
    <col min="2" max="2" width="42.140625" bestFit="1" customWidth="1"/>
    <col min="4" max="4" width="13.140625" bestFit="1" customWidth="1"/>
    <col min="7" max="7" width="13.140625" bestFit="1" customWidth="1"/>
    <col min="10" max="10" width="13.140625" bestFit="1" customWidth="1"/>
    <col min="13" max="13" width="13.28515625" bestFit="1" customWidth="1"/>
    <col min="16" max="16" width="16" bestFit="1" customWidth="1"/>
    <col min="17" max="17" width="14.140625" customWidth="1"/>
    <col min="18" max="18" width="16.5703125" bestFit="1" customWidth="1"/>
    <col min="19" max="21" width="14.140625" customWidth="1"/>
    <col min="22" max="22" width="14.140625" bestFit="1" customWidth="1"/>
    <col min="23" max="25" width="14.140625" customWidth="1"/>
    <col min="26" max="26" width="25.140625" bestFit="1" customWidth="1"/>
    <col min="27" max="27" width="14.140625" customWidth="1"/>
    <col min="28" max="28" width="20.42578125" customWidth="1"/>
    <col min="29" max="29" width="18.140625" customWidth="1"/>
  </cols>
  <sheetData>
    <row r="1" spans="1:30">
      <c r="A1" s="11" t="s">
        <v>16</v>
      </c>
    </row>
    <row r="3" spans="1:30" ht="18">
      <c r="A3" s="168" t="s">
        <v>17</v>
      </c>
      <c r="B3" s="173" t="s">
        <v>18</v>
      </c>
      <c r="C3" s="175" t="s">
        <v>4</v>
      </c>
      <c r="D3" s="48" t="s">
        <v>19</v>
      </c>
      <c r="E3" s="168" t="s">
        <v>20</v>
      </c>
      <c r="F3" s="166" t="s">
        <v>21</v>
      </c>
      <c r="G3" s="48" t="s">
        <v>19</v>
      </c>
      <c r="H3" s="168" t="s">
        <v>20</v>
      </c>
      <c r="I3" s="166" t="s">
        <v>21</v>
      </c>
      <c r="J3" s="48" t="s">
        <v>19</v>
      </c>
      <c r="K3" s="168" t="s">
        <v>20</v>
      </c>
      <c r="L3" s="166" t="s">
        <v>21</v>
      </c>
      <c r="M3" s="48" t="s">
        <v>19</v>
      </c>
      <c r="N3" s="168" t="s">
        <v>20</v>
      </c>
      <c r="O3" s="166" t="s">
        <v>21</v>
      </c>
      <c r="P3" s="170" t="s">
        <v>22</v>
      </c>
      <c r="Q3" s="171"/>
      <c r="R3" s="171"/>
      <c r="S3" s="171"/>
      <c r="T3" s="171"/>
      <c r="U3" s="171"/>
      <c r="V3" s="171"/>
      <c r="W3" s="171"/>
      <c r="X3" s="171"/>
      <c r="Y3" s="171"/>
      <c r="Z3" s="171"/>
      <c r="AA3" s="171"/>
      <c r="AB3" s="171"/>
      <c r="AC3" s="172"/>
      <c r="AD3" s="161" t="s">
        <v>23</v>
      </c>
    </row>
    <row r="4" spans="1:30" ht="33.75" customHeight="1">
      <c r="A4" s="169"/>
      <c r="B4" s="174"/>
      <c r="C4" s="176"/>
      <c r="D4" s="49" t="s">
        <v>24</v>
      </c>
      <c r="E4" s="169"/>
      <c r="F4" s="167"/>
      <c r="G4" s="49" t="s">
        <v>25</v>
      </c>
      <c r="H4" s="169"/>
      <c r="I4" s="167"/>
      <c r="J4" s="49" t="s">
        <v>26</v>
      </c>
      <c r="K4" s="169"/>
      <c r="L4" s="167"/>
      <c r="M4" s="49" t="s">
        <v>157</v>
      </c>
      <c r="N4" s="169"/>
      <c r="O4" s="167"/>
      <c r="P4" s="51" t="s">
        <v>27</v>
      </c>
      <c r="Q4" s="50" t="s">
        <v>20</v>
      </c>
      <c r="R4" s="51" t="s">
        <v>28</v>
      </c>
      <c r="S4" s="50" t="s">
        <v>20</v>
      </c>
      <c r="T4" s="51" t="s">
        <v>137</v>
      </c>
      <c r="U4" s="50" t="s">
        <v>20</v>
      </c>
      <c r="V4" s="51" t="s">
        <v>29</v>
      </c>
      <c r="W4" s="50" t="s">
        <v>20</v>
      </c>
      <c r="X4" s="51" t="s">
        <v>30</v>
      </c>
      <c r="Y4" s="50" t="s">
        <v>20</v>
      </c>
      <c r="Z4" s="135" t="s">
        <v>156</v>
      </c>
      <c r="AA4" s="50" t="s">
        <v>20</v>
      </c>
      <c r="AB4" s="51" t="s">
        <v>31</v>
      </c>
      <c r="AC4" s="50" t="s">
        <v>20</v>
      </c>
      <c r="AD4" s="161"/>
    </row>
    <row r="5" spans="1:30" ht="15.75">
      <c r="A5" s="3" t="s">
        <v>13</v>
      </c>
      <c r="B5" s="4" t="s">
        <v>138</v>
      </c>
      <c r="C5" s="5">
        <v>101</v>
      </c>
      <c r="D5" s="52">
        <v>-1.0469999999999999</v>
      </c>
      <c r="E5" s="6">
        <v>0.13</v>
      </c>
      <c r="F5" s="53">
        <f>E5/SQRT(C5)</f>
        <v>1.293548347272986E-2</v>
      </c>
      <c r="G5" s="52"/>
      <c r="H5" s="6"/>
      <c r="I5" s="53"/>
      <c r="J5" s="52">
        <f>D5+0.518</f>
        <v>-0.52899999999999991</v>
      </c>
      <c r="K5" s="6"/>
      <c r="L5" s="53"/>
      <c r="M5" s="52"/>
      <c r="N5" s="6"/>
      <c r="O5" s="53"/>
      <c r="P5" s="52">
        <f>D5-$J$24</f>
        <v>-0.55178380408653838</v>
      </c>
      <c r="Q5" s="53">
        <f>SQRT((E5/2)^2+(K$24/2)^2)*2</f>
        <v>0.14082507212795087</v>
      </c>
      <c r="R5" s="52"/>
      <c r="S5" s="53"/>
      <c r="T5" s="6"/>
      <c r="U5" s="6"/>
      <c r="V5" s="52">
        <f t="shared" ref="V5:V10" si="0">$M$28-D5</f>
        <v>4.3367418747215059E-2</v>
      </c>
      <c r="W5" s="53">
        <f t="shared" ref="W5:W10" si="1">SQRT((E5/2)^2+(N$28/2)^2)*2</f>
        <v>0.20434093420275493</v>
      </c>
      <c r="X5" s="52"/>
      <c r="Y5" s="53"/>
      <c r="Z5" s="6"/>
      <c r="AA5" s="6"/>
      <c r="AB5" s="52">
        <f t="shared" ref="AB5:AB10" si="2">$M$28-(D5+0.518)</f>
        <v>-0.47463258125278496</v>
      </c>
      <c r="AC5" s="145"/>
      <c r="AD5" t="s">
        <v>32</v>
      </c>
    </row>
    <row r="6" spans="1:30" ht="15.75">
      <c r="A6" s="3"/>
      <c r="B6" s="4" t="s">
        <v>138</v>
      </c>
      <c r="C6" s="5">
        <v>404</v>
      </c>
      <c r="D6" s="52">
        <v>-1.0243</v>
      </c>
      <c r="E6" s="6">
        <v>0.12509999999999999</v>
      </c>
      <c r="F6" s="53">
        <v>6.1000000000000004E-3</v>
      </c>
      <c r="G6" s="52"/>
      <c r="H6" s="6"/>
      <c r="I6" s="53"/>
      <c r="J6" s="52">
        <f t="shared" ref="J6:J9" si="3">D6+0.518</f>
        <v>-0.50629999999999997</v>
      </c>
      <c r="K6" s="6"/>
      <c r="L6" s="53"/>
      <c r="M6" s="52"/>
      <c r="N6" s="6"/>
      <c r="O6" s="53"/>
      <c r="P6" s="52">
        <f>D6-$J$24</f>
        <v>-0.52908380408653843</v>
      </c>
      <c r="Q6" s="53">
        <f>SQRT((E6/2)^2+(K$24/2)^2)*2</f>
        <v>0.13631474953152561</v>
      </c>
      <c r="R6" s="52"/>
      <c r="S6" s="53"/>
      <c r="T6" s="6"/>
      <c r="U6" s="6"/>
      <c r="V6" s="52">
        <f t="shared" si="0"/>
        <v>2.0667418747215116E-2</v>
      </c>
      <c r="W6" s="53">
        <f t="shared" si="1"/>
        <v>0.20125910511292308</v>
      </c>
      <c r="X6" s="52"/>
      <c r="Y6" s="53"/>
      <c r="Z6" s="6"/>
      <c r="AA6" s="6"/>
      <c r="AB6" s="52">
        <f t="shared" si="2"/>
        <v>-0.4973325812527849</v>
      </c>
      <c r="AC6" s="145"/>
      <c r="AD6" t="s">
        <v>33</v>
      </c>
    </row>
    <row r="7" spans="1:30" ht="15.75">
      <c r="A7" s="3"/>
      <c r="B7" s="4" t="s">
        <v>138</v>
      </c>
      <c r="C7" s="5">
        <v>24</v>
      </c>
      <c r="D7" s="52">
        <v>-1.07</v>
      </c>
      <c r="E7" s="6">
        <f>F7*SQRT(C7)</f>
        <v>0.24004999479275144</v>
      </c>
      <c r="F7" s="53">
        <v>4.9000000000000002E-2</v>
      </c>
      <c r="G7" s="52"/>
      <c r="H7" s="6"/>
      <c r="I7" s="53"/>
      <c r="J7" s="52">
        <f t="shared" si="3"/>
        <v>-0.55200000000000005</v>
      </c>
      <c r="K7" s="6"/>
      <c r="L7" s="53"/>
      <c r="M7" s="52"/>
      <c r="N7" s="6"/>
      <c r="O7" s="53"/>
      <c r="P7" s="52">
        <f>D7-$J$26</f>
        <v>-0.57532201220912782</v>
      </c>
      <c r="Q7" s="53">
        <f>SQRT((E7/2)^2+(K$26/2)^2)*2</f>
        <v>0.2528198861891448</v>
      </c>
      <c r="R7" s="52"/>
      <c r="S7" s="53"/>
      <c r="T7" s="6"/>
      <c r="U7" s="6"/>
      <c r="V7" s="52">
        <f t="shared" si="0"/>
        <v>6.636741874721519E-2</v>
      </c>
      <c r="W7" s="53">
        <f t="shared" si="1"/>
        <v>0.28719195216937154</v>
      </c>
      <c r="X7" s="52"/>
      <c r="Y7" s="53"/>
      <c r="Z7" s="6"/>
      <c r="AA7" s="6"/>
      <c r="AB7" s="52">
        <f t="shared" si="2"/>
        <v>-0.45163258125278483</v>
      </c>
      <c r="AC7" s="145"/>
      <c r="AD7" t="s">
        <v>34</v>
      </c>
    </row>
    <row r="8" spans="1:30" ht="15.75">
      <c r="A8" s="3"/>
      <c r="B8" s="4" t="s">
        <v>138</v>
      </c>
      <c r="C8" s="5">
        <v>3</v>
      </c>
      <c r="D8" s="52">
        <v>-0.91</v>
      </c>
      <c r="E8" s="6">
        <v>0.06</v>
      </c>
      <c r="F8" s="53">
        <f>E8/SQRT(C8)</f>
        <v>3.4641016151377546E-2</v>
      </c>
      <c r="G8" s="52"/>
      <c r="H8" s="6"/>
      <c r="I8" s="53"/>
      <c r="J8" s="52">
        <f t="shared" si="3"/>
        <v>-0.39200000000000002</v>
      </c>
      <c r="K8" s="6"/>
      <c r="L8" s="53"/>
      <c r="M8" s="52"/>
      <c r="N8" s="6"/>
      <c r="O8" s="53"/>
      <c r="P8" s="52">
        <f t="shared" ref="P8:P9" si="4">D8-$J$26</f>
        <v>-0.41532201220912773</v>
      </c>
      <c r="Q8" s="53">
        <f t="shared" ref="Q8:Q10" si="5">SQRT((E8/2)^2+(K$26/2)^2)*2</f>
        <v>9.9468059459768957E-2</v>
      </c>
      <c r="R8" s="52"/>
      <c r="S8" s="53"/>
      <c r="T8" s="6"/>
      <c r="U8" s="6"/>
      <c r="V8" s="52">
        <f t="shared" si="0"/>
        <v>-9.3632581252784841E-2</v>
      </c>
      <c r="W8" s="53">
        <f t="shared" si="1"/>
        <v>0.16868674337616046</v>
      </c>
      <c r="X8" s="52"/>
      <c r="Y8" s="53"/>
      <c r="Z8" s="6"/>
      <c r="AA8" s="6"/>
      <c r="AB8" s="52">
        <f t="shared" si="2"/>
        <v>-0.61163258125278486</v>
      </c>
      <c r="AC8" s="145"/>
      <c r="AD8" t="s">
        <v>35</v>
      </c>
    </row>
    <row r="9" spans="1:30" ht="15.75">
      <c r="A9" s="3"/>
      <c r="B9" s="4" t="s">
        <v>138</v>
      </c>
      <c r="C9" s="5">
        <v>2</v>
      </c>
      <c r="D9" s="52">
        <v>-0.92</v>
      </c>
      <c r="E9" s="6">
        <v>0.02</v>
      </c>
      <c r="F9" s="53">
        <f>E9/SQRT(C9)</f>
        <v>1.4142135623730949E-2</v>
      </c>
      <c r="G9" s="52"/>
      <c r="H9" s="6"/>
      <c r="I9" s="53"/>
      <c r="J9" s="52">
        <f t="shared" si="3"/>
        <v>-0.40200000000000002</v>
      </c>
      <c r="K9" s="6"/>
      <c r="L9" s="53"/>
      <c r="M9" s="52"/>
      <c r="N9" s="6"/>
      <c r="O9" s="53"/>
      <c r="P9" s="52">
        <f t="shared" si="4"/>
        <v>-0.42532201220912774</v>
      </c>
      <c r="Q9" s="53">
        <f t="shared" si="5"/>
        <v>8.1816226096613209E-2</v>
      </c>
      <c r="R9" s="52"/>
      <c r="S9" s="53"/>
      <c r="T9" s="6"/>
      <c r="U9" s="6"/>
      <c r="V9" s="52">
        <f t="shared" si="0"/>
        <v>-8.3632581252784832E-2</v>
      </c>
      <c r="W9" s="53">
        <f t="shared" si="1"/>
        <v>0.15891890193068481</v>
      </c>
      <c r="X9" s="52"/>
      <c r="Y9" s="53"/>
      <c r="Z9" s="6"/>
      <c r="AA9" s="6"/>
      <c r="AB9" s="52">
        <f t="shared" si="2"/>
        <v>-0.60163258125278485</v>
      </c>
      <c r="AC9" s="145"/>
      <c r="AD9" t="s">
        <v>35</v>
      </c>
    </row>
    <row r="10" spans="1:30">
      <c r="B10" s="7" t="s">
        <v>138</v>
      </c>
      <c r="C10" s="8">
        <f>SUM(C5:C9)</f>
        <v>534</v>
      </c>
      <c r="D10" s="54">
        <f>(D5*C5+D6*C6+D7*C7+D8*C8+D9*C9)/(C5+C6+C7+C8+C9)</f>
        <v>-1.029614606741573</v>
      </c>
      <c r="E10" s="9">
        <f>2*SQRT(((C5-1)*(E5/2)^2+(C6-1)*(E6/2)^2+(C7-1)*(E7/2)^2+(C8-1)*(E8/2)^2+(C9-1)*(E9/2)^2+C5*(D5-D10)^2+C6*(D6-D10)^2+C7*(D7-D10)^2+C8*(D8-D10)^2+C9*(D9-D10)^2)/(C10-1))</f>
        <v>0.1364385422970566</v>
      </c>
      <c r="F10" s="55">
        <f>E10/SQRT(C10)</f>
        <v>5.904273165957887E-3</v>
      </c>
      <c r="G10" s="54"/>
      <c r="H10" s="9"/>
      <c r="I10" s="55"/>
      <c r="J10" s="54">
        <f>D10+0.518</f>
        <v>-0.511614606741573</v>
      </c>
      <c r="K10" s="9"/>
      <c r="L10" s="55"/>
      <c r="M10" s="54"/>
      <c r="N10" s="9"/>
      <c r="O10" s="55"/>
      <c r="P10" s="54">
        <f>D10-$J$26</f>
        <v>-0.53493661895070077</v>
      </c>
      <c r="Q10" s="55">
        <f t="shared" si="5"/>
        <v>0.15782702771337309</v>
      </c>
      <c r="R10" s="54"/>
      <c r="S10" s="55"/>
      <c r="T10" s="9"/>
      <c r="U10" s="9"/>
      <c r="V10" s="54">
        <f t="shared" si="0"/>
        <v>2.5982025488788141E-2</v>
      </c>
      <c r="W10" s="55">
        <f t="shared" si="1"/>
        <v>0.20849626666921475</v>
      </c>
      <c r="X10" s="54"/>
      <c r="Y10" s="55"/>
      <c r="Z10" s="9"/>
      <c r="AA10" s="9"/>
      <c r="AB10" s="54">
        <f t="shared" si="2"/>
        <v>-0.49201797451121188</v>
      </c>
      <c r="AC10" s="146"/>
      <c r="AD10" s="10" t="s">
        <v>36</v>
      </c>
    </row>
    <row r="11" spans="1:30">
      <c r="B11" s="4" t="s">
        <v>139</v>
      </c>
      <c r="C11" s="5">
        <v>28</v>
      </c>
      <c r="D11" s="52"/>
      <c r="E11" s="6"/>
      <c r="F11" s="53"/>
      <c r="G11" s="52">
        <v>-0.98</v>
      </c>
      <c r="H11" s="6">
        <f>I11*SQRT(C11)</f>
        <v>0.26457513110645908</v>
      </c>
      <c r="I11" s="53">
        <v>0.05</v>
      </c>
      <c r="J11" s="52">
        <f>G11+$R$110</f>
        <v>-0.48288365220293938</v>
      </c>
      <c r="K11" s="6"/>
      <c r="L11" s="53"/>
      <c r="M11" s="52"/>
      <c r="N11" s="6"/>
      <c r="O11" s="53"/>
      <c r="P11" s="52"/>
      <c r="Q11" s="53"/>
      <c r="R11" s="52">
        <f>G11-$J$25</f>
        <v>-0.47811960973173517</v>
      </c>
      <c r="S11" s="53">
        <f>SQRT((H11/2)^2+(K$25/2)^2)*2</f>
        <v>0.28205642959338961</v>
      </c>
      <c r="T11" s="52">
        <f>G11-$D$10</f>
        <v>4.9614606741573031E-2</v>
      </c>
      <c r="U11" s="53">
        <f>SQRT((H11/2)^2+(E$10/2)^2)*2</f>
        <v>0.29768351621167355</v>
      </c>
      <c r="V11" s="52"/>
      <c r="W11" s="53"/>
      <c r="X11" s="52">
        <f>$M$28-G11</f>
        <v>-2.363258125278489E-2</v>
      </c>
      <c r="Y11" s="53">
        <f>SQRT((H11/2)^2+(N$28/2)^2)*2</f>
        <v>0.30798574218761265</v>
      </c>
      <c r="Z11" s="6"/>
      <c r="AA11" s="6"/>
      <c r="AB11" s="52">
        <f>$M$28-(G11+$R$110)</f>
        <v>-0.52074892904984549</v>
      </c>
      <c r="AC11" s="145"/>
      <c r="AD11" t="s">
        <v>37</v>
      </c>
    </row>
    <row r="12" spans="1:30">
      <c r="B12" s="4" t="s">
        <v>139</v>
      </c>
      <c r="C12" s="5">
        <v>7</v>
      </c>
      <c r="D12" s="52"/>
      <c r="E12" s="6"/>
      <c r="F12" s="53"/>
      <c r="G12" s="52">
        <v>-0.99261382721990299</v>
      </c>
      <c r="H12" s="6">
        <v>0.22058329704076246</v>
      </c>
      <c r="I12" s="53">
        <v>8.3372649620649608E-2</v>
      </c>
      <c r="J12" s="52">
        <f>G12+$R$110</f>
        <v>-0.49549747942284239</v>
      </c>
      <c r="K12" s="6"/>
      <c r="L12" s="53"/>
      <c r="M12" s="52"/>
      <c r="N12" s="6"/>
      <c r="O12" s="53"/>
      <c r="P12" s="52"/>
      <c r="Q12" s="53"/>
      <c r="R12" s="52">
        <f t="shared" ref="R12:R14" si="6">G12-$J$25</f>
        <v>-0.49073343695163818</v>
      </c>
      <c r="S12" s="53">
        <f t="shared" ref="S12:S14" si="7">SQRT((H12/2)^2+(K$25/2)^2)*2</f>
        <v>0.2412733313243384</v>
      </c>
      <c r="T12" s="52">
        <f t="shared" ref="T12:T13" si="8">G12-$D$10</f>
        <v>3.7000779521670024E-2</v>
      </c>
      <c r="U12" s="53">
        <f t="shared" ref="U12:U13" si="9">SQRT((H12/2)^2+(E$10/2)^2)*2</f>
        <v>0.25936936356771001</v>
      </c>
      <c r="V12" s="52"/>
      <c r="W12" s="53"/>
      <c r="X12" s="52">
        <f>$M$28-G12</f>
        <v>-1.1018754032881883E-2</v>
      </c>
      <c r="Y12" s="53">
        <f>SQRT((H12/2)^2+(N$28/2)^2)*2</f>
        <v>0.27113134884079315</v>
      </c>
      <c r="Z12" s="6"/>
      <c r="AA12" s="6"/>
      <c r="AB12" s="52">
        <f>$M$28-(G12+$R$110)</f>
        <v>-0.50813510182994248</v>
      </c>
      <c r="AC12" s="145"/>
      <c r="AD12" t="s">
        <v>38</v>
      </c>
    </row>
    <row r="13" spans="1:30">
      <c r="B13" s="4" t="s">
        <v>139</v>
      </c>
      <c r="C13" s="5">
        <v>12</v>
      </c>
      <c r="D13" s="52"/>
      <c r="E13" s="6"/>
      <c r="F13" s="53"/>
      <c r="G13" s="52">
        <v>-0.98385288720616482</v>
      </c>
      <c r="H13" s="6">
        <v>0.2546817076417785</v>
      </c>
      <c r="I13" s="53">
        <f>H13/SQRT(C13)</f>
        <v>7.3520276232327195E-2</v>
      </c>
      <c r="J13" s="52">
        <f>G13+$R$110</f>
        <v>-0.48673653940910422</v>
      </c>
      <c r="K13" s="6"/>
      <c r="L13" s="53"/>
      <c r="M13" s="52"/>
      <c r="N13" s="6"/>
      <c r="O13" s="53"/>
      <c r="P13" s="52"/>
      <c r="Q13" s="53"/>
      <c r="R13" s="52">
        <f t="shared" si="6"/>
        <v>-0.48197249693790001</v>
      </c>
      <c r="S13" s="53">
        <f>SQRT((H13/2)^2+(K$25/2)^2)*2</f>
        <v>0.27279773034668575</v>
      </c>
      <c r="T13" s="52">
        <f t="shared" si="8"/>
        <v>4.5761719535408196E-2</v>
      </c>
      <c r="U13" s="53">
        <f t="shared" si="9"/>
        <v>0.28892602518893662</v>
      </c>
      <c r="V13" s="52"/>
      <c r="W13" s="53"/>
      <c r="X13" s="52">
        <f>$M$28-G13</f>
        <v>-1.9779694046620055E-2</v>
      </c>
      <c r="Y13" s="53">
        <f>SQRT((H13/2)^2+(N$28/2)^2)*2</f>
        <v>0.29952961389182697</v>
      </c>
      <c r="Z13" s="6"/>
      <c r="AA13" s="6"/>
      <c r="AB13" s="52">
        <f>$M$28-(G13+$R$110)</f>
        <v>-0.51689604184368065</v>
      </c>
      <c r="AC13" s="145"/>
      <c r="AD13" t="s">
        <v>140</v>
      </c>
    </row>
    <row r="14" spans="1:30">
      <c r="B14" s="7" t="s">
        <v>139</v>
      </c>
      <c r="C14" s="8">
        <f>SUM(C11:C13)</f>
        <v>47</v>
      </c>
      <c r="D14" s="54"/>
      <c r="E14" s="9"/>
      <c r="F14" s="55"/>
      <c r="G14" s="54">
        <f>(G11*C11+G12*C12+C13*G13)/(SUM(C11:C13))</f>
        <v>-0.98286237100028295</v>
      </c>
      <c r="H14" s="9">
        <f>2*SQRT(((C11-1)*(H11/2)^2+(C12-1)*(H12/2)^2+(C13-1)*(H13/2)^2+C11*(G11-G14)^2+C12*(G12-G14)^2+C13*(G13-G14)^2)/(C14-1))</f>
        <v>0.25104389507468639</v>
      </c>
      <c r="I14" s="55">
        <f>H14/SQRT(C14)</f>
        <v>3.6618515620667466E-2</v>
      </c>
      <c r="J14" s="54">
        <f>G14+$R$110</f>
        <v>-0.48574602320322235</v>
      </c>
      <c r="K14" s="9"/>
      <c r="L14" s="55"/>
      <c r="M14" s="54"/>
      <c r="N14" s="9"/>
      <c r="O14" s="55"/>
      <c r="P14" s="54"/>
      <c r="Q14" s="55"/>
      <c r="R14" s="54">
        <f t="shared" si="6"/>
        <v>-0.48098198073201814</v>
      </c>
      <c r="S14" s="55">
        <f t="shared" si="7"/>
        <v>0.26940465238974787</v>
      </c>
      <c r="T14" s="54">
        <f>G14-$D$10</f>
        <v>4.675223574129006E-2</v>
      </c>
      <c r="U14" s="55">
        <f>SQRT((H14/2)^2+(E$10/2)^2)*2</f>
        <v>0.28572454056033736</v>
      </c>
      <c r="V14" s="54"/>
      <c r="W14" s="55"/>
      <c r="X14" s="54">
        <f>$M$28-G14</f>
        <v>-2.0770210252501919E-2</v>
      </c>
      <c r="Y14" s="55">
        <f>SQRT((H14/2)^2+(N$28/2)^2)*2</f>
        <v>0.29644266670829411</v>
      </c>
      <c r="Z14" s="9"/>
      <c r="AA14" s="9"/>
      <c r="AB14" s="54">
        <f>$M$28-(G14+$R$110)</f>
        <v>-0.51788655804956252</v>
      </c>
      <c r="AC14" s="146"/>
      <c r="AD14" s="10" t="s">
        <v>39</v>
      </c>
    </row>
    <row r="15" spans="1:30">
      <c r="B15" s="4" t="s">
        <v>141</v>
      </c>
      <c r="C15" s="5">
        <v>4</v>
      </c>
      <c r="D15" s="52"/>
      <c r="E15" s="6"/>
      <c r="F15" s="53"/>
      <c r="G15" s="52"/>
      <c r="H15" s="6"/>
      <c r="I15" s="53"/>
      <c r="J15" s="52">
        <v>-0.48</v>
      </c>
      <c r="K15" s="6">
        <v>0.05</v>
      </c>
      <c r="L15" s="53">
        <f t="shared" ref="L15:L23" si="10">K15/SQRT(C15)</f>
        <v>2.5000000000000001E-2</v>
      </c>
      <c r="M15" s="52"/>
      <c r="N15" s="6"/>
      <c r="O15" s="53"/>
      <c r="P15" s="52"/>
      <c r="Q15" s="53"/>
      <c r="R15" s="52"/>
      <c r="S15" s="53"/>
      <c r="T15" s="6"/>
      <c r="U15" s="6"/>
      <c r="V15" s="52"/>
      <c r="W15" s="53"/>
      <c r="X15" s="52"/>
      <c r="Y15" s="53"/>
      <c r="Z15" s="52">
        <f t="shared" ref="Z15:Z24" si="11">$M$28-J15</f>
        <v>-0.52363258125278489</v>
      </c>
      <c r="AA15" s="53">
        <f t="shared" ref="AA15:AA24" si="12">SQRT((K15/2)^2+(N$28/2)^2)*2</f>
        <v>0.16539412743762885</v>
      </c>
      <c r="AB15" s="52">
        <f t="shared" ref="AB15:AB27" si="13">$M$28-J15</f>
        <v>-0.52363258125278489</v>
      </c>
      <c r="AC15" s="53">
        <f t="shared" ref="AC15:AC27" si="14">SQRT((K15/2)^2+(N$28/2)^2)*2</f>
        <v>0.16539412743762885</v>
      </c>
      <c r="AD15" t="s">
        <v>40</v>
      </c>
    </row>
    <row r="16" spans="1:30">
      <c r="B16" s="4" t="s">
        <v>141</v>
      </c>
      <c r="C16" s="5">
        <v>4</v>
      </c>
      <c r="D16" s="52"/>
      <c r="E16" s="6"/>
      <c r="F16" s="53"/>
      <c r="G16" s="52"/>
      <c r="H16" s="6"/>
      <c r="I16" s="53"/>
      <c r="J16" s="52">
        <v>-0.49</v>
      </c>
      <c r="K16" s="6">
        <v>0.03</v>
      </c>
      <c r="L16" s="53">
        <f t="shared" si="10"/>
        <v>1.4999999999999999E-2</v>
      </c>
      <c r="M16" s="52"/>
      <c r="N16" s="6"/>
      <c r="O16" s="53"/>
      <c r="P16" s="52"/>
      <c r="Q16" s="53"/>
      <c r="R16" s="52"/>
      <c r="S16" s="53"/>
      <c r="T16" s="6"/>
      <c r="U16" s="6"/>
      <c r="V16" s="52"/>
      <c r="W16" s="53"/>
      <c r="X16" s="52"/>
      <c r="Y16" s="53"/>
      <c r="Z16" s="6">
        <f t="shared" si="11"/>
        <v>-0.51363258125278488</v>
      </c>
      <c r="AA16" s="53">
        <f t="shared" si="12"/>
        <v>0.16048432132409265</v>
      </c>
      <c r="AB16" s="52">
        <f t="shared" si="13"/>
        <v>-0.51363258125278488</v>
      </c>
      <c r="AC16" s="53">
        <f t="shared" si="14"/>
        <v>0.16048432132409265</v>
      </c>
      <c r="AD16" t="s">
        <v>41</v>
      </c>
    </row>
    <row r="17" spans="1:30">
      <c r="B17" s="4" t="s">
        <v>141</v>
      </c>
      <c r="C17" s="5">
        <v>385</v>
      </c>
      <c r="D17" s="52"/>
      <c r="E17" s="6"/>
      <c r="F17" s="53"/>
      <c r="G17" s="52"/>
      <c r="H17" s="6"/>
      <c r="I17" s="53"/>
      <c r="J17" s="52">
        <v>-0.495</v>
      </c>
      <c r="K17" s="6">
        <v>0.05</v>
      </c>
      <c r="L17" s="53">
        <f t="shared" si="10"/>
        <v>2.5482359571881281E-3</v>
      </c>
      <c r="M17" s="52"/>
      <c r="N17" s="6"/>
      <c r="O17" s="53"/>
      <c r="P17" s="52"/>
      <c r="Q17" s="53"/>
      <c r="R17" s="52"/>
      <c r="S17" s="53"/>
      <c r="T17" s="6"/>
      <c r="U17" s="6"/>
      <c r="V17" s="52"/>
      <c r="W17" s="53"/>
      <c r="X17" s="52"/>
      <c r="Y17" s="53"/>
      <c r="Z17" s="6">
        <f t="shared" si="11"/>
        <v>-0.50863258125278488</v>
      </c>
      <c r="AA17" s="53">
        <f t="shared" si="12"/>
        <v>0.16539412743762885</v>
      </c>
      <c r="AB17" s="52">
        <f t="shared" si="13"/>
        <v>-0.50863258125278488</v>
      </c>
      <c r="AC17" s="53">
        <f t="shared" si="14"/>
        <v>0.16539412743762885</v>
      </c>
      <c r="AD17" t="s">
        <v>42</v>
      </c>
    </row>
    <row r="18" spans="1:30">
      <c r="B18" s="4" t="s">
        <v>141</v>
      </c>
      <c r="C18" s="5">
        <v>5</v>
      </c>
      <c r="D18" s="52"/>
      <c r="E18" s="6"/>
      <c r="F18" s="53"/>
      <c r="G18" s="52"/>
      <c r="H18" s="6"/>
      <c r="I18" s="53"/>
      <c r="J18" s="52">
        <v>-0.47</v>
      </c>
      <c r="K18" s="6">
        <v>0.03</v>
      </c>
      <c r="L18" s="53">
        <f t="shared" si="10"/>
        <v>1.3416407864998738E-2</v>
      </c>
      <c r="M18" s="52"/>
      <c r="N18" s="6"/>
      <c r="O18" s="53"/>
      <c r="P18" s="52"/>
      <c r="Q18" s="53"/>
      <c r="R18" s="52"/>
      <c r="S18" s="53"/>
      <c r="T18" s="6"/>
      <c r="U18" s="6"/>
      <c r="V18" s="52"/>
      <c r="W18" s="53"/>
      <c r="X18" s="52"/>
      <c r="Y18" s="53"/>
      <c r="Z18" s="6">
        <f t="shared" si="11"/>
        <v>-0.5336325812527849</v>
      </c>
      <c r="AA18" s="53">
        <f t="shared" si="12"/>
        <v>0.16048432132409265</v>
      </c>
      <c r="AB18" s="52">
        <f t="shared" si="13"/>
        <v>-0.5336325812527849</v>
      </c>
      <c r="AC18" s="53">
        <f t="shared" si="14"/>
        <v>0.16048432132409265</v>
      </c>
      <c r="AD18" t="s">
        <v>43</v>
      </c>
    </row>
    <row r="19" spans="1:30">
      <c r="B19" s="4" t="s">
        <v>141</v>
      </c>
      <c r="C19" s="5">
        <v>172</v>
      </c>
      <c r="D19" s="52"/>
      <c r="E19" s="6"/>
      <c r="F19" s="53"/>
      <c r="G19" s="52"/>
      <c r="H19" s="6"/>
      <c r="I19" s="53"/>
      <c r="J19" s="52">
        <v>-0.5</v>
      </c>
      <c r="K19" s="6">
        <v>0.05</v>
      </c>
      <c r="L19" s="53">
        <f t="shared" si="10"/>
        <v>3.8124642583151169E-3</v>
      </c>
      <c r="M19" s="52"/>
      <c r="N19" s="6"/>
      <c r="O19" s="53"/>
      <c r="P19" s="52"/>
      <c r="Q19" s="53"/>
      <c r="R19" s="52"/>
      <c r="S19" s="53"/>
      <c r="T19" s="6"/>
      <c r="U19" s="6"/>
      <c r="V19" s="52"/>
      <c r="W19" s="53"/>
      <c r="X19" s="52"/>
      <c r="Y19" s="53"/>
      <c r="Z19" s="6">
        <f t="shared" si="11"/>
        <v>-0.50363258125278487</v>
      </c>
      <c r="AA19" s="53">
        <f t="shared" si="12"/>
        <v>0.16539412743762885</v>
      </c>
      <c r="AB19" s="52">
        <f t="shared" si="13"/>
        <v>-0.50363258125278487</v>
      </c>
      <c r="AC19" s="53">
        <f t="shared" si="14"/>
        <v>0.16539412743762885</v>
      </c>
      <c r="AD19" t="s">
        <v>44</v>
      </c>
    </row>
    <row r="20" spans="1:30">
      <c r="B20" s="4" t="s">
        <v>141</v>
      </c>
      <c r="C20" s="5">
        <v>17</v>
      </c>
      <c r="D20" s="52"/>
      <c r="E20" s="6"/>
      <c r="F20" s="53"/>
      <c r="G20" s="52"/>
      <c r="H20" s="6"/>
      <c r="I20" s="53"/>
      <c r="J20" s="52">
        <v>-0.47</v>
      </c>
      <c r="K20" s="6">
        <v>0.06</v>
      </c>
      <c r="L20" s="53">
        <f t="shared" si="10"/>
        <v>1.4552137502179978E-2</v>
      </c>
      <c r="M20" s="52"/>
      <c r="N20" s="6"/>
      <c r="O20" s="53"/>
      <c r="P20" s="52"/>
      <c r="Q20" s="53"/>
      <c r="R20" s="52"/>
      <c r="S20" s="53"/>
      <c r="T20" s="6"/>
      <c r="U20" s="6"/>
      <c r="V20" s="52"/>
      <c r="W20" s="53"/>
      <c r="X20" s="52"/>
      <c r="Y20" s="53"/>
      <c r="Z20" s="6">
        <f t="shared" si="11"/>
        <v>-0.5336325812527849</v>
      </c>
      <c r="AA20" s="53">
        <f t="shared" si="12"/>
        <v>0.16868674337616046</v>
      </c>
      <c r="AB20" s="52">
        <f t="shared" si="13"/>
        <v>-0.5336325812527849</v>
      </c>
      <c r="AC20" s="53">
        <f t="shared" si="14"/>
        <v>0.16868674337616046</v>
      </c>
      <c r="AD20" t="s">
        <v>45</v>
      </c>
    </row>
    <row r="21" spans="1:30">
      <c r="B21" s="4" t="s">
        <v>142</v>
      </c>
      <c r="C21" s="5">
        <f>142</f>
        <v>142</v>
      </c>
      <c r="D21" s="52"/>
      <c r="E21" s="6"/>
      <c r="F21" s="53"/>
      <c r="G21" s="52"/>
      <c r="H21" s="6"/>
      <c r="I21" s="53"/>
      <c r="J21" s="52">
        <f>-1.01/2.048</f>
        <v>-0.4931640625</v>
      </c>
      <c r="K21" s="6">
        <f>0.02/2.048</f>
        <v>9.765625E-3</v>
      </c>
      <c r="L21" s="53">
        <f t="shared" si="10"/>
        <v>8.1951304521161051E-4</v>
      </c>
      <c r="M21" s="52"/>
      <c r="N21" s="6"/>
      <c r="O21" s="53"/>
      <c r="P21" s="52"/>
      <c r="Q21" s="53"/>
      <c r="R21" s="52"/>
      <c r="S21" s="53"/>
      <c r="T21" s="6"/>
      <c r="U21" s="6"/>
      <c r="V21" s="52"/>
      <c r="W21" s="53"/>
      <c r="X21" s="52"/>
      <c r="Y21" s="53"/>
      <c r="Z21" s="6">
        <f t="shared" si="11"/>
        <v>-0.51046851875278487</v>
      </c>
      <c r="AA21" s="53">
        <f t="shared" si="12"/>
        <v>0.15795754120172686</v>
      </c>
      <c r="AB21" s="52">
        <f t="shared" si="13"/>
        <v>-0.51046851875278487</v>
      </c>
      <c r="AC21" s="53">
        <f t="shared" si="14"/>
        <v>0.15795754120172686</v>
      </c>
      <c r="AD21" t="s">
        <v>46</v>
      </c>
    </row>
    <row r="22" spans="1:30">
      <c r="B22" s="4" t="s">
        <v>142</v>
      </c>
      <c r="C22" s="5">
        <v>42</v>
      </c>
      <c r="D22" s="52"/>
      <c r="E22" s="6"/>
      <c r="F22" s="53"/>
      <c r="G22" s="52"/>
      <c r="H22" s="6"/>
      <c r="I22" s="53"/>
      <c r="J22" s="52">
        <f>-1.02/2.048</f>
        <v>-0.498046875</v>
      </c>
      <c r="K22" s="6">
        <f>0.13*2/2.048</f>
        <v>0.126953125</v>
      </c>
      <c r="L22" s="53">
        <f t="shared" si="10"/>
        <v>1.95892924756562E-2</v>
      </c>
      <c r="M22" s="52"/>
      <c r="N22" s="6"/>
      <c r="O22" s="53"/>
      <c r="P22" s="52"/>
      <c r="Q22" s="53"/>
      <c r="R22" s="52"/>
      <c r="S22" s="53"/>
      <c r="T22" s="6"/>
      <c r="U22" s="6"/>
      <c r="V22" s="52"/>
      <c r="W22" s="53"/>
      <c r="X22" s="52"/>
      <c r="Y22" s="53"/>
      <c r="Z22" s="6">
        <f t="shared" si="11"/>
        <v>-0.50558570625278487</v>
      </c>
      <c r="AA22" s="53">
        <f t="shared" si="12"/>
        <v>0.20241618842898965</v>
      </c>
      <c r="AB22" s="52">
        <f t="shared" si="13"/>
        <v>-0.50558570625278487</v>
      </c>
      <c r="AC22" s="53">
        <f t="shared" si="14"/>
        <v>0.20241618842898965</v>
      </c>
      <c r="AD22" t="s">
        <v>47</v>
      </c>
    </row>
    <row r="23" spans="1:30">
      <c r="B23" s="4" t="s">
        <v>142</v>
      </c>
      <c r="C23" s="5">
        <v>9</v>
      </c>
      <c r="D23" s="52"/>
      <c r="E23" s="6"/>
      <c r="F23" s="53"/>
      <c r="G23" s="52"/>
      <c r="H23" s="6"/>
      <c r="I23" s="53"/>
      <c r="J23" s="52">
        <f>-1.03/2.048</f>
        <v>-0.5029296875</v>
      </c>
      <c r="K23" s="6">
        <f>0.19/2.048</f>
        <v>9.27734375E-2</v>
      </c>
      <c r="L23" s="53">
        <f t="shared" si="10"/>
        <v>3.0924479166666668E-2</v>
      </c>
      <c r="M23" s="52"/>
      <c r="N23" s="6"/>
      <c r="O23" s="53"/>
      <c r="P23" s="52"/>
      <c r="Q23" s="53"/>
      <c r="R23" s="52"/>
      <c r="S23" s="53"/>
      <c r="T23" s="6"/>
      <c r="U23" s="6"/>
      <c r="V23" s="52"/>
      <c r="W23" s="53"/>
      <c r="X23" s="52"/>
      <c r="Y23" s="53"/>
      <c r="Z23" s="6">
        <f t="shared" si="11"/>
        <v>-0.50070289375278487</v>
      </c>
      <c r="AA23" s="53">
        <f t="shared" si="12"/>
        <v>0.18292656476417257</v>
      </c>
      <c r="AB23" s="52">
        <f t="shared" si="13"/>
        <v>-0.50070289375278487</v>
      </c>
      <c r="AC23" s="53">
        <f t="shared" si="14"/>
        <v>0.18292656476417257</v>
      </c>
      <c r="AD23" t="s">
        <v>48</v>
      </c>
    </row>
    <row r="24" spans="1:30">
      <c r="B24" s="7" t="s">
        <v>142</v>
      </c>
      <c r="C24" s="8">
        <f>SUM(C15:C23)</f>
        <v>780</v>
      </c>
      <c r="D24" s="54"/>
      <c r="E24" s="9"/>
      <c r="F24" s="55"/>
      <c r="G24" s="54"/>
      <c r="H24" s="9"/>
      <c r="I24" s="55"/>
      <c r="J24" s="54">
        <f>(C15*J15+C16*J16+C17*J17+C18*J18+C19*J19+C20*J20+J21*C21+J22*C22+J23*C23)/SUM(C15:C23)</f>
        <v>-0.4952161959134615</v>
      </c>
      <c r="K24" s="9">
        <f>2*SQRT(((C15-1)*(K15/2)^2+(C16-1)*(K16/2)^2+(C17-1)*(K17/2)^2+(C18-1)*(K18/2)^2+(C19-1)*(K19/2)^2+(C20-1)*(K20/2)^2+(C21-1)*(K21/2)^2+(C22-1)*(K22/2)^2+(C23-1)*(K23/2)^2+C15*(J15-J24)^2+C16*(J16-J24)^2+C17*(J17-J24)^2+C18*(J18-J24)^2+C19*(J19-J24)^2+C20*(J20-J24)^2+C21*(J21-J24)^2+C22*(J22-J24)^2+C23*(J23-J24)^2)/(C24-1))</f>
        <v>5.4145183902564828E-2</v>
      </c>
      <c r="L24" s="55">
        <f>K24/SQRT(C24)</f>
        <v>1.938708577511357E-3</v>
      </c>
      <c r="M24" s="54"/>
      <c r="N24" s="9"/>
      <c r="O24" s="55"/>
      <c r="P24" s="54"/>
      <c r="Q24" s="55"/>
      <c r="R24" s="54"/>
      <c r="S24" s="55"/>
      <c r="T24" s="9"/>
      <c r="U24" s="9"/>
      <c r="V24" s="54"/>
      <c r="W24" s="55"/>
      <c r="X24" s="54"/>
      <c r="Y24" s="55"/>
      <c r="Z24" s="9">
        <f t="shared" si="11"/>
        <v>-0.50841638533932332</v>
      </c>
      <c r="AA24" s="55">
        <f t="shared" si="12"/>
        <v>0.16669408606995384</v>
      </c>
      <c r="AB24" s="54">
        <f t="shared" si="13"/>
        <v>-0.50841638533932332</v>
      </c>
      <c r="AC24" s="55">
        <f t="shared" si="14"/>
        <v>0.16669408606995384</v>
      </c>
      <c r="AD24" s="10" t="s">
        <v>49</v>
      </c>
    </row>
    <row r="25" spans="1:30" ht="26.25">
      <c r="A25" s="154" t="s">
        <v>143</v>
      </c>
      <c r="B25" s="12" t="s">
        <v>144</v>
      </c>
      <c r="C25" s="8">
        <f>C10+C24</f>
        <v>1314</v>
      </c>
      <c r="D25" s="63"/>
      <c r="E25" s="37"/>
      <c r="F25" s="64"/>
      <c r="G25" s="63"/>
      <c r="H25" s="37"/>
      <c r="I25" s="64"/>
      <c r="J25" s="54">
        <f>(C10*J10+C24*J24)/C25</f>
        <v>-0.50188039026826481</v>
      </c>
      <c r="K25" s="9">
        <f>2*SQRT(((C10-1)*(E10/2)^2+(C24-1)*(K24/2)^2+C10*(J10-J25)^2+C24*(J24-J25)^2)/(C25-1))</f>
        <v>9.7753923066906792E-2</v>
      </c>
      <c r="L25" s="55">
        <f>K25/SQRT(C25)</f>
        <v>2.6967240788051635E-3</v>
      </c>
      <c r="M25" s="63"/>
      <c r="N25" s="37"/>
      <c r="O25" s="64"/>
      <c r="P25" s="52"/>
      <c r="Q25" s="53"/>
      <c r="R25" s="52"/>
      <c r="S25" s="53"/>
      <c r="T25" s="6"/>
      <c r="U25" s="6"/>
      <c r="V25" s="52"/>
      <c r="W25" s="53"/>
      <c r="X25" s="52"/>
      <c r="Y25" s="53"/>
      <c r="Z25" s="6"/>
      <c r="AA25" s="6"/>
      <c r="AB25" s="54">
        <f t="shared" si="13"/>
        <v>-0.50175219098452006</v>
      </c>
      <c r="AC25" s="55">
        <f t="shared" si="14"/>
        <v>0.18550214787388675</v>
      </c>
      <c r="AD25" s="10" t="s">
        <v>145</v>
      </c>
    </row>
    <row r="26" spans="1:30" ht="26.25">
      <c r="A26" s="154" t="s">
        <v>146</v>
      </c>
      <c r="B26" s="12" t="s">
        <v>147</v>
      </c>
      <c r="C26" s="8">
        <f>C14+C24</f>
        <v>827</v>
      </c>
      <c r="D26" s="52"/>
      <c r="E26" s="6"/>
      <c r="F26" s="53"/>
      <c r="G26" s="52"/>
      <c r="H26" s="6"/>
      <c r="I26" s="53"/>
      <c r="J26" s="54">
        <f>(C14*J14+C24*J24)/C26</f>
        <v>-0.4946779877908723</v>
      </c>
      <c r="K26" s="9">
        <f>2*SQRT(((C14-1)*(H14/2)^2+(C24-1)*(K24/2)^2+C14*(J14-J26)^2+C24*(J24-J26)^2)/(C26-1))</f>
        <v>7.9334071197009248E-2</v>
      </c>
      <c r="L26" s="55">
        <f t="shared" ref="L26" si="15">K26/SQRT(C26)</f>
        <v>2.7587159563028621E-3</v>
      </c>
      <c r="M26" s="52"/>
      <c r="N26" s="6"/>
      <c r="O26" s="53"/>
      <c r="P26" s="52"/>
      <c r="Q26" s="53"/>
      <c r="R26" s="52"/>
      <c r="S26" s="53"/>
      <c r="T26" s="6"/>
      <c r="U26" s="6"/>
      <c r="V26" s="52"/>
      <c r="W26" s="53"/>
      <c r="X26" s="52"/>
      <c r="Y26" s="53"/>
      <c r="Z26" s="6"/>
      <c r="AA26" s="6"/>
      <c r="AB26" s="54">
        <f t="shared" si="13"/>
        <v>-0.50895459346191263</v>
      </c>
      <c r="AC26" s="55">
        <f t="shared" si="14"/>
        <v>0.1764911109476813</v>
      </c>
      <c r="AD26" s="10" t="s">
        <v>148</v>
      </c>
    </row>
    <row r="27" spans="1:30" ht="26.25">
      <c r="A27" s="154" t="s">
        <v>8</v>
      </c>
      <c r="B27" s="12" t="s">
        <v>149</v>
      </c>
      <c r="C27" s="8">
        <f>C10+C14+C24</f>
        <v>1361</v>
      </c>
      <c r="D27" s="54"/>
      <c r="E27" s="9"/>
      <c r="F27" s="55"/>
      <c r="G27" s="54"/>
      <c r="H27" s="9"/>
      <c r="I27" s="55"/>
      <c r="J27" s="54">
        <f>(C10*J10+C14*J14+C24*J24)/C27</f>
        <v>-0.50132321521164691</v>
      </c>
      <c r="K27" s="9">
        <f>2*SQRT(((C10-1)*(E10/2)^2+(C14-1)*(H14/2)^2+(C24-1)*(K24/2)^2+C10*(J10-J27)^2+C14*(J14-J27)^2+C24*(J24-J27)^2)/(C27-1))</f>
        <v>0.10673329013545671</v>
      </c>
      <c r="L27" s="55">
        <f>K27/SQRT(C27)</f>
        <v>2.893149224347422E-3</v>
      </c>
      <c r="M27" s="54"/>
      <c r="N27" s="9"/>
      <c r="O27" s="55"/>
      <c r="P27" s="52"/>
      <c r="Q27" s="53"/>
      <c r="R27" s="52"/>
      <c r="S27" s="53"/>
      <c r="T27" s="6"/>
      <c r="U27" s="6"/>
      <c r="V27" s="52"/>
      <c r="W27" s="53"/>
      <c r="X27" s="52"/>
      <c r="Y27" s="53"/>
      <c r="Z27" s="6"/>
      <c r="AA27" s="6"/>
      <c r="AB27" s="54">
        <f t="shared" si="13"/>
        <v>-0.50230936604113796</v>
      </c>
      <c r="AC27" s="55">
        <f t="shared" si="14"/>
        <v>0.19038700747160819</v>
      </c>
      <c r="AD27" s="10" t="s">
        <v>50</v>
      </c>
    </row>
    <row r="28" spans="1:30" ht="15.75" thickBot="1">
      <c r="B28" s="56" t="s">
        <v>51</v>
      </c>
      <c r="C28" s="13">
        <v>266</v>
      </c>
      <c r="D28" s="57"/>
      <c r="E28" s="14"/>
      <c r="F28" s="58"/>
      <c r="G28" s="57"/>
      <c r="H28" s="14"/>
      <c r="I28" s="58"/>
      <c r="J28" s="57"/>
      <c r="K28" s="14"/>
      <c r="L28" s="58"/>
      <c r="M28" s="57">
        <v>-1.0036325812527849</v>
      </c>
      <c r="N28" s="14">
        <v>0.15765537539473437</v>
      </c>
      <c r="O28" s="58">
        <v>9.6664712735781769E-3</v>
      </c>
      <c r="P28" s="16"/>
      <c r="Q28" s="16"/>
      <c r="R28" s="16"/>
      <c r="S28" s="16"/>
      <c r="T28" s="16"/>
      <c r="U28" s="16"/>
      <c r="V28" s="15"/>
      <c r="W28" s="16"/>
      <c r="X28" s="16"/>
      <c r="Y28" s="16"/>
      <c r="Z28" s="16"/>
      <c r="AA28" s="16"/>
      <c r="AB28" s="16"/>
      <c r="AC28" s="16"/>
      <c r="AD28" s="11" t="s">
        <v>38</v>
      </c>
    </row>
    <row r="29" spans="1:30" ht="15.75" thickBot="1">
      <c r="B29" s="17"/>
      <c r="C29" s="18"/>
      <c r="D29" s="19"/>
      <c r="E29" s="19"/>
      <c r="F29" s="19"/>
      <c r="G29" s="19"/>
      <c r="H29" s="19"/>
      <c r="I29" s="19"/>
      <c r="J29" s="19"/>
      <c r="K29" s="19"/>
      <c r="L29" s="19"/>
      <c r="M29" s="19"/>
      <c r="N29" s="19"/>
      <c r="O29" s="162" t="s">
        <v>8</v>
      </c>
      <c r="Q29" s="20">
        <f>Q10</f>
        <v>0.15782702771337309</v>
      </c>
      <c r="S29" s="20">
        <f>S14</f>
        <v>0.26940465238974787</v>
      </c>
      <c r="T29" s="25"/>
      <c r="U29" s="20">
        <f>U14</f>
        <v>0.28572454056033736</v>
      </c>
      <c r="W29" s="20">
        <f>W10</f>
        <v>0.20849626666921475</v>
      </c>
      <c r="Y29" s="20">
        <f>Y14</f>
        <v>0.29644266670829411</v>
      </c>
      <c r="AA29" s="20">
        <f>AA24</f>
        <v>0.16669408606995384</v>
      </c>
      <c r="AC29" s="20">
        <f>2*SQRT(((C10-1)*(E10/2)^2+(C14-1)*(H14/2)^2+(C24-1)*(K24/2)^2+C10*(AB10-AB30)^2+C14*(AB14-AB30)^2+C24*(AB24-AB30)^2)/(C10+C14+C24-1))</f>
        <v>0.10673329013545671</v>
      </c>
      <c r="AD29" t="s">
        <v>52</v>
      </c>
    </row>
    <row r="30" spans="1:30" ht="15.75" thickBot="1">
      <c r="B30" s="17"/>
      <c r="C30" s="18"/>
      <c r="D30" s="19"/>
      <c r="E30" s="19"/>
      <c r="F30" s="19"/>
      <c r="G30" s="19"/>
      <c r="H30" s="19"/>
      <c r="I30" s="19"/>
      <c r="J30" s="19"/>
      <c r="N30" s="19"/>
      <c r="O30" s="163"/>
      <c r="P30" s="21">
        <f>P10</f>
        <v>-0.53493661895070077</v>
      </c>
      <c r="Q30" s="22"/>
      <c r="R30" s="23">
        <f>R14</f>
        <v>-0.48098198073201814</v>
      </c>
      <c r="S30" s="24"/>
      <c r="T30" s="23">
        <f>T14</f>
        <v>4.675223574129006E-2</v>
      </c>
      <c r="U30" s="22"/>
      <c r="V30" s="21">
        <f>V10</f>
        <v>2.5982025488788141E-2</v>
      </c>
      <c r="W30" s="22">
        <f>SQRT((W29/2)^2+(N28/2)^2)*2</f>
        <v>0.26139225429582824</v>
      </c>
      <c r="X30" s="23">
        <f>X14</f>
        <v>-2.0770210252501919E-2</v>
      </c>
      <c r="Y30" s="24">
        <f>SQRT((Y29/2)^2+(N28/2)^2)*2</f>
        <v>0.3357580558020602</v>
      </c>
      <c r="Z30" s="23">
        <f>Z24</f>
        <v>-0.50841638533932332</v>
      </c>
      <c r="AA30" s="24">
        <f>SQRT((AA29/2)^2+(N28/2)^2)*2</f>
        <v>0.22943874067286849</v>
      </c>
      <c r="AB30" s="127">
        <f>(AB24*C24+AB14*C14+AB10*C10)/SUM(C10,C14,C24)</f>
        <v>-0.50230936604113796</v>
      </c>
      <c r="AC30" s="22">
        <f>SQRT((AC29/2)^2+(N28/2)^2)*2</f>
        <v>0.19038700747160819</v>
      </c>
    </row>
    <row r="31" spans="1:30" ht="18">
      <c r="B31" s="17"/>
      <c r="C31" s="18"/>
      <c r="D31" s="19"/>
      <c r="E31" s="19"/>
      <c r="F31" s="19"/>
      <c r="G31" s="19"/>
      <c r="H31" s="19"/>
      <c r="I31" s="19"/>
      <c r="J31" s="19"/>
      <c r="N31" s="19"/>
      <c r="O31" s="124" t="s">
        <v>53</v>
      </c>
      <c r="P31" s="25">
        <f>((D10-J26)*1000)/(J26+1000)</f>
        <v>-0.53520137128811252</v>
      </c>
      <c r="Q31" s="125" t="s">
        <v>54</v>
      </c>
      <c r="R31" s="25">
        <f>((G14-J25)*1000)/(J25+1000)</f>
        <v>-0.48122349736868381</v>
      </c>
      <c r="S31" s="125" t="s">
        <v>55</v>
      </c>
      <c r="T31" s="25">
        <f>((G14-D10)*1000)/(D10+1000)</f>
        <v>4.6800422139526586E-2</v>
      </c>
      <c r="U31" s="125" t="s">
        <v>150</v>
      </c>
      <c r="V31" s="25">
        <f>((M28-D10)*1000)/(D10+1000)</f>
        <v>2.6008804533840066E-2</v>
      </c>
      <c r="W31" s="125" t="s">
        <v>56</v>
      </c>
      <c r="X31" s="25">
        <f>((M28-G14)*1000)/(G14+1000)</f>
        <v>-2.0790644594742932E-2</v>
      </c>
      <c r="Y31" s="125" t="s">
        <v>57</v>
      </c>
      <c r="Z31" s="25">
        <f>((M28-J24)*1000)/(J24+1000)</f>
        <v>-0.508668286112954</v>
      </c>
      <c r="AA31" s="125" t="s">
        <v>58</v>
      </c>
      <c r="AB31" s="139">
        <f>((M28-J27)*1000)/(J27+1000)</f>
        <v>-0.50256131169375728</v>
      </c>
      <c r="AC31" s="125" t="s">
        <v>58</v>
      </c>
    </row>
    <row r="32" spans="1:30" ht="18">
      <c r="B32" s="17"/>
      <c r="C32" s="18"/>
      <c r="D32" s="19"/>
      <c r="E32" s="19"/>
      <c r="F32" s="19"/>
      <c r="G32" s="19"/>
      <c r="H32" s="19"/>
      <c r="I32" s="19"/>
      <c r="J32" s="19"/>
      <c r="K32" s="19"/>
      <c r="L32" s="19"/>
      <c r="M32" s="19"/>
      <c r="N32" s="19"/>
      <c r="O32" s="124" t="s">
        <v>53</v>
      </c>
      <c r="P32" s="139">
        <f>-(P31/1000)/(P31/1000+1)*1000</f>
        <v>0.53548796518138586</v>
      </c>
      <c r="Q32" s="125" t="s">
        <v>59</v>
      </c>
      <c r="R32" s="139">
        <f>-(R31/1000)/(R31/1000+1)*1000</f>
        <v>0.48145518491659567</v>
      </c>
      <c r="S32" s="125" t="s">
        <v>60</v>
      </c>
      <c r="T32" s="139">
        <f>-(T31/1000)/(T31/1000+1)*1000</f>
        <v>-4.6798231962515362E-2</v>
      </c>
      <c r="U32" s="125" t="s">
        <v>151</v>
      </c>
      <c r="V32" s="139">
        <f>-(V31/1000)/(V31/1000+1)*1000</f>
        <v>-2.6008128093520193E-2</v>
      </c>
      <c r="W32" s="125" t="s">
        <v>61</v>
      </c>
      <c r="X32" s="139">
        <f>-(X31/1000)/(X31/1000+1)*1000</f>
        <v>2.0791076854632558E-2</v>
      </c>
      <c r="Y32" s="125" t="s">
        <v>62</v>
      </c>
      <c r="Z32" s="139">
        <f>-(Z31/1000)/(Z31/1000+1)*1000</f>
        <v>0.50892716121980797</v>
      </c>
      <c r="AA32" s="125" t="s">
        <v>63</v>
      </c>
      <c r="AB32" s="139">
        <f>-(AB31/1000)/(AB31/1000+1)*1000</f>
        <v>0.50281400656043229</v>
      </c>
      <c r="AC32" s="125" t="s">
        <v>63</v>
      </c>
    </row>
    <row r="33" spans="1:30">
      <c r="B33" s="17"/>
      <c r="C33" s="18"/>
      <c r="D33" s="19"/>
      <c r="E33" s="19"/>
      <c r="F33" s="19"/>
      <c r="G33" s="19"/>
      <c r="H33" s="19"/>
      <c r="I33" s="19"/>
      <c r="J33" s="19"/>
      <c r="K33" s="19"/>
      <c r="L33" s="19"/>
      <c r="M33" s="19"/>
      <c r="N33" s="19"/>
      <c r="O33" s="19"/>
      <c r="Z33" s="136"/>
      <c r="AA33" s="136" t="s">
        <v>64</v>
      </c>
      <c r="AB33" s="139">
        <f>(J27+((J97-J27)/(M98-M28))*(M28-M28))</f>
        <v>-0.50132321521164691</v>
      </c>
      <c r="AC33" t="s">
        <v>65</v>
      </c>
    </row>
    <row r="34" spans="1:30">
      <c r="B34" s="17"/>
      <c r="C34" s="18"/>
      <c r="D34" s="19"/>
      <c r="E34" s="19"/>
      <c r="F34" s="19"/>
      <c r="G34" s="19"/>
      <c r="H34" s="19"/>
      <c r="I34" s="19"/>
      <c r="J34" s="19"/>
      <c r="K34" s="19"/>
      <c r="L34" s="19"/>
      <c r="M34" s="19"/>
      <c r="N34" s="19"/>
      <c r="O34" s="19"/>
      <c r="Z34" s="137"/>
      <c r="AA34" s="137" t="s">
        <v>152</v>
      </c>
      <c r="AB34" s="144">
        <f>AB33-M28</f>
        <v>0.50230936604113796</v>
      </c>
    </row>
    <row r="35" spans="1:30">
      <c r="C35" s="5"/>
      <c r="D35" s="6"/>
      <c r="E35" s="6"/>
      <c r="F35" s="6"/>
      <c r="G35" s="6"/>
      <c r="H35" s="6"/>
      <c r="I35" s="6"/>
      <c r="J35" s="9"/>
      <c r="K35" s="6"/>
      <c r="L35" s="6"/>
      <c r="M35" s="6"/>
      <c r="N35" s="6"/>
      <c r="O35" s="6"/>
      <c r="P35" s="6"/>
      <c r="Q35" s="6"/>
      <c r="R35" s="6"/>
      <c r="S35" s="6"/>
      <c r="T35" s="6"/>
      <c r="U35" s="6"/>
      <c r="V35" s="6"/>
      <c r="W35" s="6"/>
      <c r="X35" s="6"/>
      <c r="Y35" s="6"/>
      <c r="Z35" s="6"/>
      <c r="AA35" s="6"/>
      <c r="AB35" s="6"/>
      <c r="AC35" s="10"/>
    </row>
    <row r="36" spans="1:30" ht="15.75">
      <c r="A36" s="26" t="s">
        <v>66</v>
      </c>
      <c r="B36" s="27" t="s">
        <v>138</v>
      </c>
      <c r="C36" s="28">
        <v>26</v>
      </c>
      <c r="D36" s="59">
        <v>-1.24</v>
      </c>
      <c r="E36" s="29">
        <v>0.13</v>
      </c>
      <c r="F36" s="60">
        <f>E36/SQRT(C36)</f>
        <v>2.5495097567963927E-2</v>
      </c>
      <c r="G36" s="59"/>
      <c r="H36" s="29"/>
      <c r="I36" s="60"/>
      <c r="J36" s="59">
        <f t="shared" ref="J36:J40" si="16">D36+0.518</f>
        <v>-0.72199999999999998</v>
      </c>
      <c r="K36" s="29"/>
      <c r="L36" s="60"/>
      <c r="M36" s="59"/>
      <c r="N36" s="29"/>
      <c r="O36" s="60"/>
      <c r="P36" s="59">
        <f>D36-$J$55</f>
        <v>-0.68386789532812986</v>
      </c>
      <c r="Q36" s="60">
        <f>SQRT((E36/2)^2+(K$55/2)^2)*2</f>
        <v>0.21973359577609508</v>
      </c>
      <c r="R36" s="59"/>
      <c r="S36" s="60"/>
      <c r="T36" s="29"/>
      <c r="U36" s="29"/>
      <c r="V36" s="59">
        <f>$M$57-D36</f>
        <v>0.14909387087077164</v>
      </c>
      <c r="W36" s="60">
        <f>SQRT((E36/2)^2+(N$57/2)^2)*2</f>
        <v>0.20790428008908951</v>
      </c>
      <c r="X36" s="59"/>
      <c r="Y36" s="60"/>
      <c r="Z36" s="29"/>
      <c r="AA36" s="29"/>
      <c r="AB36" s="59">
        <f>$M$57-(D36+0.518)</f>
        <v>-0.36890612912922838</v>
      </c>
      <c r="AC36" s="147"/>
      <c r="AD36" s="30" t="s">
        <v>67</v>
      </c>
    </row>
    <row r="37" spans="1:30" ht="15.75">
      <c r="A37" s="3"/>
      <c r="B37" s="31" t="s">
        <v>138</v>
      </c>
      <c r="C37" s="32">
        <v>3</v>
      </c>
      <c r="D37" s="61">
        <v>-1.21</v>
      </c>
      <c r="E37" s="33">
        <v>0.04</v>
      </c>
      <c r="F37" s="62">
        <f>E37/SQRT(C37)</f>
        <v>2.3094010767585032E-2</v>
      </c>
      <c r="G37" s="61"/>
      <c r="H37" s="33"/>
      <c r="I37" s="62"/>
      <c r="J37" s="61">
        <f>D37+0.518</f>
        <v>-0.69199999999999995</v>
      </c>
      <c r="K37" s="33"/>
      <c r="L37" s="62"/>
      <c r="M37" s="61"/>
      <c r="N37" s="33"/>
      <c r="O37" s="62"/>
      <c r="P37" s="61">
        <f t="shared" ref="P37:P38" si="17">D37-$J$55</f>
        <v>-0.65386789532812983</v>
      </c>
      <c r="Q37" s="62">
        <f t="shared" ref="Q37:Q41" si="18">SQRT((E37/2)^2+(K$55/2)^2)*2</f>
        <v>0.18161181985953545</v>
      </c>
      <c r="R37" s="61"/>
      <c r="S37" s="62"/>
      <c r="T37" s="33"/>
      <c r="U37" s="33"/>
      <c r="V37" s="61">
        <f>$M$57-D37</f>
        <v>0.11909387087077161</v>
      </c>
      <c r="W37" s="62">
        <f>SQRT((E37/2)^2+(N$57/2)^2)*2</f>
        <v>0.16710532510773729</v>
      </c>
      <c r="X37" s="61"/>
      <c r="Y37" s="62"/>
      <c r="Z37" s="33"/>
      <c r="AA37" s="33"/>
      <c r="AB37" s="61">
        <f>$M$57-(D37+0.518)</f>
        <v>-0.3989061291292284</v>
      </c>
      <c r="AC37" s="148"/>
      <c r="AD37" s="34" t="s">
        <v>68</v>
      </c>
    </row>
    <row r="38" spans="1:30" ht="15.75">
      <c r="A38" s="3"/>
      <c r="B38" s="4" t="s">
        <v>138</v>
      </c>
      <c r="C38" s="5">
        <v>35</v>
      </c>
      <c r="D38" s="52">
        <v>-1.05</v>
      </c>
      <c r="E38" s="6">
        <v>7.0000000000000007E-2</v>
      </c>
      <c r="F38" s="53">
        <f>E38/SQRT(C38)</f>
        <v>1.1832159566199233E-2</v>
      </c>
      <c r="G38" s="52"/>
      <c r="H38" s="6"/>
      <c r="I38" s="53"/>
      <c r="J38" s="52">
        <f t="shared" si="16"/>
        <v>-0.53200000000000003</v>
      </c>
      <c r="K38" s="6"/>
      <c r="L38" s="53"/>
      <c r="M38" s="52"/>
      <c r="N38" s="6"/>
      <c r="O38" s="53"/>
      <c r="P38" s="52">
        <f t="shared" si="17"/>
        <v>-0.49386789532812991</v>
      </c>
      <c r="Q38" s="53">
        <f t="shared" si="18"/>
        <v>0.19048058460822814</v>
      </c>
      <c r="R38" s="52"/>
      <c r="S38" s="53"/>
      <c r="T38" s="6"/>
      <c r="U38" s="6"/>
      <c r="V38" s="52">
        <f>$M$57-D38</f>
        <v>-4.0906129129228308E-2</v>
      </c>
      <c r="W38" s="53">
        <f>SQRT((E38/2)^2+(N$57/2)^2)*2</f>
        <v>0.17670367760565306</v>
      </c>
      <c r="X38" s="52"/>
      <c r="Y38" s="53"/>
      <c r="Z38" s="6"/>
      <c r="AA38" s="6"/>
      <c r="AB38" s="52">
        <f>$M$57-(D38+0.518)</f>
        <v>-0.55890612912922832</v>
      </c>
      <c r="AC38" s="145"/>
      <c r="AD38" t="s">
        <v>69</v>
      </c>
    </row>
    <row r="39" spans="1:30" ht="15.75">
      <c r="A39" s="3"/>
      <c r="B39" s="4" t="s">
        <v>138</v>
      </c>
      <c r="C39" s="5">
        <v>3</v>
      </c>
      <c r="D39" s="52">
        <v>-1.02</v>
      </c>
      <c r="E39" s="6">
        <v>0.04</v>
      </c>
      <c r="F39" s="53">
        <f t="shared" ref="F39:F40" si="19">E39/SQRT(C39)</f>
        <v>2.3094010767585032E-2</v>
      </c>
      <c r="G39" s="52"/>
      <c r="H39" s="6"/>
      <c r="I39" s="53"/>
      <c r="J39" s="52">
        <f t="shared" si="16"/>
        <v>-0.502</v>
      </c>
      <c r="K39" s="6"/>
      <c r="L39" s="53"/>
      <c r="M39" s="52"/>
      <c r="N39" s="6"/>
      <c r="O39" s="53"/>
      <c r="P39" s="52">
        <f>D39-$J$55</f>
        <v>-0.46386789532812989</v>
      </c>
      <c r="Q39" s="53">
        <f t="shared" si="18"/>
        <v>0.18161181985953545</v>
      </c>
      <c r="R39" s="52"/>
      <c r="S39" s="53"/>
      <c r="T39" s="6"/>
      <c r="U39" s="6"/>
      <c r="V39" s="52">
        <f t="shared" ref="V39:V40" si="20">$M$57-D39</f>
        <v>-7.0906129129228335E-2</v>
      </c>
      <c r="W39" s="53">
        <f t="shared" ref="W39:W40" si="21">SQRT((E39/2)^2+(N$57/2)^2)*2</f>
        <v>0.16710532510773729</v>
      </c>
      <c r="X39" s="52"/>
      <c r="Y39" s="53"/>
      <c r="Z39" s="6"/>
      <c r="AA39" s="6"/>
      <c r="AB39" s="52">
        <f t="shared" ref="AB39:AB40" si="22">$M$57-(D39+0.518)</f>
        <v>-0.58890612912922835</v>
      </c>
      <c r="AC39" s="145"/>
      <c r="AD39" t="s">
        <v>35</v>
      </c>
    </row>
    <row r="40" spans="1:30" ht="15.75">
      <c r="A40" s="3"/>
      <c r="B40" s="4" t="s">
        <v>138</v>
      </c>
      <c r="C40" s="5">
        <v>8</v>
      </c>
      <c r="D40" s="52">
        <v>-1.07</v>
      </c>
      <c r="E40" s="6">
        <v>0.06</v>
      </c>
      <c r="F40" s="53">
        <f t="shared" si="19"/>
        <v>2.1213203435596423E-2</v>
      </c>
      <c r="G40" s="52"/>
      <c r="H40" s="6"/>
      <c r="I40" s="53"/>
      <c r="J40" s="52">
        <f t="shared" si="16"/>
        <v>-0.55200000000000005</v>
      </c>
      <c r="K40" s="6"/>
      <c r="L40" s="53"/>
      <c r="M40" s="52"/>
      <c r="N40" s="6"/>
      <c r="O40" s="53"/>
      <c r="P40" s="52">
        <f>D40-$J$55</f>
        <v>-0.51386789532812993</v>
      </c>
      <c r="Q40" s="53">
        <f t="shared" si="18"/>
        <v>0.1870370367405674</v>
      </c>
      <c r="R40" s="52"/>
      <c r="S40" s="53"/>
      <c r="T40" s="6"/>
      <c r="U40" s="6"/>
      <c r="V40" s="52">
        <f t="shared" si="20"/>
        <v>-2.090612912922829E-2</v>
      </c>
      <c r="W40" s="53">
        <f t="shared" si="21"/>
        <v>0.17298609678052909</v>
      </c>
      <c r="X40" s="52"/>
      <c r="Y40" s="53"/>
      <c r="Z40" s="6"/>
      <c r="AA40" s="6"/>
      <c r="AB40" s="52">
        <f t="shared" si="22"/>
        <v>-0.53890612912922831</v>
      </c>
      <c r="AC40" s="145"/>
      <c r="AD40" t="s">
        <v>35</v>
      </c>
    </row>
    <row r="41" spans="1:30">
      <c r="B41" s="7" t="s">
        <v>138</v>
      </c>
      <c r="C41" s="8">
        <f>SUM(C38:C40)</f>
        <v>46</v>
      </c>
      <c r="D41" s="54">
        <f>(D38*C38+D39*C39+D40*C40)/(C38+C39+C40)</f>
        <v>-1.0515217391304348</v>
      </c>
      <c r="E41" s="9">
        <f>2*SQRT(((C38-1)*(E38/2)^2+(C39-1)*(E39/2)^2+(C40-1)*(E40/2)^2+C38*(D38-D41)^2+C39*(D39-D41)^2+C40*(D40-D41)^2)/(C41-1))</f>
        <v>6.9629800938563385E-2</v>
      </c>
      <c r="F41" s="55">
        <f>E41/SQRT(C41)</f>
        <v>1.0266354057057878E-2</v>
      </c>
      <c r="G41" s="54"/>
      <c r="H41" s="9"/>
      <c r="I41" s="55"/>
      <c r="J41" s="54">
        <f>D41+0.518</f>
        <v>-0.53352173913043477</v>
      </c>
      <c r="K41" s="9"/>
      <c r="L41" s="55"/>
      <c r="M41" s="54"/>
      <c r="N41" s="9"/>
      <c r="O41" s="55"/>
      <c r="P41" s="54">
        <f>D41-$J$55</f>
        <v>-0.49538963445856465</v>
      </c>
      <c r="Q41" s="55">
        <f t="shared" si="18"/>
        <v>0.19034485097169379</v>
      </c>
      <c r="R41" s="54"/>
      <c r="S41" s="55"/>
      <c r="T41" s="9"/>
      <c r="U41" s="9"/>
      <c r="V41" s="54">
        <f>$M$57-D41</f>
        <v>-3.9384389998793568E-2</v>
      </c>
      <c r="W41" s="55">
        <f>SQRT((E41/2)^2+(N$57/2)^2)*2</f>
        <v>0.17655735288598584</v>
      </c>
      <c r="X41" s="54"/>
      <c r="Y41" s="55"/>
      <c r="Z41" s="9"/>
      <c r="AA41" s="9"/>
      <c r="AB41" s="54">
        <f>$M$57-(D41+0.518)</f>
        <v>-0.55738438999879358</v>
      </c>
      <c r="AC41" s="146"/>
      <c r="AD41" s="10" t="s">
        <v>70</v>
      </c>
    </row>
    <row r="42" spans="1:30" ht="15.75">
      <c r="A42" s="3"/>
      <c r="B42" s="4" t="s">
        <v>139</v>
      </c>
      <c r="C42" s="5">
        <v>10</v>
      </c>
      <c r="D42" s="52"/>
      <c r="E42" s="6"/>
      <c r="F42" s="53"/>
      <c r="G42" s="52">
        <v>-1.07</v>
      </c>
      <c r="H42" s="6">
        <f>I42*SQRT(C42)</f>
        <v>9.4868329805051388E-2</v>
      </c>
      <c r="I42" s="53">
        <v>0.03</v>
      </c>
      <c r="J42" s="52">
        <f>G42+$R$110</f>
        <v>-0.57288365220293946</v>
      </c>
      <c r="K42" s="6"/>
      <c r="L42" s="53"/>
      <c r="M42" s="52"/>
      <c r="N42" s="6"/>
      <c r="O42" s="53"/>
      <c r="P42" s="52"/>
      <c r="Q42" s="53"/>
      <c r="R42" s="52">
        <f>G42-$J$54</f>
        <v>-0.54426666666666679</v>
      </c>
      <c r="S42" s="53">
        <f>SQRT((H42/2)^2+(K$54/2)^2)*2</f>
        <v>0.12528813458052071</v>
      </c>
      <c r="T42" s="6">
        <f>G42-$D$41</f>
        <v>-1.8478260869565277E-2</v>
      </c>
      <c r="U42" s="6">
        <f>SQRT((H42/2)^2+(E$41/2)^2)*2</f>
        <v>0.11767883912897834</v>
      </c>
      <c r="V42" s="52"/>
      <c r="W42" s="53"/>
      <c r="X42" s="52">
        <f>$M$57-G42</f>
        <v>-2.090612912922829E-2</v>
      </c>
      <c r="Y42" s="53">
        <f>SQRT((H42/2)^2+(N$57/2)^2)*2</f>
        <v>0.18794730559218606</v>
      </c>
      <c r="Z42" s="6"/>
      <c r="AA42" s="6"/>
      <c r="AB42" s="52">
        <f>$M$57-(G42+$R$110)</f>
        <v>-0.51802247692628889</v>
      </c>
      <c r="AC42" s="145"/>
      <c r="AD42" t="s">
        <v>37</v>
      </c>
    </row>
    <row r="43" spans="1:30" ht="15.75">
      <c r="A43" s="3"/>
      <c r="B43" s="4" t="s">
        <v>139</v>
      </c>
      <c r="C43" s="5">
        <v>12</v>
      </c>
      <c r="D43" s="52"/>
      <c r="E43" s="6"/>
      <c r="F43" s="53"/>
      <c r="G43" s="52">
        <v>-1.0900000000000001</v>
      </c>
      <c r="H43" s="6">
        <f>I43*SQRT(C43)</f>
        <v>0.13856406460551018</v>
      </c>
      <c r="I43" s="53">
        <v>0.04</v>
      </c>
      <c r="J43" s="52">
        <f>G43+$R$110</f>
        <v>-0.59288365220293948</v>
      </c>
      <c r="K43" s="6"/>
      <c r="L43" s="53"/>
      <c r="M43" s="52"/>
      <c r="N43" s="6"/>
      <c r="O43" s="53"/>
      <c r="P43" s="52"/>
      <c r="Q43" s="53"/>
      <c r="R43" s="52">
        <f t="shared" ref="R43:R46" si="23">G43-$J$54</f>
        <v>-0.56426666666666681</v>
      </c>
      <c r="S43" s="53">
        <f t="shared" ref="S43:S46" si="24">SQRT((H43/2)^2+(K$54/2)^2)*2</f>
        <v>0.1609258110641878</v>
      </c>
      <c r="T43" s="6">
        <f t="shared" ref="T43:T46" si="25">G43-$D$41</f>
        <v>-3.8478260869565295E-2</v>
      </c>
      <c r="U43" s="6">
        <f t="shared" ref="U43:U46" si="26">SQRT((H43/2)^2+(E$41/2)^2)*2</f>
        <v>0.15507517267036644</v>
      </c>
      <c r="V43" s="52"/>
      <c r="W43" s="53"/>
      <c r="X43" s="52">
        <f>$M$57-G43</f>
        <v>-9.0612912922827249E-4</v>
      </c>
      <c r="Y43" s="53">
        <f>SQRT((H43/2)^2+(N$57/2)^2)*2</f>
        <v>0.21336398402580173</v>
      </c>
      <c r="Z43" s="6"/>
      <c r="AA43" s="6"/>
      <c r="AB43" s="52">
        <f>$M$57-(G43+$R$110)</f>
        <v>-0.49802247692628887</v>
      </c>
      <c r="AC43" s="145"/>
      <c r="AD43" t="s">
        <v>71</v>
      </c>
    </row>
    <row r="44" spans="1:30" ht="15.75">
      <c r="A44" s="3"/>
      <c r="B44" s="4" t="s">
        <v>139</v>
      </c>
      <c r="C44" s="5">
        <v>4</v>
      </c>
      <c r="D44" s="52"/>
      <c r="E44" s="6"/>
      <c r="F44" s="53"/>
      <c r="G44" s="52">
        <v>-1.0665744740712135</v>
      </c>
      <c r="H44" s="6">
        <v>0.10462986428041753</v>
      </c>
      <c r="I44" s="53">
        <v>5.2314932140208763E-2</v>
      </c>
      <c r="J44" s="52">
        <f>G44+$R$110</f>
        <v>-0.56945812627415293</v>
      </c>
      <c r="K44" s="6"/>
      <c r="L44" s="53"/>
      <c r="M44" s="52"/>
      <c r="N44" s="6"/>
      <c r="O44" s="53"/>
      <c r="P44" s="52"/>
      <c r="Q44" s="53"/>
      <c r="R44" s="52">
        <f t="shared" si="23"/>
        <v>-0.54084114073788025</v>
      </c>
      <c r="S44" s="53">
        <f t="shared" si="24"/>
        <v>0.13283269614821971</v>
      </c>
      <c r="T44" s="6">
        <f t="shared" si="25"/>
        <v>-1.5052734940778745E-2</v>
      </c>
      <c r="U44" s="6">
        <f t="shared" si="26"/>
        <v>0.12568101558343073</v>
      </c>
      <c r="V44" s="52"/>
      <c r="W44" s="53"/>
      <c r="X44" s="52">
        <f>$M$57-G44</f>
        <v>-2.4331655058014823E-2</v>
      </c>
      <c r="Y44" s="53">
        <f>SQRT((H44/2)^2+(N$57/2)^2)*2</f>
        <v>0.19305853562767217</v>
      </c>
      <c r="Z44" s="6"/>
      <c r="AA44" s="6"/>
      <c r="AB44" s="52">
        <f>$M$57-(G44+$R$110)</f>
        <v>-0.52144800285507542</v>
      </c>
      <c r="AC44" s="145"/>
      <c r="AD44" t="s">
        <v>38</v>
      </c>
    </row>
    <row r="45" spans="1:30" ht="15.75">
      <c r="A45" s="3"/>
      <c r="B45" s="4" t="s">
        <v>139</v>
      </c>
      <c r="C45" s="5">
        <v>21</v>
      </c>
      <c r="D45" s="52"/>
      <c r="E45" s="6"/>
      <c r="F45" s="53"/>
      <c r="G45" s="52">
        <v>-1.1241987402569156</v>
      </c>
      <c r="H45" s="6">
        <v>0.29120712335639859</v>
      </c>
      <c r="I45" s="53">
        <f>H45/SQRT(C45)</f>
        <v>6.354660408052569E-2</v>
      </c>
      <c r="J45" s="52">
        <f>G45+$R$110</f>
        <v>-0.62708239245985498</v>
      </c>
      <c r="K45" s="6"/>
      <c r="L45" s="53"/>
      <c r="M45" s="52"/>
      <c r="N45" s="6"/>
      <c r="O45" s="53"/>
      <c r="P45" s="52"/>
      <c r="Q45" s="53"/>
      <c r="R45" s="52">
        <f t="shared" si="23"/>
        <v>-0.5984654069235823</v>
      </c>
      <c r="S45" s="53">
        <f t="shared" si="24"/>
        <v>0.30248752926389449</v>
      </c>
      <c r="T45" s="6">
        <f t="shared" si="25"/>
        <v>-7.2677001126480789E-2</v>
      </c>
      <c r="U45" s="6">
        <f t="shared" si="26"/>
        <v>0.29941592788669863</v>
      </c>
      <c r="V45" s="52"/>
      <c r="W45" s="53"/>
      <c r="X45" s="52">
        <f>$M$57-G45</f>
        <v>3.3292611127687222E-2</v>
      </c>
      <c r="Y45" s="53">
        <f>SQRT((H45/2)^2+(N$57/2)^2)*2</f>
        <v>0.33335533349996266</v>
      </c>
      <c r="Z45" s="6"/>
      <c r="AA45" s="6"/>
      <c r="AB45" s="52">
        <f>$M$57-(G45+$R$110)</f>
        <v>-0.46382373666937338</v>
      </c>
      <c r="AC45" s="145"/>
      <c r="AD45" t="s">
        <v>140</v>
      </c>
    </row>
    <row r="46" spans="1:30" ht="15.75">
      <c r="A46" s="3"/>
      <c r="B46" s="7" t="s">
        <v>139</v>
      </c>
      <c r="C46" s="8">
        <f>SUM(C42:C45)</f>
        <v>47</v>
      </c>
      <c r="D46" s="54"/>
      <c r="E46" s="9"/>
      <c r="F46" s="55"/>
      <c r="G46" s="54">
        <f>(G42*C42+G43*C43+G44*C44+C45*G45)/C46</f>
        <v>-1.099031307269789</v>
      </c>
      <c r="H46" s="9">
        <f>2*SQRT(((C42-1)*(H42/2)^2+(C43-1)*(H43/2)^2+(C44-1)*(H44/2)^2+(C45-1)*(H45/2)^2+C42*(G42-G46)^2+C43*(G43-G46)^2+C44*(G44-G46)^2+C45*(G45-G46)^2)/(C46-1))</f>
        <v>0.2151219309304872</v>
      </c>
      <c r="I46" s="55">
        <f>H46/SQRT(C46)</f>
        <v>3.1378758626186179E-2</v>
      </c>
      <c r="J46" s="54">
        <f>G46+$R$110</f>
        <v>-0.60191495947272844</v>
      </c>
      <c r="K46" s="9"/>
      <c r="L46" s="55"/>
      <c r="M46" s="54"/>
      <c r="N46" s="9"/>
      <c r="O46" s="55"/>
      <c r="P46" s="54"/>
      <c r="Q46" s="55"/>
      <c r="R46" s="54">
        <f t="shared" si="23"/>
        <v>-0.57329797393645576</v>
      </c>
      <c r="S46" s="55">
        <f t="shared" si="24"/>
        <v>0.23016203386729092</v>
      </c>
      <c r="T46" s="9">
        <f t="shared" si="25"/>
        <v>-4.7509568139354252E-2</v>
      </c>
      <c r="U46" s="9">
        <f t="shared" si="26"/>
        <v>0.22611004919287703</v>
      </c>
      <c r="V46" s="54"/>
      <c r="W46" s="55"/>
      <c r="X46" s="54">
        <f>$M$57-G46</f>
        <v>8.1251781405606849E-3</v>
      </c>
      <c r="Y46" s="55">
        <f>SQRT((H46/2)^2+(N$57/2)^2)*2</f>
        <v>0.26944690543152261</v>
      </c>
      <c r="Z46" s="9"/>
      <c r="AA46" s="9"/>
      <c r="AB46" s="54">
        <f>$M$57-(G46+$R$110)</f>
        <v>-0.48899116965649991</v>
      </c>
      <c r="AC46" s="146"/>
      <c r="AD46" s="10" t="s">
        <v>39</v>
      </c>
    </row>
    <row r="47" spans="1:30" ht="15.75">
      <c r="A47" s="3"/>
      <c r="B47" s="35" t="s">
        <v>153</v>
      </c>
      <c r="C47" s="36">
        <v>4</v>
      </c>
      <c r="D47" s="63"/>
      <c r="E47" s="37"/>
      <c r="F47" s="64"/>
      <c r="G47" s="63"/>
      <c r="H47" s="37"/>
      <c r="I47" s="64"/>
      <c r="J47" s="63">
        <v>-0.5</v>
      </c>
      <c r="K47" s="37">
        <v>0.16</v>
      </c>
      <c r="L47" s="64">
        <f>K47/SQRT(C47)</f>
        <v>0.08</v>
      </c>
      <c r="M47" s="63"/>
      <c r="N47" s="37"/>
      <c r="O47" s="64"/>
      <c r="P47" s="52"/>
      <c r="Q47" s="53"/>
      <c r="R47" s="52"/>
      <c r="S47" s="53"/>
      <c r="T47" s="6"/>
      <c r="U47" s="6"/>
      <c r="V47" s="52"/>
      <c r="W47" s="53"/>
      <c r="X47" s="52"/>
      <c r="Y47" s="53"/>
      <c r="Z47" s="6">
        <f>$M$57-J47</f>
        <v>-0.59090612912922835</v>
      </c>
      <c r="AA47" s="53">
        <f>SQRT((K47/2)^2+(N$57/2)^2)*2</f>
        <v>0.22786879926695225</v>
      </c>
      <c r="AB47" s="52">
        <f t="shared" ref="AB47:AB53" si="27">$M$57-J47</f>
        <v>-0.59090612912922835</v>
      </c>
      <c r="AC47" s="53">
        <f t="shared" ref="AC47:AC53" si="28">SQRT((K47/2)^2+(N$57/2)^2)*2</f>
        <v>0.22786879926695225</v>
      </c>
      <c r="AD47" t="s">
        <v>40</v>
      </c>
    </row>
    <row r="48" spans="1:30">
      <c r="B48" s="4" t="s">
        <v>153</v>
      </c>
      <c r="C48" s="5">
        <v>4</v>
      </c>
      <c r="D48" s="149"/>
      <c r="E48" s="134"/>
      <c r="F48" s="145"/>
      <c r="G48" s="149"/>
      <c r="H48" s="134"/>
      <c r="I48" s="145"/>
      <c r="J48" s="52">
        <v>-0.54</v>
      </c>
      <c r="K48" s="6">
        <v>0.04</v>
      </c>
      <c r="L48" s="53">
        <f>K48/SQRT(C48)</f>
        <v>0.02</v>
      </c>
      <c r="M48" s="149"/>
      <c r="N48" s="134"/>
      <c r="O48" s="145"/>
      <c r="P48" s="149"/>
      <c r="Q48" s="145"/>
      <c r="R48" s="149"/>
      <c r="S48" s="145"/>
      <c r="T48" s="134"/>
      <c r="U48" s="134"/>
      <c r="V48" s="149"/>
      <c r="W48" s="145"/>
      <c r="X48" s="149"/>
      <c r="Y48" s="145"/>
      <c r="Z48" s="6">
        <f t="shared" ref="Z48:Z53" si="29">$M$57-J48</f>
        <v>-0.55090612912922832</v>
      </c>
      <c r="AA48" s="6">
        <f t="shared" ref="AA48:AA53" si="30">SQRT((K48/2)^2+(N$57/2)^2)*2</f>
        <v>0.16710532510773729</v>
      </c>
      <c r="AB48" s="52">
        <f t="shared" si="27"/>
        <v>-0.55090612912922832</v>
      </c>
      <c r="AC48" s="53">
        <f t="shared" si="28"/>
        <v>0.16710532510773729</v>
      </c>
      <c r="AD48" t="s">
        <v>72</v>
      </c>
    </row>
    <row r="49" spans="1:30">
      <c r="B49" s="4" t="s">
        <v>153</v>
      </c>
      <c r="C49" s="5">
        <v>26</v>
      </c>
      <c r="D49" s="149"/>
      <c r="E49" s="134"/>
      <c r="F49" s="145"/>
      <c r="G49" s="149"/>
      <c r="H49" s="134"/>
      <c r="I49" s="145"/>
      <c r="J49" s="52">
        <v>-0.49</v>
      </c>
      <c r="K49" s="6">
        <v>0.03</v>
      </c>
      <c r="L49" s="53">
        <f>K49/SQRT(C49)</f>
        <v>5.883484054145521E-3</v>
      </c>
      <c r="M49" s="149"/>
      <c r="N49" s="134"/>
      <c r="O49" s="145"/>
      <c r="P49" s="149"/>
      <c r="Q49" s="145"/>
      <c r="R49" s="149"/>
      <c r="S49" s="145"/>
      <c r="T49" s="134"/>
      <c r="U49" s="134"/>
      <c r="V49" s="149"/>
      <c r="W49" s="145"/>
      <c r="X49" s="149"/>
      <c r="Y49" s="145"/>
      <c r="Z49" s="6">
        <f t="shared" si="29"/>
        <v>-0.60090612912922836</v>
      </c>
      <c r="AA49" s="6">
        <f t="shared" si="30"/>
        <v>0.16499754446464521</v>
      </c>
      <c r="AB49" s="52">
        <f t="shared" si="27"/>
        <v>-0.60090612912922836</v>
      </c>
      <c r="AC49" s="53">
        <f t="shared" si="28"/>
        <v>0.16499754446464521</v>
      </c>
      <c r="AD49" t="s">
        <v>41</v>
      </c>
    </row>
    <row r="50" spans="1:30">
      <c r="B50" s="4" t="s">
        <v>141</v>
      </c>
      <c r="C50" s="5">
        <v>4</v>
      </c>
      <c r="D50" s="149"/>
      <c r="E50" s="134"/>
      <c r="F50" s="145"/>
      <c r="G50" s="149"/>
      <c r="H50" s="134"/>
      <c r="I50" s="145"/>
      <c r="J50" s="52">
        <v>-0.5</v>
      </c>
      <c r="K50" s="6">
        <v>7.0000000000000007E-2</v>
      </c>
      <c r="L50" s="53">
        <f>K50/SQRT(C50)</f>
        <v>3.5000000000000003E-2</v>
      </c>
      <c r="M50" s="149"/>
      <c r="N50" s="134"/>
      <c r="O50" s="145"/>
      <c r="P50" s="149"/>
      <c r="Q50" s="145"/>
      <c r="R50" s="149"/>
      <c r="S50" s="145"/>
      <c r="T50" s="134"/>
      <c r="U50" s="134"/>
      <c r="V50" s="149"/>
      <c r="W50" s="145"/>
      <c r="X50" s="149"/>
      <c r="Y50" s="145"/>
      <c r="Z50" s="6">
        <f t="shared" si="29"/>
        <v>-0.59090612912922835</v>
      </c>
      <c r="AA50" s="6">
        <f t="shared" si="30"/>
        <v>0.17670367760565306</v>
      </c>
      <c r="AB50" s="52">
        <f t="shared" si="27"/>
        <v>-0.59090612912922835</v>
      </c>
      <c r="AC50" s="53">
        <f t="shared" si="28"/>
        <v>0.17670367760565306</v>
      </c>
      <c r="AD50" t="s">
        <v>43</v>
      </c>
    </row>
    <row r="51" spans="1:30">
      <c r="B51" s="4" t="s">
        <v>141</v>
      </c>
      <c r="C51" s="5">
        <v>11</v>
      </c>
      <c r="D51" s="149"/>
      <c r="E51" s="134"/>
      <c r="F51" s="145"/>
      <c r="G51" s="149"/>
      <c r="H51" s="134"/>
      <c r="I51" s="145"/>
      <c r="J51" s="52">
        <v>-0.55000000000000004</v>
      </c>
      <c r="K51" s="6">
        <v>0.09</v>
      </c>
      <c r="L51" s="53">
        <f>K51/SQRT(C51)</f>
        <v>2.7136021011998725E-2</v>
      </c>
      <c r="M51" s="149"/>
      <c r="N51" s="134"/>
      <c r="O51" s="145"/>
      <c r="P51" s="149"/>
      <c r="Q51" s="145"/>
      <c r="R51" s="149"/>
      <c r="S51" s="145"/>
      <c r="T51" s="134"/>
      <c r="U51" s="134"/>
      <c r="V51" s="149"/>
      <c r="W51" s="145"/>
      <c r="X51" s="149"/>
      <c r="Y51" s="145"/>
      <c r="Z51" s="6">
        <f t="shared" si="29"/>
        <v>-0.54090612912922831</v>
      </c>
      <c r="AA51" s="6">
        <f t="shared" si="30"/>
        <v>0.18553756945525229</v>
      </c>
      <c r="AB51" s="52">
        <f t="shared" si="27"/>
        <v>-0.54090612912922831</v>
      </c>
      <c r="AC51" s="53">
        <f t="shared" si="28"/>
        <v>0.18553756945525229</v>
      </c>
      <c r="AD51" t="s">
        <v>45</v>
      </c>
    </row>
    <row r="52" spans="1:30">
      <c r="B52" s="4" t="s">
        <v>141</v>
      </c>
      <c r="C52" s="5">
        <v>10</v>
      </c>
      <c r="D52" s="149"/>
      <c r="E52" s="134"/>
      <c r="F52" s="145"/>
      <c r="G52" s="149"/>
      <c r="H52" s="134"/>
      <c r="I52" s="145"/>
      <c r="J52" s="52">
        <v>-0.57099999999999995</v>
      </c>
      <c r="K52" s="6">
        <f>L52*SQRT(C52)</f>
        <v>1.5811388300841899E-2</v>
      </c>
      <c r="L52" s="53">
        <v>5.0000000000000001E-3</v>
      </c>
      <c r="M52" s="149"/>
      <c r="N52" s="134"/>
      <c r="O52" s="145"/>
      <c r="P52" s="149"/>
      <c r="Q52" s="145"/>
      <c r="R52" s="149"/>
      <c r="S52" s="145"/>
      <c r="T52" s="134"/>
      <c r="U52" s="134"/>
      <c r="V52" s="149"/>
      <c r="W52" s="145"/>
      <c r="X52" s="149"/>
      <c r="Y52" s="145"/>
      <c r="Z52" s="6">
        <f t="shared" si="29"/>
        <v>-0.5199061291292284</v>
      </c>
      <c r="AA52" s="6">
        <f t="shared" si="30"/>
        <v>0.16301591848455343</v>
      </c>
      <c r="AB52" s="52">
        <f t="shared" si="27"/>
        <v>-0.5199061291292284</v>
      </c>
      <c r="AC52" s="53">
        <f t="shared" si="28"/>
        <v>0.16301591848455343</v>
      </c>
      <c r="AD52" t="s">
        <v>73</v>
      </c>
    </row>
    <row r="53" spans="1:30" ht="15.75">
      <c r="A53" s="3"/>
      <c r="B53" s="7" t="s">
        <v>153</v>
      </c>
      <c r="C53" s="8">
        <f>SUM(C47:C52)</f>
        <v>59</v>
      </c>
      <c r="D53" s="150"/>
      <c r="E53" s="151"/>
      <c r="F53" s="146"/>
      <c r="G53" s="150"/>
      <c r="H53" s="151"/>
      <c r="I53" s="146"/>
      <c r="J53" s="54">
        <f>(J47*C47+J48*C48+J49*C49+J50*C50+J51*C51+J52*C52)/C53</f>
        <v>-0.51966101694915245</v>
      </c>
      <c r="K53" s="9">
        <f>2*SQRT(((C47-1)*(K47/2)^2+(C48-1)*(K48/2)^2+(C49-1)*(K49/2)^2+(C50-1)*(K50/2)^2+(C51-1)*(K51/2)^2+(C52-1)*(K52/2)^2+C47*(J47-J53)^2+C48*(J48-J53)^2+C49*(J49-J53)^2+C50*(J50-J53)^2+C51*(J51-J53)^2+C52*(J52-J53)^2)/(C53-1))</f>
        <v>8.8907437468252595E-2</v>
      </c>
      <c r="L53" s="55">
        <f>K53/SQRT(C53)</f>
        <v>1.1574762462087503E-2</v>
      </c>
      <c r="M53" s="150"/>
      <c r="N53" s="151"/>
      <c r="O53" s="146"/>
      <c r="P53" s="150"/>
      <c r="Q53" s="146"/>
      <c r="R53" s="150"/>
      <c r="S53" s="146"/>
      <c r="T53" s="151"/>
      <c r="U53" s="151"/>
      <c r="V53" s="150"/>
      <c r="W53" s="146"/>
      <c r="X53" s="150"/>
      <c r="Y53" s="146"/>
      <c r="Z53" s="9">
        <f t="shared" si="29"/>
        <v>-0.5712451121800759</v>
      </c>
      <c r="AA53" s="9">
        <f t="shared" si="30"/>
        <v>0.18501005950091962</v>
      </c>
      <c r="AB53" s="54">
        <f t="shared" si="27"/>
        <v>-0.5712451121800759</v>
      </c>
      <c r="AC53" s="55">
        <f t="shared" si="28"/>
        <v>0.18501005950091962</v>
      </c>
      <c r="AD53" s="10" t="s">
        <v>49</v>
      </c>
    </row>
    <row r="54" spans="1:30" ht="26.25">
      <c r="A54" s="154" t="s">
        <v>143</v>
      </c>
      <c r="B54" s="12" t="s">
        <v>144</v>
      </c>
      <c r="C54" s="8">
        <f>C41+C53</f>
        <v>105</v>
      </c>
      <c r="D54" s="63"/>
      <c r="E54" s="37"/>
      <c r="F54" s="64"/>
      <c r="G54" s="63"/>
      <c r="H54" s="37"/>
      <c r="I54" s="64"/>
      <c r="J54" s="54">
        <f>(C41*J41+C53*J53)/C54</f>
        <v>-0.52573333333333327</v>
      </c>
      <c r="K54" s="9">
        <f>2*SQRT(((C41-1)*(E41/2)^2+(C53-1)*(K53/2)^2+C41*(J41-J54)^2+C53*(J53-J54)^2)/(C54-1))</f>
        <v>8.1835913061849994E-2</v>
      </c>
      <c r="L54" s="55">
        <f>K54/SQRT(C54)</f>
        <v>7.9863673526869225E-3</v>
      </c>
      <c r="M54" s="63"/>
      <c r="N54" s="37"/>
      <c r="O54" s="64"/>
      <c r="P54" s="52"/>
      <c r="Q54" s="53"/>
      <c r="R54" s="52"/>
      <c r="S54" s="53"/>
      <c r="T54" s="6"/>
      <c r="U54" s="6"/>
      <c r="V54" s="52"/>
      <c r="W54" s="53"/>
      <c r="X54" s="52"/>
      <c r="Y54" s="53"/>
      <c r="Z54" s="6"/>
      <c r="AA54" s="6"/>
      <c r="AB54" s="54">
        <f>$M$57-J54</f>
        <v>-0.56517279579589508</v>
      </c>
      <c r="AC54" s="55">
        <f>SQRT((K54/2)^2+(N$57/2)^2)*2</f>
        <v>0.18171765557047354</v>
      </c>
      <c r="AD54" s="10" t="s">
        <v>145</v>
      </c>
    </row>
    <row r="55" spans="1:30" ht="26.25">
      <c r="A55" s="154" t="s">
        <v>146</v>
      </c>
      <c r="B55" s="12" t="s">
        <v>147</v>
      </c>
      <c r="C55" s="8">
        <f>C46+C53</f>
        <v>106</v>
      </c>
      <c r="D55" s="52"/>
      <c r="E55" s="6"/>
      <c r="F55" s="53"/>
      <c r="G55" s="52"/>
      <c r="H55" s="6"/>
      <c r="I55" s="53"/>
      <c r="J55" s="54">
        <f>(C46*J46+C53*J53)/C55</f>
        <v>-0.55613210467187013</v>
      </c>
      <c r="K55" s="9">
        <f>2*SQRT(((C46-1)*(H46/2)^2+(C53-1)*(K53/2)^2+C46*(J46-J55)^2+C53*(J53-J55)^2)/(C55-1))</f>
        <v>0.17715206211809209</v>
      </c>
      <c r="L55" s="55">
        <f t="shared" ref="L55" si="31">K55/SQRT(C55)</f>
        <v>1.7206529342273871E-2</v>
      </c>
      <c r="M55" s="52"/>
      <c r="N55" s="6"/>
      <c r="O55" s="53"/>
      <c r="P55" s="52"/>
      <c r="Q55" s="53"/>
      <c r="R55" s="52"/>
      <c r="S55" s="53"/>
      <c r="T55" s="6"/>
      <c r="U55" s="6"/>
      <c r="V55" s="52"/>
      <c r="W55" s="53"/>
      <c r="X55" s="52"/>
      <c r="Y55" s="53"/>
      <c r="Z55" s="6"/>
      <c r="AA55" s="6"/>
      <c r="AB55" s="54">
        <f>$M$57-J55</f>
        <v>-0.53477402445735822</v>
      </c>
      <c r="AC55" s="55">
        <f>SQRT((K55/2)^2+(N$57/2)^2)*2</f>
        <v>0.24022290230545243</v>
      </c>
      <c r="AD55" s="10" t="s">
        <v>148</v>
      </c>
    </row>
    <row r="56" spans="1:30" ht="39">
      <c r="A56" s="154" t="s">
        <v>8</v>
      </c>
      <c r="B56" s="38" t="s">
        <v>154</v>
      </c>
      <c r="C56" s="8">
        <f>C41+C46+C53</f>
        <v>152</v>
      </c>
      <c r="D56" s="54"/>
      <c r="E56" s="9"/>
      <c r="F56" s="55"/>
      <c r="G56" s="54"/>
      <c r="H56" s="9"/>
      <c r="I56" s="55"/>
      <c r="J56" s="54">
        <f>(C41*J41+C46*J46+C53*J53)/C56</f>
        <v>-0.54928949404748828</v>
      </c>
      <c r="K56" s="9">
        <f>2*SQRT(((C41-1)*(E41/2)^2+(C46-1)*(H46/2)^2+(C53-1)*(K53/2)^2+C41*(J41-J56)^2+C46*(J46-J56)^2+C53*(J53-J56)^2)/(C56-1))</f>
        <v>0.1539538976990372</v>
      </c>
      <c r="L56" s="55">
        <f>K56/SQRT(C56)</f>
        <v>1.2487310036678924E-2</v>
      </c>
      <c r="M56" s="54"/>
      <c r="N56" s="9"/>
      <c r="O56" s="55"/>
      <c r="P56" s="52"/>
      <c r="Q56" s="53"/>
      <c r="R56" s="52"/>
      <c r="S56" s="53"/>
      <c r="T56" s="6"/>
      <c r="U56" s="6"/>
      <c r="V56" s="52"/>
      <c r="W56" s="53"/>
      <c r="X56" s="52"/>
      <c r="Y56" s="53"/>
      <c r="Z56" s="6"/>
      <c r="AA56" s="6"/>
      <c r="AB56" s="54">
        <f>$M$57-J56</f>
        <v>-0.54161663508174007</v>
      </c>
      <c r="AC56" s="55">
        <f>SQRT((K56/2)^2+(N$57/2)^2)*2</f>
        <v>0.22366491073945458</v>
      </c>
      <c r="AD56" s="10" t="s">
        <v>74</v>
      </c>
    </row>
    <row r="57" spans="1:30" ht="15.75" thickBot="1">
      <c r="B57" s="56" t="s">
        <v>51</v>
      </c>
      <c r="C57" s="13">
        <v>30</v>
      </c>
      <c r="D57" s="57"/>
      <c r="E57" s="14"/>
      <c r="F57" s="58"/>
      <c r="G57" s="57"/>
      <c r="H57" s="14"/>
      <c r="I57" s="58"/>
      <c r="J57" s="57"/>
      <c r="K57" s="14"/>
      <c r="L57" s="58"/>
      <c r="M57" s="57">
        <v>-1.0909061291292284</v>
      </c>
      <c r="N57" s="14">
        <v>0.16224731023768182</v>
      </c>
      <c r="O57" s="58">
        <v>2.9622170570572402E-2</v>
      </c>
      <c r="P57" s="16"/>
      <c r="Q57" s="16"/>
      <c r="R57" s="16"/>
      <c r="S57" s="16"/>
      <c r="T57" s="16"/>
      <c r="U57" s="16"/>
      <c r="V57" s="15"/>
      <c r="W57" s="16"/>
      <c r="X57" s="16"/>
      <c r="Y57" s="16"/>
      <c r="Z57" s="16"/>
      <c r="AA57" s="16"/>
      <c r="AB57" s="16"/>
      <c r="AC57" s="16"/>
      <c r="AD57" s="11" t="s">
        <v>38</v>
      </c>
    </row>
    <row r="58" spans="1:30" ht="15.75" customHeight="1" thickBot="1">
      <c r="C58" s="5"/>
      <c r="D58" s="6"/>
      <c r="E58" s="6"/>
      <c r="F58" s="6"/>
      <c r="G58" s="6"/>
      <c r="H58" s="6"/>
      <c r="I58" s="6"/>
      <c r="J58" s="6"/>
      <c r="K58" s="6"/>
      <c r="L58" s="6"/>
      <c r="M58" s="6"/>
      <c r="N58" s="6"/>
      <c r="O58" s="164" t="s">
        <v>75</v>
      </c>
      <c r="P58" s="39"/>
      <c r="Q58" s="40">
        <f>Q41</f>
        <v>0.19034485097169379</v>
      </c>
      <c r="R58" s="11"/>
      <c r="S58" s="41">
        <f>S46</f>
        <v>0.23016203386729092</v>
      </c>
      <c r="T58" s="25"/>
      <c r="U58" s="20">
        <f>U46</f>
        <v>0.22611004919287703</v>
      </c>
      <c r="V58" s="39"/>
      <c r="W58" s="40">
        <f>W41</f>
        <v>0.17655735288598584</v>
      </c>
      <c r="X58" s="11"/>
      <c r="Y58" s="41">
        <f>Y46</f>
        <v>0.26944690543152261</v>
      </c>
      <c r="AA58" s="20">
        <f>AA53</f>
        <v>0.18501005950091962</v>
      </c>
      <c r="AB58" s="11"/>
      <c r="AC58" s="41">
        <f>2*SQRT(((C41-1)*(E41/2)^2+(C46-1)*(H46/2)^2+(C53-1)*(K53/2)^2+C41*(AB41-AB59)^2+C46*(AB46-AB59)^2+C53*(AB53-AB59)^2)/(C41+C46+C53-1))</f>
        <v>0.1539538976990372</v>
      </c>
      <c r="AD58" t="s">
        <v>52</v>
      </c>
    </row>
    <row r="59" spans="1:30" ht="15.75" thickBot="1">
      <c r="C59" s="5"/>
      <c r="D59" s="6"/>
      <c r="E59" s="6"/>
      <c r="F59" s="6"/>
      <c r="G59" s="6"/>
      <c r="H59" s="6"/>
      <c r="I59" s="6"/>
      <c r="J59" s="6"/>
      <c r="K59" s="6"/>
      <c r="L59" s="6"/>
      <c r="M59" s="6"/>
      <c r="N59" s="6"/>
      <c r="O59" s="165"/>
      <c r="P59" s="42">
        <f>P41</f>
        <v>-0.49538963445856465</v>
      </c>
      <c r="Q59" s="22"/>
      <c r="R59" s="43">
        <f>R46</f>
        <v>-0.57329797393645576</v>
      </c>
      <c r="S59" s="44"/>
      <c r="T59" s="23">
        <f>T46</f>
        <v>-4.7509568139354252E-2</v>
      </c>
      <c r="U59" s="138"/>
      <c r="V59" s="42">
        <f>V41</f>
        <v>-3.9384389998793568E-2</v>
      </c>
      <c r="W59" s="22">
        <f>SQRT((W58/2)^2+(N57/2)^2)*2</f>
        <v>0.23978467118952601</v>
      </c>
      <c r="X59" s="43">
        <f>X46</f>
        <v>8.1251781405606849E-3</v>
      </c>
      <c r="Y59" s="44">
        <f>SQRT((Y58/2)^2+(N57/2)^2)*2</f>
        <v>0.31452475979799505</v>
      </c>
      <c r="Z59" s="23">
        <f>Z53</f>
        <v>-0.5712451121800759</v>
      </c>
      <c r="AA59" s="24">
        <f>SQRT((AA58/2)^2+(N57/2)^2)*2</f>
        <v>0.24607501253864927</v>
      </c>
      <c r="AB59" s="43">
        <f>(AB41*C41+AB46*C46+AB53*C53)/SUM(C41,C46,C53)</f>
        <v>-0.54161663508173996</v>
      </c>
      <c r="AC59" s="44">
        <f>SQRT((AC58/2)^2+(N57/2)^2)*2</f>
        <v>0.22366491073945458</v>
      </c>
    </row>
    <row r="60" spans="1:30" ht="18">
      <c r="C60" s="5"/>
      <c r="D60" s="6"/>
      <c r="E60" s="6"/>
      <c r="F60" s="6"/>
      <c r="G60" s="6"/>
      <c r="H60" s="6"/>
      <c r="I60" s="6"/>
      <c r="J60" s="6"/>
      <c r="K60" s="6"/>
      <c r="L60" s="6"/>
      <c r="M60" s="6"/>
      <c r="O60" s="124" t="s">
        <v>53</v>
      </c>
      <c r="P60" s="25">
        <f>((D41-J55)*1000)/(J55+1000)</f>
        <v>-0.49566528983941588</v>
      </c>
      <c r="Q60" s="125" t="s">
        <v>54</v>
      </c>
      <c r="R60" s="25">
        <f>((G46-J54)*1000)/(J54+1000)</f>
        <v>-0.57359953433163835</v>
      </c>
      <c r="S60" s="125" t="s">
        <v>55</v>
      </c>
      <c r="T60" s="25">
        <f>((G46-D41)*1000)/(D41+1000)</f>
        <v>-4.7559578069598304E-2</v>
      </c>
      <c r="U60" s="125" t="s">
        <v>150</v>
      </c>
      <c r="V60" s="25">
        <f>((M57-D41)*1000)/(D41+1000)</f>
        <v>-3.9425847134138742E-2</v>
      </c>
      <c r="W60" s="125" t="s">
        <v>56</v>
      </c>
      <c r="X60" s="25">
        <f>((M57-G46)*1000)/(G46+1000)</f>
        <v>8.134117790669651E-3</v>
      </c>
      <c r="Y60" s="125" t="s">
        <v>57</v>
      </c>
      <c r="Z60" s="25">
        <f>((M57-J53)*1000)/(J53+1000)</f>
        <v>-0.57154212033956087</v>
      </c>
      <c r="AA60" s="125" t="s">
        <v>58</v>
      </c>
      <c r="AB60" s="139">
        <f>((M57-J56)*1000)/(J56+1000)</f>
        <v>-0.54191430291500542</v>
      </c>
      <c r="AC60" s="125" t="s">
        <v>58</v>
      </c>
    </row>
    <row r="61" spans="1:30" ht="18">
      <c r="C61" s="5"/>
      <c r="D61" s="6"/>
      <c r="E61" s="6"/>
      <c r="F61" s="6"/>
      <c r="G61" s="6"/>
      <c r="H61" s="6"/>
      <c r="I61" s="6"/>
      <c r="J61" s="6"/>
      <c r="K61" s="6"/>
      <c r="L61" s="6"/>
      <c r="M61" s="6"/>
      <c r="O61" s="124" t="s">
        <v>53</v>
      </c>
      <c r="P61" s="139">
        <f>-(P60/1000)/(P60/1000+1)*1000</f>
        <v>0.49591109575642867</v>
      </c>
      <c r="Q61" s="125" t="s">
        <v>59</v>
      </c>
      <c r="R61" s="139">
        <f>-(R60/1000)/(R60/1000+1)*1000</f>
        <v>0.57392873958940638</v>
      </c>
      <c r="S61" s="125" t="s">
        <v>60</v>
      </c>
      <c r="T61" s="139">
        <f>-(T60/1000)/(T60/1000+1)*1000</f>
        <v>4.7561840090645228E-2</v>
      </c>
      <c r="U61" s="125" t="s">
        <v>151</v>
      </c>
      <c r="V61" s="139">
        <f>-(V60/1000)/(V60/1000+1)*1000</f>
        <v>3.9427401592846835E-2</v>
      </c>
      <c r="W61" s="125" t="s">
        <v>61</v>
      </c>
      <c r="X61" s="139">
        <f>-(X60/1000)/(X60/1000+1)*1000</f>
        <v>-8.1340516273355999E-3</v>
      </c>
      <c r="Y61" s="125" t="s">
        <v>62</v>
      </c>
      <c r="Z61" s="139">
        <f>-(Z60/1000)/(Z60/1000+1)*1000</f>
        <v>0.57186896754182615</v>
      </c>
      <c r="AA61" s="125" t="s">
        <v>63</v>
      </c>
      <c r="AB61" s="139">
        <f>-(AB60/1000)/(AB60/1000+1)*1000</f>
        <v>0.54220813325757466</v>
      </c>
      <c r="AC61" s="125" t="s">
        <v>63</v>
      </c>
    </row>
    <row r="62" spans="1:30">
      <c r="C62" s="5"/>
      <c r="D62" s="6"/>
      <c r="E62" s="6"/>
      <c r="F62" s="6"/>
      <c r="G62" s="6"/>
      <c r="H62" s="6"/>
      <c r="I62" s="6"/>
      <c r="J62" s="6"/>
      <c r="K62" s="6"/>
      <c r="L62" s="6"/>
      <c r="M62" s="6"/>
      <c r="N62" s="6"/>
      <c r="O62" s="45"/>
      <c r="P62" s="46"/>
      <c r="Q62" s="47"/>
      <c r="R62" s="25"/>
      <c r="S62" s="25"/>
      <c r="T62" s="25"/>
      <c r="U62" s="25"/>
      <c r="V62" s="46"/>
      <c r="W62" s="47"/>
      <c r="X62" s="25"/>
      <c r="Z62" s="136"/>
      <c r="AA62" s="136" t="s">
        <v>64</v>
      </c>
      <c r="AB62" s="139">
        <f>(J27+((J97-J27)/(M98-M28))*(M57-M28))</f>
        <v>-0.58828958086222505</v>
      </c>
      <c r="AC62" t="s">
        <v>65</v>
      </c>
    </row>
    <row r="63" spans="1:30">
      <c r="C63" s="5"/>
      <c r="D63" s="6"/>
      <c r="E63" s="6"/>
      <c r="F63" s="6"/>
      <c r="G63" s="6"/>
      <c r="H63" s="6"/>
      <c r="I63" s="6"/>
      <c r="J63" s="6"/>
      <c r="K63" s="6"/>
      <c r="L63" s="6"/>
      <c r="M63" s="6"/>
      <c r="N63" s="6"/>
      <c r="O63" s="45"/>
      <c r="P63" s="46"/>
      <c r="Q63" s="47"/>
      <c r="R63" s="25"/>
      <c r="S63" s="25"/>
      <c r="T63" s="25"/>
      <c r="U63" s="25"/>
      <c r="V63" s="46"/>
      <c r="W63" s="47"/>
      <c r="X63" s="25"/>
      <c r="Z63" s="137"/>
      <c r="AA63" s="137" t="s">
        <v>152</v>
      </c>
      <c r="AB63" s="25">
        <f>AB62-M57</f>
        <v>0.5026165482670033</v>
      </c>
    </row>
    <row r="64" spans="1:30">
      <c r="C64" s="5"/>
      <c r="D64" s="6"/>
      <c r="E64" s="6"/>
      <c r="F64" s="6"/>
      <c r="G64" s="6"/>
      <c r="H64" s="6"/>
      <c r="I64" s="6"/>
      <c r="J64" s="9"/>
      <c r="K64" s="6"/>
      <c r="L64" s="6"/>
      <c r="M64" s="6"/>
      <c r="N64" s="6"/>
      <c r="O64" s="6"/>
      <c r="P64" s="6"/>
      <c r="Q64" s="6"/>
      <c r="R64" s="6"/>
      <c r="S64" s="9"/>
      <c r="T64" s="6"/>
      <c r="U64" s="6"/>
      <c r="V64" s="6"/>
      <c r="W64" s="6"/>
      <c r="X64" s="6"/>
      <c r="Y64" s="9"/>
      <c r="Z64" s="9"/>
      <c r="AA64" s="9"/>
      <c r="AB64" s="9"/>
      <c r="AC64" s="9"/>
    </row>
    <row r="65" spans="1:30" ht="15.75">
      <c r="A65" s="26" t="s">
        <v>76</v>
      </c>
      <c r="B65" s="35" t="s">
        <v>138</v>
      </c>
      <c r="C65" s="36">
        <v>17</v>
      </c>
      <c r="D65" s="63">
        <v>0.41160000000000002</v>
      </c>
      <c r="E65" s="37">
        <v>0.1066</v>
      </c>
      <c r="F65" s="64">
        <v>2.7400000000000001E-2</v>
      </c>
      <c r="G65" s="63"/>
      <c r="H65" s="37"/>
      <c r="I65" s="64"/>
      <c r="J65" s="63">
        <f t="shared" ref="J65:J66" si="32">D65+0.518</f>
        <v>0.92959999999999998</v>
      </c>
      <c r="K65" s="37"/>
      <c r="L65" s="64"/>
      <c r="M65" s="63"/>
      <c r="N65" s="37"/>
      <c r="O65" s="64"/>
      <c r="P65" s="63">
        <f>D65-$J$96</f>
        <v>-0.49655867579903507</v>
      </c>
      <c r="Q65" s="64">
        <f>SQRT((E65/2)^2+(K$96/2)^2)*2</f>
        <v>0.19073626224047144</v>
      </c>
      <c r="R65" s="63"/>
      <c r="S65" s="64"/>
      <c r="T65" s="37"/>
      <c r="U65" s="37"/>
      <c r="V65" s="63">
        <f>$M$98-D65</f>
        <v>-2.9913596520059205E-4</v>
      </c>
      <c r="W65" s="64">
        <f>SQRT((E65/2)^2+(N$98/2)^2)*2</f>
        <v>0.17751188664887588</v>
      </c>
      <c r="X65" s="63"/>
      <c r="Y65" s="64"/>
      <c r="Z65" s="37"/>
      <c r="AA65" s="37"/>
      <c r="AB65" s="63">
        <f>$M$98-(D65+0.518)</f>
        <v>-0.5182991359652005</v>
      </c>
      <c r="AC65" s="64"/>
      <c r="AD65" s="126" t="s">
        <v>77</v>
      </c>
    </row>
    <row r="66" spans="1:30" ht="15.75">
      <c r="A66" s="3"/>
      <c r="B66" s="4" t="s">
        <v>138</v>
      </c>
      <c r="C66" s="5">
        <v>3</v>
      </c>
      <c r="D66" s="52">
        <v>0.4</v>
      </c>
      <c r="E66" s="6">
        <v>0.05</v>
      </c>
      <c r="F66" s="53">
        <f>E66/SQRT(C66)</f>
        <v>2.8867513459481291E-2</v>
      </c>
      <c r="G66" s="52"/>
      <c r="H66" s="6"/>
      <c r="I66" s="53"/>
      <c r="J66" s="52">
        <f t="shared" si="32"/>
        <v>0.91800000000000004</v>
      </c>
      <c r="K66" s="6"/>
      <c r="L66" s="53"/>
      <c r="M66" s="52"/>
      <c r="N66" s="6"/>
      <c r="O66" s="53"/>
      <c r="P66" s="52">
        <f t="shared" ref="P66" si="33">D66-$J$96</f>
        <v>-0.50815867579903506</v>
      </c>
      <c r="Q66" s="53">
        <f t="shared" ref="Q66" si="34">SQRT((E66/2)^2+(K$96/2)^2)*2</f>
        <v>0.16588177034703327</v>
      </c>
      <c r="R66" s="52"/>
      <c r="S66" s="53"/>
      <c r="T66" s="6"/>
      <c r="U66" s="6"/>
      <c r="V66" s="52">
        <f>$M$98-D66</f>
        <v>1.1300864034799407E-2</v>
      </c>
      <c r="W66" s="53">
        <f>SQRT((E66/2)^2+(N$98/2)^2)*2</f>
        <v>0.15048890291859848</v>
      </c>
      <c r="X66" s="52"/>
      <c r="Y66" s="53"/>
      <c r="Z66" s="6"/>
      <c r="AA66" s="6"/>
      <c r="AB66" s="52">
        <f>$M$98-(D66+0.518)</f>
        <v>-0.50669913596520066</v>
      </c>
      <c r="AC66" s="53"/>
      <c r="AD66" t="s">
        <v>35</v>
      </c>
    </row>
    <row r="67" spans="1:30" ht="15.75">
      <c r="A67" s="3"/>
      <c r="B67" s="7" t="s">
        <v>138</v>
      </c>
      <c r="C67" s="8">
        <f>SUM(C65:C66)</f>
        <v>20</v>
      </c>
      <c r="D67" s="54">
        <f>(D65*C65+D66*C66)/(C65+C66)</f>
        <v>0.40986</v>
      </c>
      <c r="E67" s="9">
        <f>2*SQRT(((C65-1)*(E65/2)^2+(C66-1)*(E66/2)^2+C65*(D65-D67)^2+C66*(D66-D67)^2)/(C67-1))</f>
        <v>9.9522404777173556E-2</v>
      </c>
      <c r="F67" s="55">
        <f>E67/SQRT(C67)</f>
        <v>2.2253886236600986E-2</v>
      </c>
      <c r="G67" s="54"/>
      <c r="H67" s="9"/>
      <c r="I67" s="55"/>
      <c r="J67" s="54">
        <f>D67+0.518</f>
        <v>0.92786000000000002</v>
      </c>
      <c r="K67" s="9"/>
      <c r="L67" s="55"/>
      <c r="M67" s="54"/>
      <c r="N67" s="9"/>
      <c r="O67" s="55"/>
      <c r="P67" s="54">
        <f>D67-$J$96</f>
        <v>-0.49829867579903508</v>
      </c>
      <c r="Q67" s="55">
        <f>SQRT((E67/2)^2+(K$96/2)^2)*2</f>
        <v>0.18687287332862804</v>
      </c>
      <c r="R67" s="54"/>
      <c r="S67" s="55"/>
      <c r="T67" s="9"/>
      <c r="U67" s="9"/>
      <c r="V67" s="54">
        <f>$M$98-D67</f>
        <v>1.4408640347994273E-3</v>
      </c>
      <c r="W67" s="55">
        <f>SQRT((E67/2)^2+(N$98/2)^2)*2</f>
        <v>0.17335402779939937</v>
      </c>
      <c r="X67" s="54"/>
      <c r="Y67" s="55"/>
      <c r="Z67" s="9"/>
      <c r="AA67" s="9"/>
      <c r="AB67" s="54">
        <f>$M$98-(D67+0.518)</f>
        <v>-0.51655913596520064</v>
      </c>
      <c r="AC67" s="146"/>
      <c r="AD67" s="10" t="s">
        <v>36</v>
      </c>
    </row>
    <row r="68" spans="1:30" ht="15.75">
      <c r="A68" s="3"/>
      <c r="B68" s="4" t="s">
        <v>139</v>
      </c>
      <c r="C68" s="5">
        <v>6</v>
      </c>
      <c r="D68" s="52"/>
      <c r="E68" s="6"/>
      <c r="F68" s="53"/>
      <c r="G68" s="52">
        <v>0.4</v>
      </c>
      <c r="H68" s="6">
        <f>I68*SQRT(C68)</f>
        <v>0.17146428199482247</v>
      </c>
      <c r="I68" s="53">
        <v>7.0000000000000007E-2</v>
      </c>
      <c r="J68" s="52">
        <f>G68+$R$110</f>
        <v>0.89711634779706062</v>
      </c>
      <c r="K68" s="6"/>
      <c r="L68" s="53"/>
      <c r="M68" s="52"/>
      <c r="N68" s="6"/>
      <c r="O68" s="53"/>
      <c r="P68" s="52"/>
      <c r="Q68" s="53"/>
      <c r="R68" s="52">
        <f>G68-$J$95</f>
        <v>-0.50923724735696507</v>
      </c>
      <c r="S68" s="53">
        <f>SQRT((H68/2)^2+(K$95/2)^2)*2</f>
        <v>0.2331584355196282</v>
      </c>
      <c r="T68" s="6">
        <f>G68-$D$67</f>
        <v>-9.8599999999999799E-3</v>
      </c>
      <c r="U68" s="6">
        <f>SQRT((H68/2)^2+(E$67/2)^2)*2</f>
        <v>0.19825415267436791</v>
      </c>
      <c r="V68" s="52"/>
      <c r="W68" s="53"/>
      <c r="X68" s="52">
        <f>$M$98-G68</f>
        <v>1.1300864034799407E-2</v>
      </c>
      <c r="Y68" s="53">
        <f>SQRT((H68/2)^2+(N$98/2)^2)*2</f>
        <v>0.2225913518123365</v>
      </c>
      <c r="Z68" s="6"/>
      <c r="AA68" s="6"/>
      <c r="AB68" s="52">
        <f>$M$98-(G68+$R$110)</f>
        <v>-0.48581548376226119</v>
      </c>
      <c r="AC68" s="53"/>
      <c r="AD68" t="s">
        <v>37</v>
      </c>
    </row>
    <row r="69" spans="1:30" ht="15.75">
      <c r="A69" s="3"/>
      <c r="B69" s="4" t="s">
        <v>139</v>
      </c>
      <c r="C69" s="5">
        <v>4</v>
      </c>
      <c r="D69" s="52"/>
      <c r="E69" s="6"/>
      <c r="F69" s="53"/>
      <c r="G69" s="52">
        <v>0.39</v>
      </c>
      <c r="H69" s="6">
        <f>I69*SQRT(C69)</f>
        <v>0.14000000000000001</v>
      </c>
      <c r="I69" s="53">
        <v>7.0000000000000007E-2</v>
      </c>
      <c r="J69" s="52">
        <f>G69+$R$110</f>
        <v>0.88711634779706061</v>
      </c>
      <c r="K69" s="6"/>
      <c r="L69" s="53"/>
      <c r="M69" s="52"/>
      <c r="N69" s="6"/>
      <c r="O69" s="53"/>
      <c r="P69" s="52"/>
      <c r="Q69" s="53"/>
      <c r="R69" s="52">
        <f t="shared" ref="R69:R72" si="35">G69-$J$95</f>
        <v>-0.51923724735696508</v>
      </c>
      <c r="S69" s="53">
        <f t="shared" ref="S69:S72" si="36">SQRT((H69/2)^2+(K$95/2)^2)*2</f>
        <v>0.21109916166096115</v>
      </c>
      <c r="T69" s="6">
        <f t="shared" ref="T69:T72" si="37">G69-$D$67</f>
        <v>-1.9859999999999989E-2</v>
      </c>
      <c r="U69" s="6">
        <f t="shared" ref="U69:U72" si="38">SQRT((H69/2)^2+(E$67/2)^2)*2</f>
        <v>0.17176934840835714</v>
      </c>
      <c r="V69" s="52"/>
      <c r="W69" s="53"/>
      <c r="X69" s="52">
        <f>$M$98-G69</f>
        <v>2.1300864034799416E-2</v>
      </c>
      <c r="Y69" s="53">
        <f>SQRT((H69/2)^2+(N$98/2)^2)*2</f>
        <v>0.19936627072211427</v>
      </c>
      <c r="Z69" s="6"/>
      <c r="AA69" s="6"/>
      <c r="AB69" s="52">
        <f>$M$98-(G69+$R$110)</f>
        <v>-0.47581548376226118</v>
      </c>
      <c r="AC69" s="53"/>
      <c r="AD69" t="s">
        <v>71</v>
      </c>
    </row>
    <row r="70" spans="1:30" ht="15.75">
      <c r="A70" s="3"/>
      <c r="B70" s="4" t="s">
        <v>139</v>
      </c>
      <c r="C70" s="5">
        <v>5</v>
      </c>
      <c r="D70" s="52"/>
      <c r="E70" s="6"/>
      <c r="F70" s="53"/>
      <c r="G70" s="52">
        <v>0.43633500775386302</v>
      </c>
      <c r="H70" s="6">
        <v>0.1921924943621518</v>
      </c>
      <c r="I70" s="53">
        <v>8.5951096431803292E-2</v>
      </c>
      <c r="J70" s="52">
        <f>G70+$R$110</f>
        <v>0.93345135555092362</v>
      </c>
      <c r="K70" s="6"/>
      <c r="L70" s="53"/>
      <c r="M70" s="52"/>
      <c r="N70" s="6"/>
      <c r="O70" s="53"/>
      <c r="P70" s="52"/>
      <c r="Q70" s="53"/>
      <c r="R70" s="52">
        <f t="shared" si="35"/>
        <v>-0.47290223960310207</v>
      </c>
      <c r="S70" s="53">
        <f t="shared" si="36"/>
        <v>0.24879873581492806</v>
      </c>
      <c r="T70" s="6">
        <f t="shared" si="37"/>
        <v>2.6475007753863022E-2</v>
      </c>
      <c r="U70" s="6">
        <f t="shared" si="38"/>
        <v>0.21643166113528153</v>
      </c>
      <c r="V70" s="52"/>
      <c r="W70" s="53"/>
      <c r="X70" s="52">
        <f>$M$98-G70</f>
        <v>-2.5034143719063595E-2</v>
      </c>
      <c r="Y70" s="53">
        <f>SQRT((H70/2)^2+(N$98/2)^2)*2</f>
        <v>0.23892439136846014</v>
      </c>
      <c r="Z70" s="6"/>
      <c r="AA70" s="6"/>
      <c r="AB70" s="52">
        <f>$M$98-(G70+$R$110)</f>
        <v>-0.52215049151612414</v>
      </c>
      <c r="AC70" s="53"/>
      <c r="AD70" t="s">
        <v>38</v>
      </c>
    </row>
    <row r="71" spans="1:30" ht="15.75">
      <c r="A71" s="3"/>
      <c r="B71" s="4" t="s">
        <v>139</v>
      </c>
      <c r="C71" s="5">
        <v>17</v>
      </c>
      <c r="D71" s="52"/>
      <c r="E71" s="6"/>
      <c r="F71" s="53"/>
      <c r="G71" s="52">
        <v>0.3846196711021993</v>
      </c>
      <c r="H71" s="6">
        <v>9.1908677914821824E-2</v>
      </c>
      <c r="I71" s="53">
        <f>H71/SQRT(C71)</f>
        <v>2.2291128644334322E-2</v>
      </c>
      <c r="J71" s="52">
        <f>G71+$R$110</f>
        <v>0.8817360188992599</v>
      </c>
      <c r="K71" s="6"/>
      <c r="L71" s="53"/>
      <c r="M71" s="52"/>
      <c r="N71" s="6"/>
      <c r="O71" s="53"/>
      <c r="P71" s="52"/>
      <c r="Q71" s="53"/>
      <c r="R71" s="52">
        <f t="shared" si="35"/>
        <v>-0.52461757625476579</v>
      </c>
      <c r="S71" s="53">
        <f t="shared" si="36"/>
        <v>0.18278419277938415</v>
      </c>
      <c r="T71" s="6">
        <f t="shared" si="37"/>
        <v>-2.5240328897800701E-2</v>
      </c>
      <c r="U71" s="6">
        <f t="shared" si="38"/>
        <v>0.13546923683509121</v>
      </c>
      <c r="V71" s="52"/>
      <c r="W71" s="53"/>
      <c r="X71" s="52">
        <f>$M$98-G71</f>
        <v>2.6681192932600128E-2</v>
      </c>
      <c r="Y71" s="53">
        <f>SQRT((H71/2)^2+(N$98/2)^2)*2</f>
        <v>0.16909794492451355</v>
      </c>
      <c r="Z71" s="6"/>
      <c r="AA71" s="6"/>
      <c r="AB71" s="52">
        <f>$M$98-(G71+$R$110)</f>
        <v>-0.47043515486446047</v>
      </c>
      <c r="AC71" s="53"/>
      <c r="AD71" t="s">
        <v>140</v>
      </c>
    </row>
    <row r="72" spans="1:30" ht="15.75">
      <c r="A72" s="3"/>
      <c r="B72" s="7" t="s">
        <v>139</v>
      </c>
      <c r="C72" s="8">
        <f>SUM(C68:C71)</f>
        <v>32</v>
      </c>
      <c r="D72" s="54"/>
      <c r="E72" s="9"/>
      <c r="F72" s="55"/>
      <c r="G72" s="54">
        <f>(G68*C68+G69*C69+G70*C70+G71*C71)/C72</f>
        <v>0.39625654523458453</v>
      </c>
      <c r="H72" s="9">
        <f>2*SQRT(((C68-1)*(H68/2)^2+(C69-1)*(H69/2)^2+(C70-1)*(H70/2)^2+(C71-1)*(H71/2)^2+C68*(G68-G72)^2+C69*(G69-G72)^2+C70*(G70-G72)^2+C71*(G71-G72)^2)/(C72-1))</f>
        <v>0.13087838995096129</v>
      </c>
      <c r="I72" s="55">
        <f>H72/SQRT(C72)</f>
        <v>2.3136249261275506E-2</v>
      </c>
      <c r="J72" s="54">
        <f>G72+$R$110</f>
        <v>0.89337289303164513</v>
      </c>
      <c r="K72" s="9"/>
      <c r="L72" s="55"/>
      <c r="M72" s="54"/>
      <c r="N72" s="9"/>
      <c r="O72" s="55"/>
      <c r="P72" s="54"/>
      <c r="Q72" s="55"/>
      <c r="R72" s="54">
        <f t="shared" si="35"/>
        <v>-0.51298070212238056</v>
      </c>
      <c r="S72" s="55">
        <f t="shared" si="36"/>
        <v>0.20516337151186734</v>
      </c>
      <c r="T72" s="9">
        <f t="shared" si="37"/>
        <v>-1.3603454765415468E-2</v>
      </c>
      <c r="U72" s="9">
        <f t="shared" si="38"/>
        <v>0.16441977377671904</v>
      </c>
      <c r="V72" s="54"/>
      <c r="W72" s="55"/>
      <c r="X72" s="54">
        <f>$M$98-G72</f>
        <v>1.5044318800214895E-2</v>
      </c>
      <c r="Y72" s="55">
        <f>SQRT((H72/2)^2+(N$98/2)^2)*2</f>
        <v>0.19307009830058938</v>
      </c>
      <c r="Z72" s="9"/>
      <c r="AA72" s="9"/>
      <c r="AB72" s="54">
        <f>$M$98-(G72+$R$110)</f>
        <v>-0.4820720289968457</v>
      </c>
      <c r="AC72" s="55"/>
      <c r="AD72" s="10" t="s">
        <v>39</v>
      </c>
    </row>
    <row r="73" spans="1:30" ht="15.75">
      <c r="A73" s="3"/>
      <c r="B73" s="4" t="s">
        <v>153</v>
      </c>
      <c r="C73" s="5">
        <v>54</v>
      </c>
      <c r="D73" s="52"/>
      <c r="E73" s="6"/>
      <c r="F73" s="53"/>
      <c r="G73" s="52"/>
      <c r="H73" s="6"/>
      <c r="I73" s="53"/>
      <c r="J73" s="52">
        <f>0.88</f>
        <v>0.88</v>
      </c>
      <c r="K73" s="6">
        <v>0.11</v>
      </c>
      <c r="L73" s="53">
        <f t="shared" ref="L73:L93" si="39">K73/SQRT(C73)</f>
        <v>1.4969103983674978E-2</v>
      </c>
      <c r="M73" s="52"/>
      <c r="N73" s="6"/>
      <c r="O73" s="53"/>
      <c r="P73" s="52"/>
      <c r="Q73" s="53"/>
      <c r="R73" s="52"/>
      <c r="S73" s="53"/>
      <c r="T73" s="6"/>
      <c r="U73" s="6"/>
      <c r="V73" s="52"/>
      <c r="W73" s="53"/>
      <c r="X73" s="52"/>
      <c r="Y73" s="53"/>
      <c r="Z73" s="6">
        <f>$M$98-J73</f>
        <v>-0.46869913596520058</v>
      </c>
      <c r="AA73" s="53">
        <f>SQRT((K73/2)^2+(N$98/2)^2)*2</f>
        <v>0.17957424620931411</v>
      </c>
      <c r="AB73" s="52">
        <f t="shared" ref="AB73:AB92" si="40">$M$98-J73</f>
        <v>-0.46869913596520058</v>
      </c>
      <c r="AC73" s="53">
        <f t="shared" ref="AC73:AC93" si="41">SQRT((K73/2)^2+(N$98/2)^2)*2</f>
        <v>0.17957424620931411</v>
      </c>
      <c r="AD73" t="s">
        <v>78</v>
      </c>
    </row>
    <row r="74" spans="1:30" ht="15.75">
      <c r="A74" s="3"/>
      <c r="B74" s="4" t="s">
        <v>153</v>
      </c>
      <c r="C74" s="5">
        <v>4</v>
      </c>
      <c r="D74" s="52"/>
      <c r="E74" s="6"/>
      <c r="F74" s="53"/>
      <c r="G74" s="52"/>
      <c r="H74" s="6"/>
      <c r="I74" s="53"/>
      <c r="J74" s="52">
        <v>1.01</v>
      </c>
      <c r="K74" s="6">
        <v>0.3</v>
      </c>
      <c r="L74" s="53">
        <f t="shared" si="39"/>
        <v>0.15</v>
      </c>
      <c r="M74" s="52"/>
      <c r="N74" s="6"/>
      <c r="O74" s="53"/>
      <c r="P74" s="52"/>
      <c r="Q74" s="53"/>
      <c r="R74" s="52"/>
      <c r="S74" s="53"/>
      <c r="T74" s="6"/>
      <c r="U74" s="6"/>
      <c r="V74" s="52"/>
      <c r="W74" s="53"/>
      <c r="X74" s="52"/>
      <c r="Y74" s="53"/>
      <c r="Z74" s="6">
        <f t="shared" ref="Z74:Z94" si="42">$M$98-J74</f>
        <v>-0.59869913596520052</v>
      </c>
      <c r="AA74" s="6">
        <f t="shared" ref="AA74:AA94" si="43">SQRT((K74/2)^2+(N$98/2)^2)*2</f>
        <v>0.33188388014732406</v>
      </c>
      <c r="AB74" s="52">
        <f t="shared" si="40"/>
        <v>-0.59869913596520052</v>
      </c>
      <c r="AC74" s="53">
        <f t="shared" si="41"/>
        <v>0.33188388014732406</v>
      </c>
      <c r="AD74" t="s">
        <v>40</v>
      </c>
    </row>
    <row r="75" spans="1:30" ht="15.75">
      <c r="A75" s="3"/>
      <c r="B75" s="4" t="s">
        <v>153</v>
      </c>
      <c r="C75" s="5">
        <v>5</v>
      </c>
      <c r="D75" s="52"/>
      <c r="E75" s="6"/>
      <c r="F75" s="53"/>
      <c r="G75" s="52"/>
      <c r="H75" s="6"/>
      <c r="I75" s="53"/>
      <c r="J75" s="52">
        <v>0.92</v>
      </c>
      <c r="K75" s="6">
        <v>0.06</v>
      </c>
      <c r="L75" s="53">
        <f t="shared" si="39"/>
        <v>2.6832815729997475E-2</v>
      </c>
      <c r="M75" s="52"/>
      <c r="N75" s="6"/>
      <c r="O75" s="53"/>
      <c r="P75" s="52"/>
      <c r="Q75" s="53"/>
      <c r="R75" s="52"/>
      <c r="S75" s="53"/>
      <c r="T75" s="6"/>
      <c r="U75" s="6"/>
      <c r="V75" s="52"/>
      <c r="W75" s="53"/>
      <c r="X75" s="52"/>
      <c r="Y75" s="53"/>
      <c r="Z75" s="6">
        <f t="shared" si="42"/>
        <v>-0.50869913596520067</v>
      </c>
      <c r="AA75" s="6">
        <f t="shared" si="43"/>
        <v>0.15410032414515992</v>
      </c>
      <c r="AB75" s="52">
        <f t="shared" si="40"/>
        <v>-0.50869913596520067</v>
      </c>
      <c r="AC75" s="53">
        <f t="shared" si="41"/>
        <v>0.15410032414515992</v>
      </c>
      <c r="AD75" t="s">
        <v>72</v>
      </c>
    </row>
    <row r="76" spans="1:30" ht="15.75">
      <c r="A76" s="3"/>
      <c r="B76" s="4" t="s">
        <v>153</v>
      </c>
      <c r="C76" s="5">
        <v>34</v>
      </c>
      <c r="D76" s="52"/>
      <c r="E76" s="6"/>
      <c r="F76" s="53"/>
      <c r="G76" s="52"/>
      <c r="H76" s="6"/>
      <c r="I76" s="53"/>
      <c r="J76" s="52">
        <v>0.9</v>
      </c>
      <c r="K76" s="6">
        <v>0.1</v>
      </c>
      <c r="L76" s="53">
        <f t="shared" si="39"/>
        <v>1.7149858514250885E-2</v>
      </c>
      <c r="M76" s="52"/>
      <c r="N76" s="6"/>
      <c r="O76" s="53"/>
      <c r="P76" s="52"/>
      <c r="Q76" s="53"/>
      <c r="R76" s="52"/>
      <c r="S76" s="53"/>
      <c r="T76" s="6"/>
      <c r="U76" s="6"/>
      <c r="V76" s="52"/>
      <c r="W76" s="53"/>
      <c r="X76" s="52"/>
      <c r="Y76" s="53"/>
      <c r="Z76" s="6">
        <f t="shared" si="42"/>
        <v>-0.48869913596520059</v>
      </c>
      <c r="AA76" s="6">
        <f t="shared" si="43"/>
        <v>0.17362865518584011</v>
      </c>
      <c r="AB76" s="52">
        <f t="shared" si="40"/>
        <v>-0.48869913596520059</v>
      </c>
      <c r="AC76" s="53">
        <f t="shared" si="41"/>
        <v>0.17362865518584011</v>
      </c>
      <c r="AD76" t="s">
        <v>79</v>
      </c>
    </row>
    <row r="77" spans="1:30" ht="15.75">
      <c r="A77" s="3"/>
      <c r="B77" s="4" t="s">
        <v>153</v>
      </c>
      <c r="C77" s="5">
        <v>6</v>
      </c>
      <c r="D77" s="52"/>
      <c r="E77" s="6"/>
      <c r="F77" s="53"/>
      <c r="G77" s="52"/>
      <c r="H77" s="6"/>
      <c r="I77" s="53"/>
      <c r="J77" s="52">
        <v>0.86</v>
      </c>
      <c r="K77" s="6">
        <v>0.08</v>
      </c>
      <c r="L77" s="53">
        <f t="shared" si="39"/>
        <v>3.2659863237109045E-2</v>
      </c>
      <c r="M77" s="52"/>
      <c r="N77" s="6"/>
      <c r="O77" s="53"/>
      <c r="P77" s="52"/>
      <c r="Q77" s="53"/>
      <c r="R77" s="52"/>
      <c r="S77" s="53"/>
      <c r="T77" s="6"/>
      <c r="U77" s="6"/>
      <c r="V77" s="52"/>
      <c r="W77" s="53"/>
      <c r="X77" s="52"/>
      <c r="Y77" s="53"/>
      <c r="Z77" s="6">
        <f t="shared" si="42"/>
        <v>-0.44869913596520056</v>
      </c>
      <c r="AA77" s="6">
        <f t="shared" si="43"/>
        <v>0.1629322248717035</v>
      </c>
      <c r="AB77" s="52">
        <f t="shared" si="40"/>
        <v>-0.44869913596520056</v>
      </c>
      <c r="AC77" s="53">
        <f t="shared" si="41"/>
        <v>0.1629322248717035</v>
      </c>
      <c r="AD77" t="s">
        <v>41</v>
      </c>
    </row>
    <row r="78" spans="1:30" ht="15.75">
      <c r="A78" s="3"/>
      <c r="B78" s="4" t="s">
        <v>153</v>
      </c>
      <c r="C78" s="5">
        <v>239</v>
      </c>
      <c r="D78" s="52"/>
      <c r="E78" s="6"/>
      <c r="F78" s="53"/>
      <c r="G78" s="52"/>
      <c r="H78" s="6"/>
      <c r="I78" s="53"/>
      <c r="J78" s="52">
        <v>0.90400000000000003</v>
      </c>
      <c r="K78" s="6">
        <v>0.05</v>
      </c>
      <c r="L78" s="53">
        <f t="shared" si="39"/>
        <v>3.2342311367657547E-3</v>
      </c>
      <c r="M78" s="52"/>
      <c r="N78" s="6"/>
      <c r="O78" s="53"/>
      <c r="P78" s="52"/>
      <c r="Q78" s="53"/>
      <c r="R78" s="52"/>
      <c r="S78" s="53"/>
      <c r="T78" s="6"/>
      <c r="U78" s="6"/>
      <c r="V78" s="52"/>
      <c r="W78" s="53"/>
      <c r="X78" s="52"/>
      <c r="Y78" s="53"/>
      <c r="Z78" s="6">
        <f t="shared" si="42"/>
        <v>-0.4926991359652006</v>
      </c>
      <c r="AA78" s="6">
        <f t="shared" si="43"/>
        <v>0.15048890291859848</v>
      </c>
      <c r="AB78" s="52">
        <f t="shared" si="40"/>
        <v>-0.4926991359652006</v>
      </c>
      <c r="AC78" s="53">
        <f t="shared" si="41"/>
        <v>0.15048890291859848</v>
      </c>
      <c r="AD78" t="s">
        <v>42</v>
      </c>
    </row>
    <row r="79" spans="1:30" ht="15.75">
      <c r="A79" s="3"/>
      <c r="B79" s="4" t="s">
        <v>153</v>
      </c>
      <c r="C79" s="5">
        <v>51</v>
      </c>
      <c r="D79" s="52"/>
      <c r="E79" s="6"/>
      <c r="F79" s="53"/>
      <c r="G79" s="52"/>
      <c r="H79" s="6"/>
      <c r="I79" s="53"/>
      <c r="J79" s="52">
        <v>0.91</v>
      </c>
      <c r="K79" s="6">
        <v>7.0000000000000007E-2</v>
      </c>
      <c r="L79" s="53">
        <f t="shared" si="39"/>
        <v>9.8019605881960684E-3</v>
      </c>
      <c r="M79" s="52"/>
      <c r="N79" s="6"/>
      <c r="O79" s="53"/>
      <c r="P79" s="52"/>
      <c r="Q79" s="53"/>
      <c r="R79" s="52"/>
      <c r="S79" s="53"/>
      <c r="T79" s="6"/>
      <c r="U79" s="6"/>
      <c r="V79" s="52"/>
      <c r="W79" s="53"/>
      <c r="X79" s="52"/>
      <c r="Y79" s="53"/>
      <c r="Z79" s="6">
        <f t="shared" si="42"/>
        <v>-0.4986991359652006</v>
      </c>
      <c r="AA79" s="6">
        <f t="shared" si="43"/>
        <v>0.15826215562048737</v>
      </c>
      <c r="AB79" s="52">
        <f t="shared" si="40"/>
        <v>-0.4986991359652006</v>
      </c>
      <c r="AC79" s="53">
        <f t="shared" si="41"/>
        <v>0.15826215562048737</v>
      </c>
      <c r="AD79" t="s">
        <v>43</v>
      </c>
    </row>
    <row r="80" spans="1:30" ht="15.75">
      <c r="A80" s="3"/>
      <c r="B80" s="4" t="s">
        <v>153</v>
      </c>
      <c r="C80" s="5">
        <v>135</v>
      </c>
      <c r="D80" s="52"/>
      <c r="E80" s="6"/>
      <c r="F80" s="53"/>
      <c r="G80" s="52"/>
      <c r="H80" s="6"/>
      <c r="I80" s="53"/>
      <c r="J80" s="52">
        <v>0.9</v>
      </c>
      <c r="K80" s="6">
        <v>0.08</v>
      </c>
      <c r="L80" s="53">
        <f t="shared" si="39"/>
        <v>6.8853037265909633E-3</v>
      </c>
      <c r="M80" s="52"/>
      <c r="N80" s="6"/>
      <c r="O80" s="53"/>
      <c r="P80" s="52"/>
      <c r="Q80" s="53"/>
      <c r="R80" s="52"/>
      <c r="S80" s="53"/>
      <c r="T80" s="6"/>
      <c r="U80" s="6"/>
      <c r="V80" s="52"/>
      <c r="W80" s="53"/>
      <c r="X80" s="52"/>
      <c r="Y80" s="53"/>
      <c r="Z80" s="6">
        <f t="shared" si="42"/>
        <v>-0.48869913596520059</v>
      </c>
      <c r="AA80" s="6">
        <f t="shared" si="43"/>
        <v>0.1629322248717035</v>
      </c>
      <c r="AB80" s="52">
        <f t="shared" si="40"/>
        <v>-0.48869913596520059</v>
      </c>
      <c r="AC80" s="53">
        <f t="shared" si="41"/>
        <v>0.1629322248717035</v>
      </c>
      <c r="AD80" t="s">
        <v>44</v>
      </c>
    </row>
    <row r="81" spans="1:30" ht="15.75">
      <c r="A81" s="3"/>
      <c r="B81" s="4" t="s">
        <v>153</v>
      </c>
      <c r="C81" s="5">
        <v>6</v>
      </c>
      <c r="D81" s="52"/>
      <c r="E81" s="6"/>
      <c r="F81" s="53"/>
      <c r="G81" s="52"/>
      <c r="H81" s="6"/>
      <c r="I81" s="53"/>
      <c r="J81" s="52">
        <v>0.92</v>
      </c>
      <c r="K81" s="6">
        <v>0.05</v>
      </c>
      <c r="L81" s="53">
        <f t="shared" si="39"/>
        <v>2.0412414523193152E-2</v>
      </c>
      <c r="M81" s="52"/>
      <c r="N81" s="6"/>
      <c r="O81" s="53"/>
      <c r="P81" s="52"/>
      <c r="Q81" s="53"/>
      <c r="R81" s="52"/>
      <c r="S81" s="53"/>
      <c r="T81" s="6"/>
      <c r="U81" s="6"/>
      <c r="V81" s="52"/>
      <c r="W81" s="53"/>
      <c r="X81" s="52"/>
      <c r="Y81" s="53"/>
      <c r="Z81" s="6">
        <f t="shared" si="42"/>
        <v>-0.50869913596520067</v>
      </c>
      <c r="AA81" s="6">
        <f t="shared" si="43"/>
        <v>0.15048890291859848</v>
      </c>
      <c r="AB81" s="52">
        <f t="shared" si="40"/>
        <v>-0.50869913596520067</v>
      </c>
      <c r="AC81" s="53">
        <f t="shared" si="41"/>
        <v>0.15048890291859848</v>
      </c>
      <c r="AD81" t="s">
        <v>45</v>
      </c>
    </row>
    <row r="82" spans="1:30" ht="15.75">
      <c r="A82" s="3"/>
      <c r="B82" s="4" t="s">
        <v>153</v>
      </c>
      <c r="C82" s="5">
        <v>7</v>
      </c>
      <c r="D82" s="52"/>
      <c r="E82" s="6"/>
      <c r="F82" s="53"/>
      <c r="G82" s="52"/>
      <c r="H82" s="6"/>
      <c r="I82" s="53"/>
      <c r="J82" s="52">
        <v>0.89900000000000002</v>
      </c>
      <c r="K82" s="6">
        <f>L82*SQRT(C82)</f>
        <v>1.5874507866387545E-2</v>
      </c>
      <c r="L82" s="53">
        <v>6.0000000000000001E-3</v>
      </c>
      <c r="M82" s="52"/>
      <c r="N82" s="6"/>
      <c r="O82" s="53"/>
      <c r="P82" s="52"/>
      <c r="Q82" s="53"/>
      <c r="R82" s="52"/>
      <c r="S82" s="53"/>
      <c r="T82" s="6"/>
      <c r="U82" s="6"/>
      <c r="V82" s="52"/>
      <c r="W82" s="53"/>
      <c r="X82" s="52"/>
      <c r="Y82" s="53"/>
      <c r="Z82" s="6">
        <f t="shared" si="42"/>
        <v>-0.48769913596520059</v>
      </c>
      <c r="AA82" s="6">
        <f t="shared" si="43"/>
        <v>0.14282475241232997</v>
      </c>
      <c r="AB82" s="52">
        <f t="shared" si="40"/>
        <v>-0.48769913596520059</v>
      </c>
      <c r="AC82" s="53">
        <f t="shared" si="41"/>
        <v>0.14282475241232997</v>
      </c>
      <c r="AD82" t="s">
        <v>73</v>
      </c>
    </row>
    <row r="83" spans="1:30" ht="15.75">
      <c r="A83" s="3"/>
      <c r="B83" s="4" t="s">
        <v>153</v>
      </c>
      <c r="C83" s="5">
        <v>61</v>
      </c>
      <c r="D83" s="52"/>
      <c r="E83" s="6"/>
      <c r="F83" s="53"/>
      <c r="G83" s="52"/>
      <c r="H83" s="6"/>
      <c r="I83" s="53"/>
      <c r="J83" s="52">
        <f>0.72+0.25</f>
        <v>0.97</v>
      </c>
      <c r="K83" s="6">
        <v>0.21</v>
      </c>
      <c r="L83" s="53">
        <f>K83/SQRT(C83)</f>
        <v>2.6887744785908156E-2</v>
      </c>
      <c r="M83" s="52"/>
      <c r="N83" s="6"/>
      <c r="O83" s="53"/>
      <c r="P83" s="52"/>
      <c r="Q83" s="53"/>
      <c r="R83" s="52"/>
      <c r="S83" s="53"/>
      <c r="T83" s="6"/>
      <c r="U83" s="6"/>
      <c r="V83" s="52"/>
      <c r="W83" s="53"/>
      <c r="X83" s="52"/>
      <c r="Y83" s="53"/>
      <c r="Z83" s="6">
        <f t="shared" si="42"/>
        <v>-0.55869913596520049</v>
      </c>
      <c r="AA83" s="6">
        <f t="shared" si="43"/>
        <v>0.25346974158988556</v>
      </c>
      <c r="AB83" s="52">
        <f t="shared" si="40"/>
        <v>-0.55869913596520049</v>
      </c>
      <c r="AC83" s="53">
        <f t="shared" si="41"/>
        <v>0.25346974158988556</v>
      </c>
      <c r="AD83" t="s">
        <v>80</v>
      </c>
    </row>
    <row r="84" spans="1:30" ht="15.75">
      <c r="A84" s="3"/>
      <c r="B84" s="4" t="s">
        <v>142</v>
      </c>
      <c r="C84" s="5">
        <v>5</v>
      </c>
      <c r="D84" s="52"/>
      <c r="E84" s="6"/>
      <c r="F84" s="53"/>
      <c r="G84" s="52"/>
      <c r="H84" s="6"/>
      <c r="I84" s="53"/>
      <c r="J84" s="52">
        <f>1.95/2.048</f>
        <v>0.9521484375</v>
      </c>
      <c r="K84" s="6">
        <f>0.26/2.048</f>
        <v>0.126953125</v>
      </c>
      <c r="L84" s="53">
        <f t="shared" si="39"/>
        <v>5.6775163491205594E-2</v>
      </c>
      <c r="M84" s="52"/>
      <c r="N84" s="6"/>
      <c r="O84" s="53"/>
      <c r="P84" s="52"/>
      <c r="Q84" s="53"/>
      <c r="R84" s="52"/>
      <c r="S84" s="53"/>
      <c r="T84" s="6"/>
      <c r="U84" s="6"/>
      <c r="V84" s="52"/>
      <c r="W84" s="53"/>
      <c r="X84" s="52"/>
      <c r="Y84" s="53"/>
      <c r="Z84" s="6">
        <f t="shared" si="42"/>
        <v>-0.54084757346520052</v>
      </c>
      <c r="AA84" s="6">
        <f t="shared" si="43"/>
        <v>0.19043110525570392</v>
      </c>
      <c r="AB84" s="52">
        <f t="shared" si="40"/>
        <v>-0.54084757346520052</v>
      </c>
      <c r="AC84" s="53">
        <f t="shared" si="41"/>
        <v>0.19043110525570392</v>
      </c>
      <c r="AD84" t="s">
        <v>81</v>
      </c>
    </row>
    <row r="85" spans="1:30" ht="15.75">
      <c r="A85" s="3"/>
      <c r="B85" s="4" t="s">
        <v>142</v>
      </c>
      <c r="C85" s="5">
        <v>20</v>
      </c>
      <c r="D85" s="52"/>
      <c r="E85" s="6"/>
      <c r="F85" s="53"/>
      <c r="G85" s="52"/>
      <c r="H85" s="6"/>
      <c r="I85" s="53"/>
      <c r="J85" s="52">
        <f>1.89/2.048</f>
        <v>0.92285156249999989</v>
      </c>
      <c r="K85" s="6">
        <f>0.1/2.048</f>
        <v>4.8828125E-2</v>
      </c>
      <c r="L85" s="53">
        <f t="shared" si="39"/>
        <v>1.0918300671385691E-2</v>
      </c>
      <c r="M85" s="52"/>
      <c r="N85" s="6"/>
      <c r="O85" s="53"/>
      <c r="P85" s="52"/>
      <c r="Q85" s="53"/>
      <c r="R85" s="52"/>
      <c r="S85" s="53"/>
      <c r="T85" s="6"/>
      <c r="U85" s="6"/>
      <c r="V85" s="52"/>
      <c r="W85" s="53"/>
      <c r="X85" s="52"/>
      <c r="Y85" s="53"/>
      <c r="Z85" s="6">
        <f t="shared" si="42"/>
        <v>-0.51155069846520052</v>
      </c>
      <c r="AA85" s="6">
        <f t="shared" si="43"/>
        <v>0.15010361652091858</v>
      </c>
      <c r="AB85" s="52">
        <f t="shared" si="40"/>
        <v>-0.51155069846520052</v>
      </c>
      <c r="AC85" s="53">
        <f t="shared" si="41"/>
        <v>0.15010361652091858</v>
      </c>
      <c r="AD85" t="s">
        <v>82</v>
      </c>
    </row>
    <row r="86" spans="1:30" ht="15.75">
      <c r="A86" s="3"/>
      <c r="B86" s="4" t="s">
        <v>142</v>
      </c>
      <c r="C86" s="5">
        <v>19</v>
      </c>
      <c r="D86" s="52"/>
      <c r="E86" s="6"/>
      <c r="F86" s="53"/>
      <c r="G86" s="52"/>
      <c r="H86" s="6"/>
      <c r="I86" s="53"/>
      <c r="J86" s="52">
        <f>1.9/2.048</f>
        <v>0.92773437499999989</v>
      </c>
      <c r="K86" s="6">
        <f>0.03/2.048</f>
        <v>1.46484375E-2</v>
      </c>
      <c r="L86" s="53">
        <f t="shared" si="39"/>
        <v>3.360582039119557E-3</v>
      </c>
      <c r="M86" s="52"/>
      <c r="N86" s="6"/>
      <c r="O86" s="53"/>
      <c r="P86" s="52"/>
      <c r="Q86" s="53"/>
      <c r="R86" s="52"/>
      <c r="S86" s="53"/>
      <c r="T86" s="6"/>
      <c r="U86" s="6"/>
      <c r="V86" s="52"/>
      <c r="W86" s="53"/>
      <c r="X86" s="52"/>
      <c r="Y86" s="53"/>
      <c r="Z86" s="6">
        <f t="shared" si="42"/>
        <v>-0.51643351096520052</v>
      </c>
      <c r="AA86" s="6">
        <f t="shared" si="43"/>
        <v>0.14269368108936978</v>
      </c>
      <c r="AB86" s="52">
        <f t="shared" si="40"/>
        <v>-0.51643351096520052</v>
      </c>
      <c r="AC86" s="53">
        <f t="shared" si="41"/>
        <v>0.14269368108936978</v>
      </c>
      <c r="AD86" t="s">
        <v>83</v>
      </c>
    </row>
    <row r="87" spans="1:30" ht="15.75">
      <c r="A87" s="3"/>
      <c r="B87" s="4" t="s">
        <v>142</v>
      </c>
      <c r="C87" s="5">
        <v>55</v>
      </c>
      <c r="D87" s="52"/>
      <c r="E87" s="6"/>
      <c r="F87" s="53"/>
      <c r="G87" s="52"/>
      <c r="H87" s="6"/>
      <c r="I87" s="53"/>
      <c r="J87" s="52">
        <f>1.86/2.048</f>
        <v>0.908203125</v>
      </c>
      <c r="K87" s="6">
        <v>0.28000000000000003</v>
      </c>
      <c r="L87" s="53">
        <f t="shared" si="39"/>
        <v>3.775519229794156E-2</v>
      </c>
      <c r="M87" s="52"/>
      <c r="N87" s="6"/>
      <c r="O87" s="53"/>
      <c r="P87" s="52"/>
      <c r="Q87" s="53"/>
      <c r="R87" s="52"/>
      <c r="S87" s="53"/>
      <c r="T87" s="6"/>
      <c r="U87" s="6"/>
      <c r="V87" s="52"/>
      <c r="W87" s="53"/>
      <c r="X87" s="52"/>
      <c r="Y87" s="53"/>
      <c r="Z87" s="6">
        <f t="shared" si="42"/>
        <v>-0.49690226096520057</v>
      </c>
      <c r="AA87" s="6">
        <f t="shared" si="43"/>
        <v>0.31392182132123814</v>
      </c>
      <c r="AB87" s="52">
        <f t="shared" si="40"/>
        <v>-0.49690226096520057</v>
      </c>
      <c r="AC87" s="53">
        <f t="shared" si="41"/>
        <v>0.31392182132123814</v>
      </c>
      <c r="AD87" t="s">
        <v>84</v>
      </c>
    </row>
    <row r="88" spans="1:30" ht="15.75">
      <c r="A88" s="3"/>
      <c r="B88" s="4" t="s">
        <v>142</v>
      </c>
      <c r="C88" s="5">
        <v>4</v>
      </c>
      <c r="D88" s="52"/>
      <c r="E88" s="6"/>
      <c r="F88" s="53"/>
      <c r="G88" s="52"/>
      <c r="H88" s="6"/>
      <c r="I88" s="53"/>
      <c r="J88" s="52">
        <f>1.95/2.048</f>
        <v>0.9521484375</v>
      </c>
      <c r="K88" s="6">
        <f>0.09/2.048</f>
        <v>4.39453125E-2</v>
      </c>
      <c r="L88" s="53">
        <f t="shared" si="39"/>
        <v>2.197265625E-2</v>
      </c>
      <c r="M88" s="52"/>
      <c r="N88" s="6"/>
      <c r="O88" s="53"/>
      <c r="P88" s="52"/>
      <c r="Q88" s="53"/>
      <c r="R88" s="52"/>
      <c r="S88" s="53"/>
      <c r="T88" s="6"/>
      <c r="U88" s="6"/>
      <c r="V88" s="52"/>
      <c r="W88" s="53"/>
      <c r="X88" s="52"/>
      <c r="Y88" s="53"/>
      <c r="Z88" s="6">
        <f t="shared" si="42"/>
        <v>-0.54084757346520052</v>
      </c>
      <c r="AA88" s="6">
        <f t="shared" si="43"/>
        <v>0.14858701286574819</v>
      </c>
      <c r="AB88" s="52">
        <f t="shared" si="40"/>
        <v>-0.54084757346520052</v>
      </c>
      <c r="AC88" s="53">
        <f t="shared" si="41"/>
        <v>0.14858701286574819</v>
      </c>
      <c r="AD88" t="s">
        <v>85</v>
      </c>
    </row>
    <row r="89" spans="1:30" ht="15.75">
      <c r="A89" s="3"/>
      <c r="B89" s="4" t="s">
        <v>142</v>
      </c>
      <c r="C89" s="5">
        <v>5</v>
      </c>
      <c r="D89" s="52"/>
      <c r="E89" s="6"/>
      <c r="F89" s="53"/>
      <c r="G89" s="52"/>
      <c r="H89" s="6"/>
      <c r="I89" s="53"/>
      <c r="J89" s="52">
        <f>1.82/2.048</f>
        <v>0.888671875</v>
      </c>
      <c r="K89" s="6">
        <f>0.07/2.048</f>
        <v>3.41796875E-2</v>
      </c>
      <c r="L89" s="53">
        <f t="shared" si="39"/>
        <v>1.5285620939939968E-2</v>
      </c>
      <c r="M89" s="52"/>
      <c r="N89" s="6"/>
      <c r="O89" s="53"/>
      <c r="P89" s="52"/>
      <c r="Q89" s="53"/>
      <c r="R89" s="52"/>
      <c r="S89" s="53"/>
      <c r="T89" s="6"/>
      <c r="U89" s="6"/>
      <c r="V89" s="52"/>
      <c r="W89" s="53"/>
      <c r="X89" s="52"/>
      <c r="Y89" s="53"/>
      <c r="Z89" s="6">
        <f t="shared" si="42"/>
        <v>-0.47737101096520057</v>
      </c>
      <c r="AA89" s="6">
        <f t="shared" si="43"/>
        <v>0.14599712647597218</v>
      </c>
      <c r="AB89" s="52">
        <f t="shared" si="40"/>
        <v>-0.47737101096520057</v>
      </c>
      <c r="AC89" s="53">
        <f t="shared" si="41"/>
        <v>0.14599712647597218</v>
      </c>
      <c r="AD89" t="s">
        <v>86</v>
      </c>
    </row>
    <row r="90" spans="1:30" ht="15.75">
      <c r="A90" s="3"/>
      <c r="B90" s="4" t="s">
        <v>142</v>
      </c>
      <c r="C90" s="5">
        <v>15</v>
      </c>
      <c r="D90" s="52"/>
      <c r="E90" s="6"/>
      <c r="F90" s="53"/>
      <c r="G90" s="52"/>
      <c r="H90" s="6"/>
      <c r="I90" s="53"/>
      <c r="J90" s="52">
        <f>1.89/2.048</f>
        <v>0.92285156249999989</v>
      </c>
      <c r="K90" s="6">
        <f>0.07/2.048</f>
        <v>3.41796875E-2</v>
      </c>
      <c r="L90" s="53">
        <f t="shared" si="39"/>
        <v>8.8251573644049213E-3</v>
      </c>
      <c r="M90" s="52"/>
      <c r="N90" s="6"/>
      <c r="O90" s="53"/>
      <c r="P90" s="52"/>
      <c r="Q90" s="53"/>
      <c r="R90" s="52"/>
      <c r="S90" s="53"/>
      <c r="T90" s="6"/>
      <c r="U90" s="6"/>
      <c r="V90" s="52"/>
      <c r="W90" s="53"/>
      <c r="X90" s="52"/>
      <c r="Y90" s="53"/>
      <c r="Z90" s="6">
        <f t="shared" si="42"/>
        <v>-0.51155069846520052</v>
      </c>
      <c r="AA90" s="6">
        <f t="shared" si="43"/>
        <v>0.14599712647597218</v>
      </c>
      <c r="AB90" s="52">
        <f t="shared" si="40"/>
        <v>-0.51155069846520052</v>
      </c>
      <c r="AC90" s="53">
        <f t="shared" si="41"/>
        <v>0.14599712647597218</v>
      </c>
      <c r="AD90" t="s">
        <v>87</v>
      </c>
    </row>
    <row r="91" spans="1:30" ht="15.75">
      <c r="A91" s="3"/>
      <c r="B91" s="4" t="s">
        <v>142</v>
      </c>
      <c r="C91" s="5">
        <v>29</v>
      </c>
      <c r="D91" s="52"/>
      <c r="E91" s="6"/>
      <c r="F91" s="53"/>
      <c r="G91" s="52"/>
      <c r="H91" s="6"/>
      <c r="I91" s="53"/>
      <c r="J91" s="52">
        <f>1.83/2.048</f>
        <v>0.8935546875</v>
      </c>
      <c r="K91" s="6">
        <f>L91*SQRT(C91)</f>
        <v>0.53851648071345037</v>
      </c>
      <c r="L91" s="53">
        <v>0.1</v>
      </c>
      <c r="M91" s="52"/>
      <c r="N91" s="6"/>
      <c r="O91" s="53"/>
      <c r="P91" s="52"/>
      <c r="Q91" s="53"/>
      <c r="R91" s="52"/>
      <c r="S91" s="53"/>
      <c r="T91" s="6"/>
      <c r="U91" s="6"/>
      <c r="V91" s="52"/>
      <c r="W91" s="53"/>
      <c r="X91" s="52"/>
      <c r="Y91" s="53"/>
      <c r="Z91" s="6">
        <f t="shared" si="42"/>
        <v>-0.48225382346520057</v>
      </c>
      <c r="AA91" s="6">
        <f t="shared" si="43"/>
        <v>0.55690834964259905</v>
      </c>
      <c r="AB91" s="52">
        <f t="shared" si="40"/>
        <v>-0.48225382346520057</v>
      </c>
      <c r="AC91" s="53">
        <f t="shared" si="41"/>
        <v>0.55690834964259905</v>
      </c>
      <c r="AD91" t="s">
        <v>88</v>
      </c>
    </row>
    <row r="92" spans="1:30" ht="15.75">
      <c r="A92" s="3"/>
      <c r="B92" s="4" t="s">
        <v>142</v>
      </c>
      <c r="C92" s="5">
        <v>11</v>
      </c>
      <c r="D92" s="52"/>
      <c r="E92" s="6"/>
      <c r="F92" s="53"/>
      <c r="G92" s="52"/>
      <c r="H92" s="6"/>
      <c r="I92" s="53"/>
      <c r="J92" s="52">
        <f>1.77/2.048</f>
        <v>0.8642578125</v>
      </c>
      <c r="K92" s="6">
        <f>0.03/2.048</f>
        <v>1.46484375E-2</v>
      </c>
      <c r="L92" s="53">
        <f t="shared" si="39"/>
        <v>4.4166700865883347E-3</v>
      </c>
      <c r="M92" s="52"/>
      <c r="N92" s="6"/>
      <c r="O92" s="53"/>
      <c r="P92" s="52"/>
      <c r="Q92" s="53"/>
      <c r="R92" s="52"/>
      <c r="S92" s="53"/>
      <c r="T92" s="6"/>
      <c r="U92" s="6"/>
      <c r="V92" s="52"/>
      <c r="W92" s="53"/>
      <c r="X92" s="52"/>
      <c r="Y92" s="53"/>
      <c r="Z92" s="6">
        <f t="shared" si="42"/>
        <v>-0.45295694846520057</v>
      </c>
      <c r="AA92" s="6">
        <f t="shared" si="43"/>
        <v>0.14269368108936978</v>
      </c>
      <c r="AB92" s="52">
        <f t="shared" si="40"/>
        <v>-0.45295694846520057</v>
      </c>
      <c r="AC92" s="53">
        <f t="shared" si="41"/>
        <v>0.14269368108936978</v>
      </c>
      <c r="AD92" t="s">
        <v>89</v>
      </c>
    </row>
    <row r="93" spans="1:30" ht="15.75">
      <c r="A93" s="3"/>
      <c r="B93" s="4" t="s">
        <v>142</v>
      </c>
      <c r="C93" s="5">
        <v>19</v>
      </c>
      <c r="D93" s="52"/>
      <c r="E93" s="6"/>
      <c r="F93" s="53"/>
      <c r="G93" s="52"/>
      <c r="H93" s="6"/>
      <c r="I93" s="53"/>
      <c r="J93" s="52">
        <v>0.91</v>
      </c>
      <c r="K93" s="6">
        <v>0.05</v>
      </c>
      <c r="L93" s="53">
        <f t="shared" si="39"/>
        <v>1.1470786693528088E-2</v>
      </c>
      <c r="M93" s="52"/>
      <c r="N93" s="6"/>
      <c r="O93" s="53"/>
      <c r="P93" s="52"/>
      <c r="Q93" s="53"/>
      <c r="R93" s="52"/>
      <c r="S93" s="53"/>
      <c r="T93" s="6"/>
      <c r="U93" s="6"/>
      <c r="V93" s="52"/>
      <c r="W93" s="53"/>
      <c r="X93" s="52"/>
      <c r="Y93" s="53"/>
      <c r="Z93" s="6">
        <f t="shared" si="42"/>
        <v>-0.4986991359652006</v>
      </c>
      <c r="AA93" s="6">
        <f t="shared" si="43"/>
        <v>0.15048890291859848</v>
      </c>
      <c r="AB93" s="52">
        <f>$M$98-J93</f>
        <v>-0.4986991359652006</v>
      </c>
      <c r="AC93" s="53">
        <f t="shared" si="41"/>
        <v>0.15048890291859848</v>
      </c>
      <c r="AD93" t="s">
        <v>90</v>
      </c>
    </row>
    <row r="94" spans="1:30" ht="15.75">
      <c r="A94" s="3"/>
      <c r="B94" s="7" t="s">
        <v>142</v>
      </c>
      <c r="C94" s="8">
        <f>SUM(C73:C93)</f>
        <v>784</v>
      </c>
      <c r="D94" s="54"/>
      <c r="E94" s="9"/>
      <c r="F94" s="55"/>
      <c r="G94" s="54"/>
      <c r="H94" s="9"/>
      <c r="I94" s="55"/>
      <c r="J94" s="54">
        <f>(J73*C73+J74*C74+J75*C75+J76*C76+J77*C77+J78*C78+J79*C79+J80*C80+J81*C81+J82*C82+J83*C83+J84*C84+J85*C85+J86*C86+J87*C87+J88*C88+J89*C89+J90*C90+J91*C91+J92*C92+J93*C93)/C94</f>
        <v>0.90876217713647955</v>
      </c>
      <c r="K94" s="9">
        <f>2*SQRT(((C73-1)*(K73/2)^2+(C74-1)*(K74/2)^2+(C75-1)*(K75/2)^2+(C76-1)*(K76/2)^2+(C77-1)*(K77/2)^2+(C78-1)*(K78/2)^2+(C79-1)*(K79/2)^2+(C80-1)*(K80/2)^2+(C81-1)*(K81/2)^2+(C82-1)*(K82/2)^2+(C83-1)*(K83/2)^2+(C84-1)*(K84/2)^2+(C85-1)*(K85/2)^2+(C86-1)*(K86/2)^2+(C87-1)*(K87/2)^2+(C88-1)*(K88/2)^2+(C89-1)*(K89/2)^2+(C90-1)*(K90/2)^2+(C91-1)*(K91/2)^2+(C92-1)*(K92/2)^2+(C93-1)*(K93/2)^2+C73*(J73-J94)^2+C74*(J74-J94)^2+C75*(J75-J94)^2+C76*(J76-J94)^2+C77*(J77-J94)^2+C78*(J78-J94)^2+C79*(J79-J94)^2+C80*(J80-J94)^2+C81*(J81-J94)^2+C82*(J82-J94)^2+C83*(J83-J94)^2+C84*(J84-J94)^2+C85*(J85-J94)^2+C86*(J86-J94)^2+C87*(J87-J94)^2+C88*(J88-J94)^2+C89*(J89-J94)^2+C90*(J90-J94)^2+C91*(J91-J94)^2+C92*(J92-J94)^2+C93*(J93-J94)^2)/(C94-1))</f>
        <v>0.15913451909742915</v>
      </c>
      <c r="L94" s="55">
        <f>K94/SQRT(C94)</f>
        <v>5.6833756820510407E-3</v>
      </c>
      <c r="M94" s="54"/>
      <c r="N94" s="9"/>
      <c r="O94" s="55"/>
      <c r="P94" s="54"/>
      <c r="Q94" s="55"/>
      <c r="R94" s="54"/>
      <c r="S94" s="55"/>
      <c r="T94" s="9"/>
      <c r="U94" s="9"/>
      <c r="V94" s="54"/>
      <c r="W94" s="55"/>
      <c r="X94" s="54"/>
      <c r="Y94" s="55"/>
      <c r="Z94" s="9">
        <f t="shared" si="42"/>
        <v>-0.49746131310168012</v>
      </c>
      <c r="AA94" s="9">
        <f t="shared" si="43"/>
        <v>0.21323861064547714</v>
      </c>
      <c r="AB94" s="54">
        <f>$M$98-J94</f>
        <v>-0.49746131310168012</v>
      </c>
      <c r="AC94" s="55">
        <f>SQRT((K94/2)^2+(N$98/2)^2)*2</f>
        <v>0.21323861064547714</v>
      </c>
      <c r="AD94" s="10" t="s">
        <v>49</v>
      </c>
    </row>
    <row r="95" spans="1:30" ht="26.25">
      <c r="A95" s="154" t="s">
        <v>143</v>
      </c>
      <c r="B95" s="12" t="s">
        <v>144</v>
      </c>
      <c r="C95" s="8">
        <f>C67+C94</f>
        <v>804</v>
      </c>
      <c r="D95" s="63"/>
      <c r="E95" s="37"/>
      <c r="F95" s="64"/>
      <c r="G95" s="63"/>
      <c r="H95" s="37"/>
      <c r="I95" s="64"/>
      <c r="J95" s="54">
        <f>(C67*J67+C94*J94)/C95</f>
        <v>0.90923724735696509</v>
      </c>
      <c r="K95" s="9">
        <f>2*SQRT(((C67-1)*(E67/2)^2+(C94-1)*(K94/2)^2+C67*(J67-J95)^2+C94*(J94-J95)^2)/(C95-1))</f>
        <v>0.15799637987612442</v>
      </c>
      <c r="L95" s="55">
        <f>K95/SQRT(C95)</f>
        <v>5.5721026933577009E-3</v>
      </c>
      <c r="M95" s="63"/>
      <c r="N95" s="37"/>
      <c r="O95" s="64"/>
      <c r="P95" s="52"/>
      <c r="Q95" s="53"/>
      <c r="R95" s="52"/>
      <c r="S95" s="53"/>
      <c r="T95" s="6"/>
      <c r="U95" s="6"/>
      <c r="V95" s="52"/>
      <c r="W95" s="53"/>
      <c r="X95" s="52"/>
      <c r="Y95" s="53"/>
      <c r="Z95" s="6"/>
      <c r="AA95" s="6"/>
      <c r="AB95" s="54">
        <f>$M$98-J95</f>
        <v>-0.49793638332216567</v>
      </c>
      <c r="AC95" s="55">
        <f>SQRT((K95/2)^2+(N$98/2)^2)*2</f>
        <v>0.21239059761581719</v>
      </c>
      <c r="AD95" s="10" t="s">
        <v>145</v>
      </c>
    </row>
    <row r="96" spans="1:30" ht="26.25">
      <c r="A96" s="154" t="s">
        <v>146</v>
      </c>
      <c r="B96" s="12" t="s">
        <v>147</v>
      </c>
      <c r="C96" s="8">
        <f>C72+C94</f>
        <v>816</v>
      </c>
      <c r="D96" s="52"/>
      <c r="E96" s="6"/>
      <c r="F96" s="53"/>
      <c r="G96" s="52"/>
      <c r="H96" s="6"/>
      <c r="I96" s="53"/>
      <c r="J96" s="54">
        <f>(C72*J72+C94*J94)/C96</f>
        <v>0.90815867579903509</v>
      </c>
      <c r="K96" s="9">
        <f>2*SQRT(((C72-1)*(H72/2)^2+(C94-1)*(K94/2)^2+C72*(J72-J96)^2+C94*(J94-J96)^2)/(C96-1))</f>
        <v>0.1581668793820814</v>
      </c>
      <c r="L96" s="55">
        <f t="shared" ref="L96" si="44">K96/SQRT(C96)</f>
        <v>5.5369482787897255E-3</v>
      </c>
      <c r="M96" s="52"/>
      <c r="N96" s="6"/>
      <c r="O96" s="53"/>
      <c r="P96" s="52"/>
      <c r="Q96" s="53"/>
      <c r="R96" s="52"/>
      <c r="S96" s="53"/>
      <c r="T96" s="6"/>
      <c r="U96" s="6"/>
      <c r="V96" s="52"/>
      <c r="W96" s="53"/>
      <c r="X96" s="52"/>
      <c r="Y96" s="53"/>
      <c r="Z96" s="6"/>
      <c r="AA96" s="6"/>
      <c r="AB96" s="54">
        <f>$M$98-J96</f>
        <v>-0.49685781176423566</v>
      </c>
      <c r="AC96" s="55">
        <f>SQRT((K96/2)^2+(N$98/2)^2)*2</f>
        <v>0.21251746195338689</v>
      </c>
      <c r="AD96" s="10" t="s">
        <v>148</v>
      </c>
    </row>
    <row r="97" spans="1:30" ht="26.25">
      <c r="A97" s="154" t="s">
        <v>8</v>
      </c>
      <c r="B97" s="38" t="s">
        <v>149</v>
      </c>
      <c r="C97" s="8">
        <f>C67+C72+C94</f>
        <v>836</v>
      </c>
      <c r="D97" s="54"/>
      <c r="E97" s="9"/>
      <c r="F97" s="55"/>
      <c r="G97" s="54"/>
      <c r="H97" s="9"/>
      <c r="I97" s="55"/>
      <c r="J97" s="54">
        <f>(C67*J67+C72*J72+C94*J94)/C97</f>
        <v>0.90862999934451272</v>
      </c>
      <c r="K97" s="9">
        <f>2*SQRT(((C67-1)*(E67/2)^2+(C72-1)*(H72/2)^2+(C94-1)*(K94/2)^2+C67*(J67-J97)^2+C72*(J72-J97)^2+C94*(J94-J97)^2)/(C97-1))</f>
        <v>0.15709625106714542</v>
      </c>
      <c r="L97" s="55">
        <f>K97/SQRT(C97)</f>
        <v>5.4332874541140374E-3</v>
      </c>
      <c r="M97" s="54"/>
      <c r="N97" s="9"/>
      <c r="O97" s="55"/>
      <c r="P97" s="52"/>
      <c r="Q97" s="53"/>
      <c r="R97" s="52"/>
      <c r="S97" s="53"/>
      <c r="T97" s="6"/>
      <c r="U97" s="6"/>
      <c r="V97" s="52"/>
      <c r="W97" s="53"/>
      <c r="X97" s="52"/>
      <c r="Y97" s="53"/>
      <c r="Z97" s="6"/>
      <c r="AA97" s="6"/>
      <c r="AB97" s="54">
        <f>$M$98-J97</f>
        <v>-0.49732913530971329</v>
      </c>
      <c r="AC97" s="55">
        <f>SQRT((K97/2)^2+(N$98/2)^2)*2</f>
        <v>0.21172185055160214</v>
      </c>
      <c r="AD97" s="10" t="s">
        <v>50</v>
      </c>
    </row>
    <row r="98" spans="1:30" ht="15.75" thickBot="1">
      <c r="B98" s="56" t="s">
        <v>51</v>
      </c>
      <c r="C98" s="13">
        <v>7</v>
      </c>
      <c r="D98" s="57"/>
      <c r="E98" s="14"/>
      <c r="F98" s="58"/>
      <c r="G98" s="57"/>
      <c r="H98" s="14"/>
      <c r="I98" s="58"/>
      <c r="J98" s="57"/>
      <c r="K98" s="14"/>
      <c r="L98" s="58"/>
      <c r="M98" s="57">
        <v>0.41130086403479943</v>
      </c>
      <c r="N98" s="14">
        <v>0.1419398108412272</v>
      </c>
      <c r="O98" s="58">
        <v>5.3648205803633831E-2</v>
      </c>
      <c r="P98" s="152"/>
      <c r="Q98" s="152"/>
      <c r="R98" s="152"/>
      <c r="S98" s="152"/>
      <c r="T98" s="152"/>
      <c r="U98" s="152"/>
      <c r="V98" s="153"/>
      <c r="W98" s="152"/>
      <c r="X98" s="152"/>
      <c r="Y98" s="152"/>
      <c r="Z98" s="152"/>
      <c r="AA98" s="152"/>
      <c r="AB98" s="152"/>
      <c r="AC98" s="152"/>
      <c r="AD98" s="11" t="s">
        <v>38</v>
      </c>
    </row>
    <row r="99" spans="1:30" ht="15.75" thickBot="1">
      <c r="D99" s="6"/>
      <c r="E99" s="6"/>
      <c r="F99" s="6"/>
      <c r="G99" s="6"/>
      <c r="H99" s="6"/>
      <c r="I99" s="6"/>
      <c r="J99" s="6"/>
      <c r="K99" s="6"/>
      <c r="L99" s="6"/>
      <c r="M99" s="6"/>
      <c r="N99" s="6"/>
      <c r="O99" s="162" t="s">
        <v>8</v>
      </c>
      <c r="Q99" s="20">
        <f>Q67</f>
        <v>0.18687287332862804</v>
      </c>
      <c r="S99" s="20">
        <f>S72</f>
        <v>0.20516337151186734</v>
      </c>
      <c r="T99" s="25"/>
      <c r="U99" s="20">
        <f>U72</f>
        <v>0.16441977377671904</v>
      </c>
      <c r="W99" s="20">
        <f>W67</f>
        <v>0.17335402779939937</v>
      </c>
      <c r="Y99" s="20">
        <f>Y72</f>
        <v>0.19307009830058938</v>
      </c>
      <c r="AA99" s="20">
        <f>AA94</f>
        <v>0.21323861064547714</v>
      </c>
      <c r="AC99" s="20">
        <f>2*SQRT(((C67-1)*(E67/2)^2+(C72-1)*(H72/2)^2+(C94-1)*(K94/2)^2+C67*(AB67-AB100)^2+C72*(AB72-AB100)^2+C94*(AB94-AB100)^2)/(C67+C72+C94-1))</f>
        <v>0.15709625106714542</v>
      </c>
      <c r="AD99" t="s">
        <v>52</v>
      </c>
    </row>
    <row r="100" spans="1:30" ht="15.75" thickBot="1">
      <c r="O100" s="163"/>
      <c r="P100" s="21">
        <f>P67</f>
        <v>-0.49829867579903508</v>
      </c>
      <c r="Q100" s="22"/>
      <c r="R100" s="23">
        <f>R72</f>
        <v>-0.51298070212238056</v>
      </c>
      <c r="S100" s="24"/>
      <c r="T100" s="23">
        <f>T72</f>
        <v>-1.3603454765415468E-2</v>
      </c>
      <c r="U100" s="138"/>
      <c r="V100" s="21">
        <f>V67</f>
        <v>1.4408640347994273E-3</v>
      </c>
      <c r="W100" s="22">
        <f>SQRT((W99/2)^2+(N98/2)^2)*2</f>
        <v>0.22405028198134072</v>
      </c>
      <c r="X100" s="23">
        <f>X72</f>
        <v>1.5044318800214895E-2</v>
      </c>
      <c r="Y100" s="24">
        <f>SQRT((Y99/2)^2+(N98/2)^2)*2</f>
        <v>0.23963090944083698</v>
      </c>
      <c r="Z100" s="23">
        <f>Z94</f>
        <v>-0.49746131310168012</v>
      </c>
      <c r="AA100" s="24">
        <f>SQRT((AA99/2)^2+(N98/2)^2)*2</f>
        <v>0.25615935464405115</v>
      </c>
      <c r="AB100" s="21">
        <f>(AB67*C67+AB72*C72+AB94*C94)/SUM(C67,C72,C94)</f>
        <v>-0.49732913530971329</v>
      </c>
      <c r="AC100" s="22">
        <f>SQRT((AC99/2)^2+(N98/2)^2)*2</f>
        <v>0.21172185055160214</v>
      </c>
    </row>
    <row r="101" spans="1:30" ht="18">
      <c r="O101" s="124" t="s">
        <v>53</v>
      </c>
      <c r="P101" s="25">
        <f>((D67-J96)*1000)/(J96+1000)</f>
        <v>-0.49784655213349838</v>
      </c>
      <c r="Q101" s="125" t="s">
        <v>54</v>
      </c>
      <c r="R101" s="25">
        <f>((G72-J95)*1000)/(J95+1000)</f>
        <v>-0.51251470466308269</v>
      </c>
      <c r="S101" s="125" t="s">
        <v>55</v>
      </c>
      <c r="T101" s="25">
        <f>((G72-D67)*1000)/(D67+1000)</f>
        <v>-1.3597881537688431E-2</v>
      </c>
      <c r="U101" s="125" t="s">
        <v>150</v>
      </c>
      <c r="V101" s="25">
        <f>((M98-D67)*1000)/(D67+1000)</f>
        <v>1.4402737242108223E-3</v>
      </c>
      <c r="W101" s="125" t="s">
        <v>56</v>
      </c>
      <c r="X101" s="25">
        <f>((M98-G72)*1000)/(G72+1000)</f>
        <v>1.503835975173368E-2</v>
      </c>
      <c r="Y101" s="125" t="s">
        <v>57</v>
      </c>
      <c r="Z101" s="25">
        <f>((M98-J94)*1000)/(J94+1000)</f>
        <v>-0.49700964953051491</v>
      </c>
      <c r="AA101" s="125" t="s">
        <v>58</v>
      </c>
      <c r="AB101" s="134">
        <f>((M98-J97)*1000)/(J97+1000)</f>
        <v>-0.49687765736422818</v>
      </c>
      <c r="AC101" s="125" t="s">
        <v>58</v>
      </c>
    </row>
    <row r="102" spans="1:30" ht="18">
      <c r="O102" s="124" t="s">
        <v>53</v>
      </c>
      <c r="P102" s="134">
        <f>-(P101/1000)/(P101/1000+1)*1000</f>
        <v>0.49809452677629046</v>
      </c>
      <c r="Q102" s="125" t="s">
        <v>59</v>
      </c>
      <c r="R102" s="134">
        <f>-(R101/1000)/(R101/1000+1)*1000</f>
        <v>0.51277751067752553</v>
      </c>
      <c r="S102" s="125" t="s">
        <v>60</v>
      </c>
      <c r="T102" s="134">
        <f>-(T101/1000)/(T101/1000+1)*1000</f>
        <v>1.359806644258506E-2</v>
      </c>
      <c r="U102" s="125" t="s">
        <v>151</v>
      </c>
      <c r="V102" s="134">
        <f>-(V101/1000)/(V101/1000+1)*1000</f>
        <v>-1.4402716498254093E-3</v>
      </c>
      <c r="W102" s="125" t="s">
        <v>61</v>
      </c>
      <c r="X102" s="134">
        <f>-(X101/1000)/(X101/1000+1)*1000</f>
        <v>-1.5038133602870565E-2</v>
      </c>
      <c r="Y102" s="125" t="s">
        <v>62</v>
      </c>
      <c r="Z102" s="134">
        <f>-(Z101/1000)/(Z101/1000+1)*1000</f>
        <v>0.49725679095391367</v>
      </c>
      <c r="AA102" s="125" t="s">
        <v>63</v>
      </c>
      <c r="AB102" s="134">
        <f>-(AB101/1000)/(AB101/1000+1)*1000</f>
        <v>0.49712466750443579</v>
      </c>
      <c r="AC102" s="125" t="s">
        <v>63</v>
      </c>
    </row>
    <row r="103" spans="1:30">
      <c r="P103" s="25"/>
      <c r="Q103" s="25"/>
      <c r="R103" s="25"/>
      <c r="S103" s="25"/>
      <c r="T103" s="25"/>
      <c r="U103" s="25"/>
      <c r="V103" s="25"/>
      <c r="W103" s="25"/>
      <c r="X103" s="25"/>
      <c r="Z103" s="136"/>
      <c r="AA103" s="136" t="s">
        <v>64</v>
      </c>
      <c r="AB103" s="139">
        <f>(J27+((J97-J27)/(M98-M28))*(M98-M28))</f>
        <v>0.90862999934451283</v>
      </c>
      <c r="AC103" t="s">
        <v>65</v>
      </c>
    </row>
    <row r="104" spans="1:30">
      <c r="P104" s="25"/>
      <c r="Q104" s="25"/>
      <c r="R104" s="25"/>
      <c r="S104" s="25"/>
      <c r="T104" s="25"/>
      <c r="U104" s="25"/>
      <c r="V104" s="25"/>
      <c r="W104" s="25"/>
      <c r="X104" s="25"/>
      <c r="Z104" s="137"/>
      <c r="AA104" s="137" t="s">
        <v>152</v>
      </c>
      <c r="AB104" s="25">
        <f>AB103-M98</f>
        <v>0.4973291353097134</v>
      </c>
      <c r="AC104" s="25"/>
    </row>
    <row r="105" spans="1:30" ht="15.75" thickBot="1">
      <c r="P105" s="25"/>
      <c r="Q105" s="25"/>
      <c r="R105" s="25"/>
      <c r="S105" s="25"/>
      <c r="T105" s="25"/>
      <c r="U105" s="25"/>
      <c r="V105" s="25"/>
      <c r="W105" s="25"/>
      <c r="X105" s="25"/>
      <c r="Y105" s="25"/>
      <c r="Z105" s="25"/>
      <c r="AA105" s="25"/>
      <c r="AB105" s="25"/>
      <c r="AC105" s="25"/>
    </row>
    <row r="106" spans="1:30" ht="15.75" thickBot="1">
      <c r="N106" s="128" t="s">
        <v>91</v>
      </c>
      <c r="P106" s="129" t="s">
        <v>92</v>
      </c>
      <c r="Q106" s="130" t="s">
        <v>20</v>
      </c>
      <c r="R106" s="129" t="s">
        <v>92</v>
      </c>
      <c r="S106" s="131" t="s">
        <v>20</v>
      </c>
      <c r="T106" s="129" t="s">
        <v>92</v>
      </c>
      <c r="U106" s="131" t="s">
        <v>20</v>
      </c>
      <c r="V106" s="129" t="s">
        <v>92</v>
      </c>
      <c r="W106" s="130" t="s">
        <v>20</v>
      </c>
      <c r="X106" s="129" t="s">
        <v>92</v>
      </c>
      <c r="Y106" s="131" t="s">
        <v>20</v>
      </c>
      <c r="Z106" s="129" t="s">
        <v>92</v>
      </c>
      <c r="AA106" s="131" t="s">
        <v>20</v>
      </c>
      <c r="AB106" s="130" t="s">
        <v>92</v>
      </c>
      <c r="AC106" s="131" t="s">
        <v>20</v>
      </c>
    </row>
    <row r="107" spans="1:30" ht="75.75" thickBot="1">
      <c r="N107" s="132">
        <f>2*SQRT(((C28-1)*(N28/2)^2+(C98-1)*(N98/2)^2+C28*(M28-M28)^2+C98*(M98-M98)^2)/(C28+C98-1))</f>
        <v>0.15703495850009394</v>
      </c>
      <c r="O107" s="140" t="s">
        <v>155</v>
      </c>
      <c r="P107" s="141">
        <f>(P10*C10+P67*C67)/SUM(C10,C67)</f>
        <v>-0.5336139495228428</v>
      </c>
      <c r="Q107" s="142"/>
      <c r="R107" s="141">
        <f>(R14*C14+R72*C72)/SUM(C14,C72)</f>
        <v>-0.49394348813064598</v>
      </c>
      <c r="S107" s="142"/>
      <c r="T107" s="141">
        <f>(T14*C14+T72*C72)/SUM(C14,C72)</f>
        <v>2.2304361105662505E-2</v>
      </c>
      <c r="U107" s="142"/>
      <c r="V107" s="141">
        <f>(V10*C10+V67*C67)/SUM(C10,C67)</f>
        <v>2.5096062981423931E-2</v>
      </c>
      <c r="W107" s="142">
        <f>SQRT((W100/2)^2+(W30/2)^2)*2</f>
        <v>0.34427378561513111</v>
      </c>
      <c r="X107" s="141">
        <f>(X14*C14+X72*C72)/SUM(C14,C72)</f>
        <v>-6.2630592438065007E-3</v>
      </c>
      <c r="Y107" s="142">
        <f>SQRT((Y100/2)^2+(Y30/2)^2)*2</f>
        <v>0.41250023611559544</v>
      </c>
      <c r="Z107" s="141">
        <f>(Z24*C24+Z94*C94)/SUM(C24,C94)</f>
        <v>-0.50292484017671957</v>
      </c>
      <c r="AA107" s="142">
        <f>SQRT((AA100/2)^2+(AA30/2)^2)*2</f>
        <v>0.34388915466063852</v>
      </c>
      <c r="AB107" s="141">
        <f>(AB10*C10+AB14*C14+AB24*C24+AB67*C67+AB72*C72+AB94*C94)/SUM(C10,C14,C24,C67,C72,C94)</f>
        <v>-0.50041429417428729</v>
      </c>
      <c r="AC107" s="142">
        <f>SQRT((AC100/2)^2+(AC30/2)^2)*2</f>
        <v>0.28473383117393891</v>
      </c>
    </row>
    <row r="108" spans="1:30" ht="75.75" thickBot="1">
      <c r="O108" s="133" t="s">
        <v>93</v>
      </c>
      <c r="P108" s="129">
        <f>AVERAGE(P30,P100)</f>
        <v>-0.51661764737486793</v>
      </c>
      <c r="Q108" s="131"/>
      <c r="R108" s="129">
        <f>AVERAGE(R30,R100)</f>
        <v>-0.49698134142719935</v>
      </c>
      <c r="S108" s="131"/>
      <c r="T108" s="129">
        <f>AVERAGE(T30,T100)</f>
        <v>1.6574390487937296E-2</v>
      </c>
      <c r="U108" s="131"/>
      <c r="V108" s="129">
        <f>AVERAGE(V30,V100)</f>
        <v>1.3711444761793784E-2</v>
      </c>
      <c r="W108" s="131"/>
      <c r="X108" s="129">
        <f>AVERAGE(X30,X100)</f>
        <v>-2.8629457261435121E-3</v>
      </c>
      <c r="Y108" s="131"/>
      <c r="Z108" s="129">
        <f>AVERAGE(Z30,Z100)</f>
        <v>-0.50293884922050169</v>
      </c>
      <c r="AA108" s="131"/>
      <c r="AB108" s="129">
        <f>AVERAGE(AB30,AB100)</f>
        <v>-0.49981925067542565</v>
      </c>
      <c r="AC108" s="143"/>
    </row>
    <row r="109" spans="1:30" ht="18">
      <c r="O109" s="124" t="s">
        <v>53</v>
      </c>
      <c r="P109" s="139">
        <f>AVERAGE(P101,P31)</f>
        <v>-0.5165239617108055</v>
      </c>
      <c r="Q109" s="125" t="s">
        <v>54</v>
      </c>
      <c r="R109" s="139">
        <f>AVERAGE(R101,R31)</f>
        <v>-0.49686910101588322</v>
      </c>
      <c r="S109" s="125" t="s">
        <v>55</v>
      </c>
      <c r="T109" s="139">
        <f>AVERAGE(T101,T31)</f>
        <v>1.6601270300919076E-2</v>
      </c>
      <c r="U109" s="125" t="s">
        <v>150</v>
      </c>
      <c r="V109" s="139">
        <f>AVERAGE(V101,V31)</f>
        <v>1.3724539129025444E-2</v>
      </c>
      <c r="W109" s="125" t="s">
        <v>56</v>
      </c>
      <c r="X109" s="139">
        <f>AVERAGE(X101,X31)</f>
        <v>-2.8761424215046263E-3</v>
      </c>
      <c r="Y109" s="125" t="s">
        <v>57</v>
      </c>
      <c r="Z109" s="139">
        <f>AVERAGE(Z101,Z31)</f>
        <v>-0.50283896782173443</v>
      </c>
      <c r="AA109" s="125" t="s">
        <v>58</v>
      </c>
      <c r="AB109" s="139">
        <f>AVERAGE(AB101,AB31)</f>
        <v>-0.49971948452899273</v>
      </c>
      <c r="AC109" s="125" t="s">
        <v>58</v>
      </c>
    </row>
    <row r="110" spans="1:30" ht="18">
      <c r="O110" s="124" t="s">
        <v>53</v>
      </c>
      <c r="P110" s="139">
        <f>AVERAGE(P102,P32)</f>
        <v>0.51679124597883819</v>
      </c>
      <c r="Q110" s="125" t="s">
        <v>59</v>
      </c>
      <c r="R110" s="139">
        <f>AVERAGE(R102,R32)</f>
        <v>0.4971163477970606</v>
      </c>
      <c r="S110" s="125" t="s">
        <v>60</v>
      </c>
      <c r="T110" s="139">
        <f>AVERAGE(T102,T32)</f>
        <v>-1.6600082759965152E-2</v>
      </c>
      <c r="U110" s="125" t="s">
        <v>151</v>
      </c>
      <c r="V110" s="139">
        <f>AVERAGE(V102,V32)</f>
        <v>-1.3724199871672801E-2</v>
      </c>
      <c r="W110" s="125" t="s">
        <v>61</v>
      </c>
      <c r="X110" s="139">
        <f>AVERAGE(X102,X32)</f>
        <v>2.8764716258809966E-3</v>
      </c>
      <c r="Y110" s="125" t="s">
        <v>62</v>
      </c>
      <c r="Z110" s="139">
        <f>AVERAGE(Z102,Z32)</f>
        <v>0.50309197608686085</v>
      </c>
      <c r="AA110" s="125" t="s">
        <v>63</v>
      </c>
      <c r="AB110" s="139">
        <f>AVERAGE(AB102,AB32)</f>
        <v>0.49996933703243407</v>
      </c>
      <c r="AC110" s="125" t="s">
        <v>63</v>
      </c>
    </row>
  </sheetData>
  <mergeCells count="16">
    <mergeCell ref="H3:H4"/>
    <mergeCell ref="A3:A4"/>
    <mergeCell ref="B3:B4"/>
    <mergeCell ref="C3:C4"/>
    <mergeCell ref="E3:E4"/>
    <mergeCell ref="F3:F4"/>
    <mergeCell ref="AD3:AD4"/>
    <mergeCell ref="O29:O30"/>
    <mergeCell ref="O58:O59"/>
    <mergeCell ref="O99:O100"/>
    <mergeCell ref="I3:I4"/>
    <mergeCell ref="K3:K4"/>
    <mergeCell ref="L3:L4"/>
    <mergeCell ref="N3:N4"/>
    <mergeCell ref="O3:O4"/>
    <mergeCell ref="P3:AC3"/>
  </mergeCells>
  <phoneticPr fontId="21"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7299-C421-4BCF-9B73-D3027A3FAA9A}">
  <dimension ref="A1:Q26"/>
  <sheetViews>
    <sheetView zoomScaleNormal="100" workbookViewId="0">
      <selection activeCell="S12" sqref="S12"/>
    </sheetView>
  </sheetViews>
  <sheetFormatPr baseColWidth="10" defaultColWidth="11.42578125" defaultRowHeight="15"/>
  <cols>
    <col min="1" max="1" width="26.140625" customWidth="1"/>
    <col min="2" max="2" width="4.5703125" customWidth="1"/>
    <col min="3" max="17" width="8.42578125" customWidth="1"/>
  </cols>
  <sheetData>
    <row r="1" spans="1:17">
      <c r="A1" s="11" t="s">
        <v>159</v>
      </c>
    </row>
    <row r="2" spans="1:17" ht="15.75" thickBot="1"/>
    <row r="3" spans="1:17" ht="30" customHeight="1" thickBot="1">
      <c r="C3" s="158" t="s">
        <v>121</v>
      </c>
      <c r="D3" s="159"/>
      <c r="E3" s="181"/>
      <c r="F3" s="158" t="s">
        <v>122</v>
      </c>
      <c r="G3" s="159"/>
      <c r="H3" s="181"/>
      <c r="I3" s="158" t="s">
        <v>123</v>
      </c>
      <c r="J3" s="159"/>
      <c r="K3" s="181"/>
      <c r="L3" s="158" t="s">
        <v>124</v>
      </c>
      <c r="M3" s="159"/>
      <c r="N3" s="181"/>
      <c r="O3" s="180" t="s">
        <v>125</v>
      </c>
      <c r="P3" s="159"/>
      <c r="Q3" s="177" t="s">
        <v>126</v>
      </c>
    </row>
    <row r="4" spans="1:17" ht="15.75" thickBot="1">
      <c r="A4" s="83" t="s">
        <v>3</v>
      </c>
      <c r="B4" s="85" t="s">
        <v>4</v>
      </c>
      <c r="C4" s="79" t="s">
        <v>5</v>
      </c>
      <c r="D4" s="79" t="s">
        <v>6</v>
      </c>
      <c r="E4" s="80" t="s">
        <v>7</v>
      </c>
      <c r="F4" s="79" t="s">
        <v>5</v>
      </c>
      <c r="G4" s="79" t="s">
        <v>6</v>
      </c>
      <c r="H4" s="80" t="s">
        <v>7</v>
      </c>
      <c r="I4" s="79" t="s">
        <v>5</v>
      </c>
      <c r="J4" s="79" t="s">
        <v>6</v>
      </c>
      <c r="K4" s="80" t="s">
        <v>7</v>
      </c>
      <c r="L4" s="79" t="s">
        <v>5</v>
      </c>
      <c r="M4" s="79" t="s">
        <v>6</v>
      </c>
      <c r="N4" s="80" t="s">
        <v>7</v>
      </c>
      <c r="O4" s="79" t="s">
        <v>5</v>
      </c>
      <c r="P4" s="79" t="s">
        <v>6</v>
      </c>
      <c r="Q4" s="178"/>
    </row>
    <row r="5" spans="1:17" ht="30">
      <c r="A5" s="122" t="s">
        <v>160</v>
      </c>
      <c r="B5" s="73"/>
      <c r="C5" s="81"/>
      <c r="D5" s="82"/>
      <c r="E5" s="86"/>
      <c r="F5" s="81"/>
      <c r="G5" s="82"/>
      <c r="H5" s="86"/>
      <c r="I5" s="81"/>
      <c r="J5" s="82"/>
      <c r="K5" s="86"/>
      <c r="L5" s="81"/>
      <c r="M5" s="82"/>
      <c r="N5" s="86"/>
      <c r="O5" s="81"/>
      <c r="P5" s="86"/>
      <c r="Q5" s="90"/>
    </row>
    <row r="6" spans="1:17">
      <c r="A6" s="73" t="s">
        <v>127</v>
      </c>
      <c r="B6" s="73">
        <v>5</v>
      </c>
      <c r="C6" s="70">
        <v>-2.4515667432245536E-2</v>
      </c>
      <c r="D6" s="75">
        <v>7.6087022376358782E-2</v>
      </c>
      <c r="E6" s="87">
        <v>-0.10051851815455759</v>
      </c>
      <c r="F6" s="70">
        <v>-7.8069681569470362E-2</v>
      </c>
      <c r="G6" s="75">
        <v>-2.4686782750316105E-2</v>
      </c>
      <c r="H6" s="87">
        <v>-5.3349528173485261E-2</v>
      </c>
      <c r="I6" s="70">
        <v>0.12492149402127838</v>
      </c>
      <c r="J6" s="75">
        <v>0.34795796842952553</v>
      </c>
      <c r="K6" s="87">
        <v>0.25869429532712679</v>
      </c>
      <c r="L6" s="70">
        <v>0.27637493005917674</v>
      </c>
      <c r="M6" s="75">
        <v>0.64436701997818191</v>
      </c>
      <c r="N6" s="87">
        <v>0.38916908350697366</v>
      </c>
      <c r="O6" s="70">
        <v>0.12359862617781382</v>
      </c>
      <c r="P6" s="87">
        <v>0.28816969182603597</v>
      </c>
      <c r="Q6" s="92">
        <v>9.9999999999999995E-7</v>
      </c>
    </row>
    <row r="7" spans="1:17">
      <c r="A7" s="73" t="s">
        <v>128</v>
      </c>
      <c r="B7" s="73">
        <v>5</v>
      </c>
      <c r="C7" s="70">
        <v>1.5776430878267078E-2</v>
      </c>
      <c r="D7" s="75">
        <v>1.6618191895112489E-2</v>
      </c>
      <c r="E7" s="87">
        <v>-7.7543632015508734E-4</v>
      </c>
      <c r="F7" s="70">
        <v>3.83770811466011E-2</v>
      </c>
      <c r="G7" s="75">
        <v>5.9628122646060433E-2</v>
      </c>
      <c r="H7" s="87">
        <v>-2.1250132825278989E-2</v>
      </c>
      <c r="I7" s="70">
        <v>5.7169063105403047E-2</v>
      </c>
      <c r="J7" s="75">
        <v>0.12613565137911453</v>
      </c>
      <c r="K7" s="87">
        <v>0.14739318535718304</v>
      </c>
      <c r="L7" s="70">
        <v>0.13786213108190573</v>
      </c>
      <c r="M7" s="75">
        <v>0.25880352848976057</v>
      </c>
      <c r="N7" s="87">
        <v>0.1783902213815185</v>
      </c>
      <c r="O7" s="70">
        <v>6.1653819324425568E-2</v>
      </c>
      <c r="P7" s="87">
        <v>0.11574045650398161</v>
      </c>
      <c r="Q7" s="92">
        <v>1.0000000000000001E-5</v>
      </c>
    </row>
    <row r="8" spans="1:17">
      <c r="A8" s="73" t="s">
        <v>129</v>
      </c>
      <c r="B8" s="73">
        <v>5</v>
      </c>
      <c r="C8" s="70">
        <v>0.1630767075524453</v>
      </c>
      <c r="D8" s="75">
        <v>0.25976222229187051</v>
      </c>
      <c r="E8" s="87">
        <v>-9.6629079845733656E-2</v>
      </c>
      <c r="F8" s="70">
        <v>-7.0499869592621778E-3</v>
      </c>
      <c r="G8" s="75">
        <v>-6.1399375013215796E-2</v>
      </c>
      <c r="H8" s="87">
        <v>5.4392589942864333E-2</v>
      </c>
      <c r="I8" s="70">
        <v>0.10784617206297598</v>
      </c>
      <c r="J8" s="75">
        <v>0.4823124032319594</v>
      </c>
      <c r="K8" s="87">
        <v>0.40532714635583234</v>
      </c>
      <c r="L8" s="70">
        <v>0.12399951175570534</v>
      </c>
      <c r="M8" s="75">
        <v>0.55052102485424514</v>
      </c>
      <c r="N8" s="87">
        <v>0.4403666669593615</v>
      </c>
      <c r="O8" s="70">
        <v>5.5454267492508286E-2</v>
      </c>
      <c r="P8" s="87">
        <v>0.24620048692338867</v>
      </c>
      <c r="Q8" s="92">
        <v>1E-4</v>
      </c>
    </row>
    <row r="9" spans="1:17">
      <c r="A9" s="73" t="s">
        <v>130</v>
      </c>
      <c r="B9" s="73">
        <v>5</v>
      </c>
      <c r="C9" s="70">
        <v>1.7197777063837627</v>
      </c>
      <c r="D9" s="75">
        <v>3.1567449303775863</v>
      </c>
      <c r="E9" s="87">
        <v>-1.4323618015732453</v>
      </c>
      <c r="F9" s="70">
        <v>7.6727473901527787E-3</v>
      </c>
      <c r="G9" s="75">
        <v>-7.7267088599097811E-2</v>
      </c>
      <c r="H9" s="87">
        <v>8.4961258975035925E-2</v>
      </c>
      <c r="I9" s="70">
        <v>5.0552918315856947E-2</v>
      </c>
      <c r="J9" s="75">
        <v>0.50056200146916452</v>
      </c>
      <c r="K9" s="87">
        <v>0.48488035080766961</v>
      </c>
      <c r="L9" s="70">
        <v>0.1016425066937818</v>
      </c>
      <c r="M9" s="75">
        <v>0.35493001184818662</v>
      </c>
      <c r="N9" s="87">
        <v>0.41358990173150212</v>
      </c>
      <c r="O9" s="70">
        <v>4.5455910874154702E-2</v>
      </c>
      <c r="P9" s="87">
        <v>0.15872952674947019</v>
      </c>
      <c r="Q9" s="92">
        <v>1E-3</v>
      </c>
    </row>
    <row r="10" spans="1:17">
      <c r="A10" s="73" t="s">
        <v>131</v>
      </c>
      <c r="B10" s="73">
        <v>5</v>
      </c>
      <c r="C10" s="70">
        <v>17.648863735610565</v>
      </c>
      <c r="D10" s="75">
        <v>33.127318419626796</v>
      </c>
      <c r="E10" s="87">
        <v>-14.982141194764221</v>
      </c>
      <c r="F10" s="70">
        <v>3.8563497132804159E-2</v>
      </c>
      <c r="G10" s="75">
        <v>-0.13467423965403125</v>
      </c>
      <c r="H10" s="87">
        <v>0.17327617205211698</v>
      </c>
      <c r="I10" s="70">
        <v>0.18202674425003532</v>
      </c>
      <c r="J10" s="75">
        <v>0.33753738692595397</v>
      </c>
      <c r="K10" s="87">
        <v>0.25864387506894942</v>
      </c>
      <c r="L10" s="70">
        <v>0.37896751748488117</v>
      </c>
      <c r="M10" s="75">
        <v>0.57858452224241053</v>
      </c>
      <c r="N10" s="87">
        <v>0.27987870616781807</v>
      </c>
      <c r="O10" s="70">
        <v>0.16947942607210686</v>
      </c>
      <c r="P10" s="87">
        <v>0.25875086449265378</v>
      </c>
      <c r="Q10" s="92">
        <v>0.01</v>
      </c>
    </row>
    <row r="11" spans="1:17">
      <c r="A11" s="84" t="s">
        <v>132</v>
      </c>
      <c r="B11" s="84">
        <v>4</v>
      </c>
      <c r="C11" s="71">
        <v>166.01935179412484</v>
      </c>
      <c r="D11" s="72">
        <v>311.49783949835415</v>
      </c>
      <c r="E11" s="88">
        <v>-110.92531725072664</v>
      </c>
      <c r="F11" s="71">
        <v>1.0466411987251623</v>
      </c>
      <c r="G11" s="72">
        <v>-9.6080497900413731E-2</v>
      </c>
      <c r="H11" s="88">
        <v>1.1428300444598083</v>
      </c>
      <c r="I11" s="71">
        <v>1.1831999184782911</v>
      </c>
      <c r="J11" s="72">
        <v>2.0851845547867942</v>
      </c>
      <c r="K11" s="88">
        <v>0.55584945584799728</v>
      </c>
      <c r="L11" s="71">
        <v>0.11264270303870068</v>
      </c>
      <c r="M11" s="72">
        <v>0.26045196049897995</v>
      </c>
      <c r="N11" s="88">
        <v>0.33237615450162472</v>
      </c>
      <c r="O11" s="71">
        <v>5.6321351519350339E-2</v>
      </c>
      <c r="P11" s="88">
        <v>0.13022598024948998</v>
      </c>
      <c r="Q11" s="93">
        <v>0.1</v>
      </c>
    </row>
    <row r="12" spans="1:17" ht="45">
      <c r="A12" s="122" t="s">
        <v>161</v>
      </c>
      <c r="B12" s="73"/>
      <c r="C12" s="69"/>
      <c r="D12" s="74"/>
      <c r="E12" s="89"/>
      <c r="F12" s="69"/>
      <c r="G12" s="74"/>
      <c r="H12" s="89"/>
      <c r="I12" s="69"/>
      <c r="J12" s="74"/>
      <c r="K12" s="89"/>
      <c r="L12" s="69"/>
      <c r="M12" s="74"/>
      <c r="N12" s="89"/>
      <c r="O12" s="69"/>
      <c r="P12" s="89"/>
      <c r="Q12" s="92"/>
    </row>
    <row r="13" spans="1:17">
      <c r="A13" s="73" t="s">
        <v>127</v>
      </c>
      <c r="B13" s="73">
        <v>5</v>
      </c>
      <c r="C13" s="70">
        <v>1.4426271434886395E-2</v>
      </c>
      <c r="D13" s="75">
        <v>-9.7244819501129953E-3</v>
      </c>
      <c r="E13" s="87">
        <v>-5.4508567702171717E-3</v>
      </c>
      <c r="F13" s="70">
        <v>-6.040446217081552E-3</v>
      </c>
      <c r="G13" s="75">
        <v>-5.1834844517850698E-2</v>
      </c>
      <c r="H13" s="87">
        <v>4.5805626258532683E-2</v>
      </c>
      <c r="I13" s="70">
        <v>7.4929205797432105E-2</v>
      </c>
      <c r="J13" s="75">
        <v>0.16770661574123835</v>
      </c>
      <c r="K13" s="87">
        <v>0.15925764541574827</v>
      </c>
      <c r="L13" s="70">
        <v>6.9273025705867769E-2</v>
      </c>
      <c r="M13" s="75">
        <v>0.22034931961841064</v>
      </c>
      <c r="N13" s="87">
        <v>0.23409378382185675</v>
      </c>
      <c r="O13" s="70">
        <v>3.0979838897082137E-2</v>
      </c>
      <c r="P13" s="87">
        <v>9.8543211492518837E-2</v>
      </c>
      <c r="Q13" s="92">
        <v>9.9999999999999995E-7</v>
      </c>
    </row>
    <row r="14" spans="1:17">
      <c r="A14" s="73" t="s">
        <v>128</v>
      </c>
      <c r="B14" s="73">
        <v>5</v>
      </c>
      <c r="C14" s="70">
        <v>-5.8350757061953473E-3</v>
      </c>
      <c r="D14" s="75">
        <v>-2.1212826888383773E-3</v>
      </c>
      <c r="E14" s="87">
        <v>3.8504959457408283E-2</v>
      </c>
      <c r="F14" s="70">
        <v>-3.321421026527549E-2</v>
      </c>
      <c r="G14" s="75">
        <v>-2.0879313806632105E-2</v>
      </c>
      <c r="H14" s="87">
        <v>-1.2332562538919234E-2</v>
      </c>
      <c r="I14" s="70">
        <v>7.6921341786674355E-2</v>
      </c>
      <c r="J14" s="75">
        <v>0.10000857046425091</v>
      </c>
      <c r="K14" s="87">
        <v>0.1622928217023816</v>
      </c>
      <c r="L14" s="70">
        <v>7.6663939166496761E-2</v>
      </c>
      <c r="M14" s="75">
        <v>0.2313921720565858</v>
      </c>
      <c r="N14" s="87">
        <v>0.17847720448900359</v>
      </c>
      <c r="O14" s="70">
        <v>3.428515587983906E-2</v>
      </c>
      <c r="P14" s="87">
        <v>0.10348172523597063</v>
      </c>
      <c r="Q14" s="92">
        <v>1.0000000000000001E-5</v>
      </c>
    </row>
    <row r="15" spans="1:17">
      <c r="A15" s="73" t="s">
        <v>129</v>
      </c>
      <c r="B15" s="73">
        <v>5</v>
      </c>
      <c r="C15" s="70">
        <v>0.17729589318937755</v>
      </c>
      <c r="D15" s="75">
        <v>0.38604921075373611</v>
      </c>
      <c r="E15" s="87">
        <v>-0.20302699645413647</v>
      </c>
      <c r="F15" s="70">
        <v>-1.7534998444102001E-2</v>
      </c>
      <c r="G15" s="75">
        <v>2.1742727439244547E-2</v>
      </c>
      <c r="H15" s="87">
        <v>-3.9260578392719125E-2</v>
      </c>
      <c r="I15" s="70">
        <v>7.7030958864124796E-2</v>
      </c>
      <c r="J15" s="75">
        <v>0.37870610846696795</v>
      </c>
      <c r="K15" s="87">
        <v>0.34962856102358869</v>
      </c>
      <c r="L15" s="70">
        <v>3.8840919897167148E-2</v>
      </c>
      <c r="M15" s="75">
        <v>0.31897639457972099</v>
      </c>
      <c r="N15" s="87">
        <v>0.32413008371407526</v>
      </c>
      <c r="O15" s="70">
        <v>1.7370187439737977E-2</v>
      </c>
      <c r="P15" s="87">
        <v>0.14265058029961031</v>
      </c>
      <c r="Q15" s="92">
        <v>1E-4</v>
      </c>
    </row>
    <row r="16" spans="1:17">
      <c r="A16" s="73" t="s">
        <v>130</v>
      </c>
      <c r="B16" s="73">
        <v>5</v>
      </c>
      <c r="C16" s="70">
        <v>1.8193692384446347</v>
      </c>
      <c r="D16" s="75">
        <v>3.4924073954795802</v>
      </c>
      <c r="E16" s="87">
        <v>-1.6429082369649131</v>
      </c>
      <c r="F16" s="70">
        <v>2.815060060670227E-2</v>
      </c>
      <c r="G16" s="75">
        <v>0.10676323524536624</v>
      </c>
      <c r="H16" s="87">
        <v>-7.8598880132330073E-2</v>
      </c>
      <c r="I16" s="70">
        <v>5.9400583818613628E-2</v>
      </c>
      <c r="J16" s="75">
        <v>0.42712969993623906</v>
      </c>
      <c r="K16" s="87">
        <v>0.31292107157688837</v>
      </c>
      <c r="L16" s="70">
        <v>5.3275250499737178E-2</v>
      </c>
      <c r="M16" s="75">
        <v>0.20356008529960951</v>
      </c>
      <c r="N16" s="87">
        <v>0.19105493850391991</v>
      </c>
      <c r="O16" s="70">
        <v>2.3825416327148394E-2</v>
      </c>
      <c r="P16" s="87">
        <v>9.1034837647116493E-2</v>
      </c>
      <c r="Q16" s="92">
        <v>1E-3</v>
      </c>
    </row>
    <row r="17" spans="1:17">
      <c r="A17" s="73" t="s">
        <v>131</v>
      </c>
      <c r="B17" s="73">
        <v>5</v>
      </c>
      <c r="C17" s="70">
        <v>18.138174364164207</v>
      </c>
      <c r="D17" s="75">
        <v>34.107428128370195</v>
      </c>
      <c r="E17" s="87">
        <v>-15.498399117615614</v>
      </c>
      <c r="F17" s="70">
        <v>0.23351350822298222</v>
      </c>
      <c r="G17" s="75">
        <v>0.49821389514828063</v>
      </c>
      <c r="H17" s="87">
        <v>-0.26455812491110731</v>
      </c>
      <c r="I17" s="70">
        <v>0.14858154829903042</v>
      </c>
      <c r="J17" s="75">
        <v>0.46774363480845876</v>
      </c>
      <c r="K17" s="87">
        <v>0.34624512646875932</v>
      </c>
      <c r="L17" s="70">
        <v>4.5093893947092775E-2</v>
      </c>
      <c r="M17" s="75">
        <v>0.25017046907113322</v>
      </c>
      <c r="N17" s="87">
        <v>0.26175470005067014</v>
      </c>
      <c r="O17" s="70">
        <v>2.0166602447173148E-2</v>
      </c>
      <c r="P17" s="87">
        <v>0.1118796349612125</v>
      </c>
      <c r="Q17" s="92">
        <v>0.01</v>
      </c>
    </row>
    <row r="18" spans="1:17">
      <c r="A18" s="84" t="s">
        <v>132</v>
      </c>
      <c r="B18" s="84">
        <v>4</v>
      </c>
      <c r="C18" s="71">
        <v>171.71266055137846</v>
      </c>
      <c r="D18" s="72">
        <v>322.29950396042364</v>
      </c>
      <c r="E18" s="88">
        <v>-113.86735464974765</v>
      </c>
      <c r="F18" s="71">
        <v>2.363202255884933</v>
      </c>
      <c r="G18" s="72">
        <v>4.164539370491493</v>
      </c>
      <c r="H18" s="88">
        <v>-1.7938613473091891</v>
      </c>
      <c r="I18" s="71">
        <v>0.83920917111684945</v>
      </c>
      <c r="J18" s="72">
        <v>1.7487445485871882</v>
      </c>
      <c r="K18" s="88">
        <v>0.58276776396426577</v>
      </c>
      <c r="L18" s="71">
        <v>0.16566479155016126</v>
      </c>
      <c r="M18" s="72">
        <v>0.22779408040056986</v>
      </c>
      <c r="N18" s="88">
        <v>0.22777520871999551</v>
      </c>
      <c r="O18" s="71">
        <v>8.2832395775080628E-2</v>
      </c>
      <c r="P18" s="88">
        <v>0.11389704020028493</v>
      </c>
      <c r="Q18" s="93">
        <v>0.1</v>
      </c>
    </row>
    <row r="19" spans="1:17" ht="45">
      <c r="A19" s="123" t="s">
        <v>162</v>
      </c>
      <c r="B19" s="94"/>
      <c r="C19" s="96"/>
      <c r="D19" s="96"/>
      <c r="E19" s="97"/>
      <c r="F19" s="95"/>
      <c r="G19" s="96"/>
      <c r="H19" s="97"/>
      <c r="I19" s="95"/>
      <c r="J19" s="96"/>
      <c r="K19" s="97"/>
      <c r="L19" s="95"/>
      <c r="M19" s="96"/>
      <c r="N19" s="97"/>
      <c r="O19" s="95"/>
      <c r="P19" s="97"/>
      <c r="Q19" s="98"/>
    </row>
    <row r="20" spans="1:17">
      <c r="A20" s="89" t="s">
        <v>128</v>
      </c>
      <c r="B20" s="73">
        <v>4</v>
      </c>
      <c r="C20" s="75">
        <v>2.9616561848799794E-3</v>
      </c>
      <c r="D20" s="75">
        <v>-0.18319770967201165</v>
      </c>
      <c r="E20" s="87">
        <v>0.25142898522850787</v>
      </c>
      <c r="F20" s="70">
        <v>-1.1304098292974629E-3</v>
      </c>
      <c r="G20" s="75">
        <v>-4.5754862359664861E-2</v>
      </c>
      <c r="H20" s="87">
        <v>4.4611173461439613E-2</v>
      </c>
      <c r="I20" s="70">
        <v>0.10923717962561899</v>
      </c>
      <c r="J20" s="75">
        <v>0.50147522718425386</v>
      </c>
      <c r="K20" s="87">
        <v>0.44537460448599842</v>
      </c>
      <c r="L20" s="70">
        <v>0.15181929306506828</v>
      </c>
      <c r="M20" s="75">
        <v>0.30036704424314137</v>
      </c>
      <c r="N20" s="87">
        <v>0.42139547599848104</v>
      </c>
      <c r="O20" s="70">
        <v>7.5909646532534139E-2</v>
      </c>
      <c r="P20" s="87">
        <v>0.15018352212157068</v>
      </c>
      <c r="Q20" s="92">
        <v>1.0000000000000001E-5</v>
      </c>
    </row>
    <row r="21" spans="1:17">
      <c r="A21" s="89" t="s">
        <v>129</v>
      </c>
      <c r="B21" s="73">
        <v>7</v>
      </c>
      <c r="C21" s="75">
        <v>0.23275814807249035</v>
      </c>
      <c r="D21" s="75">
        <v>0.400802149225919</v>
      </c>
      <c r="E21" s="87">
        <v>-9.389265547113787E-2</v>
      </c>
      <c r="F21" s="70">
        <v>1.1527849890859341E-2</v>
      </c>
      <c r="G21" s="75">
        <v>2.1245758991761399E-2</v>
      </c>
      <c r="H21" s="87">
        <v>-9.7350505944282517E-3</v>
      </c>
      <c r="I21" s="70">
        <v>8.6715720067402677E-2</v>
      </c>
      <c r="J21" s="75">
        <v>0.6948312903169086</v>
      </c>
      <c r="K21" s="87">
        <v>0.90036471031101695</v>
      </c>
      <c r="L21" s="70">
        <v>8.694081683941475E-2</v>
      </c>
      <c r="M21" s="75">
        <v>0.20054140685254837</v>
      </c>
      <c r="N21" s="87">
        <v>0.26791658971132842</v>
      </c>
      <c r="O21" s="70">
        <v>3.2860540019701144E-2</v>
      </c>
      <c r="P21" s="87">
        <v>7.5797527157552474E-2</v>
      </c>
      <c r="Q21" s="92">
        <v>1E-4</v>
      </c>
    </row>
    <row r="22" spans="1:17">
      <c r="A22" s="73" t="s">
        <v>130</v>
      </c>
      <c r="B22" s="73">
        <v>5</v>
      </c>
      <c r="C22" s="75">
        <v>2.2306031296153606</v>
      </c>
      <c r="D22" s="75">
        <v>4.1818804140169252</v>
      </c>
      <c r="E22" s="87">
        <v>-1.9196383494062494</v>
      </c>
      <c r="F22" s="70">
        <v>-5.6425556640848917E-2</v>
      </c>
      <c r="G22" s="75">
        <v>-1.3629848238649878E-2</v>
      </c>
      <c r="H22" s="87">
        <v>-4.2869785333499166E-2</v>
      </c>
      <c r="I22" s="70">
        <v>0.19236565751871501</v>
      </c>
      <c r="J22" s="75">
        <v>0.53403362217198513</v>
      </c>
      <c r="K22" s="87">
        <v>0.71354933112688135</v>
      </c>
      <c r="L22" s="70">
        <v>0.15450368875507328</v>
      </c>
      <c r="M22" s="75">
        <v>0.24854873861961113</v>
      </c>
      <c r="N22" s="87">
        <v>0.26036314174086639</v>
      </c>
      <c r="O22" s="70">
        <v>6.9096150166162745E-2</v>
      </c>
      <c r="P22" s="87">
        <v>0.11115437505505554</v>
      </c>
      <c r="Q22" s="92">
        <v>1E-3</v>
      </c>
    </row>
    <row r="23" spans="1:17">
      <c r="A23" s="84" t="s">
        <v>131</v>
      </c>
      <c r="B23" s="84">
        <v>2</v>
      </c>
      <c r="C23" s="71">
        <v>23.610281721322291</v>
      </c>
      <c r="D23" s="72">
        <v>44.496601274778278</v>
      </c>
      <c r="E23" s="88">
        <v>-19.987003817886759</v>
      </c>
      <c r="F23" s="71">
        <v>-1.3780518770489802E-2</v>
      </c>
      <c r="G23" s="72">
        <v>4.0931349724049326E-2</v>
      </c>
      <c r="H23" s="88">
        <v>-5.473243239950687E-2</v>
      </c>
      <c r="I23" s="71">
        <v>1.8051828094179212</v>
      </c>
      <c r="J23" s="72">
        <v>3.2932821394815104</v>
      </c>
      <c r="K23" s="88">
        <v>1.3980302007119496</v>
      </c>
      <c r="L23" s="71">
        <v>4.1208991129273641E-2</v>
      </c>
      <c r="M23" s="72">
        <v>6.4222229384706689E-2</v>
      </c>
      <c r="N23" s="88">
        <v>2.3066916629008574E-2</v>
      </c>
      <c r="O23" s="71">
        <v>2.9139157073365674E-2</v>
      </c>
      <c r="P23" s="88">
        <v>4.5411973900844053E-2</v>
      </c>
      <c r="Q23" s="93">
        <v>0.01</v>
      </c>
    </row>
    <row r="24" spans="1:17" ht="32.25" customHeight="1">
      <c r="A24" s="122" t="s">
        <v>133</v>
      </c>
      <c r="B24" s="73"/>
      <c r="C24" s="70"/>
      <c r="D24" s="75"/>
      <c r="E24" s="87"/>
      <c r="F24" s="70"/>
      <c r="G24" s="75"/>
      <c r="H24" s="87"/>
      <c r="I24" s="70"/>
      <c r="J24" s="75"/>
      <c r="K24" s="87"/>
      <c r="L24" s="70"/>
      <c r="M24" s="75"/>
      <c r="N24" s="87"/>
      <c r="O24" s="70"/>
      <c r="P24" s="87"/>
      <c r="Q24" s="92"/>
    </row>
    <row r="25" spans="1:17">
      <c r="A25" s="73" t="s">
        <v>134</v>
      </c>
      <c r="B25" s="73">
        <v>9</v>
      </c>
      <c r="C25" s="70">
        <v>1.0355325668813562</v>
      </c>
      <c r="D25" s="75">
        <v>2.0350281517461042</v>
      </c>
      <c r="E25" s="87">
        <v>-0.98276396987236525</v>
      </c>
      <c r="F25" s="70">
        <v>-6.0223774745361683E-2</v>
      </c>
      <c r="G25" s="75">
        <v>-6.4918123248060136E-2</v>
      </c>
      <c r="H25" s="87">
        <v>4.7201308105056699E-3</v>
      </c>
      <c r="I25" s="70">
        <v>0.22962160347440674</v>
      </c>
      <c r="J25" s="75">
        <v>0.71021875814275559</v>
      </c>
      <c r="K25" s="87">
        <v>0.63874644224838117</v>
      </c>
      <c r="L25" s="70">
        <v>0.2531667642249768</v>
      </c>
      <c r="M25" s="75">
        <v>0.47868685877321659</v>
      </c>
      <c r="N25" s="87">
        <v>0.42864358370084737</v>
      </c>
      <c r="O25" s="70">
        <v>8.4388921408325601E-2</v>
      </c>
      <c r="P25" s="75">
        <v>0.15956228625773886</v>
      </c>
      <c r="Q25" s="91">
        <f>4.89*10^-4</f>
        <v>4.8899999999999996E-4</v>
      </c>
    </row>
    <row r="26" spans="1:17">
      <c r="A26" s="84" t="s">
        <v>135</v>
      </c>
      <c r="B26" s="84">
        <v>4</v>
      </c>
      <c r="C26" s="71">
        <v>1.1628388143219981</v>
      </c>
      <c r="D26" s="72">
        <v>3.5524125845131649</v>
      </c>
      <c r="E26" s="88">
        <v>-2.4065734617863823</v>
      </c>
      <c r="F26" s="71">
        <v>-0.96581277314519709</v>
      </c>
      <c r="G26" s="72">
        <v>-0.40451031054070108</v>
      </c>
      <c r="H26" s="88">
        <v>-0.56152943518797405</v>
      </c>
      <c r="I26" s="71">
        <v>0.14461274555348577</v>
      </c>
      <c r="J26" s="72">
        <v>0.12796644275427282</v>
      </c>
      <c r="K26" s="88">
        <v>0.10209258188310201</v>
      </c>
      <c r="L26" s="71">
        <v>6.5474354076860905E-2</v>
      </c>
      <c r="M26" s="72">
        <v>7.1190185860098718E-2</v>
      </c>
      <c r="N26" s="88">
        <v>9.1828797041878379E-2</v>
      </c>
      <c r="O26" s="71">
        <v>3.2737177038430453E-2</v>
      </c>
      <c r="P26" s="88">
        <v>3.5595092930049359E-2</v>
      </c>
      <c r="Q26" s="93">
        <v>1E-3</v>
      </c>
    </row>
  </sheetData>
  <mergeCells count="6">
    <mergeCell ref="Q3:Q4"/>
    <mergeCell ref="C3:E3"/>
    <mergeCell ref="F3:H3"/>
    <mergeCell ref="I3:K3"/>
    <mergeCell ref="L3:N3"/>
    <mergeCell ref="O3:P3"/>
  </mergeCells>
  <conditionalFormatting sqref="B4">
    <cfRule type="containsBlanks" priority="9" stopIfTrue="1">
      <formula>LEN(TRIM(B4))=0</formula>
    </cfRule>
    <cfRule type="colorScale" priority="14">
      <colorScale>
        <cfvo type="min"/>
        <cfvo type="num" val="5"/>
        <color rgb="FFFFFFFF"/>
        <color rgb="FF00B050"/>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 S2</vt:lpstr>
      <vt:lpstr>TABLE S4</vt:lpstr>
      <vt:lpstr>TABLE S3</vt:lpstr>
      <vt:lpstr>TABLE S5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ahassler</dc:creator>
  <cp:keywords/>
  <dc:description/>
  <cp:lastModifiedBy>Hassler, Auguste</cp:lastModifiedBy>
  <cp:revision/>
  <dcterms:created xsi:type="dcterms:W3CDTF">2015-06-05T18:19:34Z</dcterms:created>
  <dcterms:modified xsi:type="dcterms:W3CDTF">2026-05-07T22:14:18Z</dcterms:modified>
  <cp:category/>
  <cp:contentStatus/>
</cp:coreProperties>
</file>