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8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9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0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\\10.99.9.5\cpal\ICP\Employee chemical section\Alaa\Submissions -Journals\5. Journal of Analytical Atomic Spectrometry\Revised Manuscript\New folder\"/>
    </mc:Choice>
  </mc:AlternateContent>
  <xr:revisionPtr revIDLastSave="0" documentId="13_ncr:1_{3F3A4E3D-DE92-4EE6-A3F5-8791A7304C15}" xr6:coauthVersionLast="47" xr6:coauthVersionMax="47" xr10:uidLastSave="{00000000-0000-0000-0000-000000000000}"/>
  <bookViews>
    <workbookView xWindow="-120" yWindow="-120" windowWidth="29040" windowHeight="15720" firstSheet="3" activeTab="3" xr2:uid="{00000000-000D-0000-FFFF-FFFF00000000}"/>
  </bookViews>
  <sheets>
    <sheet name="Evaluation of Digestion Methods" sheetId="1" r:id="rId1"/>
    <sheet name="Bulk -Z score and Recovery" sheetId="2" r:id="rId2"/>
    <sheet name="Shapiro-Wilk Bulk Sample" sheetId="6" r:id="rId3"/>
    <sheet name="Bulk Samples - ANOVA" sheetId="3" r:id="rId4"/>
    <sheet name="Conc -Z score and Recovery " sheetId="4" r:id="rId5"/>
    <sheet name="Shapiro-Wilk Concentrate Sample" sheetId="7" r:id="rId6"/>
    <sheet name="Concentrate Samples - ANOVA" sheetId="5" r:id="rId7"/>
  </sheets>
  <externalReferences>
    <externalReference r:id="rId8"/>
    <externalReference r:id="rId9"/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13" i="3" l="1"/>
  <c r="G69" i="6"/>
  <c r="G68" i="6"/>
  <c r="G67" i="6" a="1"/>
  <c r="G67" i="6" s="1"/>
  <c r="G66" i="6"/>
  <c r="F69" i="6"/>
  <c r="F68" i="6"/>
  <c r="F67" i="6" a="1"/>
  <c r="F67" i="6" s="1"/>
  <c r="F66" i="6"/>
  <c r="E69" i="6"/>
  <c r="E68" i="6"/>
  <c r="E67" i="6" a="1"/>
  <c r="E67" i="6" s="1"/>
  <c r="E66" i="6"/>
  <c r="D69" i="6"/>
  <c r="D68" i="6"/>
  <c r="D67" i="6" a="1"/>
  <c r="D67" i="6" s="1"/>
  <c r="D66" i="6"/>
  <c r="C69" i="6"/>
  <c r="C68" i="6"/>
  <c r="C67" i="6" a="1"/>
  <c r="C67" i="6" s="1"/>
  <c r="C66" i="6"/>
  <c r="B69" i="6"/>
  <c r="B68" i="6"/>
  <c r="B67" i="6" a="1"/>
  <c r="B67" i="6" s="1"/>
  <c r="B66" i="6"/>
  <c r="G50" i="7"/>
  <c r="G49" i="7"/>
  <c r="G48" i="7" a="1"/>
  <c r="G48" i="7" s="1"/>
  <c r="G47" i="7"/>
  <c r="F50" i="7"/>
  <c r="F49" i="7"/>
  <c r="F48" i="7" a="1"/>
  <c r="F48" i="7" s="1"/>
  <c r="F47" i="7"/>
  <c r="E50" i="7"/>
  <c r="E49" i="7"/>
  <c r="E48" i="7" a="1"/>
  <c r="E48" i="7"/>
  <c r="E47" i="7"/>
  <c r="D50" i="7"/>
  <c r="D49" i="7"/>
  <c r="D48" i="7" a="1"/>
  <c r="D48" i="7" s="1"/>
  <c r="D47" i="7"/>
  <c r="C50" i="7"/>
  <c r="C49" i="7"/>
  <c r="C48" i="7" a="1"/>
  <c r="C48" i="7" s="1"/>
  <c r="C47" i="7"/>
  <c r="B50" i="7"/>
  <c r="B49" i="7"/>
  <c r="B48" i="7" a="1"/>
  <c r="B48" i="7" s="1"/>
  <c r="B47" i="7"/>
  <c r="W24" i="7"/>
  <c r="W23" i="7"/>
  <c r="W22" i="7"/>
  <c r="U24" i="7"/>
  <c r="U23" i="7"/>
  <c r="U22" i="7"/>
  <c r="S24" i="7"/>
  <c r="E32" i="7" s="1"/>
  <c r="S23" i="7"/>
  <c r="S22" i="7"/>
  <c r="Q24" i="7"/>
  <c r="Q23" i="7"/>
  <c r="Q22" i="7"/>
  <c r="O24" i="7"/>
  <c r="C32" i="7" s="1"/>
  <c r="C33" i="7" s="1"/>
  <c r="O23" i="7"/>
  <c r="O22" i="7"/>
  <c r="M24" i="7"/>
  <c r="M23" i="7"/>
  <c r="M22" i="7"/>
  <c r="G31" i="7" a="1"/>
  <c r="G31" i="7" s="1"/>
  <c r="G30" i="7"/>
  <c r="F31" i="7" a="1"/>
  <c r="F31" i="7" s="1"/>
  <c r="F30" i="7"/>
  <c r="E31" i="7" a="1"/>
  <c r="E31" i="7" s="1"/>
  <c r="E30" i="7"/>
  <c r="D31" i="7" a="1"/>
  <c r="D31" i="7"/>
  <c r="D30" i="7"/>
  <c r="C31" i="7" a="1"/>
  <c r="C31" i="7"/>
  <c r="C30" i="7"/>
  <c r="B31" i="7" a="1"/>
  <c r="B31" i="7" s="1"/>
  <c r="B30" i="7"/>
  <c r="G51" i="6"/>
  <c r="G50" i="6"/>
  <c r="G49" i="6" a="1"/>
  <c r="G49" i="6"/>
  <c r="G48" i="6"/>
  <c r="F51" i="6"/>
  <c r="F50" i="6"/>
  <c r="F49" i="6" a="1"/>
  <c r="F49" i="6" s="1"/>
  <c r="F48" i="6"/>
  <c r="E51" i="6"/>
  <c r="E50" i="6"/>
  <c r="E49" i="6" a="1"/>
  <c r="E49" i="6" s="1"/>
  <c r="E48" i="6"/>
  <c r="D51" i="6"/>
  <c r="D50" i="6"/>
  <c r="D49" i="6" a="1"/>
  <c r="D49" i="6" s="1"/>
  <c r="D48" i="6"/>
  <c r="C51" i="6"/>
  <c r="C50" i="6"/>
  <c r="C49" i="6" a="1"/>
  <c r="C49" i="6" s="1"/>
  <c r="C48" i="6"/>
  <c r="B51" i="6"/>
  <c r="B50" i="6"/>
  <c r="B49" i="6" a="1"/>
  <c r="B49" i="6" s="1"/>
  <c r="B48" i="6"/>
  <c r="G32" i="6"/>
  <c r="G31" i="6" a="1"/>
  <c r="G31" i="6" s="1"/>
  <c r="G30" i="6"/>
  <c r="F33" i="6"/>
  <c r="F32" i="6"/>
  <c r="F31" i="6" a="1"/>
  <c r="F31" i="6"/>
  <c r="F30" i="6"/>
  <c r="E33" i="6"/>
  <c r="E32" i="6"/>
  <c r="E31" i="6" a="1"/>
  <c r="E31" i="6"/>
  <c r="E30" i="6"/>
  <c r="D33" i="6"/>
  <c r="D32" i="6"/>
  <c r="D31" i="6" a="1"/>
  <c r="D31" i="6"/>
  <c r="D30" i="6"/>
  <c r="C30" i="6"/>
  <c r="C31" i="6" s="1" a="1"/>
  <c r="C31" i="6" s="1"/>
  <c r="B33" i="6"/>
  <c r="B32" i="6"/>
  <c r="B31" i="6" a="1"/>
  <c r="B31" i="6" s="1"/>
  <c r="B30" i="6"/>
  <c r="G16" i="6"/>
  <c r="G15" i="6"/>
  <c r="G14" i="6" a="1"/>
  <c r="G14" i="6" s="1"/>
  <c r="G13" i="6"/>
  <c r="F16" i="6"/>
  <c r="F15" i="6"/>
  <c r="F14" i="6" a="1"/>
  <c r="F14" i="6" s="1"/>
  <c r="F13" i="6"/>
  <c r="E16" i="6"/>
  <c r="E15" i="6"/>
  <c r="E14" i="6" a="1"/>
  <c r="E14" i="6" s="1"/>
  <c r="E13" i="6"/>
  <c r="D16" i="6"/>
  <c r="D15" i="6"/>
  <c r="D14" i="6" a="1"/>
  <c r="D14" i="6"/>
  <c r="D13" i="6"/>
  <c r="C16" i="6"/>
  <c r="C15" i="6"/>
  <c r="C14" i="6" a="1"/>
  <c r="C14" i="6" s="1"/>
  <c r="C13" i="6"/>
  <c r="B16" i="6"/>
  <c r="B15" i="6"/>
  <c r="B14" i="6" a="1"/>
  <c r="B14" i="6" s="1"/>
  <c r="B13" i="6"/>
  <c r="M42" i="6"/>
  <c r="M41" i="6"/>
  <c r="M40" i="6"/>
  <c r="W24" i="6"/>
  <c r="W23" i="6"/>
  <c r="W22" i="6"/>
  <c r="U24" i="6"/>
  <c r="U23" i="6"/>
  <c r="U22" i="6"/>
  <c r="S24" i="6"/>
  <c r="S23" i="6"/>
  <c r="S22" i="6"/>
  <c r="Q24" i="6"/>
  <c r="Q23" i="6"/>
  <c r="Q22" i="6"/>
  <c r="O24" i="6"/>
  <c r="O23" i="6"/>
  <c r="O22" i="6"/>
  <c r="M24" i="6"/>
  <c r="M23" i="6"/>
  <c r="M22" i="6"/>
  <c r="Q7" i="7"/>
  <c r="Q6" i="7"/>
  <c r="Q5" i="7"/>
  <c r="O5" i="7"/>
  <c r="O7" i="7"/>
  <c r="O6" i="7"/>
  <c r="M7" i="7"/>
  <c r="M6" i="7"/>
  <c r="M5" i="7"/>
  <c r="G32" i="7" l="1"/>
  <c r="G33" i="7" s="1"/>
  <c r="G34" i="7" s="1"/>
  <c r="F32" i="7"/>
  <c r="F33" i="7" s="1"/>
  <c r="F34" i="7" s="1"/>
  <c r="D32" i="7"/>
  <c r="D33" i="7" s="1"/>
  <c r="D34" i="7" s="1"/>
  <c r="B32" i="7"/>
  <c r="B33" i="7" s="1"/>
  <c r="B34" i="7" s="1"/>
  <c r="E33" i="7"/>
  <c r="F34" i="6"/>
  <c r="D34" i="6"/>
  <c r="C32" i="6"/>
  <c r="C33" i="6" s="1"/>
  <c r="C34" i="6" s="1"/>
  <c r="B34" i="6"/>
  <c r="C34" i="7"/>
  <c r="E34" i="7"/>
  <c r="G33" i="6"/>
  <c r="G34" i="6" s="1"/>
  <c r="E34" i="6"/>
  <c r="T21" i="1" l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B29" i="1"/>
  <c r="B21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B13" i="1"/>
  <c r="B36" i="1"/>
  <c r="B28" i="1"/>
  <c r="B20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B12" i="1"/>
  <c r="G65" i="7" l="1"/>
  <c r="G66" i="7" s="1"/>
  <c r="F65" i="7"/>
  <c r="F66" i="7" s="1"/>
  <c r="E65" i="7"/>
  <c r="E66" i="7" s="1"/>
  <c r="D65" i="7"/>
  <c r="D66" i="7" s="1"/>
  <c r="C65" i="7"/>
  <c r="C66" i="7" s="1"/>
  <c r="B65" i="7"/>
  <c r="B66" i="7" s="1"/>
  <c r="W59" i="7"/>
  <c r="U59" i="7"/>
  <c r="S59" i="7"/>
  <c r="Q59" i="7"/>
  <c r="O59" i="7"/>
  <c r="M59" i="7"/>
  <c r="W58" i="7"/>
  <c r="U58" i="7"/>
  <c r="S58" i="7"/>
  <c r="Q58" i="7"/>
  <c r="O58" i="7"/>
  <c r="M58" i="7"/>
  <c r="W57" i="7"/>
  <c r="U57" i="7"/>
  <c r="F67" i="7" s="1"/>
  <c r="S57" i="7"/>
  <c r="E67" i="7" s="1"/>
  <c r="Q57" i="7"/>
  <c r="D67" i="7" s="1"/>
  <c r="O57" i="7"/>
  <c r="M57" i="7"/>
  <c r="B67" i="7" s="1"/>
  <c r="W41" i="7"/>
  <c r="U41" i="7"/>
  <c r="S41" i="7"/>
  <c r="Q41" i="7"/>
  <c r="O41" i="7"/>
  <c r="M41" i="7"/>
  <c r="W40" i="7"/>
  <c r="U40" i="7"/>
  <c r="S40" i="7"/>
  <c r="Q40" i="7"/>
  <c r="O40" i="7"/>
  <c r="M40" i="7"/>
  <c r="W39" i="7"/>
  <c r="U39" i="7"/>
  <c r="S39" i="7"/>
  <c r="Q39" i="7"/>
  <c r="O39" i="7"/>
  <c r="M39" i="7"/>
  <c r="G13" i="7"/>
  <c r="G14" i="7" s="1"/>
  <c r="F13" i="7"/>
  <c r="F14" i="7" s="1"/>
  <c r="E13" i="7"/>
  <c r="E14" i="7" s="1"/>
  <c r="D13" i="7"/>
  <c r="D14" i="7" s="1"/>
  <c r="C13" i="7"/>
  <c r="C14" i="7" s="1"/>
  <c r="B13" i="7"/>
  <c r="B14" i="7" s="1"/>
  <c r="W7" i="7"/>
  <c r="U7" i="7"/>
  <c r="S7" i="7"/>
  <c r="W6" i="7"/>
  <c r="U6" i="7"/>
  <c r="S6" i="7"/>
  <c r="W5" i="7"/>
  <c r="U5" i="7"/>
  <c r="S5" i="7"/>
  <c r="O5" i="6"/>
  <c r="M5" i="6"/>
  <c r="W60" i="6"/>
  <c r="U60" i="6"/>
  <c r="S60" i="6"/>
  <c r="Q60" i="6"/>
  <c r="O60" i="6"/>
  <c r="M60" i="6"/>
  <c r="W59" i="6"/>
  <c r="U59" i="6"/>
  <c r="S59" i="6"/>
  <c r="Q59" i="6"/>
  <c r="O59" i="6"/>
  <c r="M59" i="6"/>
  <c r="W58" i="6"/>
  <c r="U58" i="6"/>
  <c r="S58" i="6"/>
  <c r="Q58" i="6"/>
  <c r="O58" i="6"/>
  <c r="M58" i="6"/>
  <c r="W42" i="6"/>
  <c r="U42" i="6"/>
  <c r="S42" i="6"/>
  <c r="Q42" i="6"/>
  <c r="O42" i="6"/>
  <c r="W41" i="6"/>
  <c r="U41" i="6"/>
  <c r="S41" i="6"/>
  <c r="Q41" i="6"/>
  <c r="O41" i="6"/>
  <c r="W40" i="6"/>
  <c r="U40" i="6"/>
  <c r="S40" i="6"/>
  <c r="Q40" i="6"/>
  <c r="O40" i="6"/>
  <c r="W7" i="6"/>
  <c r="U7" i="6"/>
  <c r="S7" i="6"/>
  <c r="Q7" i="6"/>
  <c r="O7" i="6"/>
  <c r="M7" i="6"/>
  <c r="W6" i="6"/>
  <c r="U6" i="6"/>
  <c r="S6" i="6"/>
  <c r="Q6" i="6"/>
  <c r="O6" i="6"/>
  <c r="M6" i="6"/>
  <c r="W5" i="6"/>
  <c r="U5" i="6"/>
  <c r="S5" i="6"/>
  <c r="Q5" i="6"/>
  <c r="G67" i="7" l="1"/>
  <c r="B15" i="7"/>
  <c r="B16" i="7" s="1"/>
  <c r="B17" i="7" s="1"/>
  <c r="C67" i="7"/>
  <c r="D15" i="7"/>
  <c r="D16" i="7" s="1"/>
  <c r="D17" i="7" s="1"/>
  <c r="E15" i="7"/>
  <c r="D68" i="7"/>
  <c r="D69" i="7" s="1"/>
  <c r="B68" i="7"/>
  <c r="B69" i="7" s="1"/>
  <c r="F68" i="7"/>
  <c r="F69" i="7" s="1"/>
  <c r="C68" i="7"/>
  <c r="C69" i="7" s="1"/>
  <c r="G68" i="7"/>
  <c r="G69" i="7" s="1"/>
  <c r="E68" i="7"/>
  <c r="E69" i="7" s="1"/>
  <c r="C51" i="7"/>
  <c r="D51" i="7"/>
  <c r="B51" i="7"/>
  <c r="F51" i="7"/>
  <c r="E51" i="7"/>
  <c r="F15" i="7"/>
  <c r="F16" i="7" s="1"/>
  <c r="F17" i="7" s="1"/>
  <c r="C15" i="7"/>
  <c r="C16" i="7" s="1"/>
  <c r="C17" i="7" s="1"/>
  <c r="G15" i="7"/>
  <c r="G16" i="7" s="1"/>
  <c r="G17" i="7" s="1"/>
  <c r="E16" i="7"/>
  <c r="E17" i="7" s="1"/>
  <c r="G51" i="7"/>
  <c r="B70" i="6"/>
  <c r="C70" i="6"/>
  <c r="D17" i="6"/>
  <c r="E17" i="6"/>
  <c r="C52" i="6"/>
  <c r="G17" i="6"/>
  <c r="B52" i="6"/>
  <c r="C17" i="6"/>
  <c r="D52" i="6"/>
  <c r="E52" i="6"/>
  <c r="B17" i="6"/>
  <c r="D70" i="6"/>
  <c r="E70" i="6"/>
  <c r="F52" i="6"/>
  <c r="F70" i="6"/>
  <c r="F17" i="6"/>
  <c r="G52" i="6"/>
  <c r="G70" i="6"/>
  <c r="G68" i="5"/>
  <c r="B174" i="3"/>
  <c r="B175" i="3"/>
  <c r="B176" i="3"/>
  <c r="B177" i="3"/>
  <c r="B168" i="3"/>
  <c r="B171" i="3" s="1"/>
  <c r="B173" i="3" l="1"/>
  <c r="B172" i="3"/>
  <c r="B14" i="5"/>
  <c r="B17" i="5" s="1"/>
  <c r="G221" i="5"/>
  <c r="G220" i="5"/>
  <c r="G219" i="5"/>
  <c r="G218" i="5"/>
  <c r="G213" i="5"/>
  <c r="G216" i="5" s="1"/>
  <c r="D205" i="5"/>
  <c r="C205" i="5"/>
  <c r="B205" i="5"/>
  <c r="G185" i="5"/>
  <c r="G184" i="5"/>
  <c r="G183" i="5"/>
  <c r="G182" i="5"/>
  <c r="G176" i="5"/>
  <c r="G179" i="5" s="1"/>
  <c r="D168" i="5"/>
  <c r="C168" i="5"/>
  <c r="B168" i="5"/>
  <c r="G146" i="5"/>
  <c r="G145" i="5"/>
  <c r="G144" i="5"/>
  <c r="G143" i="5"/>
  <c r="G137" i="5"/>
  <c r="G140" i="5" s="1"/>
  <c r="D129" i="5"/>
  <c r="C129" i="5"/>
  <c r="B129" i="5"/>
  <c r="G109" i="5"/>
  <c r="G108" i="5"/>
  <c r="G107" i="5"/>
  <c r="G106" i="5"/>
  <c r="G100" i="5"/>
  <c r="G101" i="5" s="1"/>
  <c r="D92" i="5"/>
  <c r="C92" i="5"/>
  <c r="B92" i="5"/>
  <c r="G70" i="5"/>
  <c r="G69" i="5"/>
  <c r="G67" i="5"/>
  <c r="G61" i="5"/>
  <c r="D53" i="5"/>
  <c r="C53" i="5"/>
  <c r="B53" i="5"/>
  <c r="D14" i="5"/>
  <c r="C14" i="5"/>
  <c r="B12" i="4"/>
  <c r="D12" i="4"/>
  <c r="F12" i="4"/>
  <c r="H12" i="4"/>
  <c r="J12" i="4"/>
  <c r="L12" i="4"/>
  <c r="B13" i="4"/>
  <c r="D13" i="4"/>
  <c r="F13" i="4"/>
  <c r="H13" i="4"/>
  <c r="J13" i="4"/>
  <c r="L13" i="4"/>
  <c r="B22" i="4"/>
  <c r="D22" i="4"/>
  <c r="F22" i="4"/>
  <c r="H22" i="4"/>
  <c r="J22" i="4"/>
  <c r="L22" i="4"/>
  <c r="B23" i="4"/>
  <c r="D23" i="4"/>
  <c r="F23" i="4"/>
  <c r="H23" i="4"/>
  <c r="J23" i="4"/>
  <c r="L23" i="4"/>
  <c r="B32" i="4"/>
  <c r="D32" i="4"/>
  <c r="F32" i="4"/>
  <c r="H32" i="4"/>
  <c r="J32" i="4"/>
  <c r="L32" i="4"/>
  <c r="B33" i="4"/>
  <c r="D33" i="4"/>
  <c r="F33" i="4"/>
  <c r="H33" i="4"/>
  <c r="J33" i="4"/>
  <c r="L33" i="4"/>
  <c r="L34" i="4" s="1"/>
  <c r="M35" i="4"/>
  <c r="M40" i="4"/>
  <c r="B42" i="4"/>
  <c r="D42" i="4"/>
  <c r="F42" i="4"/>
  <c r="H42" i="4"/>
  <c r="J42" i="4"/>
  <c r="L42" i="4"/>
  <c r="B43" i="4"/>
  <c r="D43" i="4"/>
  <c r="F43" i="4"/>
  <c r="G38" i="4" s="1"/>
  <c r="H43" i="4"/>
  <c r="I38" i="4" s="1"/>
  <c r="J43" i="4"/>
  <c r="K38" i="4" s="1"/>
  <c r="L43" i="4"/>
  <c r="B171" i="5" l="1"/>
  <c r="B173" i="5"/>
  <c r="B174" i="5"/>
  <c r="B177" i="5"/>
  <c r="B172" i="5"/>
  <c r="B175" i="5"/>
  <c r="B176" i="5"/>
  <c r="G64" i="5"/>
  <c r="G62" i="5"/>
  <c r="B133" i="5"/>
  <c r="B134" i="5"/>
  <c r="B135" i="5"/>
  <c r="B137" i="5"/>
  <c r="B132" i="5"/>
  <c r="B136" i="5"/>
  <c r="B138" i="5"/>
  <c r="B59" i="5"/>
  <c r="B61" i="5"/>
  <c r="B56" i="5"/>
  <c r="B57" i="5"/>
  <c r="B62" i="5"/>
  <c r="B58" i="5"/>
  <c r="B60" i="5"/>
  <c r="C61" i="5"/>
  <c r="C62" i="5"/>
  <c r="C59" i="5"/>
  <c r="C57" i="5"/>
  <c r="C58" i="5"/>
  <c r="C60" i="5"/>
  <c r="C56" i="5"/>
  <c r="D62" i="5"/>
  <c r="D57" i="5"/>
  <c r="D60" i="5"/>
  <c r="D61" i="5"/>
  <c r="D58" i="5"/>
  <c r="D59" i="5"/>
  <c r="D56" i="5"/>
  <c r="B212" i="5"/>
  <c r="B213" i="5"/>
  <c r="B208" i="5"/>
  <c r="B209" i="5"/>
  <c r="B210" i="5"/>
  <c r="B214" i="5"/>
  <c r="B211" i="5"/>
  <c r="C214" i="5"/>
  <c r="C212" i="5"/>
  <c r="C208" i="5"/>
  <c r="C209" i="5"/>
  <c r="C210" i="5"/>
  <c r="C213" i="5"/>
  <c r="C211" i="5"/>
  <c r="D213" i="5"/>
  <c r="D214" i="5"/>
  <c r="D209" i="5"/>
  <c r="D210" i="5"/>
  <c r="D212" i="5"/>
  <c r="D208" i="5"/>
  <c r="D211" i="5"/>
  <c r="C134" i="5"/>
  <c r="C138" i="5"/>
  <c r="C132" i="5"/>
  <c r="C133" i="5"/>
  <c r="C135" i="5"/>
  <c r="C136" i="5"/>
  <c r="C137" i="5"/>
  <c r="D134" i="5"/>
  <c r="D135" i="5"/>
  <c r="D136" i="5"/>
  <c r="D138" i="5"/>
  <c r="D132" i="5"/>
  <c r="D133" i="5"/>
  <c r="D137" i="5"/>
  <c r="C177" i="5"/>
  <c r="C173" i="5"/>
  <c r="C174" i="5"/>
  <c r="C175" i="5"/>
  <c r="C176" i="5"/>
  <c r="C171" i="5"/>
  <c r="C172" i="5"/>
  <c r="D171" i="5"/>
  <c r="D172" i="5"/>
  <c r="D173" i="5"/>
  <c r="D176" i="5"/>
  <c r="D177" i="5"/>
  <c r="D174" i="5"/>
  <c r="D175" i="5"/>
  <c r="B96" i="5"/>
  <c r="B97" i="5"/>
  <c r="B98" i="5"/>
  <c r="B99" i="5"/>
  <c r="B100" i="5"/>
  <c r="B95" i="5"/>
  <c r="B101" i="5"/>
  <c r="C96" i="5"/>
  <c r="C97" i="5"/>
  <c r="C98" i="5"/>
  <c r="C99" i="5"/>
  <c r="C100" i="5"/>
  <c r="C95" i="5"/>
  <c r="C101" i="5"/>
  <c r="D101" i="5"/>
  <c r="D99" i="5"/>
  <c r="D100" i="5"/>
  <c r="D96" i="5"/>
  <c r="D97" i="5"/>
  <c r="D98" i="5"/>
  <c r="D95" i="5"/>
  <c r="M16" i="4"/>
  <c r="G26" i="4"/>
  <c r="C36" i="4"/>
  <c r="M37" i="4"/>
  <c r="I27" i="4"/>
  <c r="K16" i="4"/>
  <c r="G178" i="5"/>
  <c r="C17" i="5"/>
  <c r="C18" i="5"/>
  <c r="C19" i="5"/>
  <c r="C20" i="5"/>
  <c r="C21" i="5"/>
  <c r="C22" i="5"/>
  <c r="C23" i="5"/>
  <c r="D18" i="5"/>
  <c r="D20" i="5"/>
  <c r="D21" i="5"/>
  <c r="D22" i="5"/>
  <c r="D23" i="5"/>
  <c r="D19" i="5"/>
  <c r="D17" i="5"/>
  <c r="G103" i="5"/>
  <c r="G102" i="5"/>
  <c r="B18" i="5"/>
  <c r="B19" i="5"/>
  <c r="B20" i="5"/>
  <c r="B21" i="5"/>
  <c r="B22" i="5"/>
  <c r="B23" i="5"/>
  <c r="G138" i="5"/>
  <c r="G139" i="5"/>
  <c r="G177" i="5"/>
  <c r="G63" i="5"/>
  <c r="G214" i="5"/>
  <c r="G215" i="5"/>
  <c r="K36" i="4"/>
  <c r="I41" i="4"/>
  <c r="G36" i="4"/>
  <c r="G37" i="4"/>
  <c r="M26" i="4"/>
  <c r="K27" i="4"/>
  <c r="C26" i="4"/>
  <c r="E26" i="4"/>
  <c r="M18" i="4"/>
  <c r="M21" i="4"/>
  <c r="M17" i="4"/>
  <c r="I18" i="4"/>
  <c r="G41" i="4"/>
  <c r="K40" i="4"/>
  <c r="G40" i="4"/>
  <c r="M39" i="4"/>
  <c r="K39" i="4"/>
  <c r="I39" i="4"/>
  <c r="G39" i="4"/>
  <c r="L44" i="4"/>
  <c r="I37" i="4"/>
  <c r="J44" i="4"/>
  <c r="H44" i="4"/>
  <c r="M36" i="4"/>
  <c r="F44" i="4"/>
  <c r="M38" i="4"/>
  <c r="I36" i="4"/>
  <c r="K35" i="4"/>
  <c r="I35" i="4"/>
  <c r="G35" i="4"/>
  <c r="K37" i="4"/>
  <c r="M41" i="4"/>
  <c r="K41" i="4"/>
  <c r="I40" i="4"/>
  <c r="E28" i="4"/>
  <c r="M27" i="4"/>
  <c r="G27" i="4"/>
  <c r="E27" i="4"/>
  <c r="C27" i="4"/>
  <c r="K26" i="4"/>
  <c r="I26" i="4"/>
  <c r="I30" i="4"/>
  <c r="G30" i="4"/>
  <c r="E30" i="4"/>
  <c r="C28" i="4"/>
  <c r="K21" i="4"/>
  <c r="I21" i="4"/>
  <c r="K18" i="4"/>
  <c r="I17" i="4"/>
  <c r="H24" i="4"/>
  <c r="K17" i="4"/>
  <c r="M7" i="4"/>
  <c r="G19" i="4"/>
  <c r="G15" i="4"/>
  <c r="G20" i="4"/>
  <c r="K9" i="4"/>
  <c r="J14" i="4"/>
  <c r="K5" i="4"/>
  <c r="K10" i="4"/>
  <c r="K6" i="4"/>
  <c r="E38" i="4"/>
  <c r="E39" i="4"/>
  <c r="E19" i="4"/>
  <c r="E15" i="4"/>
  <c r="E20" i="4"/>
  <c r="E16" i="4"/>
  <c r="H14" i="4"/>
  <c r="I5" i="4"/>
  <c r="I10" i="4"/>
  <c r="I6" i="4"/>
  <c r="I11" i="4"/>
  <c r="C38" i="4"/>
  <c r="C39" i="4"/>
  <c r="B44" i="4"/>
  <c r="C19" i="4"/>
  <c r="C15" i="4"/>
  <c r="C20" i="4"/>
  <c r="C16" i="4"/>
  <c r="F14" i="4"/>
  <c r="G5" i="4"/>
  <c r="G10" i="4"/>
  <c r="G6" i="4"/>
  <c r="G11" i="4"/>
  <c r="E5" i="4"/>
  <c r="E10" i="4"/>
  <c r="E6" i="4"/>
  <c r="E11" i="4"/>
  <c r="C5" i="4"/>
  <c r="C10" i="4"/>
  <c r="C6" i="4"/>
  <c r="C11" i="4"/>
  <c r="C8" i="4"/>
  <c r="E35" i="4"/>
  <c r="C35" i="4"/>
  <c r="G21" i="4"/>
  <c r="E41" i="4"/>
  <c r="E21" i="4"/>
  <c r="C41" i="4"/>
  <c r="C21" i="4"/>
  <c r="M11" i="4"/>
  <c r="G18" i="4"/>
  <c r="K11" i="4"/>
  <c r="E40" i="4"/>
  <c r="E18" i="4"/>
  <c r="I9" i="4"/>
  <c r="C40" i="4"/>
  <c r="M28" i="4"/>
  <c r="M29" i="4"/>
  <c r="C18" i="4"/>
  <c r="G9" i="4"/>
  <c r="K28" i="4"/>
  <c r="K29" i="4"/>
  <c r="J34" i="4"/>
  <c r="E9" i="4"/>
  <c r="I28" i="4"/>
  <c r="I29" i="4"/>
  <c r="H34" i="4"/>
  <c r="I25" i="4"/>
  <c r="C9" i="4"/>
  <c r="G28" i="4"/>
  <c r="G29" i="4"/>
  <c r="F34" i="4"/>
  <c r="G25" i="4"/>
  <c r="M25" i="4"/>
  <c r="M8" i="4"/>
  <c r="D44" i="4"/>
  <c r="E29" i="4"/>
  <c r="D34" i="4"/>
  <c r="E25" i="4"/>
  <c r="K25" i="4"/>
  <c r="G17" i="4"/>
  <c r="K8" i="4"/>
  <c r="C29" i="4"/>
  <c r="B34" i="4"/>
  <c r="C25" i="4"/>
  <c r="C30" i="4"/>
  <c r="E17" i="4"/>
  <c r="I8" i="4"/>
  <c r="M31" i="4"/>
  <c r="C17" i="4"/>
  <c r="G8" i="4"/>
  <c r="E37" i="4"/>
  <c r="K31" i="4"/>
  <c r="E8" i="4"/>
  <c r="C37" i="4"/>
  <c r="I31" i="4"/>
  <c r="F24" i="4"/>
  <c r="G31" i="4"/>
  <c r="D24" i="4"/>
  <c r="I16" i="4"/>
  <c r="K7" i="4"/>
  <c r="E31" i="4"/>
  <c r="B24" i="4"/>
  <c r="G16" i="4"/>
  <c r="I7" i="4"/>
  <c r="C31" i="4"/>
  <c r="M19" i="4"/>
  <c r="L24" i="4"/>
  <c r="M15" i="4"/>
  <c r="M20" i="4"/>
  <c r="D14" i="4"/>
  <c r="G7" i="4"/>
  <c r="M30" i="4"/>
  <c r="K19" i="4"/>
  <c r="J24" i="4"/>
  <c r="K15" i="4"/>
  <c r="K20" i="4"/>
  <c r="B14" i="4"/>
  <c r="E7" i="4"/>
  <c r="E36" i="4"/>
  <c r="K30" i="4"/>
  <c r="I19" i="4"/>
  <c r="I15" i="4"/>
  <c r="I20" i="4"/>
  <c r="M9" i="4"/>
  <c r="L14" i="4"/>
  <c r="M5" i="4"/>
  <c r="M10" i="4"/>
  <c r="M6" i="4"/>
  <c r="C7" i="4"/>
  <c r="U31" i="4" l="1"/>
  <c r="T17" i="4"/>
  <c r="R15" i="4"/>
  <c r="P15" i="4"/>
  <c r="O31" i="4"/>
  <c r="T30" i="4"/>
  <c r="S30" i="4"/>
  <c r="R30" i="4"/>
  <c r="P30" i="4"/>
  <c r="O30" i="4"/>
  <c r="U29" i="4"/>
  <c r="T29" i="4"/>
  <c r="O29" i="4"/>
  <c r="O28" i="4"/>
  <c r="U27" i="4"/>
  <c r="T27" i="4"/>
  <c r="S27" i="4"/>
  <c r="R27" i="4"/>
  <c r="O27" i="4"/>
  <c r="O26" i="4"/>
  <c r="U25" i="4"/>
  <c r="T25" i="4"/>
  <c r="S25" i="4"/>
  <c r="R25" i="4"/>
  <c r="P25" i="4"/>
  <c r="O25" i="4"/>
  <c r="O21" i="4"/>
  <c r="U20" i="4"/>
  <c r="T20" i="4"/>
  <c r="S20" i="4"/>
  <c r="R20" i="4"/>
  <c r="P20" i="4"/>
  <c r="O20" i="4"/>
  <c r="O19" i="4"/>
  <c r="U18" i="4"/>
  <c r="T18" i="4"/>
  <c r="S18" i="4"/>
  <c r="R18" i="4"/>
  <c r="P18" i="4"/>
  <c r="O18" i="4"/>
  <c r="U17" i="4"/>
  <c r="O17" i="4"/>
  <c r="T16" i="4"/>
  <c r="S16" i="4"/>
  <c r="R16" i="4"/>
  <c r="P16" i="4"/>
  <c r="O16" i="4"/>
  <c r="U15" i="4"/>
  <c r="T15" i="4"/>
  <c r="S15" i="4"/>
  <c r="O15" i="4"/>
  <c r="P12" i="4"/>
  <c r="O11" i="4"/>
  <c r="U10" i="4"/>
  <c r="T10" i="4"/>
  <c r="S10" i="4"/>
  <c r="R10" i="4"/>
  <c r="P10" i="4"/>
  <c r="O10" i="4"/>
  <c r="O9" i="4"/>
  <c r="U8" i="4"/>
  <c r="T8" i="4"/>
  <c r="S8" i="4"/>
  <c r="R8" i="4"/>
  <c r="P8" i="4"/>
  <c r="O8" i="4"/>
  <c r="O7" i="4"/>
  <c r="U6" i="4"/>
  <c r="T6" i="4"/>
  <c r="S6" i="4"/>
  <c r="R6" i="4"/>
  <c r="P6" i="4"/>
  <c r="O6" i="4"/>
  <c r="O5" i="4"/>
  <c r="L2" i="4"/>
  <c r="J2" i="4"/>
  <c r="H2" i="4"/>
  <c r="F2" i="4"/>
  <c r="D2" i="4"/>
  <c r="B2" i="4"/>
  <c r="G221" i="3"/>
  <c r="G220" i="3"/>
  <c r="G219" i="3"/>
  <c r="G218" i="3"/>
  <c r="G216" i="3"/>
  <c r="D205" i="3"/>
  <c r="C205" i="3"/>
  <c r="B205" i="3"/>
  <c r="G185" i="3"/>
  <c r="G184" i="3"/>
  <c r="G183" i="3"/>
  <c r="G182" i="3"/>
  <c r="G176" i="3"/>
  <c r="G179" i="3" s="1"/>
  <c r="D168" i="3"/>
  <c r="C168" i="3"/>
  <c r="G146" i="3"/>
  <c r="G145" i="3"/>
  <c r="G144" i="3"/>
  <c r="G143" i="3"/>
  <c r="G137" i="3"/>
  <c r="G140" i="3" s="1"/>
  <c r="D129" i="3"/>
  <c r="C129" i="3"/>
  <c r="B129" i="3"/>
  <c r="G109" i="3"/>
  <c r="G108" i="3"/>
  <c r="G107" i="3"/>
  <c r="G106" i="3"/>
  <c r="G100" i="3"/>
  <c r="G103" i="3" s="1"/>
  <c r="D92" i="3"/>
  <c r="C92" i="3"/>
  <c r="B92" i="3"/>
  <c r="B53" i="3"/>
  <c r="G70" i="3"/>
  <c r="G69" i="3"/>
  <c r="G68" i="3"/>
  <c r="G67" i="3"/>
  <c r="G61" i="3"/>
  <c r="G64" i="3" s="1"/>
  <c r="D53" i="3"/>
  <c r="C53" i="3"/>
  <c r="B14" i="3"/>
  <c r="G30" i="3"/>
  <c r="G29" i="3"/>
  <c r="G28" i="3"/>
  <c r="G27" i="3"/>
  <c r="G22" i="3"/>
  <c r="G25" i="3" s="1"/>
  <c r="D14" i="3"/>
  <c r="C14" i="3"/>
  <c r="C17" i="3" s="1"/>
  <c r="B133" i="3" l="1"/>
  <c r="B138" i="3"/>
  <c r="B134" i="3"/>
  <c r="B136" i="3"/>
  <c r="B137" i="3"/>
  <c r="B132" i="3"/>
  <c r="B135" i="3"/>
  <c r="B62" i="3"/>
  <c r="B61" i="3"/>
  <c r="B56" i="3"/>
  <c r="B57" i="3"/>
  <c r="B58" i="3"/>
  <c r="B59" i="3"/>
  <c r="B60" i="3"/>
  <c r="D97" i="3"/>
  <c r="D98" i="3"/>
  <c r="D99" i="3"/>
  <c r="D96" i="3"/>
  <c r="D100" i="3"/>
  <c r="D95" i="3"/>
  <c r="D171" i="3"/>
  <c r="D176" i="3"/>
  <c r="D177" i="3"/>
  <c r="D172" i="3"/>
  <c r="D173" i="3"/>
  <c r="D174" i="3"/>
  <c r="D175" i="3"/>
  <c r="B20" i="3"/>
  <c r="B23" i="3"/>
  <c r="B17" i="3"/>
  <c r="B19" i="3"/>
  <c r="B18" i="3"/>
  <c r="D61" i="3"/>
  <c r="D62" i="3"/>
  <c r="D60" i="3"/>
  <c r="D56" i="3"/>
  <c r="D57" i="3"/>
  <c r="D58" i="3"/>
  <c r="D59" i="3"/>
  <c r="C97" i="3"/>
  <c r="C98" i="3"/>
  <c r="C95" i="3"/>
  <c r="C99" i="3"/>
  <c r="C100" i="3"/>
  <c r="C96" i="3"/>
  <c r="D132" i="3"/>
  <c r="D134" i="3"/>
  <c r="D137" i="3"/>
  <c r="D133" i="3"/>
  <c r="D135" i="3"/>
  <c r="D136" i="3"/>
  <c r="D138" i="3"/>
  <c r="C175" i="3"/>
  <c r="C176" i="3"/>
  <c r="C177" i="3"/>
  <c r="C173" i="3"/>
  <c r="C174" i="3"/>
  <c r="C171" i="3"/>
  <c r="C172" i="3"/>
  <c r="C62" i="3"/>
  <c r="C60" i="3"/>
  <c r="C56" i="3"/>
  <c r="C57" i="3"/>
  <c r="C58" i="3"/>
  <c r="C59" i="3"/>
  <c r="C61" i="3"/>
  <c r="B213" i="3"/>
  <c r="B214" i="3"/>
  <c r="B209" i="3"/>
  <c r="B210" i="3"/>
  <c r="B212" i="3"/>
  <c r="B208" i="3"/>
  <c r="B211" i="3"/>
  <c r="C213" i="3"/>
  <c r="C210" i="3"/>
  <c r="C214" i="3"/>
  <c r="C208" i="3"/>
  <c r="C209" i="3"/>
  <c r="C211" i="3"/>
  <c r="C212" i="3"/>
  <c r="D213" i="3"/>
  <c r="D209" i="3"/>
  <c r="D211" i="3"/>
  <c r="D214" i="3"/>
  <c r="D208" i="3"/>
  <c r="D210" i="3"/>
  <c r="D212" i="3"/>
  <c r="B98" i="3"/>
  <c r="B97" i="3"/>
  <c r="B99" i="3"/>
  <c r="B100" i="3"/>
  <c r="B95" i="3"/>
  <c r="B96" i="3"/>
  <c r="C132" i="3"/>
  <c r="C133" i="3"/>
  <c r="C134" i="3"/>
  <c r="C135" i="3"/>
  <c r="C137" i="3"/>
  <c r="C138" i="3"/>
  <c r="C136" i="3"/>
  <c r="Q25" i="4"/>
  <c r="Q18" i="4"/>
  <c r="P28" i="4"/>
  <c r="Q10" i="4"/>
  <c r="Q8" i="4"/>
  <c r="Q20" i="4"/>
  <c r="Q6" i="4"/>
  <c r="Q16" i="4"/>
  <c r="P9" i="4"/>
  <c r="Q30" i="4"/>
  <c r="U16" i="4"/>
  <c r="R26" i="4"/>
  <c r="T28" i="4"/>
  <c r="S26" i="4"/>
  <c r="U28" i="4"/>
  <c r="Q11" i="4"/>
  <c r="U26" i="4"/>
  <c r="T26" i="4"/>
  <c r="T21" i="4"/>
  <c r="U7" i="4"/>
  <c r="Q29" i="4"/>
  <c r="S31" i="4"/>
  <c r="P26" i="4"/>
  <c r="S28" i="4"/>
  <c r="P11" i="4"/>
  <c r="P7" i="4"/>
  <c r="R9" i="4"/>
  <c r="Q21" i="4"/>
  <c r="S9" i="4"/>
  <c r="R21" i="4"/>
  <c r="P5" i="4"/>
  <c r="U9" i="4"/>
  <c r="Q31" i="4"/>
  <c r="R5" i="4"/>
  <c r="T7" i="4"/>
  <c r="Q17" i="4"/>
  <c r="S19" i="4"/>
  <c r="P29" i="4"/>
  <c r="S5" i="4"/>
  <c r="R17" i="4"/>
  <c r="T5" i="4"/>
  <c r="Q15" i="4"/>
  <c r="S17" i="4"/>
  <c r="U19" i="4"/>
  <c r="P27" i="4"/>
  <c r="R29" i="4"/>
  <c r="T31" i="4"/>
  <c r="Q28" i="4"/>
  <c r="R28" i="4"/>
  <c r="Q26" i="4"/>
  <c r="U30" i="4"/>
  <c r="R11" i="4"/>
  <c r="Q9" i="4"/>
  <c r="S11" i="4"/>
  <c r="P21" i="4"/>
  <c r="T11" i="4"/>
  <c r="Q7" i="4"/>
  <c r="U11" i="4"/>
  <c r="P19" i="4"/>
  <c r="R7" i="4"/>
  <c r="T9" i="4"/>
  <c r="Q19" i="4"/>
  <c r="S21" i="4"/>
  <c r="P31" i="4"/>
  <c r="Q5" i="4"/>
  <c r="S7" i="4"/>
  <c r="P17" i="4"/>
  <c r="R19" i="4"/>
  <c r="U21" i="4"/>
  <c r="R31" i="4"/>
  <c r="T19" i="4"/>
  <c r="U5" i="4"/>
  <c r="Q27" i="4"/>
  <c r="S29" i="4"/>
  <c r="G214" i="3"/>
  <c r="G215" i="3"/>
  <c r="G177" i="3"/>
  <c r="G178" i="3"/>
  <c r="G138" i="3"/>
  <c r="G139" i="3"/>
  <c r="G101" i="3"/>
  <c r="G102" i="3"/>
  <c r="B22" i="3"/>
  <c r="G62" i="3"/>
  <c r="G63" i="3"/>
  <c r="B21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G23" i="3"/>
  <c r="G24" i="3"/>
  <c r="R32" i="4" l="1"/>
  <c r="P32" i="4"/>
  <c r="U32" i="4"/>
  <c r="T22" i="4"/>
  <c r="S22" i="4"/>
  <c r="T32" i="4"/>
  <c r="U22" i="4"/>
  <c r="P22" i="4"/>
  <c r="S32" i="4"/>
  <c r="T12" i="4"/>
  <c r="R22" i="4"/>
  <c r="S12" i="4"/>
  <c r="R12" i="4"/>
  <c r="Q12" i="4"/>
  <c r="Q32" i="4"/>
  <c r="U12" i="4"/>
  <c r="Q22" i="4"/>
  <c r="S31" i="2"/>
  <c r="R31" i="2"/>
  <c r="Q31" i="2"/>
  <c r="S30" i="2"/>
  <c r="R30" i="2"/>
  <c r="Q29" i="2"/>
  <c r="S28" i="2"/>
  <c r="R28" i="2"/>
  <c r="Q28" i="2"/>
  <c r="S27" i="2"/>
  <c r="R27" i="2"/>
  <c r="Q27" i="2"/>
  <c r="S26" i="2"/>
  <c r="R26" i="2"/>
  <c r="Q26" i="2"/>
  <c r="S21" i="2"/>
  <c r="R21" i="2"/>
  <c r="Q21" i="2"/>
  <c r="S20" i="2"/>
  <c r="R20" i="2"/>
  <c r="Q20" i="2"/>
  <c r="S19" i="2"/>
  <c r="R19" i="2"/>
  <c r="Q19" i="2"/>
  <c r="S18" i="2"/>
  <c r="R18" i="2"/>
  <c r="Q18" i="2"/>
  <c r="S16" i="2"/>
  <c r="R16" i="2"/>
  <c r="Q16" i="2"/>
  <c r="S15" i="2"/>
  <c r="R15" i="2"/>
  <c r="Q15" i="2"/>
  <c r="S9" i="2"/>
  <c r="S10" i="2"/>
  <c r="S11" i="2"/>
  <c r="S5" i="2"/>
  <c r="R6" i="2"/>
  <c r="R7" i="2"/>
  <c r="R8" i="2"/>
  <c r="R9" i="2"/>
  <c r="R10" i="2"/>
  <c r="R11" i="2"/>
  <c r="R5" i="2"/>
  <c r="Q6" i="2"/>
  <c r="Q7" i="2"/>
  <c r="Q8" i="2"/>
  <c r="Q9" i="2"/>
  <c r="Q10" i="2"/>
  <c r="Q11" i="2"/>
  <c r="Q5" i="2"/>
  <c r="O31" i="2"/>
  <c r="O30" i="2"/>
  <c r="O29" i="2"/>
  <c r="O28" i="2"/>
  <c r="O27" i="2"/>
  <c r="O26" i="2"/>
  <c r="O25" i="2"/>
  <c r="O16" i="2"/>
  <c r="O17" i="2"/>
  <c r="O18" i="2"/>
  <c r="O19" i="2"/>
  <c r="O20" i="2"/>
  <c r="O21" i="2"/>
  <c r="O15" i="2"/>
  <c r="O6" i="2"/>
  <c r="O7" i="2"/>
  <c r="O8" i="2"/>
  <c r="O9" i="2"/>
  <c r="O10" i="2"/>
  <c r="O11" i="2"/>
  <c r="O5" i="2"/>
  <c r="F13" i="2"/>
  <c r="F12" i="2"/>
  <c r="D13" i="2"/>
  <c r="B42" i="2"/>
  <c r="P5" i="2" s="1"/>
  <c r="H42" i="2"/>
  <c r="S25" i="2" s="1"/>
  <c r="F42" i="2"/>
  <c r="R25" i="2" s="1"/>
  <c r="D42" i="2"/>
  <c r="Q30" i="2" s="1"/>
  <c r="B33" i="2"/>
  <c r="H32" i="2"/>
  <c r="F32" i="2"/>
  <c r="L2" i="2"/>
  <c r="J2" i="2"/>
  <c r="H2" i="2"/>
  <c r="F2" i="2"/>
  <c r="D2" i="2"/>
  <c r="B2" i="2"/>
  <c r="P31" i="2" l="1"/>
  <c r="P8" i="2"/>
  <c r="P15" i="2"/>
  <c r="P29" i="2"/>
  <c r="R29" i="2"/>
  <c r="P6" i="2"/>
  <c r="P27" i="2"/>
  <c r="P20" i="2"/>
  <c r="S8" i="2"/>
  <c r="S29" i="2"/>
  <c r="S32" i="2" s="1"/>
  <c r="P10" i="2"/>
  <c r="P18" i="2"/>
  <c r="P17" i="2"/>
  <c r="P16" i="2"/>
  <c r="S7" i="2"/>
  <c r="Q17" i="2"/>
  <c r="P7" i="2"/>
  <c r="P19" i="2"/>
  <c r="Q22" i="2"/>
  <c r="S6" i="2"/>
  <c r="S12" i="2" s="1"/>
  <c r="R17" i="2"/>
  <c r="R22" i="2" s="1"/>
  <c r="Q25" i="2"/>
  <c r="Q32" i="2" s="1"/>
  <c r="R32" i="2"/>
  <c r="P25" i="2"/>
  <c r="P28" i="2"/>
  <c r="S17" i="2"/>
  <c r="S22" i="2" s="1"/>
  <c r="P30" i="2"/>
  <c r="P9" i="2"/>
  <c r="P26" i="2"/>
  <c r="P21" i="2"/>
  <c r="P11" i="2"/>
  <c r="R12" i="2"/>
  <c r="Q12" i="2"/>
  <c r="G8" i="2"/>
  <c r="B23" i="2"/>
  <c r="B22" i="2"/>
  <c r="L13" i="2"/>
  <c r="L12" i="2"/>
  <c r="L42" i="2"/>
  <c r="B13" i="2"/>
  <c r="B12" i="2"/>
  <c r="D32" i="2"/>
  <c r="D33" i="2"/>
  <c r="E27" i="2" s="1"/>
  <c r="J13" i="2"/>
  <c r="J12" i="2"/>
  <c r="D23" i="2"/>
  <c r="D22" i="2"/>
  <c r="H23" i="2"/>
  <c r="H22" i="2"/>
  <c r="I21" i="2" s="1"/>
  <c r="L33" i="2"/>
  <c r="G10" i="2"/>
  <c r="G5" i="2"/>
  <c r="F14" i="2"/>
  <c r="F23" i="2"/>
  <c r="F22" i="2"/>
  <c r="G11" i="2"/>
  <c r="F33" i="2"/>
  <c r="G26" i="2" s="1"/>
  <c r="G16" i="2"/>
  <c r="H33" i="2"/>
  <c r="H34" i="2" s="1"/>
  <c r="L32" i="2"/>
  <c r="J42" i="2"/>
  <c r="J33" i="2"/>
  <c r="B32" i="2"/>
  <c r="C30" i="2" s="1"/>
  <c r="H13" i="2"/>
  <c r="H12" i="2"/>
  <c r="J32" i="2"/>
  <c r="B43" i="2"/>
  <c r="J23" i="2"/>
  <c r="J22" i="2"/>
  <c r="L23" i="2"/>
  <c r="G9" i="2"/>
  <c r="G7" i="2"/>
  <c r="D43" i="2"/>
  <c r="D44" i="2" s="1"/>
  <c r="F43" i="2"/>
  <c r="F44" i="2" s="1"/>
  <c r="H43" i="2"/>
  <c r="H44" i="2" s="1"/>
  <c r="G6" i="2"/>
  <c r="D12" i="2"/>
  <c r="E5" i="2" s="1"/>
  <c r="J43" i="2"/>
  <c r="L43" i="2"/>
  <c r="L22" i="2"/>
  <c r="U27" i="2" l="1"/>
  <c r="U19" i="2"/>
  <c r="U31" i="2"/>
  <c r="U9" i="2"/>
  <c r="U26" i="2"/>
  <c r="U20" i="2"/>
  <c r="U11" i="2"/>
  <c r="U29" i="2"/>
  <c r="U6" i="2"/>
  <c r="U8" i="2"/>
  <c r="U17" i="2"/>
  <c r="U21" i="2"/>
  <c r="U7" i="2"/>
  <c r="U16" i="2"/>
  <c r="U18" i="2"/>
  <c r="U5" i="2"/>
  <c r="U30" i="2"/>
  <c r="U15" i="2"/>
  <c r="U22" i="2" s="1"/>
  <c r="U28" i="2"/>
  <c r="U10" i="2"/>
  <c r="U25" i="2"/>
  <c r="P32" i="2"/>
  <c r="T17" i="2"/>
  <c r="T11" i="2"/>
  <c r="T15" i="2"/>
  <c r="T22" i="2" s="1"/>
  <c r="T26" i="2"/>
  <c r="T6" i="2"/>
  <c r="T7" i="2"/>
  <c r="T10" i="2"/>
  <c r="T5" i="2"/>
  <c r="T16" i="2"/>
  <c r="T31" i="2"/>
  <c r="T18" i="2"/>
  <c r="T8" i="2"/>
  <c r="T9" i="2"/>
  <c r="T29" i="2"/>
  <c r="T20" i="2"/>
  <c r="T30" i="2"/>
  <c r="T21" i="2"/>
  <c r="T27" i="2"/>
  <c r="T19" i="2"/>
  <c r="T28" i="2"/>
  <c r="T25" i="2"/>
  <c r="P22" i="2"/>
  <c r="C10" i="2"/>
  <c r="P12" i="2"/>
  <c r="G21" i="2"/>
  <c r="K20" i="2"/>
  <c r="M39" i="2"/>
  <c r="I16" i="2"/>
  <c r="E19" i="2"/>
  <c r="I30" i="2"/>
  <c r="I29" i="2"/>
  <c r="E18" i="2"/>
  <c r="C17" i="2"/>
  <c r="C21" i="2"/>
  <c r="I36" i="2"/>
  <c r="C18" i="2"/>
  <c r="E37" i="2"/>
  <c r="E36" i="2"/>
  <c r="K16" i="2"/>
  <c r="K5" i="2"/>
  <c r="E26" i="2"/>
  <c r="L24" i="2"/>
  <c r="I20" i="2"/>
  <c r="I38" i="2"/>
  <c r="C5" i="2"/>
  <c r="I40" i="2"/>
  <c r="I41" i="2"/>
  <c r="M9" i="2"/>
  <c r="J24" i="2"/>
  <c r="K10" i="2"/>
  <c r="I10" i="2"/>
  <c r="D14" i="2"/>
  <c r="E7" i="2"/>
  <c r="E8" i="2"/>
  <c r="C8" i="2"/>
  <c r="C6" i="2"/>
  <c r="M36" i="2"/>
  <c r="K39" i="2"/>
  <c r="G41" i="2"/>
  <c r="G36" i="2"/>
  <c r="G35" i="2"/>
  <c r="E38" i="2"/>
  <c r="E35" i="2"/>
  <c r="E40" i="2"/>
  <c r="E39" i="2"/>
  <c r="C41" i="2"/>
  <c r="M27" i="2"/>
  <c r="M31" i="2"/>
  <c r="M25" i="2"/>
  <c r="M28" i="2"/>
  <c r="I26" i="2"/>
  <c r="E30" i="2"/>
  <c r="E28" i="2"/>
  <c r="E25" i="2"/>
  <c r="E31" i="2"/>
  <c r="E29" i="2"/>
  <c r="C25" i="2"/>
  <c r="C27" i="2"/>
  <c r="C31" i="2"/>
  <c r="C26" i="2"/>
  <c r="C28" i="2"/>
  <c r="C29" i="2"/>
  <c r="K19" i="2"/>
  <c r="I19" i="2"/>
  <c r="I18" i="2"/>
  <c r="I17" i="2"/>
  <c r="G18" i="2"/>
  <c r="G15" i="2"/>
  <c r="G20" i="2"/>
  <c r="E15" i="2"/>
  <c r="E17" i="2"/>
  <c r="C15" i="2"/>
  <c r="C20" i="2"/>
  <c r="C19" i="2"/>
  <c r="M16" i="2"/>
  <c r="J34" i="2"/>
  <c r="K27" i="2"/>
  <c r="B44" i="2"/>
  <c r="C35" i="2"/>
  <c r="C40" i="2"/>
  <c r="C39" i="2"/>
  <c r="C38" i="2"/>
  <c r="L14" i="2"/>
  <c r="M10" i="2"/>
  <c r="M8" i="2"/>
  <c r="M5" i="2"/>
  <c r="M7" i="2"/>
  <c r="M6" i="2"/>
  <c r="K41" i="2"/>
  <c r="K40" i="2"/>
  <c r="K36" i="2"/>
  <c r="K35" i="2"/>
  <c r="K38" i="2"/>
  <c r="K37" i="2"/>
  <c r="K31" i="2"/>
  <c r="M20" i="2"/>
  <c r="M15" i="2"/>
  <c r="M18" i="2"/>
  <c r="M17" i="2"/>
  <c r="M11" i="2"/>
  <c r="M21" i="2"/>
  <c r="J14" i="2"/>
  <c r="K8" i="2"/>
  <c r="K6" i="2"/>
  <c r="K11" i="2"/>
  <c r="K9" i="2"/>
  <c r="L44" i="2"/>
  <c r="M37" i="2"/>
  <c r="M40" i="2"/>
  <c r="M41" i="2"/>
  <c r="M38" i="2"/>
  <c r="K7" i="2"/>
  <c r="K30" i="2"/>
  <c r="M19" i="2"/>
  <c r="K29" i="2"/>
  <c r="F34" i="2"/>
  <c r="G31" i="2"/>
  <c r="G28" i="2"/>
  <c r="G30" i="2"/>
  <c r="G27" i="2"/>
  <c r="G25" i="2"/>
  <c r="C36" i="2"/>
  <c r="C37" i="2"/>
  <c r="G29" i="2"/>
  <c r="M35" i="2"/>
  <c r="D34" i="2"/>
  <c r="E20" i="2"/>
  <c r="K25" i="2"/>
  <c r="I7" i="2"/>
  <c r="H14" i="2"/>
  <c r="I5" i="2"/>
  <c r="G40" i="2"/>
  <c r="I28" i="2"/>
  <c r="I39" i="2"/>
  <c r="J44" i="2"/>
  <c r="M26" i="2"/>
  <c r="D24" i="2"/>
  <c r="K28" i="2"/>
  <c r="I27" i="2"/>
  <c r="E16" i="2"/>
  <c r="L34" i="2"/>
  <c r="K18" i="2"/>
  <c r="M30" i="2"/>
  <c r="C16" i="2"/>
  <c r="E21" i="2"/>
  <c r="I11" i="2"/>
  <c r="B24" i="2"/>
  <c r="I9" i="2"/>
  <c r="I31" i="2"/>
  <c r="K17" i="2"/>
  <c r="E6" i="2"/>
  <c r="I37" i="2"/>
  <c r="G17" i="2"/>
  <c r="G39" i="2"/>
  <c r="I6" i="2"/>
  <c r="K26" i="2"/>
  <c r="F24" i="2"/>
  <c r="E11" i="2"/>
  <c r="B14" i="2"/>
  <c r="C11" i="2"/>
  <c r="M29" i="2"/>
  <c r="E9" i="2"/>
  <c r="I35" i="2"/>
  <c r="E10" i="2"/>
  <c r="I25" i="2"/>
  <c r="E41" i="2"/>
  <c r="B34" i="2"/>
  <c r="K15" i="2"/>
  <c r="K21" i="2"/>
  <c r="G38" i="2"/>
  <c r="I15" i="2"/>
  <c r="C7" i="2"/>
  <c r="G37" i="2"/>
  <c r="G19" i="2"/>
  <c r="C9" i="2"/>
  <c r="H24" i="2"/>
  <c r="I8" i="2"/>
  <c r="U12" i="2" l="1"/>
  <c r="T32" i="2"/>
  <c r="T12" i="2"/>
  <c r="U3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<sst xmlns="http://schemas.openxmlformats.org/spreadsheetml/2006/main" count="1592" uniqueCount="178">
  <si>
    <t>Concentration (mg.kg-1)</t>
  </si>
  <si>
    <t>Ce</t>
  </si>
  <si>
    <t>Dy</t>
  </si>
  <si>
    <t>Er</t>
  </si>
  <si>
    <t>Eu</t>
  </si>
  <si>
    <t>Gd</t>
  </si>
  <si>
    <t>Ho</t>
  </si>
  <si>
    <t>La</t>
  </si>
  <si>
    <t>Lu</t>
  </si>
  <si>
    <t>Nd</t>
  </si>
  <si>
    <t>Pr</t>
  </si>
  <si>
    <t>Sm</t>
  </si>
  <si>
    <t>Tb</t>
  </si>
  <si>
    <t>Y</t>
  </si>
  <si>
    <t>Yb</t>
  </si>
  <si>
    <t>4-Acid method</t>
  </si>
  <si>
    <t>Sample1-1</t>
  </si>
  <si>
    <t>Sample1-2</t>
  </si>
  <si>
    <t>Sample2-1</t>
  </si>
  <si>
    <t>Sample2-2</t>
  </si>
  <si>
    <t>3-Acid method</t>
  </si>
  <si>
    <t>EPA method</t>
  </si>
  <si>
    <t>Fusion method</t>
  </si>
  <si>
    <t>Element</t>
  </si>
  <si>
    <t>Sample ID</t>
  </si>
  <si>
    <r>
      <t>Table S2: Raw data for ICP-MS analysis of Conc  monazite sample for 4 samples prepared by: 4-Acid method (HF/HCl/HNO</t>
    </r>
    <r>
      <rPr>
        <b/>
        <vertAlign val="subscript"/>
        <sz val="11"/>
        <color rgb="FFFF0000"/>
        <rFont val="Calibri"/>
        <family val="2"/>
        <scheme val="minor"/>
      </rPr>
      <t>3</t>
    </r>
    <r>
      <rPr>
        <b/>
        <sz val="11"/>
        <color rgb="FFFF0000"/>
        <rFont val="Calibri"/>
        <family val="2"/>
        <scheme val="minor"/>
      </rPr>
      <t>/HClO</t>
    </r>
    <r>
      <rPr>
        <b/>
        <vertAlign val="subscript"/>
        <sz val="11"/>
        <color rgb="FFFF0000"/>
        <rFont val="Calibri"/>
        <family val="2"/>
        <scheme val="minor"/>
      </rPr>
      <t>4</t>
    </r>
    <r>
      <rPr>
        <b/>
        <sz val="11"/>
        <color rgb="FFFF0000"/>
        <rFont val="Calibri"/>
        <family val="2"/>
        <scheme val="minor"/>
      </rPr>
      <t>); 3-Acid method = HF/HCl/HNO</t>
    </r>
    <r>
      <rPr>
        <b/>
        <vertAlign val="subscript"/>
        <sz val="11"/>
        <color rgb="FFFF0000"/>
        <rFont val="Calibri"/>
        <family val="2"/>
        <scheme val="minor"/>
      </rPr>
      <t>3</t>
    </r>
    <r>
      <rPr>
        <b/>
        <sz val="11"/>
        <color rgb="FFFF0000"/>
        <rFont val="Calibri"/>
        <family val="2"/>
        <scheme val="minor"/>
      </rPr>
      <t>; EPA method; and alkali fusion method</t>
    </r>
    <r>
      <rPr>
        <b/>
        <vertAlign val="superscript"/>
        <sz val="12"/>
        <color rgb="FFFF0000"/>
        <rFont val="Calibri"/>
        <family val="2"/>
        <scheme val="minor"/>
      </rPr>
      <t>*</t>
    </r>
  </si>
  <si>
    <r>
      <t>Table S1: Raw data for ICP-MS analysis of Bulk  monazite sample for 4 samples prepared by: 4-Acid method (HF/HCl/HNO</t>
    </r>
    <r>
      <rPr>
        <b/>
        <vertAlign val="subscript"/>
        <sz val="11"/>
        <color rgb="FFFF0000"/>
        <rFont val="Calibri"/>
        <family val="2"/>
        <scheme val="minor"/>
      </rPr>
      <t>3</t>
    </r>
    <r>
      <rPr>
        <b/>
        <sz val="11"/>
        <color rgb="FFFF0000"/>
        <rFont val="Calibri"/>
        <family val="2"/>
        <scheme val="minor"/>
      </rPr>
      <t>/HClO</t>
    </r>
    <r>
      <rPr>
        <b/>
        <vertAlign val="subscript"/>
        <sz val="11"/>
        <color rgb="FFFF0000"/>
        <rFont val="Calibri"/>
        <family val="2"/>
        <scheme val="minor"/>
      </rPr>
      <t>4</t>
    </r>
    <r>
      <rPr>
        <b/>
        <sz val="11"/>
        <color rgb="FFFF0000"/>
        <rFont val="Calibri"/>
        <family val="2"/>
        <scheme val="minor"/>
      </rPr>
      <t>); 3-Acid method = HF/HCl/HNO</t>
    </r>
    <r>
      <rPr>
        <b/>
        <vertAlign val="subscript"/>
        <sz val="11"/>
        <color rgb="FFFF0000"/>
        <rFont val="Calibri"/>
        <family val="2"/>
        <scheme val="minor"/>
      </rPr>
      <t>3</t>
    </r>
    <r>
      <rPr>
        <b/>
        <sz val="11"/>
        <color rgb="FFFF0000"/>
        <rFont val="Calibri"/>
        <family val="2"/>
        <scheme val="minor"/>
      </rPr>
      <t>; EPA method; and alkali fusion method</t>
    </r>
    <r>
      <rPr>
        <b/>
        <vertAlign val="superscript"/>
        <sz val="12"/>
        <color rgb="FFFF0000"/>
        <rFont val="Calibri"/>
        <family val="2"/>
        <scheme val="minor"/>
      </rPr>
      <t>*</t>
    </r>
  </si>
  <si>
    <t>*Each sample result represents an average of four replicate analyses</t>
  </si>
  <si>
    <t>Conc.[mg/kg]</t>
  </si>
  <si>
    <t>Z</t>
  </si>
  <si>
    <t>AVG</t>
  </si>
  <si>
    <t>STD</t>
  </si>
  <si>
    <t>RSD</t>
  </si>
  <si>
    <t>4Acid -Bulk Sample -1</t>
  </si>
  <si>
    <t>4Acid -Bulk Sample -2</t>
  </si>
  <si>
    <t>4Acid -Bulk Sample -3</t>
  </si>
  <si>
    <t>4Acid -Bulk Sample -4</t>
  </si>
  <si>
    <t>4Acid -Bulk Sample -5</t>
  </si>
  <si>
    <t>4Acid -Bulk Sample -6</t>
  </si>
  <si>
    <t>4Acid -Bulk Sample -7</t>
  </si>
  <si>
    <t>MW-Bulk Sample-1</t>
  </si>
  <si>
    <t>MW-Bulk Sample-2</t>
  </si>
  <si>
    <t>MW-Bulk Sample-3</t>
  </si>
  <si>
    <t>MW-Bulk Sample-4</t>
  </si>
  <si>
    <t>MW-Bulk Sample-5</t>
  </si>
  <si>
    <t>MW-Bulk Sample-6</t>
  </si>
  <si>
    <t>MW-Bulk Sample-7</t>
  </si>
  <si>
    <t>Fusion- Bulk-1</t>
  </si>
  <si>
    <t>Fusion- Bulk-2</t>
  </si>
  <si>
    <t>Fusion- Bulk-3</t>
  </si>
  <si>
    <t>Fusion- Bulk-4</t>
  </si>
  <si>
    <t>Fusion- Bulk-5</t>
  </si>
  <si>
    <t>Fusion- Bulk-6</t>
  </si>
  <si>
    <t>Fusion- Bulk-7</t>
  </si>
  <si>
    <t>3Acid-Bulk-1</t>
  </si>
  <si>
    <t>3Acid-Bulk-2</t>
  </si>
  <si>
    <t>3Acid-Bulk-3</t>
  </si>
  <si>
    <t>3Acid-Bulk-4</t>
  </si>
  <si>
    <t>3Acid-Bulk-5</t>
  </si>
  <si>
    <t>3Acid-Bulk-6</t>
  </si>
  <si>
    <t>3Acid-Bulk-7</t>
  </si>
  <si>
    <t>Isotope</t>
  </si>
  <si>
    <t xml:space="preserve">Average </t>
  </si>
  <si>
    <t>%RSD</t>
  </si>
  <si>
    <t>Average Recovery</t>
  </si>
  <si>
    <t xml:space="preserve">Sample ID </t>
  </si>
  <si>
    <t>% Recovery (according to Fusion method)</t>
  </si>
  <si>
    <t>4ACID</t>
  </si>
  <si>
    <t>MW</t>
  </si>
  <si>
    <t>Fus</t>
  </si>
  <si>
    <t>Anova: Single Factor</t>
  </si>
  <si>
    <t>SUMMARY</t>
  </si>
  <si>
    <t>Groups</t>
  </si>
  <si>
    <t>Count</t>
  </si>
  <si>
    <t>Sum</t>
  </si>
  <si>
    <t>Average</t>
  </si>
  <si>
    <t>Variance</t>
  </si>
  <si>
    <t>Column 1</t>
  </si>
  <si>
    <t>Column 2</t>
  </si>
  <si>
    <t>Column 3</t>
  </si>
  <si>
    <t>ANOVA</t>
  </si>
  <si>
    <t>Source of Variation</t>
  </si>
  <si>
    <t>SS</t>
  </si>
  <si>
    <t>df</t>
  </si>
  <si>
    <t>MS</t>
  </si>
  <si>
    <t>F</t>
  </si>
  <si>
    <t>P-value</t>
  </si>
  <si>
    <t>F crit</t>
  </si>
  <si>
    <t>Between Groups</t>
  </si>
  <si>
    <t>Within Groups</t>
  </si>
  <si>
    <t>Total</t>
  </si>
  <si>
    <t>HSD</t>
  </si>
  <si>
    <t>X1-X2</t>
  </si>
  <si>
    <t>X1-X3</t>
  </si>
  <si>
    <t>X2-X3</t>
  </si>
  <si>
    <t>+</t>
  </si>
  <si>
    <t>-</t>
  </si>
  <si>
    <t>4acid-MW</t>
  </si>
  <si>
    <t>4Acid-Fusion</t>
  </si>
  <si>
    <t>MW-Fusion</t>
  </si>
  <si>
    <t xml:space="preserve">Element: La </t>
  </si>
  <si>
    <t xml:space="preserve">Method </t>
  </si>
  <si>
    <t>Element: Ce</t>
  </si>
  <si>
    <t>Bulk-1</t>
  </si>
  <si>
    <t>Bulk-2</t>
  </si>
  <si>
    <t>Bulk-3</t>
  </si>
  <si>
    <t>Bulk-4</t>
  </si>
  <si>
    <t>Bulk-5</t>
  </si>
  <si>
    <t>Bulk-6</t>
  </si>
  <si>
    <t>Bulk-7</t>
  </si>
  <si>
    <t>Element: Pr</t>
  </si>
  <si>
    <t>Element: Nd</t>
  </si>
  <si>
    <t>Element: Sm</t>
  </si>
  <si>
    <t>Element: Eu</t>
  </si>
  <si>
    <t>3Acid-Concentrate-1</t>
  </si>
  <si>
    <t>3Acid-Concentrate-2</t>
  </si>
  <si>
    <t>3Acid-Concentrate-3</t>
  </si>
  <si>
    <t>3Acid-Concentrate-4</t>
  </si>
  <si>
    <t>3Acid-Concentrate-5</t>
  </si>
  <si>
    <t>3Acid-Concentrate-6</t>
  </si>
  <si>
    <t>3Acid-Concentrate-7</t>
  </si>
  <si>
    <t>4Acid -Concentrate Sample -1</t>
  </si>
  <si>
    <t>4Acid -Concentrate Sample -2</t>
  </si>
  <si>
    <t>4Acid -Concentrate Sample -3</t>
  </si>
  <si>
    <t>4Acid -Concentrate Sample -4</t>
  </si>
  <si>
    <t>4Acid -Concentrate Sample -5</t>
  </si>
  <si>
    <t>4Acid -Concentrate Sample -6</t>
  </si>
  <si>
    <t>4Acid -Concentrate Sample -7</t>
  </si>
  <si>
    <t>MW-Concentrate Sample-1</t>
  </si>
  <si>
    <t>MW-Concentrate Sample-2</t>
  </si>
  <si>
    <t>MW-Concentrate Sample-3</t>
  </si>
  <si>
    <t>MW-Concentrate Sample-4</t>
  </si>
  <si>
    <t>MW-Concentrate Sample-5</t>
  </si>
  <si>
    <t>MW-Concentrate Sample-6</t>
  </si>
  <si>
    <t>MW-Concentrate Sample-7</t>
  </si>
  <si>
    <t>Fusion- Concentrate-1</t>
  </si>
  <si>
    <t>Fusion- Concentrate-2</t>
  </si>
  <si>
    <t>Fusion- Concentrate-3</t>
  </si>
  <si>
    <t>Fusion- Concentrate-4</t>
  </si>
  <si>
    <t>Fusion- Concentrate-5</t>
  </si>
  <si>
    <t>Fusion- Concentrate-6</t>
  </si>
  <si>
    <t>Fusion- Concentrate-7</t>
  </si>
  <si>
    <t>Concentrate-1</t>
  </si>
  <si>
    <t>Concentrate-2</t>
  </si>
  <si>
    <t>Concentrate-3</t>
  </si>
  <si>
    <t>Concentrate-4</t>
  </si>
  <si>
    <t>Concentrate-5</t>
  </si>
  <si>
    <t>Concentrate-6</t>
  </si>
  <si>
    <t>Concentrate-7</t>
  </si>
  <si>
    <t>true</t>
  </si>
  <si>
    <t>Coefficients aᵢ (n=7)</t>
  </si>
  <si>
    <t>Δ1</t>
  </si>
  <si>
    <t>Δ2</t>
  </si>
  <si>
    <t>Δ3</t>
  </si>
  <si>
    <t>W critical (α = 0.05, n=7)</t>
  </si>
  <si>
    <t>Mean</t>
  </si>
  <si>
    <t>SS = Σ(x-mean)^2</t>
  </si>
  <si>
    <t>b = Σ aᵢ·Δᵢ</t>
  </si>
  <si>
    <t>W = b²/SS</t>
  </si>
  <si>
    <t>Decision (α=0.05)</t>
  </si>
  <si>
    <t>Four Acid Digestion Method</t>
  </si>
  <si>
    <t>Microwave Digestion Method</t>
  </si>
  <si>
    <t>Alkali Fusion Method</t>
  </si>
  <si>
    <t>7 readings for each element obtained from the average of four replicate analyses. W and a decision at α = 0.05 are computed per element.</t>
  </si>
  <si>
    <t>Δs Ce (Set 1)</t>
  </si>
  <si>
    <t>Δs Eu (Set 1)</t>
  </si>
  <si>
    <t>Δs La (Set 1)</t>
  </si>
  <si>
    <t>Δs Nd (Set 1)</t>
  </si>
  <si>
    <t>Δs Pr (Set 1)</t>
  </si>
  <si>
    <t>Δs Sm (Set 1)</t>
  </si>
  <si>
    <t>%Recovery</t>
  </si>
  <si>
    <t>These data are reflected in Figures 1–3 and Tables 2 and 3, and are interpreted in Section 3.1</t>
  </si>
  <si>
    <t>These data are reflected in Table4, and are interpreted in Section 3.2</t>
  </si>
  <si>
    <t>These data are reflected in Figure 5, and are interpreted in Section 3.2</t>
  </si>
  <si>
    <t>These data are reflected in Table5, and are interpreted in Section 3.2</t>
  </si>
  <si>
    <t>These data are reflected in Figure 6, and are interpreted in Section 3.2</t>
  </si>
  <si>
    <t>These data are interpreted in the statistical analysiss which described in Section 3.2</t>
  </si>
  <si>
    <t>Three Acid Digestion Method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</si>
</sst>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vertAlign val="subscript"/>
      <sz val="11"/>
      <color rgb="FFFF0000"/>
      <name val="Calibri"/>
      <family val="2"/>
      <scheme val="minor"/>
    </font>
    <font>
      <b/>
      <vertAlign val="superscript"/>
      <sz val="12"/>
      <color rgb="FFFF0000"/>
      <name val="Calibri"/>
      <family val="2"/>
      <scheme val="minor"/>
    </font>
    <font>
      <b/>
      <sz val="11"/>
      <color indexed="9"/>
      <name val="Calibri"/>
      <family val="2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name val="Calibri"/>
      <family val="2"/>
    </font>
    <font>
      <b/>
      <sz val="11"/>
      <name val="Calibri"/>
      <family val="2"/>
    </font>
    <font>
      <b/>
      <sz val="11"/>
      <color rgb="FFFF0000"/>
      <name val="Calibri"/>
      <family val="2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3F3F3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9">
    <xf numFmtId="0" fontId="0" fillId="0" borderId="0" xfId="0"/>
    <xf numFmtId="0" fontId="0" fillId="0" borderId="0" xfId="0" applyAlignment="1"/>
    <xf numFmtId="0" fontId="0" fillId="3" borderId="0" xfId="0" applyFill="1" applyAlignment="1">
      <alignment horizontal="center"/>
    </xf>
    <xf numFmtId="2" fontId="3" fillId="3" borderId="1" xfId="0" applyNumberFormat="1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1" fontId="7" fillId="5" borderId="9" xfId="0" applyNumberFormat="1" applyFont="1" applyFill="1" applyBorder="1" applyAlignment="1">
      <alignment horizontal="center" vertical="center"/>
    </xf>
    <xf numFmtId="164" fontId="7" fillId="5" borderId="9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/>
    </xf>
    <xf numFmtId="2" fontId="0" fillId="7" borderId="0" xfId="0" applyNumberFormat="1" applyFill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9" fillId="7" borderId="10" xfId="0" applyFont="1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2" fontId="2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0" fontId="9" fillId="3" borderId="10" xfId="0" applyFont="1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0" fillId="7" borderId="0" xfId="0" applyFill="1"/>
    <xf numFmtId="0" fontId="0" fillId="7" borderId="11" xfId="0" applyFill="1" applyBorder="1"/>
    <xf numFmtId="166" fontId="2" fillId="0" borderId="1" xfId="1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165" fontId="0" fillId="7" borderId="0" xfId="0" applyNumberFormat="1" applyFill="1" applyAlignment="1">
      <alignment horizontal="center" vertical="center"/>
    </xf>
    <xf numFmtId="165" fontId="9" fillId="7" borderId="10" xfId="0" applyNumberFormat="1" applyFont="1" applyFill="1" applyBorder="1" applyAlignment="1">
      <alignment horizontal="center" vertical="center"/>
    </xf>
    <xf numFmtId="165" fontId="0" fillId="7" borderId="11" xfId="0" applyNumberFormat="1" applyFill="1" applyBorder="1" applyAlignment="1">
      <alignment horizontal="center" vertical="center"/>
    </xf>
    <xf numFmtId="2" fontId="0" fillId="0" borderId="0" xfId="0" applyNumberFormat="1"/>
    <xf numFmtId="2" fontId="12" fillId="0" borderId="1" xfId="0" applyNumberFormat="1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12" fillId="8" borderId="1" xfId="0" applyNumberFormat="1" applyFont="1" applyFill="1" applyBorder="1" applyAlignment="1">
      <alignment horizontal="center" vertical="center"/>
    </xf>
    <xf numFmtId="2" fontId="12" fillId="8" borderId="12" xfId="0" applyNumberFormat="1" applyFont="1" applyFill="1" applyBorder="1" applyAlignment="1">
      <alignment horizontal="center" vertical="center"/>
    </xf>
    <xf numFmtId="2" fontId="12" fillId="11" borderId="12" xfId="0" applyNumberFormat="1" applyFont="1" applyFill="1" applyBorder="1" applyAlignment="1">
      <alignment horizontal="center" vertical="center"/>
    </xf>
    <xf numFmtId="2" fontId="12" fillId="0" borderId="12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10" fontId="0" fillId="0" borderId="0" xfId="0" applyNumberFormat="1"/>
    <xf numFmtId="2" fontId="14" fillId="0" borderId="1" xfId="0" applyNumberFormat="1" applyFont="1" applyBorder="1" applyAlignment="1">
      <alignment horizontal="center"/>
    </xf>
    <xf numFmtId="166" fontId="14" fillId="0" borderId="1" xfId="1" applyNumberFormat="1" applyFont="1" applyBorder="1" applyAlignment="1">
      <alignment horizontal="center"/>
    </xf>
    <xf numFmtId="2" fontId="13" fillId="0" borderId="0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2" fontId="3" fillId="2" borderId="5" xfId="0" applyNumberFormat="1" applyFont="1" applyFill="1" applyBorder="1" applyAlignment="1">
      <alignment horizontal="center" vertical="center"/>
    </xf>
    <xf numFmtId="2" fontId="3" fillId="2" borderId="6" xfId="0" applyNumberFormat="1" applyFont="1" applyFill="1" applyBorder="1" applyAlignment="1">
      <alignment horizontal="center" vertical="center"/>
    </xf>
    <xf numFmtId="2" fontId="3" fillId="2" borderId="7" xfId="0" applyNumberFormat="1" applyFont="1" applyFill="1" applyBorder="1" applyAlignment="1">
      <alignment horizontal="center" vertical="center"/>
    </xf>
    <xf numFmtId="0" fontId="15" fillId="10" borderId="0" xfId="0" applyFont="1" applyFill="1" applyAlignment="1">
      <alignment horizontal="center"/>
    </xf>
    <xf numFmtId="2" fontId="3" fillId="4" borderId="2" xfId="0" applyNumberFormat="1" applyFont="1" applyFill="1" applyBorder="1" applyAlignment="1">
      <alignment horizontal="center"/>
    </xf>
    <xf numFmtId="2" fontId="3" fillId="4" borderId="3" xfId="0" applyNumberFormat="1" applyFont="1" applyFill="1" applyBorder="1" applyAlignment="1">
      <alignment horizontal="center"/>
    </xf>
    <xf numFmtId="2" fontId="3" fillId="4" borderId="4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 vertical="center" wrapText="1"/>
    </xf>
    <xf numFmtId="1" fontId="7" fillId="5" borderId="2" xfId="0" applyNumberFormat="1" applyFont="1" applyFill="1" applyBorder="1" applyAlignment="1">
      <alignment horizontal="center" vertical="center"/>
    </xf>
    <xf numFmtId="1" fontId="7" fillId="5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15" fillId="10" borderId="0" xfId="0" applyFont="1" applyFill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1" fontId="2" fillId="2" borderId="4" xfId="0" applyNumberFormat="1" applyFont="1" applyFill="1" applyBorder="1" applyAlignment="1">
      <alignment horizontal="center" vertical="center"/>
    </xf>
    <xf numFmtId="2" fontId="7" fillId="5" borderId="1" xfId="0" applyNumberFormat="1" applyFont="1" applyFill="1" applyBorder="1" applyAlignment="1">
      <alignment horizontal="center" vertical="center"/>
    </xf>
    <xf numFmtId="2" fontId="7" fillId="5" borderId="9" xfId="0" applyNumberFormat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2" fontId="15" fillId="10" borderId="8" xfId="0" applyNumberFormat="1" applyFont="1" applyFill="1" applyBorder="1" applyAlignment="1">
      <alignment horizontal="center" vertical="center"/>
    </xf>
    <xf numFmtId="2" fontId="11" fillId="4" borderId="1" xfId="0" applyNumberFormat="1" applyFont="1" applyFill="1" applyBorder="1" applyAlignment="1">
      <alignment horizontal="center" vertical="center"/>
    </xf>
    <xf numFmtId="2" fontId="11" fillId="9" borderId="1" xfId="0" applyNumberFormat="1" applyFont="1" applyFill="1" applyBorder="1" applyAlignment="1">
      <alignment horizontal="center" vertical="center"/>
    </xf>
    <xf numFmtId="2" fontId="11" fillId="10" borderId="1" xfId="0" applyNumberFormat="1" applyFont="1" applyFill="1" applyBorder="1" applyAlignment="1">
      <alignment horizontal="center" vertical="center"/>
    </xf>
    <xf numFmtId="2" fontId="11" fillId="1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5" fillId="10" borderId="8" xfId="0" applyFont="1" applyFill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3" fillId="10" borderId="0" xfId="0" applyFont="1" applyFill="1" applyAlignment="1">
      <alignment horizontal="center" vertical="center"/>
    </xf>
    <xf numFmtId="2" fontId="11" fillId="7" borderId="1" xfId="0" applyNumberFormat="1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10" fillId="2" borderId="14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10" fillId="2" borderId="15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2" fontId="0" fillId="6" borderId="1" xfId="0" applyNumberForma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'Bulk Samples - ANOVA'!$F$26</c:f>
              <c:strCache>
                <c:ptCount val="1"/>
                <c:pt idx="0">
                  <c:v>La</c:v>
                </c:pt>
              </c:strCache>
            </c:strRef>
          </c:tx>
          <c:spPr>
            <a:solidFill>
              <a:sysClr val="window" lastClr="FFFFFF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B1B-4967-9F37-AB62165F8DD1}"/>
              </c:ext>
            </c:extLst>
          </c:dPt>
          <c:dPt>
            <c:idx val="2"/>
            <c:invertIfNegative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B1B-4967-9F37-AB62165F8DD1}"/>
              </c:ext>
            </c:extLst>
          </c:dPt>
          <c:errBars>
            <c:errBarType val="both"/>
            <c:errValType val="cust"/>
            <c:noEndCap val="0"/>
            <c:plus>
              <c:numRef>
                <c:f>[2]La!$H$24:$H$26</c:f>
                <c:numCache>
                  <c:formatCode>General</c:formatCode>
                  <c:ptCount val="3"/>
                  <c:pt idx="0">
                    <c:v>177.42178339609137</c:v>
                  </c:pt>
                  <c:pt idx="1">
                    <c:v>177.42178339609137</c:v>
                  </c:pt>
                  <c:pt idx="2">
                    <c:v>177.42178339609137</c:v>
                  </c:pt>
                </c:numCache>
              </c:numRef>
            </c:plus>
            <c:minus>
              <c:numRef>
                <c:f>[2]La!$I$24:$I$26</c:f>
                <c:numCache>
                  <c:formatCode>General</c:formatCode>
                  <c:ptCount val="3"/>
                  <c:pt idx="0">
                    <c:v>177.42178339609137</c:v>
                  </c:pt>
                  <c:pt idx="1">
                    <c:v>177.42178339609137</c:v>
                  </c:pt>
                  <c:pt idx="2">
                    <c:v>177.42178339609137</c:v>
                  </c:pt>
                </c:numCache>
              </c:numRef>
            </c:minus>
            <c:spPr>
              <a:noFill/>
              <a:ln w="15875" cap="rnd" cmpd="sng" algn="ctr">
                <a:solidFill>
                  <a:srgbClr val="00B0F0"/>
                </a:solidFill>
                <a:round/>
                <a:headEnd type="none"/>
                <a:tailEnd type="none"/>
              </a:ln>
              <a:effectLst/>
            </c:spPr>
          </c:errBars>
          <c:cat>
            <c:strRef>
              <c:f>'Bulk Samples - ANOVA'!$F$28:$F$30</c:f>
              <c:strCache>
                <c:ptCount val="3"/>
                <c:pt idx="0">
                  <c:v>4acid-MW</c:v>
                </c:pt>
                <c:pt idx="1">
                  <c:v>4Acid-Fusion</c:v>
                </c:pt>
                <c:pt idx="2">
                  <c:v>MW-Fusion</c:v>
                </c:pt>
              </c:strCache>
            </c:strRef>
          </c:cat>
          <c:val>
            <c:numRef>
              <c:f>[2]La!$G$24:$G$26</c:f>
              <c:numCache>
                <c:formatCode>General</c:formatCode>
                <c:ptCount val="3"/>
                <c:pt idx="0">
                  <c:v>60.696975657823714</c:v>
                </c:pt>
                <c:pt idx="1">
                  <c:v>-287.38587752299372</c:v>
                </c:pt>
                <c:pt idx="2">
                  <c:v>-348.08285318081744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1B-4967-9F37-AB62165F8D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0724895"/>
        <c:axId val="800724479"/>
      </c:barChart>
      <c:catAx>
        <c:axId val="8007248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Methods Pairs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479"/>
        <c:crosses val="autoZero"/>
        <c:auto val="1"/>
        <c:lblAlgn val="ctr"/>
        <c:lblOffset val="100"/>
        <c:noMultiLvlLbl val="0"/>
      </c:catAx>
      <c:valAx>
        <c:axId val="800724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Difference of means, mg/kg</a:t>
                </a:r>
              </a:p>
            </c:rich>
          </c:tx>
          <c:layout>
            <c:manualLayout>
              <c:xMode val="edge"/>
              <c:yMode val="edge"/>
              <c:x val="0.41613267222350342"/>
              <c:y val="0.91209406425146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'Concentrate Samples - ANOVA'!$F$142</c:f>
              <c:strCache>
                <c:ptCount val="1"/>
                <c:pt idx="0">
                  <c:v>Nd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[3]Nd!$H$18:$H$20</c:f>
                <c:numCache>
                  <c:formatCode>General</c:formatCode>
                  <c:ptCount val="3"/>
                  <c:pt idx="0">
                    <c:v>1719.600691455616</c:v>
                  </c:pt>
                  <c:pt idx="1">
                    <c:v>1719.600691455616</c:v>
                  </c:pt>
                  <c:pt idx="2">
                    <c:v>1719.600691455616</c:v>
                  </c:pt>
                </c:numCache>
              </c:numRef>
            </c:plus>
            <c:minus>
              <c:numRef>
                <c:f>[3]Nd!$I$18:$I$20</c:f>
                <c:numCache>
                  <c:formatCode>General</c:formatCode>
                  <c:ptCount val="3"/>
                  <c:pt idx="0">
                    <c:v>1719.600691455616</c:v>
                  </c:pt>
                  <c:pt idx="1">
                    <c:v>1719.600691455616</c:v>
                  </c:pt>
                  <c:pt idx="2">
                    <c:v>1719.600691455616</c:v>
                  </c:pt>
                </c:numCache>
              </c:numRef>
            </c:minus>
            <c:spPr>
              <a:noFill/>
              <a:ln w="15875" cap="rnd" cmpd="sng" algn="ctr">
                <a:solidFill>
                  <a:srgbClr val="00B0F0"/>
                </a:solidFill>
                <a:round/>
                <a:headEnd type="none"/>
                <a:tailEnd type="none"/>
              </a:ln>
              <a:effectLst/>
            </c:spPr>
          </c:errBars>
          <c:cat>
            <c:strRef>
              <c:f>'Concentrate Samples - ANOVA'!$F$144:$F$146</c:f>
              <c:strCache>
                <c:ptCount val="3"/>
                <c:pt idx="0">
                  <c:v>4acid-MW</c:v>
                </c:pt>
                <c:pt idx="1">
                  <c:v>4Acid-Fusion</c:v>
                </c:pt>
                <c:pt idx="2">
                  <c:v>MW-Fusion</c:v>
                </c:pt>
              </c:strCache>
            </c:strRef>
          </c:cat>
          <c:val>
            <c:numRef>
              <c:f>'Concentrate Samples - ANOVA'!$G$144:$G$146</c:f>
              <c:numCache>
                <c:formatCode>0.00</c:formatCode>
                <c:ptCount val="3"/>
                <c:pt idx="0">
                  <c:v>15681.559155351464</c:v>
                </c:pt>
                <c:pt idx="1">
                  <c:v>-3995.34999707323</c:v>
                </c:pt>
                <c:pt idx="2">
                  <c:v>-19676.909152424694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23-4E04-BCD7-6B388C082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0724895"/>
        <c:axId val="800724479"/>
      </c:barChart>
      <c:catAx>
        <c:axId val="800724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479"/>
        <c:crosses val="autoZero"/>
        <c:auto val="1"/>
        <c:lblAlgn val="ctr"/>
        <c:lblOffset val="100"/>
        <c:noMultiLvlLbl val="0"/>
      </c:catAx>
      <c:valAx>
        <c:axId val="800724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Difference of means, mg/kg</a:t>
                </a:r>
              </a:p>
            </c:rich>
          </c:tx>
          <c:layout>
            <c:manualLayout>
              <c:xMode val="edge"/>
              <c:yMode val="edge"/>
              <c:x val="0.41613267222350342"/>
              <c:y val="0.91209406425146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'Concentrate Samples - ANOVA'!$F$181</c:f>
              <c:strCache>
                <c:ptCount val="1"/>
                <c:pt idx="0">
                  <c:v>Sm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[3]Pr!$H$18:$H$20</c:f>
                <c:numCache>
                  <c:formatCode>General</c:formatCode>
                  <c:ptCount val="3"/>
                  <c:pt idx="0">
                    <c:v>516.37884397649009</c:v>
                  </c:pt>
                  <c:pt idx="1">
                    <c:v>516.37884397649009</c:v>
                  </c:pt>
                  <c:pt idx="2">
                    <c:v>516.37884397649009</c:v>
                  </c:pt>
                </c:numCache>
              </c:numRef>
            </c:plus>
            <c:minus>
              <c:numRef>
                <c:f>[3]Pr!$I$18:$I$20</c:f>
                <c:numCache>
                  <c:formatCode>General</c:formatCode>
                  <c:ptCount val="3"/>
                  <c:pt idx="0">
                    <c:v>516.37884397649009</c:v>
                  </c:pt>
                  <c:pt idx="1">
                    <c:v>516.37884397649009</c:v>
                  </c:pt>
                  <c:pt idx="2">
                    <c:v>516.37884397649009</c:v>
                  </c:pt>
                </c:numCache>
              </c:numRef>
            </c:minus>
            <c:spPr>
              <a:noFill/>
              <a:ln w="15875" cap="rnd" cmpd="sng" algn="ctr">
                <a:solidFill>
                  <a:srgbClr val="00B0F0"/>
                </a:solidFill>
                <a:round/>
                <a:headEnd type="none"/>
                <a:tailEnd type="none"/>
              </a:ln>
              <a:effectLst/>
            </c:spPr>
          </c:errBars>
          <c:cat>
            <c:strRef>
              <c:f>'Concentrate Samples - ANOVA'!$F$183:$F$185</c:f>
              <c:strCache>
                <c:ptCount val="3"/>
                <c:pt idx="0">
                  <c:v>4acid-MW</c:v>
                </c:pt>
                <c:pt idx="1">
                  <c:v>4Acid-Fusion</c:v>
                </c:pt>
                <c:pt idx="2">
                  <c:v>MW-Fusion</c:v>
                </c:pt>
              </c:strCache>
            </c:strRef>
          </c:cat>
          <c:val>
            <c:numRef>
              <c:f>'Concentrate Samples - ANOVA'!$G$183:$G$185</c:f>
              <c:numCache>
                <c:formatCode>0.00</c:formatCode>
                <c:ptCount val="3"/>
                <c:pt idx="0">
                  <c:v>2622.9656200325617</c:v>
                </c:pt>
                <c:pt idx="1">
                  <c:v>-704.35081770421766</c:v>
                </c:pt>
                <c:pt idx="2">
                  <c:v>-3327.3164377367793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B4-4F2A-97CC-7BF9B783E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0724895"/>
        <c:axId val="800724479"/>
      </c:barChart>
      <c:catAx>
        <c:axId val="8007248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Methods Pairs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479"/>
        <c:crosses val="autoZero"/>
        <c:auto val="1"/>
        <c:lblAlgn val="ctr"/>
        <c:lblOffset val="100"/>
        <c:noMultiLvlLbl val="0"/>
      </c:catAx>
      <c:valAx>
        <c:axId val="800724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Difference of means, mg/kg</a:t>
                </a:r>
              </a:p>
            </c:rich>
          </c:tx>
          <c:layout>
            <c:manualLayout>
              <c:xMode val="edge"/>
              <c:yMode val="edge"/>
              <c:x val="0.41613267222350342"/>
              <c:y val="0.91209406425146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'Concentrate Samples - ANOVA'!$F$217</c:f>
              <c:strCache>
                <c:ptCount val="1"/>
                <c:pt idx="0">
                  <c:v>Eu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[3]Eu!$H$18:$H$20</c:f>
                <c:numCache>
                  <c:formatCode>General</c:formatCode>
                  <c:ptCount val="3"/>
                  <c:pt idx="0">
                    <c:v>11.551057621122201</c:v>
                  </c:pt>
                  <c:pt idx="1">
                    <c:v>11.551057621122201</c:v>
                  </c:pt>
                  <c:pt idx="2">
                    <c:v>11.551057621122201</c:v>
                  </c:pt>
                </c:numCache>
              </c:numRef>
            </c:plus>
            <c:minus>
              <c:numRef>
                <c:f>[3]Eu!$I$18:$I$20</c:f>
                <c:numCache>
                  <c:formatCode>General</c:formatCode>
                  <c:ptCount val="3"/>
                  <c:pt idx="0">
                    <c:v>11.551057621122201</c:v>
                  </c:pt>
                  <c:pt idx="1">
                    <c:v>11.551057621122201</c:v>
                  </c:pt>
                  <c:pt idx="2">
                    <c:v>11.551057621122201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cat>
            <c:strRef>
              <c:f>'Concentrate Samples - ANOVA'!$F$219:$F$221</c:f>
              <c:strCache>
                <c:ptCount val="3"/>
                <c:pt idx="0">
                  <c:v>4acid-MW</c:v>
                </c:pt>
                <c:pt idx="1">
                  <c:v>4Acid-Fusion</c:v>
                </c:pt>
                <c:pt idx="2">
                  <c:v>MW-Fusion</c:v>
                </c:pt>
              </c:strCache>
            </c:strRef>
          </c:cat>
          <c:val>
            <c:numRef>
              <c:f>'Concentrate Samples - ANOVA'!$G$219:$G$221</c:f>
              <c:numCache>
                <c:formatCode>0.00</c:formatCode>
                <c:ptCount val="3"/>
                <c:pt idx="0">
                  <c:v>112.89640351555974</c:v>
                </c:pt>
                <c:pt idx="1">
                  <c:v>-30.197846239199976</c:v>
                </c:pt>
                <c:pt idx="2">
                  <c:v>-143.09424975475972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3E-41ED-AF3C-29EA96FFC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0724895"/>
        <c:axId val="800724479"/>
      </c:barChart>
      <c:catAx>
        <c:axId val="8007248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Methods Pairs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479"/>
        <c:crosses val="autoZero"/>
        <c:auto val="1"/>
        <c:lblAlgn val="ctr"/>
        <c:lblOffset val="100"/>
        <c:noMultiLvlLbl val="0"/>
      </c:catAx>
      <c:valAx>
        <c:axId val="800724479"/>
        <c:scaling>
          <c:orientation val="minMax"/>
          <c:max val="350"/>
          <c:min val="-2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Difference of means, mg/kg</a:t>
                </a:r>
              </a:p>
            </c:rich>
          </c:tx>
          <c:layout>
            <c:manualLayout>
              <c:xMode val="edge"/>
              <c:yMode val="edge"/>
              <c:x val="0.41613267222350342"/>
              <c:y val="0.91209406425146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'Bulk Samples - ANOVA'!$F$66</c:f>
              <c:strCache>
                <c:ptCount val="1"/>
                <c:pt idx="0">
                  <c:v>Ce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[2]Ce!$H$25:$H$27</c:f>
                <c:numCache>
                  <c:formatCode>General</c:formatCode>
                  <c:ptCount val="3"/>
                  <c:pt idx="0">
                    <c:v>340.84179481529998</c:v>
                  </c:pt>
                  <c:pt idx="1">
                    <c:v>340.84179481529998</c:v>
                  </c:pt>
                  <c:pt idx="2">
                    <c:v>340.84179481529998</c:v>
                  </c:pt>
                </c:numCache>
              </c:numRef>
            </c:plus>
            <c:minus>
              <c:numRef>
                <c:f>[2]Ce!$I$25:$I$27</c:f>
                <c:numCache>
                  <c:formatCode>General</c:formatCode>
                  <c:ptCount val="3"/>
                  <c:pt idx="0">
                    <c:v>340.84179481529998</c:v>
                  </c:pt>
                  <c:pt idx="1">
                    <c:v>340.84179481529998</c:v>
                  </c:pt>
                  <c:pt idx="2">
                    <c:v>340.84179481529998</c:v>
                  </c:pt>
                </c:numCache>
              </c:numRef>
            </c:minus>
            <c:spPr>
              <a:noFill/>
              <a:ln w="15875" cap="rnd" cmpd="sng" algn="ctr">
                <a:solidFill>
                  <a:srgbClr val="00B0F0"/>
                </a:solidFill>
                <a:round/>
                <a:headEnd type="none"/>
                <a:tailEnd type="none"/>
              </a:ln>
              <a:effectLst/>
            </c:spPr>
          </c:errBars>
          <c:cat>
            <c:strRef>
              <c:f>'Bulk Samples - ANOVA'!$F$68:$F$70</c:f>
              <c:strCache>
                <c:ptCount val="3"/>
                <c:pt idx="0">
                  <c:v>4acid-MW</c:v>
                </c:pt>
                <c:pt idx="1">
                  <c:v>4Acid-Fusion</c:v>
                </c:pt>
                <c:pt idx="2">
                  <c:v>MW-Fusion</c:v>
                </c:pt>
              </c:strCache>
            </c:strRef>
          </c:cat>
          <c:val>
            <c:numRef>
              <c:f>'Bulk Samples - ANOVA'!$G$68:$G$70</c:f>
              <c:numCache>
                <c:formatCode>0.0</c:formatCode>
                <c:ptCount val="3"/>
                <c:pt idx="0">
                  <c:v>179.32037833911272</c:v>
                </c:pt>
                <c:pt idx="1">
                  <c:v>-527.23476825198941</c:v>
                </c:pt>
                <c:pt idx="2">
                  <c:v>-706.55514659110213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CF2-4608-A901-18442898D2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0724895"/>
        <c:axId val="800724479"/>
      </c:barChart>
      <c:catAx>
        <c:axId val="8007248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Methods Pairs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479"/>
        <c:crosses val="autoZero"/>
        <c:auto val="1"/>
        <c:lblAlgn val="ctr"/>
        <c:lblOffset val="100"/>
        <c:noMultiLvlLbl val="0"/>
      </c:catAx>
      <c:valAx>
        <c:axId val="800724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Difference of means, mg/kg</a:t>
                </a:r>
              </a:p>
            </c:rich>
          </c:tx>
          <c:layout>
            <c:manualLayout>
              <c:xMode val="edge"/>
              <c:yMode val="edge"/>
              <c:x val="0.41613267222350342"/>
              <c:y val="0.91209406425146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'Bulk Samples - ANOVA'!$F$105</c:f>
              <c:strCache>
                <c:ptCount val="1"/>
                <c:pt idx="0">
                  <c:v>Pr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[2]Pr!$H$25:$H$27</c:f>
                <c:numCache>
                  <c:formatCode>General</c:formatCode>
                  <c:ptCount val="3"/>
                  <c:pt idx="0">
                    <c:v>37.217333890798656</c:v>
                  </c:pt>
                  <c:pt idx="1">
                    <c:v>37.217333890798656</c:v>
                  </c:pt>
                  <c:pt idx="2">
                    <c:v>37.217333890798656</c:v>
                  </c:pt>
                </c:numCache>
              </c:numRef>
            </c:plus>
            <c:minus>
              <c:numRef>
                <c:f>[2]Pr!$I$25:$I$27</c:f>
                <c:numCache>
                  <c:formatCode>General</c:formatCode>
                  <c:ptCount val="3"/>
                  <c:pt idx="0">
                    <c:v>37.217333890798656</c:v>
                  </c:pt>
                  <c:pt idx="1">
                    <c:v>37.217333890798656</c:v>
                  </c:pt>
                  <c:pt idx="2">
                    <c:v>37.217333890798656</c:v>
                  </c:pt>
                </c:numCache>
              </c:numRef>
            </c:minus>
            <c:spPr>
              <a:noFill/>
              <a:ln w="15875" cap="rnd" cmpd="sng" algn="ctr">
                <a:solidFill>
                  <a:srgbClr val="00B0F0"/>
                </a:solidFill>
                <a:round/>
                <a:headEnd type="none"/>
                <a:tailEnd type="none"/>
              </a:ln>
              <a:effectLst/>
            </c:spPr>
          </c:errBars>
          <c:cat>
            <c:numRef>
              <c:f>'Bulk Samples - ANOVA'!$G$107:$G$109</c:f>
              <c:numCache>
                <c:formatCode>0.00</c:formatCode>
                <c:ptCount val="3"/>
                <c:pt idx="0">
                  <c:v>16.500623618292934</c:v>
                </c:pt>
                <c:pt idx="1">
                  <c:v>-70.750785703977385</c:v>
                </c:pt>
                <c:pt idx="2">
                  <c:v>-87.25140932227032</c:v>
                </c:pt>
              </c:numCache>
            </c:numRef>
          </c:cat>
          <c:val>
            <c:numRef>
              <c:f>'Bulk Samples - ANOVA'!$G$107:$G$109</c:f>
              <c:numCache>
                <c:formatCode>0.00</c:formatCode>
                <c:ptCount val="3"/>
                <c:pt idx="0">
                  <c:v>16.500623618292934</c:v>
                </c:pt>
                <c:pt idx="1">
                  <c:v>-70.750785703977385</c:v>
                </c:pt>
                <c:pt idx="2">
                  <c:v>-87.25140932227032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CD-43AD-81E0-3CF8F926B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0724895"/>
        <c:axId val="800724479"/>
      </c:barChart>
      <c:catAx>
        <c:axId val="8007248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Methods Pairs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479"/>
        <c:crosses val="autoZero"/>
        <c:auto val="1"/>
        <c:lblAlgn val="ctr"/>
        <c:lblOffset val="100"/>
        <c:noMultiLvlLbl val="0"/>
      </c:catAx>
      <c:valAx>
        <c:axId val="800724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Difference of means, mg/kg</a:t>
                </a:r>
              </a:p>
            </c:rich>
          </c:tx>
          <c:layout>
            <c:manualLayout>
              <c:xMode val="edge"/>
              <c:yMode val="edge"/>
              <c:x val="0.41613267222350342"/>
              <c:y val="0.91209406425146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'Bulk Samples - ANOVA'!$F$142</c:f>
              <c:strCache>
                <c:ptCount val="1"/>
                <c:pt idx="0">
                  <c:v>Nd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[2]Nd!$H$25:$H$27</c:f>
                <c:numCache>
                  <c:formatCode>General</c:formatCode>
                  <c:ptCount val="3"/>
                  <c:pt idx="0">
                    <c:v>123.76983018827571</c:v>
                  </c:pt>
                  <c:pt idx="1">
                    <c:v>123.76983018827571</c:v>
                  </c:pt>
                  <c:pt idx="2">
                    <c:v>123.76983018827571</c:v>
                  </c:pt>
                </c:numCache>
              </c:numRef>
            </c:plus>
            <c:minus>
              <c:numRef>
                <c:f>[2]Nd!$I$25:$I$27</c:f>
                <c:numCache>
                  <c:formatCode>General</c:formatCode>
                  <c:ptCount val="3"/>
                  <c:pt idx="0">
                    <c:v>123.76983018827571</c:v>
                  </c:pt>
                  <c:pt idx="1">
                    <c:v>123.76983018827571</c:v>
                  </c:pt>
                  <c:pt idx="2">
                    <c:v>123.76983018827571</c:v>
                  </c:pt>
                </c:numCache>
              </c:numRef>
            </c:minus>
            <c:spPr>
              <a:noFill/>
              <a:ln w="15875" cap="rnd" cmpd="sng" algn="ctr">
                <a:solidFill>
                  <a:srgbClr val="00B0F0"/>
                </a:solidFill>
                <a:round/>
                <a:headEnd type="none"/>
                <a:tailEnd type="none"/>
              </a:ln>
              <a:effectLst/>
            </c:spPr>
          </c:errBars>
          <c:cat>
            <c:strRef>
              <c:f>'Bulk Samples - ANOVA'!$F$144:$F$146</c:f>
              <c:strCache>
                <c:ptCount val="3"/>
                <c:pt idx="0">
                  <c:v>4acid-MW</c:v>
                </c:pt>
                <c:pt idx="1">
                  <c:v>4Acid-Fusion</c:v>
                </c:pt>
                <c:pt idx="2">
                  <c:v>MW-Fusion</c:v>
                </c:pt>
              </c:strCache>
            </c:strRef>
          </c:cat>
          <c:val>
            <c:numRef>
              <c:f>'Bulk Samples - ANOVA'!$G$144:$G$146</c:f>
              <c:numCache>
                <c:formatCode>0.00</c:formatCode>
                <c:ptCount val="3"/>
                <c:pt idx="0">
                  <c:v>47.86625571309969</c:v>
                </c:pt>
                <c:pt idx="1">
                  <c:v>-149.34884031223646</c:v>
                </c:pt>
                <c:pt idx="2">
                  <c:v>-197.21509602533615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BB-4964-B6D5-D44A89D5E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0724895"/>
        <c:axId val="800724479"/>
      </c:barChart>
      <c:catAx>
        <c:axId val="8007248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Methods Pairs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479"/>
        <c:crosses val="autoZero"/>
        <c:auto val="1"/>
        <c:lblAlgn val="ctr"/>
        <c:lblOffset val="100"/>
        <c:noMultiLvlLbl val="0"/>
      </c:catAx>
      <c:valAx>
        <c:axId val="800724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Difference of means, mg/kg</a:t>
                </a:r>
              </a:p>
            </c:rich>
          </c:tx>
          <c:layout>
            <c:manualLayout>
              <c:xMode val="edge"/>
              <c:yMode val="edge"/>
              <c:x val="0.41613267222350342"/>
              <c:y val="0.91209406425146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'Bulk Samples - ANOVA'!$F$181</c:f>
              <c:strCache>
                <c:ptCount val="1"/>
                <c:pt idx="0">
                  <c:v>Sm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[2]Sm!$H$25:$H$27</c:f>
                <c:numCache>
                  <c:formatCode>General</c:formatCode>
                  <c:ptCount val="3"/>
                  <c:pt idx="0">
                    <c:v>21.35338063598185</c:v>
                  </c:pt>
                  <c:pt idx="1">
                    <c:v>21.35338063598185</c:v>
                  </c:pt>
                  <c:pt idx="2">
                    <c:v>21.35338063598185</c:v>
                  </c:pt>
                </c:numCache>
              </c:numRef>
            </c:plus>
            <c:minus>
              <c:numRef>
                <c:f>[2]Sm!$I$25:$I$27</c:f>
                <c:numCache>
                  <c:formatCode>General</c:formatCode>
                  <c:ptCount val="3"/>
                  <c:pt idx="0">
                    <c:v>21.35338063598185</c:v>
                  </c:pt>
                  <c:pt idx="1">
                    <c:v>21.35338063598185</c:v>
                  </c:pt>
                  <c:pt idx="2">
                    <c:v>21.35338063598185</c:v>
                  </c:pt>
                </c:numCache>
              </c:numRef>
            </c:minus>
            <c:spPr>
              <a:noFill/>
              <a:ln w="15875" cap="rnd" cmpd="sng" algn="ctr">
                <a:solidFill>
                  <a:srgbClr val="00B0F0"/>
                </a:solidFill>
                <a:round/>
                <a:headEnd type="none"/>
                <a:tailEnd type="none"/>
              </a:ln>
              <a:effectLst/>
            </c:spPr>
          </c:errBars>
          <c:cat>
            <c:strRef>
              <c:f>'Bulk Samples - ANOVA'!$F$183:$F$185</c:f>
              <c:strCache>
                <c:ptCount val="3"/>
                <c:pt idx="0">
                  <c:v>4acid-MW</c:v>
                </c:pt>
                <c:pt idx="1">
                  <c:v>4Acid-Fusion</c:v>
                </c:pt>
                <c:pt idx="2">
                  <c:v>MW-Fusion</c:v>
                </c:pt>
              </c:strCache>
            </c:strRef>
          </c:cat>
          <c:val>
            <c:numRef>
              <c:f>'Bulk Samples - ANOVA'!$G$183:$G$185</c:f>
              <c:numCache>
                <c:formatCode>0.00</c:formatCode>
                <c:ptCount val="3"/>
                <c:pt idx="0">
                  <c:v>7.4740980614313344</c:v>
                </c:pt>
                <c:pt idx="1">
                  <c:v>-31.828203103355975</c:v>
                </c:pt>
                <c:pt idx="2">
                  <c:v>-39.302301164787309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7C-4FC6-950B-7EE4E1D62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0724895"/>
        <c:axId val="800724479"/>
      </c:barChart>
      <c:catAx>
        <c:axId val="8007248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Methods Pairs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479"/>
        <c:crosses val="autoZero"/>
        <c:auto val="1"/>
        <c:lblAlgn val="ctr"/>
        <c:lblOffset val="100"/>
        <c:noMultiLvlLbl val="0"/>
      </c:catAx>
      <c:valAx>
        <c:axId val="800724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Difference of means, mg/kg</a:t>
                </a:r>
              </a:p>
            </c:rich>
          </c:tx>
          <c:layout>
            <c:manualLayout>
              <c:xMode val="edge"/>
              <c:yMode val="edge"/>
              <c:x val="0.41613267222350342"/>
              <c:y val="0.91209406425146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'Bulk Samples - ANOVA'!$F$217</c:f>
              <c:strCache>
                <c:ptCount val="1"/>
                <c:pt idx="0">
                  <c:v>Eu</c:v>
                </c:pt>
              </c:strCache>
            </c:strRef>
          </c:tx>
          <c:spPr>
            <a:solidFill>
              <a:sysClr val="window" lastClr="FFFFFF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2ED-4693-A004-F5D899D73EEA}"/>
              </c:ext>
            </c:extLst>
          </c:dPt>
          <c:dPt>
            <c:idx val="2"/>
            <c:invertIfNegative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2ED-4693-A004-F5D899D73EEA}"/>
              </c:ext>
            </c:extLst>
          </c:dPt>
          <c:errBars>
            <c:errBarType val="both"/>
            <c:errValType val="cust"/>
            <c:noEndCap val="0"/>
            <c:plus>
              <c:numRef>
                <c:f>[2]Eu!$H$24:$H$26</c:f>
                <c:numCache>
                  <c:formatCode>General</c:formatCode>
                  <c:ptCount val="3"/>
                  <c:pt idx="0">
                    <c:v>0.89835786070009793</c:v>
                  </c:pt>
                  <c:pt idx="1">
                    <c:v>0.89835786070009793</c:v>
                  </c:pt>
                  <c:pt idx="2">
                    <c:v>0.89835786070009793</c:v>
                  </c:pt>
                </c:numCache>
              </c:numRef>
            </c:plus>
            <c:minus>
              <c:numRef>
                <c:f>[2]Eu!$I$24:$I$26</c:f>
                <c:numCache>
                  <c:formatCode>General</c:formatCode>
                  <c:ptCount val="3"/>
                  <c:pt idx="0">
                    <c:v>0.89835786070009793</c:v>
                  </c:pt>
                  <c:pt idx="1">
                    <c:v>0.89835786070009793</c:v>
                  </c:pt>
                  <c:pt idx="2">
                    <c:v>0.89835786070009793</c:v>
                  </c:pt>
                </c:numCache>
              </c:numRef>
            </c:minus>
            <c:spPr>
              <a:noFill/>
              <a:ln w="15875" cap="rnd" cmpd="sng" algn="ctr">
                <a:solidFill>
                  <a:srgbClr val="00B0F0"/>
                </a:solidFill>
                <a:round/>
                <a:headEnd type="none"/>
                <a:tailEnd type="none"/>
              </a:ln>
              <a:effectLst/>
            </c:spPr>
          </c:errBars>
          <c:cat>
            <c:strRef>
              <c:f>'Bulk Samples - ANOVA'!$F$219:$F$221</c:f>
              <c:strCache>
                <c:ptCount val="3"/>
                <c:pt idx="0">
                  <c:v>4acid-MW</c:v>
                </c:pt>
                <c:pt idx="1">
                  <c:v>4Acid-Fusion</c:v>
                </c:pt>
                <c:pt idx="2">
                  <c:v>MW-Fusion</c:v>
                </c:pt>
              </c:strCache>
            </c:strRef>
          </c:cat>
          <c:val>
            <c:numRef>
              <c:f>[2]Eu!$G$24:$G$26</c:f>
              <c:numCache>
                <c:formatCode>General</c:formatCode>
                <c:ptCount val="3"/>
                <c:pt idx="0">
                  <c:v>0.47495840181459315</c:v>
                </c:pt>
                <c:pt idx="1">
                  <c:v>-1.6706213161637216</c:v>
                </c:pt>
                <c:pt idx="2">
                  <c:v>-2.1455797179783147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ED-4693-A004-F5D899D73E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0724895"/>
        <c:axId val="800724479"/>
      </c:barChart>
      <c:catAx>
        <c:axId val="8007248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Methods Pairs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479"/>
        <c:crosses val="autoZero"/>
        <c:auto val="1"/>
        <c:lblAlgn val="ctr"/>
        <c:lblOffset val="100"/>
        <c:noMultiLvlLbl val="0"/>
      </c:catAx>
      <c:valAx>
        <c:axId val="800724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Difference of means, mg/kg</a:t>
                </a:r>
              </a:p>
            </c:rich>
          </c:tx>
          <c:layout>
            <c:manualLayout>
              <c:xMode val="edge"/>
              <c:yMode val="edge"/>
              <c:x val="0.41613267222350342"/>
              <c:y val="0.91209406425146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12700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'Concentrate Samples - ANOVA'!$F$26</c:f>
              <c:strCache>
                <c:ptCount val="1"/>
                <c:pt idx="0">
                  <c:v>La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[3]La!$H$18:$H$20</c:f>
                <c:numCache>
                  <c:formatCode>General</c:formatCode>
                  <c:ptCount val="3"/>
                  <c:pt idx="0">
                    <c:v>2301.0358526475302</c:v>
                  </c:pt>
                  <c:pt idx="1">
                    <c:v>2301.0358526475302</c:v>
                  </c:pt>
                  <c:pt idx="2">
                    <c:v>2301.0358526475302</c:v>
                  </c:pt>
                </c:numCache>
              </c:numRef>
            </c:plus>
            <c:minus>
              <c:numRef>
                <c:f>[3]La!$I$18:$I$20</c:f>
                <c:numCache>
                  <c:formatCode>General</c:formatCode>
                  <c:ptCount val="3"/>
                  <c:pt idx="0">
                    <c:v>2301.0358526475302</c:v>
                  </c:pt>
                  <c:pt idx="1">
                    <c:v>2301.0358526475302</c:v>
                  </c:pt>
                  <c:pt idx="2">
                    <c:v>2301.0358526475302</c:v>
                  </c:pt>
                </c:numCache>
              </c:numRef>
            </c:minus>
            <c:spPr>
              <a:noFill/>
              <a:ln w="15875" cap="rnd" cmpd="sng" algn="ctr">
                <a:solidFill>
                  <a:srgbClr val="00B0F0"/>
                </a:solidFill>
                <a:round/>
                <a:headEnd type="none"/>
                <a:tailEnd type="none"/>
              </a:ln>
              <a:effectLst/>
            </c:spPr>
          </c:errBars>
          <c:cat>
            <c:strRef>
              <c:f>'Concentrate Samples - ANOVA'!$F$28:$F$30</c:f>
              <c:strCache>
                <c:ptCount val="3"/>
                <c:pt idx="0">
                  <c:v>4acid-MW</c:v>
                </c:pt>
                <c:pt idx="1">
                  <c:v>4Acid-Fusion</c:v>
                </c:pt>
                <c:pt idx="2">
                  <c:v>MW-Fusion</c:v>
                </c:pt>
              </c:strCache>
            </c:strRef>
          </c:cat>
          <c:val>
            <c:numRef>
              <c:f>'Concentrate Samples - ANOVA'!$G$28:$G$30</c:f>
              <c:numCache>
                <c:formatCode>0.00</c:formatCode>
                <c:ptCount val="3"/>
                <c:pt idx="0">
                  <c:v>19600.058077504818</c:v>
                </c:pt>
                <c:pt idx="1">
                  <c:v>-6039.1257281918515</c:v>
                </c:pt>
                <c:pt idx="2">
                  <c:v>-25639.18380569667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C6-47C4-B85B-08DFEA05B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0724895"/>
        <c:axId val="800724479"/>
      </c:barChart>
      <c:catAx>
        <c:axId val="800724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479"/>
        <c:crosses val="autoZero"/>
        <c:auto val="1"/>
        <c:lblAlgn val="ctr"/>
        <c:lblOffset val="100"/>
        <c:noMultiLvlLbl val="0"/>
      </c:catAx>
      <c:valAx>
        <c:axId val="800724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Difference of means, mg/kg</a:t>
                </a:r>
              </a:p>
            </c:rich>
          </c:tx>
          <c:layout>
            <c:manualLayout>
              <c:xMode val="edge"/>
              <c:yMode val="edge"/>
              <c:x val="0.41613267222350342"/>
              <c:y val="0.91209406425146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'Concentrate Samples - ANOVA'!$F$66</c:f>
              <c:strCache>
                <c:ptCount val="1"/>
                <c:pt idx="0">
                  <c:v>Ce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[3]Ce!$H$18:$H$20</c:f>
                <c:numCache>
                  <c:formatCode>General</c:formatCode>
                  <c:ptCount val="3"/>
                  <c:pt idx="0">
                    <c:v>4601.4576096802648</c:v>
                  </c:pt>
                  <c:pt idx="1">
                    <c:v>4601.4576096802648</c:v>
                  </c:pt>
                  <c:pt idx="2">
                    <c:v>4601.4576096802648</c:v>
                  </c:pt>
                </c:numCache>
              </c:numRef>
            </c:plus>
            <c:minus>
              <c:numRef>
                <c:f>[3]Ce!$I$18:$I$20</c:f>
                <c:numCache>
                  <c:formatCode>General</c:formatCode>
                  <c:ptCount val="3"/>
                  <c:pt idx="0">
                    <c:v>4601.4576096802648</c:v>
                  </c:pt>
                  <c:pt idx="1">
                    <c:v>4601.4576096802648</c:v>
                  </c:pt>
                  <c:pt idx="2">
                    <c:v>4601.4576096802648</c:v>
                  </c:pt>
                </c:numCache>
              </c:numRef>
            </c:minus>
            <c:spPr>
              <a:noFill/>
              <a:ln w="15875" cap="rnd" cmpd="sng" algn="ctr">
                <a:solidFill>
                  <a:srgbClr val="00B0F0"/>
                </a:solidFill>
                <a:round/>
                <a:headEnd type="none"/>
                <a:tailEnd type="none"/>
              </a:ln>
              <a:effectLst/>
            </c:spPr>
          </c:errBars>
          <c:cat>
            <c:strRef>
              <c:f>'Concentrate Samples - ANOVA'!$F$68:$F$70</c:f>
              <c:strCache>
                <c:ptCount val="3"/>
                <c:pt idx="0">
                  <c:v>4acid-MW</c:v>
                </c:pt>
                <c:pt idx="1">
                  <c:v>4Acid-Fusion</c:v>
                </c:pt>
                <c:pt idx="2">
                  <c:v>MW-Fusion</c:v>
                </c:pt>
              </c:strCache>
            </c:strRef>
          </c:cat>
          <c:val>
            <c:numRef>
              <c:f>'Concentrate Samples - ANOVA'!$G$68:$G$70</c:f>
              <c:numCache>
                <c:formatCode>0.0</c:formatCode>
                <c:ptCount val="3"/>
                <c:pt idx="0">
                  <c:v>39378.958727121717</c:v>
                </c:pt>
                <c:pt idx="1">
                  <c:v>-11320.282553500161</c:v>
                </c:pt>
                <c:pt idx="2">
                  <c:v>-50699.241280621878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E4-44E9-AC52-EEEF5BCE7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0724895"/>
        <c:axId val="800724479"/>
      </c:barChart>
      <c:catAx>
        <c:axId val="8007248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050" b="0"/>
                  <a:t>Methods Pair</a:t>
                </a:r>
              </a:p>
            </c:rich>
          </c:tx>
          <c:layout>
            <c:manualLayout>
              <c:xMode val="edge"/>
              <c:yMode val="edge"/>
              <c:x val="8.6249213230602147E-3"/>
              <c:y val="0.348132168410455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479"/>
        <c:crosses val="autoZero"/>
        <c:auto val="1"/>
        <c:lblAlgn val="ctr"/>
        <c:lblOffset val="100"/>
        <c:noMultiLvlLbl val="0"/>
      </c:catAx>
      <c:valAx>
        <c:axId val="800724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Difference of means, mg/kg</a:t>
                </a:r>
              </a:p>
            </c:rich>
          </c:tx>
          <c:layout>
            <c:manualLayout>
              <c:xMode val="edge"/>
              <c:yMode val="edge"/>
              <c:x val="0.41613267222350342"/>
              <c:y val="0.91209406425146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'Concentrate Samples - ANOVA'!$F$105</c:f>
              <c:strCache>
                <c:ptCount val="1"/>
                <c:pt idx="0">
                  <c:v>Pr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[3]Pr!$H$18:$H$20</c:f>
                <c:numCache>
                  <c:formatCode>General</c:formatCode>
                  <c:ptCount val="3"/>
                  <c:pt idx="0">
                    <c:v>516.37884397649009</c:v>
                  </c:pt>
                  <c:pt idx="1">
                    <c:v>516.37884397649009</c:v>
                  </c:pt>
                  <c:pt idx="2">
                    <c:v>516.37884397649009</c:v>
                  </c:pt>
                </c:numCache>
              </c:numRef>
            </c:plus>
            <c:minus>
              <c:numRef>
                <c:f>[3]Pr!$I$18:$I$20</c:f>
                <c:numCache>
                  <c:formatCode>General</c:formatCode>
                  <c:ptCount val="3"/>
                  <c:pt idx="0">
                    <c:v>516.37884397649009</c:v>
                  </c:pt>
                  <c:pt idx="1">
                    <c:v>516.37884397649009</c:v>
                  </c:pt>
                  <c:pt idx="2">
                    <c:v>516.37884397649009</c:v>
                  </c:pt>
                </c:numCache>
              </c:numRef>
            </c:minus>
            <c:spPr>
              <a:noFill/>
              <a:ln w="15875" cap="rnd" cmpd="sng" algn="ctr">
                <a:solidFill>
                  <a:srgbClr val="00B0F0"/>
                </a:solidFill>
                <a:round/>
                <a:headEnd type="none"/>
                <a:tailEnd type="none"/>
              </a:ln>
              <a:effectLst/>
            </c:spPr>
          </c:errBars>
          <c:cat>
            <c:strRef>
              <c:f>'Concentrate Samples - ANOVA'!$F$107:$F$109</c:f>
              <c:strCache>
                <c:ptCount val="3"/>
                <c:pt idx="0">
                  <c:v>4acid-MW</c:v>
                </c:pt>
                <c:pt idx="1">
                  <c:v>4Acid-Fusion</c:v>
                </c:pt>
                <c:pt idx="2">
                  <c:v>MW-Fusion</c:v>
                </c:pt>
              </c:strCache>
            </c:strRef>
          </c:cat>
          <c:val>
            <c:numRef>
              <c:f>'Concentrate Samples - ANOVA'!$G$107:$G$109</c:f>
              <c:numCache>
                <c:formatCode>0.00</c:formatCode>
                <c:ptCount val="3"/>
                <c:pt idx="0">
                  <c:v>4196.5051908573914</c:v>
                </c:pt>
                <c:pt idx="1">
                  <c:v>-1384.3578160683319</c:v>
                </c:pt>
                <c:pt idx="2">
                  <c:v>-5580.8630069257233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CE-4D4A-8951-671A568E5D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0724895"/>
        <c:axId val="800724479"/>
      </c:barChart>
      <c:catAx>
        <c:axId val="8007248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Methods Pairs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479"/>
        <c:crosses val="autoZero"/>
        <c:auto val="1"/>
        <c:lblAlgn val="ctr"/>
        <c:lblOffset val="100"/>
        <c:noMultiLvlLbl val="0"/>
      </c:catAx>
      <c:valAx>
        <c:axId val="800724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Difference of means, mg/kg</a:t>
                </a:r>
              </a:p>
            </c:rich>
          </c:tx>
          <c:layout>
            <c:manualLayout>
              <c:xMode val="edge"/>
              <c:yMode val="edge"/>
              <c:x val="0.41613267222350342"/>
              <c:y val="0.91209406425146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0072489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22</xdr:row>
      <xdr:rowOff>95250</xdr:rowOff>
    </xdr:from>
    <xdr:to>
      <xdr:col>16</xdr:col>
      <xdr:colOff>266700</xdr:colOff>
      <xdr:row>39</xdr:row>
      <xdr:rowOff>99059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3F0141EE-82FF-4A09-B41C-8DAC3F8FD7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285751</xdr:colOff>
      <xdr:row>60</xdr:row>
      <xdr:rowOff>28576</xdr:rowOff>
    </xdr:from>
    <xdr:to>
      <xdr:col>16</xdr:col>
      <xdr:colOff>733426</xdr:colOff>
      <xdr:row>77</xdr:row>
      <xdr:rowOff>85726</xdr:rowOff>
    </xdr:to>
    <xdr:graphicFrame macro="">
      <xdr:nvGraphicFramePr>
        <xdr:cNvPr id="3" name="Chart 5">
          <a:extLst>
            <a:ext uri="{FF2B5EF4-FFF2-40B4-BE49-F238E27FC236}">
              <a16:creationId xmlns:a16="http://schemas.microsoft.com/office/drawing/2014/main" id="{AD9BE59A-688A-4221-B4C0-F029F00D70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247650</xdr:colOff>
      <xdr:row>98</xdr:row>
      <xdr:rowOff>171450</xdr:rowOff>
    </xdr:from>
    <xdr:to>
      <xdr:col>17</xdr:col>
      <xdr:colOff>781049</xdr:colOff>
      <xdr:row>114</xdr:row>
      <xdr:rowOff>171449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ECCFEDE0-15D8-4FF2-B829-CBF8257C2A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333375</xdr:colOff>
      <xdr:row>136</xdr:row>
      <xdr:rowOff>19050</xdr:rowOff>
    </xdr:from>
    <xdr:to>
      <xdr:col>17</xdr:col>
      <xdr:colOff>799660</xdr:colOff>
      <xdr:row>153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884EED1-DE95-4878-97F9-5B8F8AF941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409575</xdr:colOff>
      <xdr:row>175</xdr:row>
      <xdr:rowOff>19051</xdr:rowOff>
    </xdr:from>
    <xdr:to>
      <xdr:col>18</xdr:col>
      <xdr:colOff>485335</xdr:colOff>
      <xdr:row>190</xdr:row>
      <xdr:rowOff>171451</xdr:rowOff>
    </xdr:to>
    <xdr:graphicFrame macro="">
      <xdr:nvGraphicFramePr>
        <xdr:cNvPr id="7" name="Chart 5">
          <a:extLst>
            <a:ext uri="{FF2B5EF4-FFF2-40B4-BE49-F238E27FC236}">
              <a16:creationId xmlns:a16="http://schemas.microsoft.com/office/drawing/2014/main" id="{37B9BE1F-FE86-4C8A-9818-A220A48E1A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200025</xdr:colOff>
      <xdr:row>212</xdr:row>
      <xdr:rowOff>95250</xdr:rowOff>
    </xdr:from>
    <xdr:to>
      <xdr:col>17</xdr:col>
      <xdr:colOff>571500</xdr:colOff>
      <xdr:row>229</xdr:row>
      <xdr:rowOff>19050</xdr:rowOff>
    </xdr:to>
    <xdr:graphicFrame macro="">
      <xdr:nvGraphicFramePr>
        <xdr:cNvPr id="8" name="Chart 5">
          <a:extLst>
            <a:ext uri="{FF2B5EF4-FFF2-40B4-BE49-F238E27FC236}">
              <a16:creationId xmlns:a16="http://schemas.microsoft.com/office/drawing/2014/main" id="{A3752B46-2C78-4633-9125-EA0BF6F0F5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104775</xdr:colOff>
      <xdr:row>21</xdr:row>
      <xdr:rowOff>104775</xdr:rowOff>
    </xdr:from>
    <xdr:to>
      <xdr:col>19</xdr:col>
      <xdr:colOff>18611</xdr:colOff>
      <xdr:row>37</xdr:row>
      <xdr:rowOff>161925</xdr:rowOff>
    </xdr:to>
    <xdr:graphicFrame macro="">
      <xdr:nvGraphicFramePr>
        <xdr:cNvPr id="8" name="Chart 5">
          <a:extLst>
            <a:ext uri="{FF2B5EF4-FFF2-40B4-BE49-F238E27FC236}">
              <a16:creationId xmlns:a16="http://schemas.microsoft.com/office/drawing/2014/main" id="{FEF93B4E-565F-4B45-9441-7FC27524C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790575</xdr:colOff>
      <xdr:row>60</xdr:row>
      <xdr:rowOff>9525</xdr:rowOff>
    </xdr:from>
    <xdr:to>
      <xdr:col>18</xdr:col>
      <xdr:colOff>113861</xdr:colOff>
      <xdr:row>77</xdr:row>
      <xdr:rowOff>108585</xdr:rowOff>
    </xdr:to>
    <xdr:graphicFrame macro="">
      <xdr:nvGraphicFramePr>
        <xdr:cNvPr id="9" name="Chart 5">
          <a:extLst>
            <a:ext uri="{FF2B5EF4-FFF2-40B4-BE49-F238E27FC236}">
              <a16:creationId xmlns:a16="http://schemas.microsoft.com/office/drawing/2014/main" id="{3D84485A-F794-4DB4-A1F0-5552FCA8C6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99</xdr:row>
      <xdr:rowOff>0</xdr:rowOff>
    </xdr:from>
    <xdr:to>
      <xdr:col>17</xdr:col>
      <xdr:colOff>409575</xdr:colOff>
      <xdr:row>115</xdr:row>
      <xdr:rowOff>38100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FB28F12-328D-456B-92D5-3320A8C50F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136</xdr:row>
      <xdr:rowOff>0</xdr:rowOff>
    </xdr:from>
    <xdr:to>
      <xdr:col>18</xdr:col>
      <xdr:colOff>161486</xdr:colOff>
      <xdr:row>153</xdr:row>
      <xdr:rowOff>99060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C7D678DB-94C3-4F3A-AB86-D1CCDC73C1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180974</xdr:colOff>
      <xdr:row>176</xdr:row>
      <xdr:rowOff>0</xdr:rowOff>
    </xdr:from>
    <xdr:to>
      <xdr:col>18</xdr:col>
      <xdr:colOff>161485</xdr:colOff>
      <xdr:row>190</xdr:row>
      <xdr:rowOff>104775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EDB2CAB2-0A11-49A5-8E18-FA562B4618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666749</xdr:colOff>
      <xdr:row>212</xdr:row>
      <xdr:rowOff>47624</xdr:rowOff>
    </xdr:from>
    <xdr:to>
      <xdr:col>17</xdr:col>
      <xdr:colOff>456760</xdr:colOff>
      <xdr:row>229</xdr:row>
      <xdr:rowOff>22859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C65D52E2-8F1A-4A30-ADDC-F7FB32DAFC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laa.zaben\Desktop\Article\Article%20statistics\ICP-MS%20Data%20processing%202025-bulk%20ALAA.xlsx" TargetMode="External"/><Relationship Id="rId1" Type="http://schemas.openxmlformats.org/officeDocument/2006/relationships/externalLinkPath" Target="file:///C:\Users\alaa.zaben\Desktop\Article\Article%20statistics\ICP-MS%20Data%20processing%202025-bulk%20ALAA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laa.zaben\Desktop\ICP-MS%20Data%20processing%202025-bulk.xlsx" TargetMode="External"/><Relationship Id="rId1" Type="http://schemas.openxmlformats.org/officeDocument/2006/relationships/externalLinkPath" Target="file:///C:\Users\alaa.zaben\Desktop\ICP-MS%20Data%20processing%202025-bulk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laa.zaben\Desktop\ICP-MS%20Data%20processing%202025-conc.xlsx" TargetMode="External"/><Relationship Id="rId1" Type="http://schemas.openxmlformats.org/officeDocument/2006/relationships/externalLinkPath" Target="file:///C:\Users\alaa.zaben\Desktop\ICP-MS%20Data%20processing%202025-con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W DATA"/>
      <sheetName val="Masses&amp; DF "/>
      <sheetName val="1"/>
      <sheetName val="2"/>
      <sheetName val="recovery"/>
      <sheetName val="Ce"/>
      <sheetName val="Eu"/>
      <sheetName val="La"/>
      <sheetName val="Nd"/>
      <sheetName val="Pr"/>
      <sheetName val="Sm"/>
    </sheetNames>
    <sheetDataSet>
      <sheetData sheetId="0"/>
      <sheetData sheetId="1">
        <row r="1">
          <cell r="BO1" t="str">
            <v xml:space="preserve">140Ce </v>
          </cell>
          <cell r="BV1" t="str">
            <v xml:space="preserve">151Eu </v>
          </cell>
          <cell r="CA1" t="str">
            <v xml:space="preserve">139La </v>
          </cell>
          <cell r="CD1" t="str">
            <v xml:space="preserve">146Nd </v>
          </cell>
          <cell r="CE1" t="str">
            <v xml:space="preserve">141Pr </v>
          </cell>
          <cell r="CH1" t="str">
            <v xml:space="preserve">152Sm 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W DATA"/>
      <sheetName val="Masses&amp; DF "/>
      <sheetName val="1"/>
      <sheetName val="2"/>
      <sheetName val="Recovery"/>
      <sheetName val="Ce"/>
      <sheetName val="Eu"/>
      <sheetName val="La"/>
      <sheetName val="Nd"/>
      <sheetName val="Pr"/>
      <sheetName val="Sm"/>
    </sheetNames>
    <sheetDataSet>
      <sheetData sheetId="0"/>
      <sheetData sheetId="1"/>
      <sheetData sheetId="2"/>
      <sheetData sheetId="3"/>
      <sheetData sheetId="4"/>
      <sheetData sheetId="5">
        <row r="25">
          <cell r="H25">
            <v>340.84179481529998</v>
          </cell>
          <cell r="I25">
            <v>340.84179481529998</v>
          </cell>
        </row>
        <row r="26">
          <cell r="H26">
            <v>340.84179481529998</v>
          </cell>
          <cell r="I26">
            <v>340.84179481529998</v>
          </cell>
        </row>
        <row r="27">
          <cell r="H27">
            <v>340.84179481529998</v>
          </cell>
          <cell r="I27">
            <v>340.84179481529998</v>
          </cell>
        </row>
      </sheetData>
      <sheetData sheetId="6">
        <row r="24">
          <cell r="G24">
            <v>0.47495840181459315</v>
          </cell>
          <cell r="H24">
            <v>0.89835786070009793</v>
          </cell>
          <cell r="I24">
            <v>0.89835786070009793</v>
          </cell>
        </row>
        <row r="25">
          <cell r="G25">
            <v>-1.6706213161637216</v>
          </cell>
          <cell r="H25">
            <v>0.89835786070009793</v>
          </cell>
          <cell r="I25">
            <v>0.89835786070009793</v>
          </cell>
        </row>
        <row r="26">
          <cell r="G26">
            <v>-2.1455797179783147</v>
          </cell>
          <cell r="H26">
            <v>0.89835786070009793</v>
          </cell>
          <cell r="I26">
            <v>0.89835786070009793</v>
          </cell>
        </row>
      </sheetData>
      <sheetData sheetId="7">
        <row r="24">
          <cell r="G24">
            <v>60.696975657823714</v>
          </cell>
          <cell r="H24">
            <v>177.42178339609137</v>
          </cell>
          <cell r="I24">
            <v>177.42178339609137</v>
          </cell>
        </row>
        <row r="25">
          <cell r="G25">
            <v>-287.38587752299372</v>
          </cell>
          <cell r="H25">
            <v>177.42178339609137</v>
          </cell>
          <cell r="I25">
            <v>177.42178339609137</v>
          </cell>
        </row>
        <row r="26">
          <cell r="G26">
            <v>-348.08285318081744</v>
          </cell>
          <cell r="H26">
            <v>177.42178339609137</v>
          </cell>
          <cell r="I26">
            <v>177.42178339609137</v>
          </cell>
        </row>
      </sheetData>
      <sheetData sheetId="8">
        <row r="25">
          <cell r="H25">
            <v>123.76983018827571</v>
          </cell>
          <cell r="I25">
            <v>123.76983018827571</v>
          </cell>
        </row>
        <row r="26">
          <cell r="H26">
            <v>123.76983018827571</v>
          </cell>
          <cell r="I26">
            <v>123.76983018827571</v>
          </cell>
        </row>
        <row r="27">
          <cell r="H27">
            <v>123.76983018827571</v>
          </cell>
          <cell r="I27">
            <v>123.76983018827571</v>
          </cell>
        </row>
      </sheetData>
      <sheetData sheetId="9">
        <row r="25">
          <cell r="H25">
            <v>37.217333890798656</v>
          </cell>
          <cell r="I25">
            <v>37.217333890798656</v>
          </cell>
        </row>
        <row r="26">
          <cell r="H26">
            <v>37.217333890798656</v>
          </cell>
          <cell r="I26">
            <v>37.217333890798656</v>
          </cell>
        </row>
        <row r="27">
          <cell r="H27">
            <v>37.217333890798656</v>
          </cell>
          <cell r="I27">
            <v>37.217333890798656</v>
          </cell>
        </row>
      </sheetData>
      <sheetData sheetId="10">
        <row r="25">
          <cell r="H25">
            <v>21.35338063598185</v>
          </cell>
          <cell r="I25">
            <v>21.35338063598185</v>
          </cell>
        </row>
        <row r="26">
          <cell r="H26">
            <v>21.35338063598185</v>
          </cell>
          <cell r="I26">
            <v>21.35338063598185</v>
          </cell>
        </row>
        <row r="27">
          <cell r="H27">
            <v>21.35338063598185</v>
          </cell>
          <cell r="I27">
            <v>21.35338063598185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W DATA"/>
      <sheetName val="Masses&amp; DF "/>
      <sheetName val="1"/>
      <sheetName val="2"/>
      <sheetName val="Recovery"/>
      <sheetName val="Ce"/>
      <sheetName val="Eu"/>
      <sheetName val="La"/>
      <sheetName val="Nd"/>
      <sheetName val="Pr"/>
      <sheetName val="Sm"/>
      <sheetName val="Sheet1"/>
      <sheetName val="#REF"/>
    </sheetNames>
    <sheetDataSet>
      <sheetData sheetId="0"/>
      <sheetData sheetId="1"/>
      <sheetData sheetId="2"/>
      <sheetData sheetId="3"/>
      <sheetData sheetId="4"/>
      <sheetData sheetId="5">
        <row r="18">
          <cell r="H18">
            <v>4601.4576096802648</v>
          </cell>
          <cell r="I18">
            <v>4601.4576096802648</v>
          </cell>
        </row>
        <row r="19">
          <cell r="H19">
            <v>4601.4576096802648</v>
          </cell>
          <cell r="I19">
            <v>4601.4576096802648</v>
          </cell>
        </row>
        <row r="20">
          <cell r="H20">
            <v>4601.4576096802648</v>
          </cell>
          <cell r="I20">
            <v>4601.4576096802648</v>
          </cell>
        </row>
      </sheetData>
      <sheetData sheetId="6">
        <row r="18">
          <cell r="H18">
            <v>11.551057621122201</v>
          </cell>
          <cell r="I18">
            <v>11.551057621122201</v>
          </cell>
        </row>
        <row r="19">
          <cell r="H19">
            <v>11.551057621122201</v>
          </cell>
          <cell r="I19">
            <v>11.551057621122201</v>
          </cell>
        </row>
        <row r="20">
          <cell r="H20">
            <v>11.551057621122201</v>
          </cell>
          <cell r="I20">
            <v>11.551057621122201</v>
          </cell>
        </row>
      </sheetData>
      <sheetData sheetId="7">
        <row r="18">
          <cell r="H18">
            <v>2301.0358526475302</v>
          </cell>
          <cell r="I18">
            <v>2301.0358526475302</v>
          </cell>
        </row>
        <row r="19">
          <cell r="H19">
            <v>2301.0358526475302</v>
          </cell>
          <cell r="I19">
            <v>2301.0358526475302</v>
          </cell>
        </row>
        <row r="20">
          <cell r="H20">
            <v>2301.0358526475302</v>
          </cell>
          <cell r="I20">
            <v>2301.0358526475302</v>
          </cell>
        </row>
      </sheetData>
      <sheetData sheetId="8">
        <row r="18">
          <cell r="H18">
            <v>1719.600691455616</v>
          </cell>
          <cell r="I18">
            <v>1719.600691455616</v>
          </cell>
        </row>
        <row r="19">
          <cell r="H19">
            <v>1719.600691455616</v>
          </cell>
          <cell r="I19">
            <v>1719.600691455616</v>
          </cell>
        </row>
        <row r="20">
          <cell r="H20">
            <v>1719.600691455616</v>
          </cell>
          <cell r="I20">
            <v>1719.600691455616</v>
          </cell>
        </row>
      </sheetData>
      <sheetData sheetId="9">
        <row r="18">
          <cell r="H18">
            <v>516.37884397649009</v>
          </cell>
          <cell r="I18">
            <v>516.37884397649009</v>
          </cell>
        </row>
        <row r="19">
          <cell r="H19">
            <v>516.37884397649009</v>
          </cell>
          <cell r="I19">
            <v>516.37884397649009</v>
          </cell>
        </row>
        <row r="20">
          <cell r="H20">
            <v>516.37884397649009</v>
          </cell>
          <cell r="I20">
            <v>516.37884397649009</v>
          </cell>
        </row>
      </sheetData>
      <sheetData sheetId="10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50"/>
  <sheetViews>
    <sheetView workbookViewId="0">
      <selection activeCell="C50" sqref="C50"/>
    </sheetView>
  </sheetViews>
  <sheetFormatPr defaultRowHeight="15" x14ac:dyDescent="0.25"/>
  <cols>
    <col min="1" max="1" width="22.85546875" bestFit="1" customWidth="1"/>
    <col min="2" max="2" width="8.28515625" bestFit="1" customWidth="1"/>
    <col min="3" max="4" width="8.5703125" bestFit="1" customWidth="1"/>
    <col min="5" max="5" width="8.28515625" bestFit="1" customWidth="1"/>
    <col min="6" max="6" width="7.85546875" bestFit="1" customWidth="1"/>
    <col min="7" max="7" width="7.42578125" bestFit="1" customWidth="1"/>
    <col min="8" max="15" width="6.7109375" bestFit="1" customWidth="1"/>
    <col min="17" max="17" width="7" bestFit="1" customWidth="1"/>
    <col min="18" max="18" width="5" bestFit="1" customWidth="1"/>
    <col min="19" max="19" width="11.140625" bestFit="1" customWidth="1"/>
    <col min="20" max="20" width="8.42578125" bestFit="1" customWidth="1"/>
    <col min="21" max="22" width="9.5703125" bestFit="1" customWidth="1"/>
    <col min="23" max="23" width="8.42578125" bestFit="1" customWidth="1"/>
    <col min="24" max="24" width="9.5703125" bestFit="1" customWidth="1"/>
    <col min="25" max="25" width="8.42578125" bestFit="1" customWidth="1"/>
    <col min="26" max="26" width="7.28515625" bestFit="1" customWidth="1"/>
    <col min="27" max="27" width="8.42578125" bestFit="1" customWidth="1"/>
    <col min="28" max="28" width="7.28515625" bestFit="1" customWidth="1"/>
    <col min="29" max="29" width="8.42578125" bestFit="1" customWidth="1"/>
    <col min="30" max="32" width="7.28515625" bestFit="1" customWidth="1"/>
    <col min="33" max="33" width="6.140625" bestFit="1" customWidth="1"/>
  </cols>
  <sheetData>
    <row r="1" spans="1:33" ht="18.75" x14ac:dyDescent="0.3">
      <c r="A1" s="64" t="s">
        <v>171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</row>
    <row r="2" spans="1:33" x14ac:dyDescent="0.25">
      <c r="A2" s="68" t="s">
        <v>26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S2" s="69" t="s">
        <v>25</v>
      </c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</row>
    <row r="3" spans="1:33" ht="18" customHeight="1" x14ac:dyDescent="0.25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</row>
    <row r="4" spans="1:33" ht="15.75" x14ac:dyDescent="0.25">
      <c r="A4" s="61" t="s">
        <v>24</v>
      </c>
      <c r="B4" s="59" t="s">
        <v>23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Q4" s="1"/>
      <c r="R4" s="1"/>
      <c r="S4" s="61" t="s">
        <v>24</v>
      </c>
      <c r="T4" s="59" t="s">
        <v>23</v>
      </c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</row>
    <row r="5" spans="1:33" ht="15.75" x14ac:dyDescent="0.25">
      <c r="A5" s="62"/>
      <c r="B5" s="3" t="s">
        <v>13</v>
      </c>
      <c r="C5" s="3" t="s">
        <v>7</v>
      </c>
      <c r="D5" s="3" t="s">
        <v>1</v>
      </c>
      <c r="E5" s="3" t="s">
        <v>10</v>
      </c>
      <c r="F5" s="3" t="s">
        <v>9</v>
      </c>
      <c r="G5" s="3" t="s">
        <v>11</v>
      </c>
      <c r="H5" s="3" t="s">
        <v>4</v>
      </c>
      <c r="I5" s="3" t="s">
        <v>5</v>
      </c>
      <c r="J5" s="3" t="s">
        <v>12</v>
      </c>
      <c r="K5" s="3" t="s">
        <v>2</v>
      </c>
      <c r="L5" s="3" t="s">
        <v>6</v>
      </c>
      <c r="M5" s="3" t="s">
        <v>3</v>
      </c>
      <c r="N5" s="3" t="s">
        <v>14</v>
      </c>
      <c r="O5" s="3" t="s">
        <v>8</v>
      </c>
      <c r="S5" s="62"/>
      <c r="T5" s="3" t="s">
        <v>13</v>
      </c>
      <c r="U5" s="3" t="s">
        <v>7</v>
      </c>
      <c r="V5" s="3" t="s">
        <v>1</v>
      </c>
      <c r="W5" s="3" t="s">
        <v>10</v>
      </c>
      <c r="X5" s="3" t="s">
        <v>9</v>
      </c>
      <c r="Y5" s="3" t="s">
        <v>11</v>
      </c>
      <c r="Z5" s="3" t="s">
        <v>4</v>
      </c>
      <c r="AA5" s="3" t="s">
        <v>5</v>
      </c>
      <c r="AB5" s="3" t="s">
        <v>12</v>
      </c>
      <c r="AC5" s="3" t="s">
        <v>2</v>
      </c>
      <c r="AD5" s="3" t="s">
        <v>6</v>
      </c>
      <c r="AE5" s="3" t="s">
        <v>3</v>
      </c>
      <c r="AF5" s="3" t="s">
        <v>14</v>
      </c>
      <c r="AG5" s="3" t="s">
        <v>8</v>
      </c>
    </row>
    <row r="6" spans="1:33" ht="15.75" x14ac:dyDescent="0.25">
      <c r="A6" s="62"/>
      <c r="B6" s="66" t="s">
        <v>15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7"/>
      <c r="S6" s="62"/>
      <c r="T6" s="66" t="s">
        <v>15</v>
      </c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7"/>
    </row>
    <row r="7" spans="1:33" ht="15.75" x14ac:dyDescent="0.25">
      <c r="A7" s="63"/>
      <c r="B7" s="59" t="s">
        <v>0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S7" s="63"/>
      <c r="T7" s="59" t="s">
        <v>0</v>
      </c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</row>
    <row r="8" spans="1:33" ht="15.75" x14ac:dyDescent="0.25">
      <c r="A8" s="4" t="s">
        <v>16</v>
      </c>
      <c r="B8" s="4">
        <v>143.19</v>
      </c>
      <c r="C8" s="4">
        <v>849.13</v>
      </c>
      <c r="D8" s="4">
        <v>1597.46</v>
      </c>
      <c r="E8" s="4">
        <v>183.24</v>
      </c>
      <c r="F8" s="4">
        <v>643.86</v>
      </c>
      <c r="G8" s="4">
        <v>108.81</v>
      </c>
      <c r="H8" s="4">
        <v>4.67</v>
      </c>
      <c r="I8" s="4">
        <v>89.79</v>
      </c>
      <c r="J8" s="4">
        <v>8.01</v>
      </c>
      <c r="K8" s="4">
        <v>38.049999999999997</v>
      </c>
      <c r="L8" s="4">
        <v>4.01</v>
      </c>
      <c r="M8" s="4">
        <v>13.68</v>
      </c>
      <c r="N8" s="4">
        <v>11.35</v>
      </c>
      <c r="O8" s="4">
        <v>1.67</v>
      </c>
      <c r="S8" s="4" t="s">
        <v>16</v>
      </c>
      <c r="T8" s="4">
        <v>3989.83</v>
      </c>
      <c r="U8" s="4">
        <v>33794.79</v>
      </c>
      <c r="V8" s="4">
        <v>66451.399999999994</v>
      </c>
      <c r="W8" s="4">
        <v>7382.47</v>
      </c>
      <c r="X8" s="4">
        <v>25279.54</v>
      </c>
      <c r="Y8" s="4">
        <v>4057.18</v>
      </c>
      <c r="Z8" s="4">
        <v>182.97</v>
      </c>
      <c r="AA8" s="4">
        <v>3265.88</v>
      </c>
      <c r="AB8" s="4">
        <v>355.78</v>
      </c>
      <c r="AC8" s="4">
        <v>1332.27</v>
      </c>
      <c r="AD8" s="4">
        <v>163.28</v>
      </c>
      <c r="AE8" s="4">
        <v>387.23</v>
      </c>
      <c r="AF8" s="4">
        <v>198.54</v>
      </c>
      <c r="AG8" s="4">
        <v>26.68</v>
      </c>
    </row>
    <row r="9" spans="1:33" ht="15.75" x14ac:dyDescent="0.25">
      <c r="A9" s="4" t="s">
        <v>17</v>
      </c>
      <c r="B9" s="4">
        <v>143.86000000000001</v>
      </c>
      <c r="C9" s="4">
        <v>859.81</v>
      </c>
      <c r="D9" s="4">
        <v>1625.5</v>
      </c>
      <c r="E9" s="4">
        <v>184.58</v>
      </c>
      <c r="F9" s="4">
        <v>647.20000000000005</v>
      </c>
      <c r="G9" s="4">
        <v>109.81</v>
      </c>
      <c r="H9" s="4">
        <v>5.01</v>
      </c>
      <c r="I9" s="4">
        <v>90.45</v>
      </c>
      <c r="J9" s="4">
        <v>8.34</v>
      </c>
      <c r="K9" s="4">
        <v>38.380000000000003</v>
      </c>
      <c r="L9" s="4">
        <v>4.01</v>
      </c>
      <c r="M9" s="4">
        <v>13.68</v>
      </c>
      <c r="N9" s="4">
        <v>11.35</v>
      </c>
      <c r="O9" s="4">
        <v>1.67</v>
      </c>
      <c r="S9" s="4" t="s">
        <v>17</v>
      </c>
      <c r="T9" s="4">
        <v>3885.96</v>
      </c>
      <c r="U9" s="4">
        <v>32882.15</v>
      </c>
      <c r="V9" s="4">
        <v>64773.51</v>
      </c>
      <c r="W9" s="4">
        <v>7212.2</v>
      </c>
      <c r="X9" s="4">
        <v>24823.06</v>
      </c>
      <c r="Y9" s="4">
        <v>3956.8</v>
      </c>
      <c r="Z9" s="4">
        <v>177.57</v>
      </c>
      <c r="AA9" s="4">
        <v>3206.48</v>
      </c>
      <c r="AB9" s="4">
        <v>349.11</v>
      </c>
      <c r="AC9" s="4">
        <v>1302.4100000000001</v>
      </c>
      <c r="AD9" s="4">
        <v>159.78</v>
      </c>
      <c r="AE9" s="4">
        <v>375.48</v>
      </c>
      <c r="AF9" s="4">
        <v>195.36</v>
      </c>
      <c r="AG9" s="4">
        <v>26.05</v>
      </c>
    </row>
    <row r="10" spans="1:33" ht="15.75" x14ac:dyDescent="0.25">
      <c r="A10" s="4" t="s">
        <v>18</v>
      </c>
      <c r="B10" s="4">
        <v>143.87</v>
      </c>
      <c r="C10" s="4">
        <v>845.01</v>
      </c>
      <c r="D10" s="4">
        <v>1596.36</v>
      </c>
      <c r="E10" s="4">
        <v>182.28</v>
      </c>
      <c r="F10" s="4">
        <v>622.29999999999995</v>
      </c>
      <c r="G10" s="4">
        <v>106.81</v>
      </c>
      <c r="H10" s="4">
        <v>4.72</v>
      </c>
      <c r="I10" s="4">
        <v>87.26</v>
      </c>
      <c r="J10" s="4">
        <v>7.75</v>
      </c>
      <c r="K10" s="4">
        <v>37.4</v>
      </c>
      <c r="L10" s="4">
        <v>3.71</v>
      </c>
      <c r="M10" s="4">
        <v>13.81</v>
      </c>
      <c r="N10" s="4">
        <v>11.12</v>
      </c>
      <c r="O10" s="4">
        <v>1.37</v>
      </c>
      <c r="S10" s="4" t="s">
        <v>18</v>
      </c>
      <c r="T10" s="4">
        <v>3859.67</v>
      </c>
      <c r="U10" s="4">
        <v>32940.67</v>
      </c>
      <c r="V10" s="4">
        <v>64715</v>
      </c>
      <c r="W10" s="4">
        <v>7193.33</v>
      </c>
      <c r="X10" s="4">
        <v>24715.33</v>
      </c>
      <c r="Y10" s="4">
        <v>3929</v>
      </c>
      <c r="Z10" s="4">
        <v>180.67</v>
      </c>
      <c r="AA10" s="4">
        <v>3141.33</v>
      </c>
      <c r="AB10" s="4">
        <v>345.33</v>
      </c>
      <c r="AC10" s="4">
        <v>1280.33</v>
      </c>
      <c r="AD10" s="4">
        <v>160.33000000000001</v>
      </c>
      <c r="AE10" s="4">
        <v>375.33</v>
      </c>
      <c r="AF10" s="4">
        <v>192.33</v>
      </c>
      <c r="AG10" s="4">
        <v>25.67</v>
      </c>
    </row>
    <row r="11" spans="1:33" ht="15.75" x14ac:dyDescent="0.25">
      <c r="A11" s="4" t="s">
        <v>19</v>
      </c>
      <c r="B11" s="4">
        <v>144.54</v>
      </c>
      <c r="C11" s="4">
        <v>851.75</v>
      </c>
      <c r="D11" s="4">
        <v>1590.63</v>
      </c>
      <c r="E11" s="4">
        <v>182.61</v>
      </c>
      <c r="F11" s="4">
        <v>640.84</v>
      </c>
      <c r="G11" s="4">
        <v>108.15</v>
      </c>
      <c r="H11" s="4">
        <v>4.72</v>
      </c>
      <c r="I11" s="4">
        <v>89.29</v>
      </c>
      <c r="J11" s="4">
        <v>8.09</v>
      </c>
      <c r="K11" s="4">
        <v>37.74</v>
      </c>
      <c r="L11" s="4">
        <v>3.71</v>
      </c>
      <c r="M11" s="4">
        <v>13.48</v>
      </c>
      <c r="N11" s="4">
        <v>11.12</v>
      </c>
      <c r="O11" s="4">
        <v>1.37</v>
      </c>
      <c r="S11" s="4" t="s">
        <v>19</v>
      </c>
      <c r="T11" s="4">
        <v>3885.67</v>
      </c>
      <c r="U11" s="4">
        <v>32954</v>
      </c>
      <c r="V11" s="4">
        <v>65083</v>
      </c>
      <c r="W11" s="4">
        <v>7207</v>
      </c>
      <c r="X11" s="4">
        <v>24570.67</v>
      </c>
      <c r="Y11" s="4">
        <v>3900</v>
      </c>
      <c r="Z11" s="4">
        <v>174.67</v>
      </c>
      <c r="AA11" s="4">
        <v>3156</v>
      </c>
      <c r="AB11" s="4">
        <v>343.67</v>
      </c>
      <c r="AC11" s="4">
        <v>1278.33</v>
      </c>
      <c r="AD11" s="4">
        <v>158</v>
      </c>
      <c r="AE11" s="4">
        <v>370.33</v>
      </c>
      <c r="AF11" s="4">
        <v>191.67</v>
      </c>
      <c r="AG11" s="4">
        <v>25.67</v>
      </c>
    </row>
    <row r="12" spans="1:33" ht="15.75" x14ac:dyDescent="0.25">
      <c r="A12" s="55" t="s">
        <v>75</v>
      </c>
      <c r="B12" s="55">
        <f>AVERAGE(B8:B11)</f>
        <v>143.86500000000001</v>
      </c>
      <c r="C12" s="55">
        <f t="shared" ref="C12:O12" si="0">AVERAGE(C8:C11)</f>
        <v>851.42499999999995</v>
      </c>
      <c r="D12" s="55">
        <f t="shared" si="0"/>
        <v>1602.4875</v>
      </c>
      <c r="E12" s="55">
        <f t="shared" si="0"/>
        <v>183.17750000000001</v>
      </c>
      <c r="F12" s="55">
        <f t="shared" si="0"/>
        <v>638.54999999999995</v>
      </c>
      <c r="G12" s="55">
        <f t="shared" si="0"/>
        <v>108.39500000000001</v>
      </c>
      <c r="H12" s="55">
        <f t="shared" si="0"/>
        <v>4.7799999999999994</v>
      </c>
      <c r="I12" s="55">
        <f t="shared" si="0"/>
        <v>89.197500000000005</v>
      </c>
      <c r="J12" s="55">
        <f t="shared" si="0"/>
        <v>8.0474999999999994</v>
      </c>
      <c r="K12" s="55">
        <f t="shared" si="0"/>
        <v>37.892500000000005</v>
      </c>
      <c r="L12" s="55">
        <f t="shared" si="0"/>
        <v>3.8600000000000003</v>
      </c>
      <c r="M12" s="55">
        <f t="shared" si="0"/>
        <v>13.662500000000001</v>
      </c>
      <c r="N12" s="55">
        <f t="shared" si="0"/>
        <v>11.234999999999999</v>
      </c>
      <c r="O12" s="55">
        <f t="shared" si="0"/>
        <v>1.52</v>
      </c>
      <c r="S12" s="55" t="s">
        <v>75</v>
      </c>
      <c r="T12" s="55">
        <f>AVERAGE(T8:T11)</f>
        <v>3905.2824999999998</v>
      </c>
      <c r="U12" s="55">
        <f t="shared" ref="U12" si="1">AVERAGE(U8:U11)</f>
        <v>33142.902499999997</v>
      </c>
      <c r="V12" s="55">
        <f t="shared" ref="V12" si="2">AVERAGE(V8:V11)</f>
        <v>65255.727500000001</v>
      </c>
      <c r="W12" s="55">
        <f t="shared" ref="W12" si="3">AVERAGE(W8:W11)</f>
        <v>7248.75</v>
      </c>
      <c r="X12" s="55">
        <f t="shared" ref="X12" si="4">AVERAGE(X8:X11)</f>
        <v>24847.15</v>
      </c>
      <c r="Y12" s="55">
        <f t="shared" ref="Y12" si="5">AVERAGE(Y8:Y11)</f>
        <v>3960.7449999999999</v>
      </c>
      <c r="Z12" s="55">
        <f t="shared" ref="Z12" si="6">AVERAGE(Z8:Z11)</f>
        <v>178.96999999999997</v>
      </c>
      <c r="AA12" s="55">
        <f t="shared" ref="AA12" si="7">AVERAGE(AA8:AA11)</f>
        <v>3192.4225000000001</v>
      </c>
      <c r="AB12" s="55">
        <f t="shared" ref="AB12" si="8">AVERAGE(AB8:AB11)</f>
        <v>348.47250000000003</v>
      </c>
      <c r="AC12" s="55">
        <f t="shared" ref="AC12" si="9">AVERAGE(AC8:AC11)</f>
        <v>1298.335</v>
      </c>
      <c r="AD12" s="55">
        <f t="shared" ref="AD12" si="10">AVERAGE(AD8:AD11)</f>
        <v>160.3475</v>
      </c>
      <c r="AE12" s="55">
        <f t="shared" ref="AE12" si="11">AVERAGE(AE8:AE11)</f>
        <v>377.09249999999997</v>
      </c>
      <c r="AF12" s="55">
        <f t="shared" ref="AF12" si="12">AVERAGE(AF8:AF11)</f>
        <v>194.47499999999999</v>
      </c>
      <c r="AG12" s="55">
        <f t="shared" ref="AG12" si="13">AVERAGE(AG8:AG11)</f>
        <v>26.017500000000002</v>
      </c>
    </row>
    <row r="13" spans="1:33" ht="15.75" x14ac:dyDescent="0.25">
      <c r="A13" s="55" t="s">
        <v>170</v>
      </c>
      <c r="B13" s="56">
        <f>B12/B$36</f>
        <v>0.75710451531417733</v>
      </c>
      <c r="C13" s="56">
        <f t="shared" ref="C13:O13" si="14">C12/C$36</f>
        <v>1.019215978500609</v>
      </c>
      <c r="D13" s="56">
        <f t="shared" si="14"/>
        <v>0.9608549727255965</v>
      </c>
      <c r="E13" s="56">
        <f t="shared" si="14"/>
        <v>0.97379158194117721</v>
      </c>
      <c r="F13" s="56">
        <f t="shared" si="14"/>
        <v>1.0454364990033522</v>
      </c>
      <c r="G13" s="56">
        <f t="shared" si="14"/>
        <v>0.96619498607242349</v>
      </c>
      <c r="H13" s="56">
        <f t="shared" si="14"/>
        <v>0.74108527131782931</v>
      </c>
      <c r="I13" s="56">
        <f t="shared" si="14"/>
        <v>0.99801398601398605</v>
      </c>
      <c r="J13" s="56">
        <f t="shared" si="14"/>
        <v>0.79520750988142275</v>
      </c>
      <c r="K13" s="56">
        <f t="shared" si="14"/>
        <v>0.82334727578901634</v>
      </c>
      <c r="L13" s="56">
        <f t="shared" si="14"/>
        <v>0.54751773049645391</v>
      </c>
      <c r="M13" s="56">
        <f t="shared" si="14"/>
        <v>0.65922798552472861</v>
      </c>
      <c r="N13" s="56">
        <f t="shared" si="14"/>
        <v>0.51231190150478789</v>
      </c>
      <c r="O13" s="56">
        <f t="shared" si="14"/>
        <v>0.43741007194244602</v>
      </c>
      <c r="S13" s="55" t="s">
        <v>170</v>
      </c>
      <c r="T13" s="56">
        <f>T12/T$36</f>
        <v>0.84851008171071585</v>
      </c>
      <c r="U13" s="56">
        <f t="shared" ref="U13" si="15">U12/U$36</f>
        <v>0.97592870926253805</v>
      </c>
      <c r="V13" s="56">
        <f t="shared" ref="V13" si="16">V12/V$36</f>
        <v>0.97219396837503402</v>
      </c>
      <c r="W13" s="56">
        <f t="shared" ref="W13" si="17">W12/W$36</f>
        <v>0.9650058492767033</v>
      </c>
      <c r="X13" s="56">
        <f t="shared" ref="X13" si="18">X12/X$36</f>
        <v>0.98618977499593186</v>
      </c>
      <c r="Y13" s="56">
        <f t="shared" ref="Y13" si="19">Y12/Y$36</f>
        <v>0.98792390425924637</v>
      </c>
      <c r="Z13" s="56">
        <f t="shared" ref="Z13" si="20">Z12/Z$36</f>
        <v>0.99260964212919933</v>
      </c>
      <c r="AA13" s="56">
        <f t="shared" ref="AA13" si="21">AA12/AA$36</f>
        <v>1.0044505239079975</v>
      </c>
      <c r="AB13" s="56">
        <f t="shared" ref="AB13" si="22">AB12/AB$36</f>
        <v>0.96828848104255538</v>
      </c>
      <c r="AC13" s="56">
        <f t="shared" ref="AC13" si="23">AC12/AC$36</f>
        <v>0.9297646648107204</v>
      </c>
      <c r="AD13" s="56">
        <f t="shared" ref="AD13" si="24">AD12/AD$36</f>
        <v>0.86553850721293335</v>
      </c>
      <c r="AE13" s="56">
        <f t="shared" ref="AE13" si="25">AE12/AE$36</f>
        <v>0.79142968077738363</v>
      </c>
      <c r="AF13" s="56">
        <f t="shared" ref="AF13" si="26">AF12/AF$36</f>
        <v>0.55095579746584411</v>
      </c>
      <c r="AG13" s="56">
        <f t="shared" ref="AG13" si="27">AG12/AG$36</f>
        <v>0.46191744340878826</v>
      </c>
    </row>
    <row r="14" spans="1:33" ht="15.75" x14ac:dyDescent="0.25">
      <c r="A14" s="5"/>
      <c r="B14" s="65" t="s">
        <v>20</v>
      </c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7"/>
      <c r="S14" s="5"/>
      <c r="T14" s="65" t="s">
        <v>20</v>
      </c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7"/>
    </row>
    <row r="15" spans="1:33" ht="15.75" x14ac:dyDescent="0.25">
      <c r="A15" s="5"/>
      <c r="B15" s="59" t="s">
        <v>0</v>
      </c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S15" s="5"/>
      <c r="T15" s="59" t="s">
        <v>0</v>
      </c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</row>
    <row r="16" spans="1:33" ht="15.75" x14ac:dyDescent="0.25">
      <c r="A16" s="4" t="s">
        <v>16</v>
      </c>
      <c r="B16" s="4">
        <v>127.38</v>
      </c>
      <c r="C16" s="4">
        <v>745.92</v>
      </c>
      <c r="D16" s="4">
        <v>1490.15</v>
      </c>
      <c r="E16" s="4">
        <v>159.65</v>
      </c>
      <c r="F16" s="4">
        <v>569.29</v>
      </c>
      <c r="G16" s="4">
        <v>95.79</v>
      </c>
      <c r="H16" s="4">
        <v>4.08</v>
      </c>
      <c r="I16" s="4">
        <v>78.459999999999994</v>
      </c>
      <c r="J16" s="4">
        <v>6.79</v>
      </c>
      <c r="K16" s="4">
        <v>33.29</v>
      </c>
      <c r="L16" s="4">
        <v>3.4</v>
      </c>
      <c r="M16" s="4">
        <v>12.23</v>
      </c>
      <c r="N16" s="4">
        <v>10.53</v>
      </c>
      <c r="O16" s="4">
        <v>0.68</v>
      </c>
      <c r="S16" s="4" t="s">
        <v>16</v>
      </c>
      <c r="T16" s="4">
        <v>2950.27</v>
      </c>
      <c r="U16" s="4">
        <v>21208.28</v>
      </c>
      <c r="V16" s="4">
        <v>42070.43</v>
      </c>
      <c r="W16" s="4">
        <v>4746.66</v>
      </c>
      <c r="X16" s="4">
        <v>16392.86</v>
      </c>
      <c r="Y16" s="4">
        <v>2684.58</v>
      </c>
      <c r="Z16" s="4">
        <v>116.82</v>
      </c>
      <c r="AA16" s="4">
        <v>2147.1999999999998</v>
      </c>
      <c r="AB16" s="4">
        <v>243.99</v>
      </c>
      <c r="AC16" s="4">
        <v>936.58</v>
      </c>
      <c r="AD16" s="4">
        <v>117.49</v>
      </c>
      <c r="AE16" s="4">
        <v>280.70999999999998</v>
      </c>
      <c r="AF16" s="4">
        <v>159.88</v>
      </c>
      <c r="AG16" s="4">
        <v>21.36</v>
      </c>
    </row>
    <row r="17" spans="1:33" ht="15.75" x14ac:dyDescent="0.25">
      <c r="A17" s="4" t="s">
        <v>17</v>
      </c>
      <c r="B17" s="4">
        <v>128.74</v>
      </c>
      <c r="C17" s="4">
        <v>753.74</v>
      </c>
      <c r="D17" s="4">
        <v>1513.93</v>
      </c>
      <c r="E17" s="4">
        <v>161.68</v>
      </c>
      <c r="F17" s="4">
        <v>559.78</v>
      </c>
      <c r="G17" s="4">
        <v>94.77</v>
      </c>
      <c r="H17" s="4">
        <v>3.74</v>
      </c>
      <c r="I17" s="4">
        <v>77.11</v>
      </c>
      <c r="J17" s="4">
        <v>6.79</v>
      </c>
      <c r="K17" s="4">
        <v>33.29</v>
      </c>
      <c r="L17" s="4">
        <v>3.4</v>
      </c>
      <c r="M17" s="4">
        <v>12.23</v>
      </c>
      <c r="N17" s="4">
        <v>10.19</v>
      </c>
      <c r="O17" s="4">
        <v>0.68</v>
      </c>
      <c r="S17" s="4" t="s">
        <v>17</v>
      </c>
      <c r="T17" s="4">
        <v>2919.56</v>
      </c>
      <c r="U17" s="4">
        <v>20930.57</v>
      </c>
      <c r="V17" s="4">
        <v>41316.76</v>
      </c>
      <c r="W17" s="4">
        <v>4682.24</v>
      </c>
      <c r="X17" s="4">
        <v>16224.3</v>
      </c>
      <c r="Y17" s="4">
        <v>2617.16</v>
      </c>
      <c r="Z17" s="4">
        <v>115.49</v>
      </c>
      <c r="AA17" s="4">
        <v>2119.4899999999998</v>
      </c>
      <c r="AB17" s="4">
        <v>239.65</v>
      </c>
      <c r="AC17" s="4">
        <v>922.23</v>
      </c>
      <c r="AD17" s="4">
        <v>117.49</v>
      </c>
      <c r="AE17" s="4">
        <v>286.38</v>
      </c>
      <c r="AF17" s="4">
        <v>161.55000000000001</v>
      </c>
      <c r="AG17" s="4">
        <v>21.7</v>
      </c>
    </row>
    <row r="18" spans="1:33" ht="15.75" x14ac:dyDescent="0.25">
      <c r="A18" s="4" t="s">
        <v>18</v>
      </c>
      <c r="B18" s="4">
        <v>138.22999999999999</v>
      </c>
      <c r="C18" s="4">
        <v>837.3</v>
      </c>
      <c r="D18" s="4">
        <v>1572.75</v>
      </c>
      <c r="E18" s="4">
        <v>178.24</v>
      </c>
      <c r="F18" s="4">
        <v>636.24</v>
      </c>
      <c r="G18" s="4">
        <v>106.15</v>
      </c>
      <c r="H18" s="4">
        <v>4.63</v>
      </c>
      <c r="I18" s="4">
        <v>86.31</v>
      </c>
      <c r="J18" s="4">
        <v>7.61</v>
      </c>
      <c r="K18" s="4">
        <v>36.380000000000003</v>
      </c>
      <c r="L18" s="4">
        <v>3.64</v>
      </c>
      <c r="M18" s="4">
        <v>13.23</v>
      </c>
      <c r="N18" s="4">
        <v>10.91</v>
      </c>
      <c r="O18" s="4">
        <v>0.66</v>
      </c>
      <c r="S18" s="4" t="s">
        <v>18</v>
      </c>
      <c r="T18" s="4">
        <v>3073.58</v>
      </c>
      <c r="U18" s="4">
        <v>22334.11</v>
      </c>
      <c r="V18" s="4">
        <v>44798.66</v>
      </c>
      <c r="W18" s="4">
        <v>5049.83</v>
      </c>
      <c r="X18" s="4">
        <v>17127.419999999998</v>
      </c>
      <c r="Y18" s="4">
        <v>2803.01</v>
      </c>
      <c r="Z18" s="4">
        <v>122.41</v>
      </c>
      <c r="AA18" s="4">
        <v>2353.85</v>
      </c>
      <c r="AB18" s="4">
        <v>255.18</v>
      </c>
      <c r="AC18" s="4">
        <v>976.25</v>
      </c>
      <c r="AD18" s="4">
        <v>124.08</v>
      </c>
      <c r="AE18" s="4">
        <v>291.97000000000003</v>
      </c>
      <c r="AF18" s="4">
        <v>160.54</v>
      </c>
      <c r="AG18" s="4">
        <v>21.4</v>
      </c>
    </row>
    <row r="19" spans="1:33" ht="15.75" x14ac:dyDescent="0.25">
      <c r="A19" s="4" t="s">
        <v>19</v>
      </c>
      <c r="B19" s="4">
        <v>137.9</v>
      </c>
      <c r="C19" s="4">
        <v>828.7</v>
      </c>
      <c r="D19" s="4">
        <v>1567.46</v>
      </c>
      <c r="E19" s="4">
        <v>178.24</v>
      </c>
      <c r="F19" s="4">
        <v>628.64</v>
      </c>
      <c r="G19" s="4">
        <v>105.49</v>
      </c>
      <c r="H19" s="4">
        <v>4.63</v>
      </c>
      <c r="I19" s="4">
        <v>86.97</v>
      </c>
      <c r="J19" s="4">
        <v>7.61</v>
      </c>
      <c r="K19" s="4">
        <v>36.04</v>
      </c>
      <c r="L19" s="4">
        <v>3.64</v>
      </c>
      <c r="M19" s="4">
        <v>12.9</v>
      </c>
      <c r="N19" s="4">
        <v>11.24</v>
      </c>
      <c r="O19" s="4">
        <v>0.66</v>
      </c>
      <c r="S19" s="4" t="s">
        <v>19</v>
      </c>
      <c r="T19" s="4">
        <v>3112.04</v>
      </c>
      <c r="U19" s="4">
        <v>22257.86</v>
      </c>
      <c r="V19" s="4">
        <v>44420.74</v>
      </c>
      <c r="W19" s="4">
        <v>4992.6400000000003</v>
      </c>
      <c r="X19" s="4">
        <v>17563.21</v>
      </c>
      <c r="Y19" s="4">
        <v>2804.01</v>
      </c>
      <c r="Z19" s="4">
        <v>122.41</v>
      </c>
      <c r="AA19" s="4">
        <v>2339.13</v>
      </c>
      <c r="AB19" s="4">
        <v>258.19</v>
      </c>
      <c r="AC19" s="4">
        <v>1017.06</v>
      </c>
      <c r="AD19" s="4">
        <v>124.08</v>
      </c>
      <c r="AE19" s="4">
        <v>294.64999999999998</v>
      </c>
      <c r="AF19" s="4">
        <v>161.87</v>
      </c>
      <c r="AG19" s="4">
        <v>21.4</v>
      </c>
    </row>
    <row r="20" spans="1:33" ht="15.75" x14ac:dyDescent="0.25">
      <c r="A20" s="55" t="s">
        <v>75</v>
      </c>
      <c r="B20" s="55">
        <f>AVERAGE(B16:B19)</f>
        <v>133.0625</v>
      </c>
      <c r="C20" s="55">
        <f t="shared" ref="C20" si="28">AVERAGE(C16:C19)</f>
        <v>791.41499999999996</v>
      </c>
      <c r="D20" s="55">
        <f t="shared" ref="D20" si="29">AVERAGE(D16:D19)</f>
        <v>1536.0725</v>
      </c>
      <c r="E20" s="55">
        <f t="shared" ref="E20" si="30">AVERAGE(E16:E19)</f>
        <v>169.45250000000001</v>
      </c>
      <c r="F20" s="55">
        <f t="shared" ref="F20" si="31">AVERAGE(F16:F19)</f>
        <v>598.48749999999995</v>
      </c>
      <c r="G20" s="55">
        <f t="shared" ref="G20" si="32">AVERAGE(G16:G19)</f>
        <v>100.55000000000001</v>
      </c>
      <c r="H20" s="55">
        <f t="shared" ref="H20" si="33">AVERAGE(H16:H19)</f>
        <v>4.2699999999999996</v>
      </c>
      <c r="I20" s="55">
        <f t="shared" ref="I20" si="34">AVERAGE(I16:I19)</f>
        <v>82.212500000000006</v>
      </c>
      <c r="J20" s="55">
        <f t="shared" ref="J20" si="35">AVERAGE(J16:J19)</f>
        <v>7.2</v>
      </c>
      <c r="K20" s="55">
        <f t="shared" ref="K20" si="36">AVERAGE(K16:K19)</f>
        <v>34.75</v>
      </c>
      <c r="L20" s="55">
        <f t="shared" ref="L20" si="37">AVERAGE(L16:L19)</f>
        <v>3.52</v>
      </c>
      <c r="M20" s="55">
        <f t="shared" ref="M20" si="38">AVERAGE(M16:M19)</f>
        <v>12.647499999999999</v>
      </c>
      <c r="N20" s="55">
        <f t="shared" ref="N20" si="39">AVERAGE(N16:N19)</f>
        <v>10.717499999999999</v>
      </c>
      <c r="O20" s="55">
        <f t="shared" ref="O20" si="40">AVERAGE(O16:O19)</f>
        <v>0.67</v>
      </c>
      <c r="S20" s="55" t="s">
        <v>75</v>
      </c>
      <c r="T20" s="55">
        <f>AVERAGE(T16:T19)</f>
        <v>3013.8625000000002</v>
      </c>
      <c r="U20" s="55">
        <f t="shared" ref="U20" si="41">AVERAGE(U16:U19)</f>
        <v>21682.705000000002</v>
      </c>
      <c r="V20" s="55">
        <f t="shared" ref="V20" si="42">AVERAGE(V16:V19)</f>
        <v>43151.647499999999</v>
      </c>
      <c r="W20" s="55">
        <f t="shared" ref="W20" si="43">AVERAGE(W16:W19)</f>
        <v>4867.8424999999997</v>
      </c>
      <c r="X20" s="55">
        <f t="shared" ref="X20" si="44">AVERAGE(X16:X19)</f>
        <v>16826.947500000002</v>
      </c>
      <c r="Y20" s="55">
        <f t="shared" ref="Y20" si="45">AVERAGE(Y16:Y19)</f>
        <v>2727.19</v>
      </c>
      <c r="Z20" s="55">
        <f t="shared" ref="Z20" si="46">AVERAGE(Z16:Z19)</f>
        <v>119.2825</v>
      </c>
      <c r="AA20" s="55">
        <f t="shared" ref="AA20" si="47">AVERAGE(AA16:AA19)</f>
        <v>2239.9174999999996</v>
      </c>
      <c r="AB20" s="55">
        <f t="shared" ref="AB20" si="48">AVERAGE(AB16:AB19)</f>
        <v>249.2525</v>
      </c>
      <c r="AC20" s="55">
        <f t="shared" ref="AC20" si="49">AVERAGE(AC16:AC19)</f>
        <v>963.03</v>
      </c>
      <c r="AD20" s="55">
        <f t="shared" ref="AD20" si="50">AVERAGE(AD16:AD19)</f>
        <v>120.785</v>
      </c>
      <c r="AE20" s="55">
        <f t="shared" ref="AE20" si="51">AVERAGE(AE16:AE19)</f>
        <v>288.42750000000001</v>
      </c>
      <c r="AF20" s="55">
        <f t="shared" ref="AF20" si="52">AVERAGE(AF16:AF19)</f>
        <v>160.96</v>
      </c>
      <c r="AG20" s="55">
        <f t="shared" ref="AG20" si="53">AVERAGE(AG16:AG19)</f>
        <v>21.465000000000003</v>
      </c>
    </row>
    <row r="21" spans="1:33" ht="15.75" x14ac:dyDescent="0.25">
      <c r="A21" s="55" t="s">
        <v>170</v>
      </c>
      <c r="B21" s="56">
        <f>B20/B$36</f>
        <v>0.70025523629091657</v>
      </c>
      <c r="C21" s="56">
        <f t="shared" ref="C21" si="54">C20/C$36</f>
        <v>0.94737976172306371</v>
      </c>
      <c r="D21" s="56">
        <f t="shared" ref="D21" si="55">D20/D$36</f>
        <v>0.9210323950059135</v>
      </c>
      <c r="E21" s="56">
        <f t="shared" ref="E21" si="56">E20/E$36</f>
        <v>0.90082798399851149</v>
      </c>
      <c r="F21" s="56">
        <f t="shared" ref="F21" si="57">F20/F$36</f>
        <v>0.97984602098076701</v>
      </c>
      <c r="G21" s="56">
        <f t="shared" ref="G21" si="58">G20/G$36</f>
        <v>0.89626740947075223</v>
      </c>
      <c r="H21" s="56">
        <f t="shared" ref="H21" si="59">H20/H$36</f>
        <v>0.66201550387596886</v>
      </c>
      <c r="I21" s="56">
        <f t="shared" ref="I21" si="60">I20/I$36</f>
        <v>0.91986013986013992</v>
      </c>
      <c r="J21" s="56">
        <f t="shared" ref="J21" si="61">J20/J$36</f>
        <v>0.71146245059288538</v>
      </c>
      <c r="K21" s="56">
        <f t="shared" ref="K21" si="62">K20/K$36</f>
        <v>0.75506545711336848</v>
      </c>
      <c r="L21" s="56">
        <f t="shared" ref="L21" si="63">L20/L$36</f>
        <v>0.49929078014184392</v>
      </c>
      <c r="M21" s="56">
        <f t="shared" ref="M21" si="64">M20/M$36</f>
        <v>0.61025331724969833</v>
      </c>
      <c r="N21" s="56">
        <f t="shared" ref="N21" si="65">N20/N$36</f>
        <v>0.48871409028727769</v>
      </c>
      <c r="O21" s="56">
        <f t="shared" ref="O21" si="66">O20/O$36</f>
        <v>0.19280575539568345</v>
      </c>
      <c r="S21" s="55" t="s">
        <v>170</v>
      </c>
      <c r="T21" s="56">
        <f>T20/T$36</f>
        <v>0.65482912340909083</v>
      </c>
      <c r="U21" s="56">
        <f t="shared" ref="U21" si="67">U20/U$36</f>
        <v>0.63847076471260733</v>
      </c>
      <c r="V21" s="56">
        <f t="shared" ref="V21" si="68">V20/V$36</f>
        <v>0.64288259486411536</v>
      </c>
      <c r="W21" s="56">
        <f t="shared" ref="W21" si="69">W20/W$36</f>
        <v>0.64804228120127338</v>
      </c>
      <c r="X21" s="56">
        <f t="shared" ref="X21" si="70">X20/X$36</f>
        <v>0.66786587471373415</v>
      </c>
      <c r="Y21" s="56">
        <f t="shared" ref="Y21" si="71">Y20/Y$36</f>
        <v>0.68023975097027811</v>
      </c>
      <c r="Z21" s="56">
        <f t="shared" ref="Z21" si="72">Z20/Z$36</f>
        <v>0.66156875251313763</v>
      </c>
      <c r="AA21" s="56">
        <f t="shared" ref="AA21" si="73">AA20/AA$36</f>
        <v>0.70475831641510212</v>
      </c>
      <c r="AB21" s="56">
        <f t="shared" ref="AB21" si="74">AB20/AB$36</f>
        <v>0.69258929935951763</v>
      </c>
      <c r="AC21" s="56">
        <f t="shared" ref="AC21" si="75">AC20/AC$36</f>
        <v>0.68964578876227478</v>
      </c>
      <c r="AD21" s="56">
        <f t="shared" ref="AD21" si="76">AD20/AD$36</f>
        <v>0.65198440009176417</v>
      </c>
      <c r="AE21" s="56">
        <f t="shared" ref="AE21" si="77">AE20/AE$36</f>
        <v>0.60534241400298028</v>
      </c>
      <c r="AF21" s="56">
        <f t="shared" ref="AF21" si="78">AF20/AF$36</f>
        <v>0.45600640267439141</v>
      </c>
      <c r="AG21" s="56">
        <f t="shared" ref="AG21" si="79">AG20/AG$36</f>
        <v>0.38109187749667117</v>
      </c>
    </row>
    <row r="22" spans="1:33" ht="15.75" x14ac:dyDescent="0.25">
      <c r="A22" s="5"/>
      <c r="B22" s="65" t="s">
        <v>21</v>
      </c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7"/>
      <c r="S22" s="5"/>
      <c r="T22" s="65" t="s">
        <v>21</v>
      </c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7"/>
    </row>
    <row r="23" spans="1:33" ht="15.75" x14ac:dyDescent="0.25">
      <c r="A23" s="5"/>
      <c r="B23" s="59" t="s">
        <v>0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S23" s="5"/>
      <c r="T23" s="59" t="s">
        <v>0</v>
      </c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</row>
    <row r="24" spans="1:33" ht="15.75" x14ac:dyDescent="0.25">
      <c r="A24" s="4" t="s">
        <v>16</v>
      </c>
      <c r="B24" s="4">
        <v>39.229999999999997</v>
      </c>
      <c r="C24" s="4">
        <v>283.92</v>
      </c>
      <c r="D24" s="4">
        <v>589.07000000000005</v>
      </c>
      <c r="E24" s="4">
        <v>62.7</v>
      </c>
      <c r="F24" s="4">
        <v>219.94</v>
      </c>
      <c r="G24" s="4">
        <v>36.33</v>
      </c>
      <c r="H24" s="4">
        <v>0.64</v>
      </c>
      <c r="I24" s="4">
        <v>29.26</v>
      </c>
      <c r="J24" s="4">
        <v>1.61</v>
      </c>
      <c r="K24" s="4">
        <v>10.93</v>
      </c>
      <c r="L24" s="4">
        <v>0</v>
      </c>
      <c r="M24" s="4">
        <v>2.57</v>
      </c>
      <c r="N24" s="4">
        <v>0.32</v>
      </c>
      <c r="O24" s="4">
        <v>0</v>
      </c>
      <c r="S24" s="4" t="s">
        <v>16</v>
      </c>
      <c r="T24" s="4">
        <v>1643.97</v>
      </c>
      <c r="U24" s="4">
        <v>15911.48</v>
      </c>
      <c r="V24" s="4">
        <v>31515.56</v>
      </c>
      <c r="W24" s="4">
        <v>3533.72</v>
      </c>
      <c r="X24" s="4">
        <v>11528.21</v>
      </c>
      <c r="Y24" s="4">
        <v>1836.58</v>
      </c>
      <c r="Z24" s="4">
        <v>78.790000000000006</v>
      </c>
      <c r="AA24" s="4">
        <v>1599.55</v>
      </c>
      <c r="AB24" s="4">
        <v>160.18</v>
      </c>
      <c r="AC24" s="4">
        <v>592.41</v>
      </c>
      <c r="AD24" s="4">
        <v>68.42</v>
      </c>
      <c r="AE24" s="4">
        <v>149.81</v>
      </c>
      <c r="AF24" s="4">
        <v>49.29</v>
      </c>
      <c r="AG24" s="4">
        <v>3.89</v>
      </c>
    </row>
    <row r="25" spans="1:33" ht="15.75" x14ac:dyDescent="0.25">
      <c r="A25" s="4" t="s">
        <v>17</v>
      </c>
      <c r="B25" s="4">
        <v>39.869999999999997</v>
      </c>
      <c r="C25" s="4">
        <v>286.82</v>
      </c>
      <c r="D25" s="4">
        <v>591.96</v>
      </c>
      <c r="E25" s="4">
        <v>63.67</v>
      </c>
      <c r="F25" s="4">
        <v>216.72</v>
      </c>
      <c r="G25" s="4">
        <v>35.69</v>
      </c>
      <c r="H25" s="4">
        <v>0.64</v>
      </c>
      <c r="I25" s="4">
        <v>28.62</v>
      </c>
      <c r="J25" s="4">
        <v>1.61</v>
      </c>
      <c r="K25" s="4">
        <v>10.93</v>
      </c>
      <c r="L25" s="4">
        <v>0</v>
      </c>
      <c r="M25" s="4">
        <v>2.57</v>
      </c>
      <c r="N25" s="4">
        <v>0.64</v>
      </c>
      <c r="O25" s="4">
        <v>0</v>
      </c>
      <c r="S25" s="4" t="s">
        <v>17</v>
      </c>
      <c r="T25" s="4">
        <v>1614.46</v>
      </c>
      <c r="U25" s="4">
        <v>15656.94</v>
      </c>
      <c r="V25" s="4">
        <v>30950.71</v>
      </c>
      <c r="W25" s="4">
        <v>3476.65</v>
      </c>
      <c r="X25" s="4">
        <v>11426.07</v>
      </c>
      <c r="Y25" s="4">
        <v>1810.96</v>
      </c>
      <c r="Z25" s="4">
        <v>78.150000000000006</v>
      </c>
      <c r="AA25" s="4">
        <v>1570.36</v>
      </c>
      <c r="AB25" s="4">
        <v>157.26</v>
      </c>
      <c r="AC25" s="4">
        <v>578.79</v>
      </c>
      <c r="AD25" s="4">
        <v>67.44</v>
      </c>
      <c r="AE25" s="4">
        <v>148.51</v>
      </c>
      <c r="AF25" s="4">
        <v>48.64</v>
      </c>
      <c r="AG25" s="4">
        <v>3.89</v>
      </c>
    </row>
    <row r="26" spans="1:33" ht="15.75" x14ac:dyDescent="0.25">
      <c r="A26" s="4" t="s">
        <v>18</v>
      </c>
      <c r="B26" s="4">
        <v>35.090000000000003</v>
      </c>
      <c r="C26" s="4">
        <v>256.33999999999997</v>
      </c>
      <c r="D26" s="4">
        <v>522.09</v>
      </c>
      <c r="E26" s="4">
        <v>55.88</v>
      </c>
      <c r="F26" s="4">
        <v>189.73</v>
      </c>
      <c r="G26" s="4">
        <v>31.19</v>
      </c>
      <c r="H26" s="4">
        <v>0.32</v>
      </c>
      <c r="I26" s="4">
        <v>24.69</v>
      </c>
      <c r="J26" s="4">
        <v>1.3</v>
      </c>
      <c r="K26" s="4">
        <v>9.1</v>
      </c>
      <c r="L26" s="4">
        <v>-0.32</v>
      </c>
      <c r="M26" s="4">
        <v>1.95</v>
      </c>
      <c r="N26" s="4">
        <v>0</v>
      </c>
      <c r="O26" s="4">
        <v>0</v>
      </c>
      <c r="S26" s="4" t="s">
        <v>18</v>
      </c>
      <c r="T26" s="4">
        <v>1421.07</v>
      </c>
      <c r="U26" s="4">
        <v>13504.19</v>
      </c>
      <c r="V26" s="4">
        <v>26633.38</v>
      </c>
      <c r="W26" s="4">
        <v>2964.88</v>
      </c>
      <c r="X26" s="4">
        <v>9881.77</v>
      </c>
      <c r="Y26" s="4">
        <v>1573.13</v>
      </c>
      <c r="Z26" s="4">
        <v>67.98</v>
      </c>
      <c r="AA26" s="4">
        <v>1343.11</v>
      </c>
      <c r="AB26" s="4">
        <v>135.94999999999999</v>
      </c>
      <c r="AC26" s="4">
        <v>494.52</v>
      </c>
      <c r="AD26" s="4">
        <v>57.67</v>
      </c>
      <c r="AE26" s="4">
        <v>127.9</v>
      </c>
      <c r="AF26" s="4">
        <v>42.2</v>
      </c>
      <c r="AG26" s="4">
        <v>3.22</v>
      </c>
    </row>
    <row r="27" spans="1:33" ht="15.75" x14ac:dyDescent="0.25">
      <c r="A27" s="4" t="s">
        <v>19</v>
      </c>
      <c r="B27" s="4">
        <v>36.06</v>
      </c>
      <c r="C27" s="4">
        <v>263.16000000000003</v>
      </c>
      <c r="D27" s="4">
        <v>542.88</v>
      </c>
      <c r="E27" s="4">
        <v>57.83</v>
      </c>
      <c r="F27" s="4">
        <v>193.63</v>
      </c>
      <c r="G27" s="4">
        <v>31.51</v>
      </c>
      <c r="H27" s="4">
        <v>0.32</v>
      </c>
      <c r="I27" s="4">
        <v>25.99</v>
      </c>
      <c r="J27" s="4">
        <v>1.3</v>
      </c>
      <c r="K27" s="4">
        <v>9.42</v>
      </c>
      <c r="L27" s="4">
        <v>-0.32</v>
      </c>
      <c r="M27" s="4">
        <v>1.95</v>
      </c>
      <c r="N27" s="4">
        <v>0</v>
      </c>
      <c r="O27" s="4">
        <v>0</v>
      </c>
      <c r="S27" s="4" t="s">
        <v>19</v>
      </c>
      <c r="T27" s="4">
        <v>1408.51</v>
      </c>
      <c r="U27" s="4">
        <v>13365.98</v>
      </c>
      <c r="V27" s="4">
        <v>26573.45</v>
      </c>
      <c r="W27" s="4">
        <v>2945.88</v>
      </c>
      <c r="X27" s="4">
        <v>9803.16</v>
      </c>
      <c r="Y27" s="4">
        <v>1536.73</v>
      </c>
      <c r="Z27" s="4">
        <v>67.010000000000005</v>
      </c>
      <c r="AA27" s="4">
        <v>1343.43</v>
      </c>
      <c r="AB27" s="4">
        <v>134.02000000000001</v>
      </c>
      <c r="AC27" s="4">
        <v>495.81</v>
      </c>
      <c r="AD27" s="4">
        <v>57.35</v>
      </c>
      <c r="AE27" s="4">
        <v>126.61</v>
      </c>
      <c r="AF27" s="4">
        <v>40.590000000000003</v>
      </c>
      <c r="AG27" s="4">
        <v>3.22</v>
      </c>
    </row>
    <row r="28" spans="1:33" ht="15.75" x14ac:dyDescent="0.25">
      <c r="A28" s="55" t="s">
        <v>75</v>
      </c>
      <c r="B28" s="55">
        <f>AVERAGE(B24:B27)</f>
        <v>37.5625</v>
      </c>
      <c r="C28" s="55">
        <f t="shared" ref="C28" si="80">AVERAGE(C24:C27)</f>
        <v>272.56</v>
      </c>
      <c r="D28" s="55">
        <f t="shared" ref="D28" si="81">AVERAGE(D24:D27)</f>
        <v>561.50000000000011</v>
      </c>
      <c r="E28" s="55">
        <f t="shared" ref="E28" si="82">AVERAGE(E24:E27)</f>
        <v>60.019999999999996</v>
      </c>
      <c r="F28" s="55">
        <f t="shared" ref="F28" si="83">AVERAGE(F24:F27)</f>
        <v>205.005</v>
      </c>
      <c r="G28" s="55">
        <f t="shared" ref="G28" si="84">AVERAGE(G24:G27)</f>
        <v>33.68</v>
      </c>
      <c r="H28" s="55">
        <f t="shared" ref="H28" si="85">AVERAGE(H24:H27)</f>
        <v>0.48000000000000004</v>
      </c>
      <c r="I28" s="55">
        <f t="shared" ref="I28" si="86">AVERAGE(I24:I27)</f>
        <v>27.14</v>
      </c>
      <c r="J28" s="55">
        <f t="shared" ref="J28" si="87">AVERAGE(J24:J27)</f>
        <v>1.4550000000000001</v>
      </c>
      <c r="K28" s="55">
        <f t="shared" ref="K28" si="88">AVERAGE(K24:K27)</f>
        <v>10.095000000000001</v>
      </c>
      <c r="L28" s="55">
        <f t="shared" ref="L28" si="89">AVERAGE(L24:L27)</f>
        <v>-0.16</v>
      </c>
      <c r="M28" s="55">
        <f t="shared" ref="M28" si="90">AVERAGE(M24:M27)</f>
        <v>2.2599999999999998</v>
      </c>
      <c r="N28" s="55">
        <f t="shared" ref="N28" si="91">AVERAGE(N24:N27)</f>
        <v>0.24</v>
      </c>
      <c r="O28" s="55">
        <f t="shared" ref="O28" si="92">AVERAGE(O24:O27)</f>
        <v>0</v>
      </c>
      <c r="S28" s="55" t="s">
        <v>75</v>
      </c>
      <c r="T28" s="55">
        <f>AVERAGE(T24:T27)</f>
        <v>1522.0025000000001</v>
      </c>
      <c r="U28" s="55">
        <f t="shared" ref="U28" si="93">AVERAGE(U24:U27)</f>
        <v>14609.647499999999</v>
      </c>
      <c r="V28" s="55">
        <f t="shared" ref="V28" si="94">AVERAGE(V24:V27)</f>
        <v>28918.275000000001</v>
      </c>
      <c r="W28" s="55">
        <f t="shared" ref="W28" si="95">AVERAGE(W24:W27)</f>
        <v>3230.2825000000003</v>
      </c>
      <c r="X28" s="55">
        <f t="shared" ref="X28" si="96">AVERAGE(X24:X27)</f>
        <v>10659.802500000002</v>
      </c>
      <c r="Y28" s="55">
        <f t="shared" ref="Y28" si="97">AVERAGE(Y24:Y27)</f>
        <v>1689.35</v>
      </c>
      <c r="Z28" s="55">
        <f t="shared" ref="Z28" si="98">AVERAGE(Z24:Z27)</f>
        <v>72.982500000000002</v>
      </c>
      <c r="AA28" s="55">
        <f t="shared" ref="AA28" si="99">AVERAGE(AA24:AA27)</f>
        <v>1464.1125</v>
      </c>
      <c r="AB28" s="55">
        <f t="shared" ref="AB28" si="100">AVERAGE(AB24:AB27)</f>
        <v>146.85249999999999</v>
      </c>
      <c r="AC28" s="55">
        <f t="shared" ref="AC28" si="101">AVERAGE(AC24:AC27)</f>
        <v>540.38249999999994</v>
      </c>
      <c r="AD28" s="55">
        <f t="shared" ref="AD28" si="102">AVERAGE(AD24:AD27)</f>
        <v>62.720000000000006</v>
      </c>
      <c r="AE28" s="55">
        <f t="shared" ref="AE28" si="103">AVERAGE(AE24:AE27)</f>
        <v>138.20750000000001</v>
      </c>
      <c r="AF28" s="55">
        <f t="shared" ref="AF28" si="104">AVERAGE(AF24:AF27)</f>
        <v>45.18</v>
      </c>
      <c r="AG28" s="55">
        <f t="shared" ref="AG28" si="105">AVERAGE(AG24:AG27)</f>
        <v>3.5550000000000002</v>
      </c>
    </row>
    <row r="29" spans="1:33" ht="15.75" x14ac:dyDescent="0.25">
      <c r="A29" s="55" t="s">
        <v>170</v>
      </c>
      <c r="B29" s="56">
        <f>B28/B$36</f>
        <v>0.1976765603620671</v>
      </c>
      <c r="C29" s="56">
        <f t="shared" ref="C29" si="106">C28/C$36</f>
        <v>0.32627360848004933</v>
      </c>
      <c r="D29" s="56">
        <f t="shared" ref="D29" si="107">D28/D$36</f>
        <v>0.33667661506590385</v>
      </c>
      <c r="E29" s="56">
        <f t="shared" ref="E29" si="108">E28/E$36</f>
        <v>0.31907287056603267</v>
      </c>
      <c r="F29" s="56">
        <f t="shared" ref="F29" si="109">F28/F$36</f>
        <v>0.33563496903638279</v>
      </c>
      <c r="G29" s="56">
        <f t="shared" ref="G29" si="110">G28/G$36</f>
        <v>0.30021169916434542</v>
      </c>
      <c r="H29" s="56">
        <f t="shared" ref="H29" si="111">H28/H$36</f>
        <v>7.441860465116279E-2</v>
      </c>
      <c r="I29" s="56">
        <f t="shared" ref="I29" si="112">I28/I$36</f>
        <v>0.30366433566433565</v>
      </c>
      <c r="J29" s="56">
        <f t="shared" ref="J29" si="113">J28/J$36</f>
        <v>0.14377470355731226</v>
      </c>
      <c r="K29" s="56">
        <f t="shared" ref="K29" si="114">K28/K$36</f>
        <v>0.21934923135422893</v>
      </c>
      <c r="L29" s="56">
        <f t="shared" ref="L29" si="115">L28/L$36</f>
        <v>-2.2695035460992906E-2</v>
      </c>
      <c r="M29" s="56">
        <f t="shared" ref="M29" si="116">M28/M$36</f>
        <v>0.10904704463208684</v>
      </c>
      <c r="N29" s="56">
        <f t="shared" ref="N29" si="117">N28/N$36</f>
        <v>1.094391244870041E-2</v>
      </c>
      <c r="O29" s="56">
        <f t="shared" ref="O29" si="118">O28/O$36</f>
        <v>0</v>
      </c>
      <c r="S29" s="55" t="s">
        <v>170</v>
      </c>
      <c r="T29" s="56">
        <f>T28/T$36</f>
        <v>0.33068912828685609</v>
      </c>
      <c r="U29" s="56">
        <f t="shared" ref="U29" si="119">U28/U$36</f>
        <v>0.43019691553736628</v>
      </c>
      <c r="V29" s="56">
        <f t="shared" ref="V29" si="120">V28/V$36</f>
        <v>0.43083072716966547</v>
      </c>
      <c r="W29" s="56">
        <f t="shared" ref="W29" si="121">W28/W$36</f>
        <v>0.43003849040402453</v>
      </c>
      <c r="X29" s="56">
        <f t="shared" ref="X29" si="122">X28/X$36</f>
        <v>0.42309030327325559</v>
      </c>
      <c r="Y29" s="56">
        <f t="shared" ref="Y29" si="123">Y28/Y$36</f>
        <v>0.42137255684482533</v>
      </c>
      <c r="Z29" s="56">
        <f t="shared" ref="Z29" si="124">Z28/Z$36</f>
        <v>0.40477808128007098</v>
      </c>
      <c r="AA29" s="56">
        <f t="shared" ref="AA29" si="125">AA28/AA$36</f>
        <v>0.46066226124056192</v>
      </c>
      <c r="AB29" s="56">
        <f t="shared" ref="AB29" si="126">AB28/AB$36</f>
        <v>0.40805396168220404</v>
      </c>
      <c r="AC29" s="56">
        <f t="shared" ref="AC29" si="127">AC28/AC$36</f>
        <v>0.3869791340309543</v>
      </c>
      <c r="AD29" s="56">
        <f t="shared" ref="AD29" si="128">AD28/AD$36</f>
        <v>0.33855579396245772</v>
      </c>
      <c r="AE29" s="56">
        <f t="shared" ref="AE29" si="129">AE28/AE$36</f>
        <v>0.29006548156232292</v>
      </c>
      <c r="AF29" s="56">
        <f t="shared" ref="AF29" si="130">AF28/AF$36</f>
        <v>0.12799682699322193</v>
      </c>
      <c r="AG29" s="56">
        <f t="shared" ref="AG29" si="131">AG28/AG$36</f>
        <v>6.3115845539280957E-2</v>
      </c>
    </row>
    <row r="30" spans="1:33" ht="15.75" x14ac:dyDescent="0.25">
      <c r="A30" s="5"/>
      <c r="B30" s="65" t="s">
        <v>22</v>
      </c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7"/>
      <c r="S30" s="5"/>
      <c r="T30" s="65" t="s">
        <v>22</v>
      </c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7"/>
    </row>
    <row r="31" spans="1:33" ht="15.75" x14ac:dyDescent="0.25">
      <c r="A31" s="5"/>
      <c r="B31" s="59" t="s">
        <v>0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S31" s="5"/>
      <c r="T31" s="59" t="s">
        <v>0</v>
      </c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</row>
    <row r="32" spans="1:33" ht="15.75" x14ac:dyDescent="0.25">
      <c r="A32" s="4" t="s">
        <v>16</v>
      </c>
      <c r="B32" s="4">
        <v>195.9</v>
      </c>
      <c r="C32" s="4">
        <v>877.48</v>
      </c>
      <c r="D32" s="4">
        <v>1737.65</v>
      </c>
      <c r="E32" s="4">
        <v>196.96</v>
      </c>
      <c r="F32" s="4">
        <v>638</v>
      </c>
      <c r="G32" s="4">
        <v>117.35</v>
      </c>
      <c r="H32" s="4">
        <v>6.83</v>
      </c>
      <c r="I32" s="4">
        <v>93.51</v>
      </c>
      <c r="J32" s="4">
        <v>10.42</v>
      </c>
      <c r="K32" s="4">
        <v>47.75</v>
      </c>
      <c r="L32" s="4">
        <v>7.18</v>
      </c>
      <c r="M32" s="4">
        <v>22.32</v>
      </c>
      <c r="N32" s="4">
        <v>22.02</v>
      </c>
      <c r="O32" s="4">
        <v>3.53</v>
      </c>
      <c r="S32" s="4" t="s">
        <v>16</v>
      </c>
      <c r="T32" s="4">
        <v>4264.9799999999996</v>
      </c>
      <c r="U32" s="4">
        <v>31456.77</v>
      </c>
      <c r="V32" s="4">
        <v>62462.28</v>
      </c>
      <c r="W32" s="4">
        <v>6980.39</v>
      </c>
      <c r="X32" s="4">
        <v>23256.53</v>
      </c>
      <c r="Y32" s="4">
        <v>3722.01</v>
      </c>
      <c r="Z32" s="4">
        <v>165.42</v>
      </c>
      <c r="AA32" s="4">
        <v>2951.16</v>
      </c>
      <c r="AB32" s="4">
        <v>330.85</v>
      </c>
      <c r="AC32" s="4">
        <v>1299.19</v>
      </c>
      <c r="AD32" s="4">
        <v>170.49</v>
      </c>
      <c r="AE32" s="4">
        <v>441.69</v>
      </c>
      <c r="AF32" s="4">
        <v>322.41000000000003</v>
      </c>
      <c r="AG32" s="4">
        <v>51.76</v>
      </c>
    </row>
    <row r="33" spans="1:33" ht="15.75" x14ac:dyDescent="0.25">
      <c r="A33" s="4" t="s">
        <v>17</v>
      </c>
      <c r="B33" s="4">
        <v>197.55</v>
      </c>
      <c r="C33" s="4">
        <v>879.48</v>
      </c>
      <c r="D33" s="4">
        <v>1758.37</v>
      </c>
      <c r="E33" s="4">
        <v>198.44</v>
      </c>
      <c r="F33" s="4">
        <v>644.54</v>
      </c>
      <c r="G33" s="4">
        <v>117.59</v>
      </c>
      <c r="H33" s="4">
        <v>6.77</v>
      </c>
      <c r="I33" s="4">
        <v>89.97</v>
      </c>
      <c r="J33" s="4">
        <v>10.6</v>
      </c>
      <c r="K33" s="4">
        <v>47.87</v>
      </c>
      <c r="L33" s="4">
        <v>7.3</v>
      </c>
      <c r="M33" s="4">
        <v>20.79</v>
      </c>
      <c r="N33" s="4">
        <v>23.14</v>
      </c>
      <c r="O33" s="4">
        <v>3.53</v>
      </c>
      <c r="S33" s="4" t="s">
        <v>17</v>
      </c>
      <c r="T33" s="4">
        <v>4237.41</v>
      </c>
      <c r="U33" s="4">
        <v>31094.97</v>
      </c>
      <c r="V33" s="4">
        <v>61740.38</v>
      </c>
      <c r="W33" s="4">
        <v>6926.37</v>
      </c>
      <c r="X33" s="4">
        <v>23165.94</v>
      </c>
      <c r="Y33" s="4">
        <v>3700.63</v>
      </c>
      <c r="Z33" s="4">
        <v>166.55</v>
      </c>
      <c r="AA33" s="4">
        <v>2936.54</v>
      </c>
      <c r="AB33" s="4">
        <v>331.41</v>
      </c>
      <c r="AC33" s="4">
        <v>1290.75</v>
      </c>
      <c r="AD33" s="4">
        <v>169.36</v>
      </c>
      <c r="AE33" s="4">
        <v>434.38</v>
      </c>
      <c r="AF33" s="4">
        <v>322.97000000000003</v>
      </c>
      <c r="AG33" s="4">
        <v>51.76</v>
      </c>
    </row>
    <row r="34" spans="1:33" ht="15.75" x14ac:dyDescent="0.25">
      <c r="A34" s="4" t="s">
        <v>18</v>
      </c>
      <c r="B34" s="4">
        <v>183.83</v>
      </c>
      <c r="C34" s="4">
        <v>794.95</v>
      </c>
      <c r="D34" s="4">
        <v>1592.55</v>
      </c>
      <c r="E34" s="4">
        <v>178.73</v>
      </c>
      <c r="F34" s="4">
        <v>588.35</v>
      </c>
      <c r="G34" s="4">
        <v>107.23</v>
      </c>
      <c r="H34" s="4">
        <v>6.13</v>
      </c>
      <c r="I34" s="4">
        <v>87.39</v>
      </c>
      <c r="J34" s="4">
        <v>9.76</v>
      </c>
      <c r="K34" s="4">
        <v>44.51</v>
      </c>
      <c r="L34" s="4">
        <v>6.94</v>
      </c>
      <c r="M34" s="4">
        <v>20.059999999999999</v>
      </c>
      <c r="N34" s="4">
        <v>21.36</v>
      </c>
      <c r="O34" s="4">
        <v>3.42</v>
      </c>
      <c r="S34" s="4" t="s">
        <v>18</v>
      </c>
      <c r="T34" s="4">
        <v>4942.5</v>
      </c>
      <c r="U34" s="4">
        <v>36359.21</v>
      </c>
      <c r="V34" s="4">
        <v>71794.880000000005</v>
      </c>
      <c r="W34" s="4">
        <v>8046.86</v>
      </c>
      <c r="X34" s="4">
        <v>27205.53</v>
      </c>
      <c r="Y34" s="4">
        <v>4325.21</v>
      </c>
      <c r="Z34" s="4">
        <v>195.81</v>
      </c>
      <c r="AA34" s="4">
        <v>3410.02</v>
      </c>
      <c r="AB34" s="4">
        <v>390.43</v>
      </c>
      <c r="AC34" s="4">
        <v>1504.42</v>
      </c>
      <c r="AD34" s="4">
        <v>201.19</v>
      </c>
      <c r="AE34" s="4">
        <v>512.22</v>
      </c>
      <c r="AF34" s="4">
        <v>386.25</v>
      </c>
      <c r="AG34" s="4">
        <v>60.89</v>
      </c>
    </row>
    <row r="35" spans="1:33" ht="15.75" x14ac:dyDescent="0.25">
      <c r="A35" s="4" t="s">
        <v>19</v>
      </c>
      <c r="B35" s="4">
        <v>182.8</v>
      </c>
      <c r="C35" s="4">
        <v>789.58</v>
      </c>
      <c r="D35" s="4">
        <v>1582.52</v>
      </c>
      <c r="E35" s="4">
        <v>178.3</v>
      </c>
      <c r="F35" s="4">
        <v>572.29999999999995</v>
      </c>
      <c r="G35" s="4">
        <v>106.58</v>
      </c>
      <c r="H35" s="4">
        <v>6.07</v>
      </c>
      <c r="I35" s="4">
        <v>86.63</v>
      </c>
      <c r="J35" s="4">
        <v>9.6999999999999993</v>
      </c>
      <c r="K35" s="4">
        <v>43.96</v>
      </c>
      <c r="L35" s="4">
        <v>6.78</v>
      </c>
      <c r="M35" s="4">
        <v>19.73</v>
      </c>
      <c r="N35" s="4">
        <v>21.2</v>
      </c>
      <c r="O35" s="4">
        <v>3.42</v>
      </c>
      <c r="S35" s="4" t="s">
        <v>19</v>
      </c>
      <c r="T35" s="4">
        <v>4965.18</v>
      </c>
      <c r="U35" s="4">
        <v>36930.54</v>
      </c>
      <c r="V35" s="4">
        <v>72490.97</v>
      </c>
      <c r="W35" s="4">
        <v>8092.83</v>
      </c>
      <c r="X35" s="4">
        <v>27152.400000000001</v>
      </c>
      <c r="Y35" s="4">
        <v>4288.79</v>
      </c>
      <c r="Z35" s="4">
        <v>193.43</v>
      </c>
      <c r="AA35" s="4">
        <v>3415.39</v>
      </c>
      <c r="AB35" s="4">
        <v>386.85</v>
      </c>
      <c r="AC35" s="4">
        <v>1491.29</v>
      </c>
      <c r="AD35" s="4">
        <v>199.99</v>
      </c>
      <c r="AE35" s="4">
        <v>517.59</v>
      </c>
      <c r="AF35" s="4">
        <v>380.28</v>
      </c>
      <c r="AG35" s="4">
        <v>60.89</v>
      </c>
    </row>
    <row r="36" spans="1:33" ht="15.75" x14ac:dyDescent="0.25">
      <c r="A36" s="55" t="s">
        <v>75</v>
      </c>
      <c r="B36" s="55">
        <f>AVERAGE(B32:B35)</f>
        <v>190.02000000000004</v>
      </c>
      <c r="C36" s="55">
        <f t="shared" ref="C36" si="132">AVERAGE(C32:C35)</f>
        <v>835.37249999999995</v>
      </c>
      <c r="D36" s="55">
        <f t="shared" ref="D36" si="133">AVERAGE(D32:D35)</f>
        <v>1667.7725</v>
      </c>
      <c r="E36" s="55">
        <f t="shared" ref="E36" si="134">AVERAGE(E32:E35)</f>
        <v>188.10750000000002</v>
      </c>
      <c r="F36" s="55">
        <f t="shared" ref="F36" si="135">AVERAGE(F32:F35)</f>
        <v>610.7974999999999</v>
      </c>
      <c r="G36" s="55">
        <f t="shared" ref="G36" si="136">AVERAGE(G32:G35)</f>
        <v>112.1875</v>
      </c>
      <c r="H36" s="55">
        <f t="shared" ref="H36" si="137">AVERAGE(H32:H35)</f>
        <v>6.45</v>
      </c>
      <c r="I36" s="55">
        <f t="shared" ref="I36" si="138">AVERAGE(I32:I35)</f>
        <v>89.375</v>
      </c>
      <c r="J36" s="55">
        <f t="shared" ref="J36" si="139">AVERAGE(J32:J35)</f>
        <v>10.120000000000001</v>
      </c>
      <c r="K36" s="55">
        <f t="shared" ref="K36" si="140">AVERAGE(K32:K35)</f>
        <v>46.022500000000001</v>
      </c>
      <c r="L36" s="55">
        <f t="shared" ref="L36" si="141">AVERAGE(L32:L35)</f>
        <v>7.0500000000000007</v>
      </c>
      <c r="M36" s="55">
        <f t="shared" ref="M36" si="142">AVERAGE(M32:M35)</f>
        <v>20.725000000000001</v>
      </c>
      <c r="N36" s="55">
        <f t="shared" ref="N36" si="143">AVERAGE(N32:N35)</f>
        <v>21.93</v>
      </c>
      <c r="O36" s="55">
        <f t="shared" ref="O36" si="144">AVERAGE(O32:O35)</f>
        <v>3.4750000000000001</v>
      </c>
      <c r="S36" s="55" t="s">
        <v>75</v>
      </c>
      <c r="T36" s="55">
        <f>AVERAGE(T32:T35)</f>
        <v>4602.5174999999999</v>
      </c>
      <c r="U36" s="55">
        <f t="shared" ref="U36" si="145">AVERAGE(U32:U35)</f>
        <v>33960.372500000005</v>
      </c>
      <c r="V36" s="55">
        <f t="shared" ref="V36" si="146">AVERAGE(V32:V35)</f>
        <v>67122.127500000002</v>
      </c>
      <c r="W36" s="55">
        <f t="shared" ref="W36" si="147">AVERAGE(W32:W35)</f>
        <v>7511.6124999999993</v>
      </c>
      <c r="X36" s="55">
        <f t="shared" ref="X36" si="148">AVERAGE(X32:X35)</f>
        <v>25195.1</v>
      </c>
      <c r="Y36" s="55">
        <f t="shared" ref="Y36" si="149">AVERAGE(Y32:Y35)</f>
        <v>4009.16</v>
      </c>
      <c r="Z36" s="55">
        <f t="shared" ref="Z36" si="150">AVERAGE(Z32:Z35)</f>
        <v>180.30250000000001</v>
      </c>
      <c r="AA36" s="55">
        <f t="shared" ref="AA36" si="151">AVERAGE(AA32:AA35)</f>
        <v>3178.2774999999997</v>
      </c>
      <c r="AB36" s="55">
        <f t="shared" ref="AB36" si="152">AVERAGE(AB32:AB35)</f>
        <v>359.88499999999999</v>
      </c>
      <c r="AC36" s="55">
        <f t="shared" ref="AC36" si="153">AVERAGE(AC32:AC35)</f>
        <v>1396.4124999999999</v>
      </c>
      <c r="AD36" s="55">
        <f t="shared" ref="AD36" si="154">AVERAGE(AD32:AD35)</f>
        <v>185.25749999999999</v>
      </c>
      <c r="AE36" s="55">
        <f t="shared" ref="AE36" si="155">AVERAGE(AE32:AE35)</f>
        <v>476.47</v>
      </c>
      <c r="AF36" s="55">
        <f t="shared" ref="AF36" si="156">AVERAGE(AF32:AF35)</f>
        <v>352.97750000000002</v>
      </c>
      <c r="AG36" s="55">
        <f t="shared" ref="AG36" si="157">AVERAGE(AG32:AG35)</f>
        <v>56.325000000000003</v>
      </c>
    </row>
    <row r="38" spans="1:33" ht="15.75" x14ac:dyDescent="0.25">
      <c r="A38" s="60" t="s">
        <v>27</v>
      </c>
      <c r="B38" s="60"/>
      <c r="C38" s="60"/>
      <c r="D38" s="60"/>
      <c r="E38" s="60"/>
      <c r="F38" s="60"/>
      <c r="G38" s="60"/>
      <c r="H38" s="60"/>
      <c r="I38" s="60"/>
      <c r="J38" s="60"/>
      <c r="S38" s="60" t="s">
        <v>27</v>
      </c>
      <c r="T38" s="60"/>
      <c r="U38" s="60"/>
      <c r="V38" s="60"/>
      <c r="W38" s="60"/>
      <c r="X38" s="60"/>
      <c r="Y38" s="60"/>
      <c r="Z38" s="60"/>
      <c r="AA38" s="60"/>
      <c r="AB38" s="60"/>
    </row>
    <row r="43" spans="1:33" x14ac:dyDescent="0.25">
      <c r="B43" s="54"/>
      <c r="C43" s="54"/>
      <c r="D43" s="54"/>
      <c r="E43" s="54"/>
      <c r="F43" s="54"/>
      <c r="G43" s="54"/>
    </row>
    <row r="45" spans="1:33" x14ac:dyDescent="0.25">
      <c r="B45" s="54"/>
      <c r="C45" s="54"/>
      <c r="D45" s="54"/>
      <c r="E45" s="54"/>
      <c r="F45" s="54"/>
      <c r="G45" s="54"/>
    </row>
    <row r="50" spans="3:3" x14ac:dyDescent="0.25">
      <c r="C50" s="45"/>
    </row>
  </sheetData>
  <mergeCells count="25">
    <mergeCell ref="B14:O14"/>
    <mergeCell ref="S2:AG3"/>
    <mergeCell ref="S4:S7"/>
    <mergeCell ref="T4:AG4"/>
    <mergeCell ref="B22:O22"/>
    <mergeCell ref="B7:O7"/>
    <mergeCell ref="B4:O4"/>
    <mergeCell ref="B6:O6"/>
    <mergeCell ref="B15:O15"/>
    <mergeCell ref="B23:O23"/>
    <mergeCell ref="A38:J38"/>
    <mergeCell ref="A4:A7"/>
    <mergeCell ref="S38:AB38"/>
    <mergeCell ref="A1:AG1"/>
    <mergeCell ref="T30:AG30"/>
    <mergeCell ref="T31:AG31"/>
    <mergeCell ref="T6:AG6"/>
    <mergeCell ref="T7:AG7"/>
    <mergeCell ref="T14:AG14"/>
    <mergeCell ref="T15:AG15"/>
    <mergeCell ref="T22:AG22"/>
    <mergeCell ref="T23:AG23"/>
    <mergeCell ref="B30:O30"/>
    <mergeCell ref="B31:O31"/>
    <mergeCell ref="A2:O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717BA-B090-4941-9763-E3CFD84202C3}">
  <dimension ref="A1:W46"/>
  <sheetViews>
    <sheetView topLeftCell="A6" workbookViewId="0">
      <selection activeCell="A25" sqref="A25:M31"/>
    </sheetView>
  </sheetViews>
  <sheetFormatPr defaultRowHeight="15" x14ac:dyDescent="0.25"/>
  <cols>
    <col min="1" max="1" width="29.85546875" style="8" bestFit="1" customWidth="1"/>
    <col min="2" max="2" width="12.7109375" style="9" bestFit="1" customWidth="1"/>
    <col min="3" max="3" width="4.28515625" style="10" bestFit="1" customWidth="1"/>
    <col min="4" max="4" width="12.7109375" style="9" bestFit="1" customWidth="1"/>
    <col min="5" max="5" width="4.28515625" style="10" bestFit="1" customWidth="1"/>
    <col min="6" max="6" width="12.5703125" style="9" customWidth="1"/>
    <col min="7" max="7" width="4.28515625" style="10" bestFit="1" customWidth="1"/>
    <col min="8" max="8" width="12.7109375" style="9" bestFit="1" customWidth="1"/>
    <col min="9" max="9" width="4.28515625" style="10" bestFit="1" customWidth="1"/>
    <col min="10" max="10" width="12.7109375" style="9" bestFit="1" customWidth="1"/>
    <col min="11" max="11" width="4.28515625" style="10" bestFit="1" customWidth="1"/>
    <col min="12" max="12" width="12.7109375" style="9" bestFit="1" customWidth="1"/>
    <col min="13" max="13" width="4.28515625" style="10" bestFit="1" customWidth="1"/>
    <col min="15" max="15" width="20.28515625" bestFit="1" customWidth="1"/>
  </cols>
  <sheetData>
    <row r="1" spans="1:23" ht="18.75" x14ac:dyDescent="0.25">
      <c r="A1" s="73" t="s">
        <v>172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</row>
    <row r="2" spans="1:23" x14ac:dyDescent="0.25">
      <c r="A2" s="17" t="s">
        <v>61</v>
      </c>
      <c r="B2" s="74" t="str">
        <f>'[1]Masses&amp; DF '!CA1</f>
        <v xml:space="preserve">139La </v>
      </c>
      <c r="C2" s="75"/>
      <c r="D2" s="74" t="str">
        <f>'[1]Masses&amp; DF '!BO1</f>
        <v xml:space="preserve">140Ce </v>
      </c>
      <c r="E2" s="75"/>
      <c r="F2" s="74" t="str">
        <f>'[1]Masses&amp; DF '!CE1</f>
        <v xml:space="preserve">141Pr </v>
      </c>
      <c r="G2" s="75"/>
      <c r="H2" s="74" t="str">
        <f>'[1]Masses&amp; DF '!CD1</f>
        <v xml:space="preserve">146Nd </v>
      </c>
      <c r="I2" s="75"/>
      <c r="J2" s="74" t="str">
        <f>'[1]Masses&amp; DF '!CH1</f>
        <v xml:space="preserve">152Sm </v>
      </c>
      <c r="K2" s="75"/>
      <c r="L2" s="74" t="str">
        <f>'[1]Masses&amp; DF '!BV1</f>
        <v xml:space="preserve">151Eu </v>
      </c>
      <c r="M2" s="75"/>
    </row>
    <row r="3" spans="1:23" x14ac:dyDescent="0.25">
      <c r="A3" s="76" t="s">
        <v>24</v>
      </c>
      <c r="B3" s="70" t="s">
        <v>7</v>
      </c>
      <c r="C3" s="71"/>
      <c r="D3" s="70" t="s">
        <v>1</v>
      </c>
      <c r="E3" s="71"/>
      <c r="F3" s="70" t="s">
        <v>10</v>
      </c>
      <c r="G3" s="71"/>
      <c r="H3" s="70" t="s">
        <v>9</v>
      </c>
      <c r="I3" s="71"/>
      <c r="J3" s="70" t="s">
        <v>11</v>
      </c>
      <c r="K3" s="71"/>
      <c r="L3" s="70" t="s">
        <v>4</v>
      </c>
      <c r="M3" s="71"/>
      <c r="O3" s="72" t="s">
        <v>66</v>
      </c>
      <c r="P3" s="72"/>
      <c r="Q3" s="72"/>
      <c r="R3" s="72"/>
      <c r="S3" s="72"/>
      <c r="T3" s="72"/>
      <c r="U3" s="72"/>
    </row>
    <row r="4" spans="1:23" x14ac:dyDescent="0.25">
      <c r="A4" s="77"/>
      <c r="B4" s="6" t="s">
        <v>28</v>
      </c>
      <c r="C4" s="7" t="s">
        <v>29</v>
      </c>
      <c r="D4" s="6" t="s">
        <v>28</v>
      </c>
      <c r="E4" s="7" t="s">
        <v>29</v>
      </c>
      <c r="F4" s="6" t="s">
        <v>28</v>
      </c>
      <c r="G4" s="7" t="s">
        <v>29</v>
      </c>
      <c r="H4" s="6" t="s">
        <v>28</v>
      </c>
      <c r="I4" s="7" t="s">
        <v>29</v>
      </c>
      <c r="J4" s="6" t="s">
        <v>28</v>
      </c>
      <c r="K4" s="7" t="s">
        <v>29</v>
      </c>
      <c r="L4" s="6" t="s">
        <v>28</v>
      </c>
      <c r="M4" s="7" t="s">
        <v>29</v>
      </c>
      <c r="O4" s="19" t="s">
        <v>65</v>
      </c>
      <c r="P4" s="19" t="s">
        <v>7</v>
      </c>
      <c r="Q4" s="19" t="s">
        <v>1</v>
      </c>
      <c r="R4" s="19" t="s">
        <v>10</v>
      </c>
      <c r="S4" s="19" t="s">
        <v>9</v>
      </c>
      <c r="T4" s="19" t="s">
        <v>11</v>
      </c>
      <c r="U4" s="19" t="s">
        <v>4</v>
      </c>
    </row>
    <row r="5" spans="1:23" x14ac:dyDescent="0.25">
      <c r="A5" s="11" t="s">
        <v>54</v>
      </c>
      <c r="B5" s="12">
        <v>272.75725593667545</v>
      </c>
      <c r="C5" s="13">
        <f t="shared" ref="C5:C11" si="0">(B5-B$13)/B$12</f>
        <v>-0.54450296185457059</v>
      </c>
      <c r="D5" s="12">
        <v>618.23878627968338</v>
      </c>
      <c r="E5" s="13">
        <f t="shared" ref="E5:E11" si="1">(D5-D$13)/D$12</f>
        <v>-0.48733113282339113</v>
      </c>
      <c r="F5" s="12">
        <v>71.569920844327171</v>
      </c>
      <c r="G5" s="13">
        <f t="shared" ref="G5:G11" si="2">(F5-F$13)/F$12</f>
        <v>-0.45435602347648435</v>
      </c>
      <c r="H5" s="12">
        <v>265.17150395778367</v>
      </c>
      <c r="I5" s="13">
        <f t="shared" ref="I5:I11" si="3">(H5-H$13)/H$12</f>
        <v>-0.41795078490600013</v>
      </c>
      <c r="J5" s="12">
        <v>90.011025483870995</v>
      </c>
      <c r="K5" s="13">
        <f t="shared" ref="K5:K11" si="4">(J5-J$13)/J$12</f>
        <v>-1.4244966861926176E-2</v>
      </c>
      <c r="L5" s="12">
        <v>9.0041935483871001</v>
      </c>
      <c r="M5" s="13">
        <f t="shared" ref="M5:M11" si="5">(L5-L$13)/L$12</f>
        <v>0.69123142484462652</v>
      </c>
      <c r="O5" s="19" t="str">
        <f>A5</f>
        <v>3Acid-Bulk-1</v>
      </c>
      <c r="P5" s="20">
        <f>B5/B$42</f>
        <v>7.7046915553568684E-2</v>
      </c>
      <c r="Q5" s="20">
        <f>D5/D$42</f>
        <v>8.6675336991641302E-2</v>
      </c>
      <c r="R5" s="20">
        <f>F5/F$42</f>
        <v>8.895063043695188E-2</v>
      </c>
      <c r="S5" s="20">
        <f>H5/H$42</f>
        <v>9.4244527930106944E-2</v>
      </c>
      <c r="T5" s="20">
        <f>J5/J$42</f>
        <v>0.18307208914790785</v>
      </c>
      <c r="U5" s="20">
        <f>L5/L$42</f>
        <v>0.37608012175627897</v>
      </c>
      <c r="V5" s="18"/>
      <c r="W5" s="18"/>
    </row>
    <row r="6" spans="1:23" x14ac:dyDescent="0.25">
      <c r="A6" s="11" t="s">
        <v>55</v>
      </c>
      <c r="B6" s="12">
        <v>536.61290322580646</v>
      </c>
      <c r="C6" s="13">
        <f t="shared" si="0"/>
        <v>-0.22346637763552474</v>
      </c>
      <c r="D6" s="12">
        <v>1148.8709677419354</v>
      </c>
      <c r="E6" s="13">
        <f t="shared" si="1"/>
        <v>-0.17978012116139241</v>
      </c>
      <c r="F6" s="12">
        <v>132.41935483870967</v>
      </c>
      <c r="G6" s="13">
        <f t="shared" si="2"/>
        <v>-0.1434898948640782</v>
      </c>
      <c r="H6" s="12">
        <v>469.35483870967744</v>
      </c>
      <c r="I6" s="13">
        <f t="shared" si="3"/>
        <v>-0.12374699521494925</v>
      </c>
      <c r="J6" s="12">
        <v>87.741935483870975</v>
      </c>
      <c r="K6" s="13">
        <f t="shared" si="4"/>
        <v>-3.1453866258355917E-2</v>
      </c>
      <c r="L6" s="12">
        <v>6.1741935483871</v>
      </c>
      <c r="M6" s="13">
        <f t="shared" si="5"/>
        <v>0.35607056118910241</v>
      </c>
      <c r="O6" s="19" t="str">
        <f t="shared" ref="O6:O11" si="6">A6</f>
        <v>3Acid-Bulk-2</v>
      </c>
      <c r="P6" s="20">
        <f t="shared" ref="P6:P11" si="7">B6/B$42</f>
        <v>0.15157935541554476</v>
      </c>
      <c r="Q6" s="20">
        <f t="shared" ref="Q6:Q11" si="8">D6/D$42</f>
        <v>0.16106847467168961</v>
      </c>
      <c r="R6" s="20">
        <f t="shared" ref="R6:R11" si="9">F6/F$42</f>
        <v>0.16457731063553743</v>
      </c>
      <c r="S6" s="20">
        <f t="shared" ref="S6:S11" si="10">H6/H$42</f>
        <v>0.1668132681894329</v>
      </c>
      <c r="T6" s="20">
        <f t="shared" ref="T6:T11" si="11">J6/J$42</f>
        <v>0.17845702066566879</v>
      </c>
      <c r="U6" s="20">
        <f t="shared" ref="U6:U11" si="12">L6/L$42</f>
        <v>0.25787889264554797</v>
      </c>
      <c r="V6" s="18"/>
      <c r="W6" s="18"/>
    </row>
    <row r="7" spans="1:23" x14ac:dyDescent="0.25">
      <c r="A7" s="11" t="s">
        <v>56</v>
      </c>
      <c r="B7" s="12">
        <v>457.73026315789474</v>
      </c>
      <c r="C7" s="13">
        <f t="shared" si="0"/>
        <v>-0.31944390770458081</v>
      </c>
      <c r="D7" s="12">
        <v>986.51315789473699</v>
      </c>
      <c r="E7" s="13">
        <f t="shared" si="1"/>
        <v>-0.27388166723070939</v>
      </c>
      <c r="F7" s="12">
        <v>115.95394736842105</v>
      </c>
      <c r="G7" s="13">
        <f t="shared" si="2"/>
        <v>-0.22760797354311646</v>
      </c>
      <c r="H7" s="12">
        <v>421.38157894736844</v>
      </c>
      <c r="I7" s="13">
        <f t="shared" si="3"/>
        <v>-0.19287073071987937</v>
      </c>
      <c r="J7" s="12">
        <v>80.098684210526315</v>
      </c>
      <c r="K7" s="13">
        <f t="shared" si="4"/>
        <v>-8.9420690943414954E-2</v>
      </c>
      <c r="L7" s="12">
        <v>6.4144736842105265</v>
      </c>
      <c r="M7" s="13">
        <f t="shared" si="5"/>
        <v>0.38452727420742266</v>
      </c>
      <c r="O7" s="19" t="str">
        <f t="shared" si="6"/>
        <v>3Acid-Bulk-3</v>
      </c>
      <c r="P7" s="20">
        <f t="shared" si="7"/>
        <v>0.12929703670294573</v>
      </c>
      <c r="Q7" s="20">
        <f t="shared" si="8"/>
        <v>0.13830636690033318</v>
      </c>
      <c r="R7" s="20">
        <f t="shared" si="9"/>
        <v>0.14411328947126703</v>
      </c>
      <c r="S7" s="20">
        <f t="shared" si="10"/>
        <v>0.14976310573952276</v>
      </c>
      <c r="T7" s="20">
        <f t="shared" si="11"/>
        <v>0.16291152531138747</v>
      </c>
      <c r="U7" s="20">
        <f t="shared" si="12"/>
        <v>0.26791472564385982</v>
      </c>
      <c r="V7" s="18"/>
      <c r="W7" s="18"/>
    </row>
    <row r="8" spans="1:23" x14ac:dyDescent="0.25">
      <c r="A8" s="11" t="s">
        <v>57</v>
      </c>
      <c r="B8" s="12">
        <v>334.47265625000006</v>
      </c>
      <c r="C8" s="13">
        <f t="shared" si="0"/>
        <v>-0.46941303479081542</v>
      </c>
      <c r="D8" s="12">
        <v>742.51302083333348</v>
      </c>
      <c r="E8" s="13">
        <f t="shared" si="1"/>
        <v>-0.41530258292434102</v>
      </c>
      <c r="F8" s="12">
        <v>87.239583333333343</v>
      </c>
      <c r="G8" s="13">
        <f t="shared" si="2"/>
        <v>-0.37430322766789742</v>
      </c>
      <c r="H8" s="12">
        <v>317.38281250000006</v>
      </c>
      <c r="I8" s="13">
        <f t="shared" si="3"/>
        <v>-0.34272052746841886</v>
      </c>
      <c r="J8" s="12">
        <v>61.360677083333343</v>
      </c>
      <c r="K8" s="13">
        <f t="shared" si="4"/>
        <v>-0.23153073485592812</v>
      </c>
      <c r="L8" s="12">
        <v>5.6966145833333348</v>
      </c>
      <c r="M8" s="13">
        <f t="shared" si="5"/>
        <v>0.29951021546785456</v>
      </c>
      <c r="O8" s="19" t="str">
        <f t="shared" si="6"/>
        <v>3Acid-Bulk-4</v>
      </c>
      <c r="P8" s="20">
        <f t="shared" si="7"/>
        <v>9.4479930194980632E-2</v>
      </c>
      <c r="Q8" s="20">
        <f t="shared" si="8"/>
        <v>0.10409823474306611</v>
      </c>
      <c r="R8" s="20">
        <f t="shared" si="9"/>
        <v>0.10842566045917432</v>
      </c>
      <c r="S8" s="20">
        <f t="shared" si="10"/>
        <v>0.11280093407757039</v>
      </c>
      <c r="T8" s="20">
        <f t="shared" si="11"/>
        <v>0.12480057064996884</v>
      </c>
      <c r="U8" s="20">
        <f t="shared" si="12"/>
        <v>0.23793174753360952</v>
      </c>
      <c r="V8" s="18"/>
      <c r="W8" s="18"/>
    </row>
    <row r="9" spans="1:23" x14ac:dyDescent="0.25">
      <c r="A9" s="11" t="s">
        <v>58</v>
      </c>
      <c r="B9" s="12">
        <v>1977.6048284625158</v>
      </c>
      <c r="C9" s="13">
        <f t="shared" si="0"/>
        <v>1.5298071653722323</v>
      </c>
      <c r="D9" s="12">
        <v>4091.3278271918675</v>
      </c>
      <c r="E9" s="13">
        <f t="shared" si="1"/>
        <v>1.5256490169693688</v>
      </c>
      <c r="F9" s="12">
        <v>452.19186785260479</v>
      </c>
      <c r="G9" s="13">
        <f t="shared" si="2"/>
        <v>1.4901562482778097</v>
      </c>
      <c r="H9" s="12">
        <v>1595.1397712833541</v>
      </c>
      <c r="I9" s="13">
        <f t="shared" si="3"/>
        <v>1.4983745846031016</v>
      </c>
      <c r="J9" s="12">
        <v>281.60736975857685</v>
      </c>
      <c r="K9" s="13">
        <f t="shared" si="4"/>
        <v>1.4388319112465233</v>
      </c>
      <c r="L9" s="12">
        <v>13.500635324015247</v>
      </c>
      <c r="M9" s="13">
        <f t="shared" si="5"/>
        <v>1.2237513219811311</v>
      </c>
      <c r="O9" s="19" t="str">
        <f t="shared" si="6"/>
        <v>3Acid-Bulk-5</v>
      </c>
      <c r="P9" s="20">
        <f t="shared" si="7"/>
        <v>0.55862254404060896</v>
      </c>
      <c r="Q9" s="20">
        <f t="shared" si="8"/>
        <v>0.57359264095848939</v>
      </c>
      <c r="R9" s="20">
        <f t="shared" si="9"/>
        <v>0.56200637431807632</v>
      </c>
      <c r="S9" s="20">
        <f t="shared" si="10"/>
        <v>0.56692816717995498</v>
      </c>
      <c r="T9" s="20">
        <f t="shared" si="11"/>
        <v>0.57275705086137507</v>
      </c>
      <c r="U9" s="20">
        <f t="shared" si="12"/>
        <v>0.56388398907221005</v>
      </c>
      <c r="V9" s="18"/>
      <c r="W9" s="18"/>
    </row>
    <row r="10" spans="1:23" x14ac:dyDescent="0.25">
      <c r="A10" s="11" t="s">
        <v>59</v>
      </c>
      <c r="B10" s="12">
        <v>1751.6254876462938</v>
      </c>
      <c r="C10" s="13">
        <f t="shared" si="0"/>
        <v>1.2548551739137577</v>
      </c>
      <c r="D10" s="12">
        <v>3580.1365409622886</v>
      </c>
      <c r="E10" s="13">
        <f t="shared" si="1"/>
        <v>1.2293658235914917</v>
      </c>
      <c r="F10" s="12">
        <v>403.93368010403117</v>
      </c>
      <c r="G10" s="13">
        <f t="shared" si="2"/>
        <v>1.2436159764219585</v>
      </c>
      <c r="H10" s="12">
        <v>1398.0819245773732</v>
      </c>
      <c r="I10" s="13">
        <f t="shared" si="3"/>
        <v>1.2144377718377297</v>
      </c>
      <c r="J10" s="12">
        <v>248.2119635890767</v>
      </c>
      <c r="K10" s="13">
        <f t="shared" si="4"/>
        <v>1.1855593724429361</v>
      </c>
      <c r="L10" s="12">
        <v>12.028608582574771</v>
      </c>
      <c r="M10" s="13">
        <f t="shared" si="5"/>
        <v>1.0494171332937754</v>
      </c>
      <c r="O10" s="19" t="str">
        <f t="shared" si="6"/>
        <v>3Acid-Bulk-6</v>
      </c>
      <c r="P10" s="20">
        <f t="shared" si="7"/>
        <v>0.49478918742126837</v>
      </c>
      <c r="Q10" s="20">
        <f t="shared" si="8"/>
        <v>0.50192506204813758</v>
      </c>
      <c r="R10" s="20">
        <f t="shared" si="9"/>
        <v>0.50202871647886615</v>
      </c>
      <c r="S10" s="20">
        <f t="shared" si="10"/>
        <v>0.49689189457697869</v>
      </c>
      <c r="T10" s="20">
        <f t="shared" si="11"/>
        <v>0.50483462977431792</v>
      </c>
      <c r="U10" s="20">
        <f t="shared" si="12"/>
        <v>0.50240152613152855</v>
      </c>
      <c r="V10" s="18"/>
      <c r="W10" s="18"/>
    </row>
    <row r="11" spans="1:23" x14ac:dyDescent="0.25">
      <c r="A11" s="11" t="s">
        <v>60</v>
      </c>
      <c r="B11" s="12">
        <v>422.40238252812702</v>
      </c>
      <c r="C11" s="13">
        <f t="shared" si="0"/>
        <v>-0.36242779772779055</v>
      </c>
      <c r="D11" s="12">
        <v>909.82792852415605</v>
      </c>
      <c r="E11" s="13">
        <f t="shared" si="1"/>
        <v>-0.31832793471388943</v>
      </c>
      <c r="F11" s="12">
        <v>106.88285903375248</v>
      </c>
      <c r="G11" s="13">
        <f t="shared" si="2"/>
        <v>-0.27395013201183621</v>
      </c>
      <c r="H11" s="12">
        <v>391.62806088682987</v>
      </c>
      <c r="I11" s="13">
        <f t="shared" si="3"/>
        <v>-0.23574199531494636</v>
      </c>
      <c r="J11" s="12">
        <v>73.957643944407678</v>
      </c>
      <c r="K11" s="13">
        <f t="shared" si="4"/>
        <v>-0.13599466735204521</v>
      </c>
      <c r="L11" s="12">
        <v>6.2872270019854399</v>
      </c>
      <c r="M11" s="13">
        <f t="shared" si="5"/>
        <v>0.36945727141171236</v>
      </c>
      <c r="O11" s="19" t="str">
        <f t="shared" si="6"/>
        <v>3Acid-Bulk-7</v>
      </c>
      <c r="P11" s="20">
        <f t="shared" si="7"/>
        <v>0.11931781827218033</v>
      </c>
      <c r="Q11" s="20">
        <f t="shared" si="8"/>
        <v>0.12755531367383841</v>
      </c>
      <c r="R11" s="20">
        <f t="shared" si="9"/>
        <v>0.13283929312476966</v>
      </c>
      <c r="S11" s="20">
        <f t="shared" si="10"/>
        <v>0.13918841644590321</v>
      </c>
      <c r="T11" s="20">
        <f t="shared" si="11"/>
        <v>0.15042135463489387</v>
      </c>
      <c r="U11" s="20">
        <f t="shared" si="12"/>
        <v>0.26259998562998421</v>
      </c>
      <c r="V11" s="18"/>
      <c r="W11" s="18"/>
    </row>
    <row r="12" spans="1:23" x14ac:dyDescent="0.25">
      <c r="A12" s="14" t="s">
        <v>62</v>
      </c>
      <c r="B12" s="15">
        <f>AVERAGE(B5:B11)</f>
        <v>821.88653960104489</v>
      </c>
      <c r="C12" s="16"/>
      <c r="D12" s="15">
        <f>AVERAGE(D5:D11)</f>
        <v>1725.346889918286</v>
      </c>
      <c r="E12" s="16"/>
      <c r="F12" s="15">
        <f>AVERAGE(F5:F11)</f>
        <v>195.74160191073997</v>
      </c>
      <c r="G12" s="16"/>
      <c r="H12" s="15">
        <f>AVERAGE(H5:H11)</f>
        <v>694.02007012319814</v>
      </c>
      <c r="I12" s="16"/>
      <c r="J12" s="15">
        <f>AVERAGE(J5:J11)</f>
        <v>131.85561422195184</v>
      </c>
      <c r="K12" s="16"/>
      <c r="L12" s="15">
        <f>AVERAGE(L5:L11)</f>
        <v>8.4437066104133596</v>
      </c>
      <c r="M12" s="16"/>
      <c r="O12" s="14" t="s">
        <v>64</v>
      </c>
      <c r="P12" s="40">
        <f>B12/B$42</f>
        <v>0.23216182680015682</v>
      </c>
      <c r="Q12" s="41">
        <f t="shared" ref="Q12:U12" si="13">AVERAGE(Q5:Q11)</f>
        <v>0.24188877571245654</v>
      </c>
      <c r="R12" s="41">
        <f t="shared" si="13"/>
        <v>0.24327732498923468</v>
      </c>
      <c r="S12" s="41">
        <f t="shared" si="13"/>
        <v>0.2466614734484957</v>
      </c>
      <c r="T12" s="41">
        <f t="shared" si="13"/>
        <v>0.26817917729221713</v>
      </c>
      <c r="U12" s="41">
        <f t="shared" si="13"/>
        <v>0.35267014120185985</v>
      </c>
    </row>
    <row r="13" spans="1:23" x14ac:dyDescent="0.25">
      <c r="A13" s="14" t="s">
        <v>31</v>
      </c>
      <c r="B13" s="15">
        <f>STDEVA(B5:B11)</f>
        <v>720.27691105784822</v>
      </c>
      <c r="C13" s="16"/>
      <c r="D13" s="15">
        <f>STDEVA(D5:D11)</f>
        <v>1459.0540406568764</v>
      </c>
      <c r="E13" s="16"/>
      <c r="F13" s="15">
        <f>STDEVA(F5:F11)</f>
        <v>160.50629671740799</v>
      </c>
      <c r="G13" s="16"/>
      <c r="H13" s="15">
        <f>STDEVA(H5:H11)</f>
        <v>555.23773700629158</v>
      </c>
      <c r="I13" s="16"/>
      <c r="J13" s="15">
        <f>STDEVA(J5:J11)</f>
        <v>91.889304339021621</v>
      </c>
      <c r="K13" s="16"/>
      <c r="L13" s="15">
        <f>STDEVA(L5:L11)</f>
        <v>3.1676381971010814</v>
      </c>
      <c r="M13" s="16"/>
      <c r="O13" s="72" t="s">
        <v>66</v>
      </c>
      <c r="P13" s="72"/>
      <c r="Q13" s="72"/>
      <c r="R13" s="72"/>
      <c r="S13" s="72"/>
      <c r="T13" s="72"/>
      <c r="U13" s="72"/>
    </row>
    <row r="14" spans="1:23" x14ac:dyDescent="0.25">
      <c r="A14" s="14" t="s">
        <v>63</v>
      </c>
      <c r="B14" s="15">
        <f t="shared" ref="B14" si="14">B13*100/B12</f>
        <v>87.637024863247007</v>
      </c>
      <c r="C14" s="16"/>
      <c r="D14" s="15">
        <f>D13*100/D12</f>
        <v>84.56583711846946</v>
      </c>
      <c r="E14" s="16"/>
      <c r="F14" s="15">
        <f t="shared" ref="F14" si="15">F13*100/F12</f>
        <v>81.99907181233776</v>
      </c>
      <c r="G14" s="16"/>
      <c r="H14" s="15">
        <f t="shared" ref="H14" si="16">H13*100/H12</f>
        <v>80.00312395976232</v>
      </c>
      <c r="I14" s="16"/>
      <c r="J14" s="15">
        <f t="shared" ref="J14" si="17">J13*100/J12</f>
        <v>69.689337751174435</v>
      </c>
      <c r="K14" s="16"/>
      <c r="L14" s="15">
        <f t="shared" ref="L14" si="18">L13*100/L12</f>
        <v>37.514782822919642</v>
      </c>
      <c r="M14" s="16"/>
      <c r="O14" s="19" t="s">
        <v>65</v>
      </c>
      <c r="P14" s="19" t="s">
        <v>7</v>
      </c>
      <c r="Q14" s="19" t="s">
        <v>1</v>
      </c>
      <c r="R14" s="19" t="s">
        <v>10</v>
      </c>
      <c r="S14" s="19" t="s">
        <v>9</v>
      </c>
      <c r="T14" s="19" t="s">
        <v>11</v>
      </c>
      <c r="U14" s="19" t="s">
        <v>4</v>
      </c>
    </row>
    <row r="15" spans="1:23" x14ac:dyDescent="0.25">
      <c r="A15" s="11" t="s">
        <v>33</v>
      </c>
      <c r="B15" s="12">
        <v>3279.8965740142207</v>
      </c>
      <c r="C15" s="13">
        <f t="shared" ref="C15:C21" si="19">(B15-B$22)/B$23</f>
        <v>0.31547372417831049</v>
      </c>
      <c r="D15" s="12">
        <v>6684.3891402714926</v>
      </c>
      <c r="E15" s="13">
        <f t="shared" ref="E15:E21" si="20">(D15-D$22)/D$23</f>
        <v>0.4966422565782232</v>
      </c>
      <c r="F15" s="12">
        <v>738.04137039431157</v>
      </c>
      <c r="G15" s="13">
        <f t="shared" ref="G15:G21" si="21">(F15-F$22)/F$23</f>
        <v>0.24269671334425261</v>
      </c>
      <c r="H15" s="12">
        <v>2598.2546864899805</v>
      </c>
      <c r="I15" s="13">
        <f t="shared" ref="I15:I21" si="22">(H15-H$22)/H$23</f>
        <v>-1.1462198733474627</v>
      </c>
      <c r="J15" s="12">
        <v>448.12540400775697</v>
      </c>
      <c r="K15" s="13">
        <f t="shared" ref="K15:K21" si="23">(J15-J$22)/J$23</f>
        <v>-1.1702862385295385</v>
      </c>
      <c r="L15" s="12">
        <v>21.978021978021978</v>
      </c>
      <c r="M15" s="13">
        <f t="shared" ref="M15:M21" si="24">(L15-L$22)/L$23</f>
        <v>-0.8665557060562159</v>
      </c>
      <c r="O15" s="19" t="str">
        <f>A15</f>
        <v>4Acid -Bulk Sample -1</v>
      </c>
      <c r="P15" s="20">
        <f>B15/B$42</f>
        <v>0.92648649618759271</v>
      </c>
      <c r="Q15" s="20">
        <f>D15/D$42</f>
        <v>0.93713253547667041</v>
      </c>
      <c r="R15" s="20">
        <f>F15/F$42</f>
        <v>0.91727424608894848</v>
      </c>
      <c r="S15" s="20">
        <f>H15/H$42</f>
        <v>0.92344495059099829</v>
      </c>
      <c r="T15" s="20">
        <f>J15/J$42</f>
        <v>0.91143560992592909</v>
      </c>
      <c r="U15" s="20">
        <f>L15/L$42</f>
        <v>0.91796085202291777</v>
      </c>
    </row>
    <row r="16" spans="1:23" x14ac:dyDescent="0.25">
      <c r="A16" s="11" t="s">
        <v>34</v>
      </c>
      <c r="B16" s="12">
        <v>3174.72240365774</v>
      </c>
      <c r="C16" s="13">
        <f t="shared" si="19"/>
        <v>-0.90718109843745853</v>
      </c>
      <c r="D16" s="12">
        <v>6443.8275636838671</v>
      </c>
      <c r="E16" s="13">
        <f t="shared" si="20"/>
        <v>-1.0192623946079555</v>
      </c>
      <c r="F16" s="12">
        <v>719.30111038536904</v>
      </c>
      <c r="G16" s="13">
        <f t="shared" si="21"/>
        <v>-0.84294334206669419</v>
      </c>
      <c r="H16" s="12">
        <v>2636.0222077073809</v>
      </c>
      <c r="I16" s="13">
        <f t="shared" si="22"/>
        <v>-0.49081492304218793</v>
      </c>
      <c r="J16" s="12">
        <v>456.56433703461784</v>
      </c>
      <c r="K16" s="13">
        <f t="shared" si="23"/>
        <v>-0.32735625914520056</v>
      </c>
      <c r="L16" s="12">
        <v>22.044415414761595</v>
      </c>
      <c r="M16" s="13">
        <f t="shared" si="24"/>
        <v>-0.67058194119068848</v>
      </c>
      <c r="O16" s="19" t="str">
        <f t="shared" ref="O16:O21" si="25">A16</f>
        <v>4Acid -Bulk Sample -2</v>
      </c>
      <c r="P16" s="20">
        <f t="shared" ref="P16:P21" si="26">B16/B$42</f>
        <v>0.8967774958017195</v>
      </c>
      <c r="Q16" s="20">
        <f t="shared" ref="Q16:Q21" si="27">D16/D$42</f>
        <v>0.90340647981548394</v>
      </c>
      <c r="R16" s="20">
        <f t="shared" ref="R16:R21" si="28">F16/F$42</f>
        <v>0.89398292589909301</v>
      </c>
      <c r="S16" s="20">
        <f t="shared" ref="S16:S21" si="29">H16/H$42</f>
        <v>0.93686789444091834</v>
      </c>
      <c r="T16" s="20">
        <f t="shared" ref="T16:T21" si="30">J16/J$42</f>
        <v>0.92859943059235983</v>
      </c>
      <c r="U16" s="20">
        <f t="shared" ref="U16:U21" si="31">L16/L$42</f>
        <v>0.92073392121991715</v>
      </c>
    </row>
    <row r="17" spans="1:21" x14ac:dyDescent="0.25">
      <c r="A17" s="11" t="s">
        <v>35</v>
      </c>
      <c r="B17" s="12">
        <v>3238.5113268608416</v>
      </c>
      <c r="C17" s="13">
        <f t="shared" si="19"/>
        <v>-0.1656317777307581</v>
      </c>
      <c r="D17" s="12">
        <v>6556.3106796116508</v>
      </c>
      <c r="E17" s="13">
        <f t="shared" si="20"/>
        <v>-0.31044729190708337</v>
      </c>
      <c r="F17" s="12">
        <v>728.31715210355992</v>
      </c>
      <c r="G17" s="13">
        <f t="shared" si="21"/>
        <v>-0.32063596608293499</v>
      </c>
      <c r="H17" s="12">
        <v>2689.8058252427186</v>
      </c>
      <c r="I17" s="13">
        <f t="shared" si="22"/>
        <v>0.4425280140035564</v>
      </c>
      <c r="J17" s="12">
        <v>469.74110032362461</v>
      </c>
      <c r="K17" s="13">
        <f t="shared" si="23"/>
        <v>0.98881591240791589</v>
      </c>
      <c r="L17" s="12">
        <v>22.491909385113271</v>
      </c>
      <c r="M17" s="13">
        <f t="shared" si="24"/>
        <v>0.65028774760661212</v>
      </c>
      <c r="O17" s="19" t="str">
        <f t="shared" si="25"/>
        <v>4Acid -Bulk Sample -3</v>
      </c>
      <c r="P17" s="20">
        <f>B17/B$42</f>
        <v>0.91479622737461475</v>
      </c>
      <c r="Q17" s="20">
        <f t="shared" si="27"/>
        <v>0.91917629593714667</v>
      </c>
      <c r="R17" s="20">
        <f t="shared" si="28"/>
        <v>0.90518850759343827</v>
      </c>
      <c r="S17" s="20">
        <f t="shared" si="29"/>
        <v>0.95598311447526374</v>
      </c>
      <c r="T17" s="20">
        <f t="shared" si="30"/>
        <v>0.95539945392903636</v>
      </c>
      <c r="U17" s="20">
        <f t="shared" si="31"/>
        <v>0.93942449977652809</v>
      </c>
    </row>
    <row r="18" spans="1:21" x14ac:dyDescent="0.25">
      <c r="A18" s="11" t="s">
        <v>36</v>
      </c>
      <c r="B18" s="12">
        <v>3233.2567301378858</v>
      </c>
      <c r="C18" s="13">
        <f t="shared" si="19"/>
        <v>-0.22671671904712165</v>
      </c>
      <c r="D18" s="12">
        <v>6543.4996717005915</v>
      </c>
      <c r="E18" s="13">
        <f t="shared" si="20"/>
        <v>-0.39117617119959075</v>
      </c>
      <c r="F18" s="12">
        <v>725.54169402495086</v>
      </c>
      <c r="G18" s="13">
        <f t="shared" si="21"/>
        <v>-0.48142073965673171</v>
      </c>
      <c r="H18" s="12">
        <v>2617.859487852922</v>
      </c>
      <c r="I18" s="13">
        <f t="shared" si="22"/>
        <v>-0.80600469774563854</v>
      </c>
      <c r="J18" s="12">
        <v>454.36638214051214</v>
      </c>
      <c r="K18" s="13">
        <f t="shared" si="23"/>
        <v>-0.5469008470307849</v>
      </c>
      <c r="L18" s="12">
        <v>21.996060407091271</v>
      </c>
      <c r="M18" s="13">
        <f t="shared" si="24"/>
        <v>-0.81331160497386112</v>
      </c>
      <c r="O18" s="19" t="str">
        <f t="shared" si="25"/>
        <v>4Acid -Bulk Sample -4</v>
      </c>
      <c r="P18" s="20">
        <f t="shared" si="26"/>
        <v>0.91331193883170747</v>
      </c>
      <c r="Q18" s="20">
        <f t="shared" si="27"/>
        <v>0.91738022870141789</v>
      </c>
      <c r="R18" s="20">
        <f t="shared" si="28"/>
        <v>0.9017390312920659</v>
      </c>
      <c r="S18" s="20">
        <f t="shared" si="29"/>
        <v>0.93041268740297522</v>
      </c>
      <c r="T18" s="20">
        <f t="shared" si="30"/>
        <v>0.92412904274649643</v>
      </c>
      <c r="U18" s="20">
        <f t="shared" si="31"/>
        <v>0.91871426703606862</v>
      </c>
    </row>
    <row r="19" spans="1:21" x14ac:dyDescent="0.25">
      <c r="A19" s="11" t="s">
        <v>37</v>
      </c>
      <c r="B19" s="12">
        <v>3333.2247557003257</v>
      </c>
      <c r="C19" s="13">
        <f t="shared" si="19"/>
        <v>0.93541641827181721</v>
      </c>
      <c r="D19" s="12">
        <v>6820.1954397394129</v>
      </c>
      <c r="E19" s="13">
        <f t="shared" si="20"/>
        <v>1.3524289700844625</v>
      </c>
      <c r="F19" s="12">
        <v>752.76872964169377</v>
      </c>
      <c r="G19" s="13">
        <f t="shared" si="21"/>
        <v>1.0958658316892189</v>
      </c>
      <c r="H19" s="12">
        <v>2756.3517915309444</v>
      </c>
      <c r="I19" s="13">
        <f t="shared" si="22"/>
        <v>1.5973444891726205</v>
      </c>
      <c r="J19" s="12">
        <v>473.61563517915306</v>
      </c>
      <c r="K19" s="13">
        <f t="shared" si="23"/>
        <v>1.3758271110391931</v>
      </c>
      <c r="L19" s="12">
        <v>22.801302931596094</v>
      </c>
      <c r="M19" s="13">
        <f t="shared" si="24"/>
        <v>1.5635258793684685</v>
      </c>
      <c r="O19" s="19" t="str">
        <f t="shared" si="25"/>
        <v>4Acid -Bulk Sample -5</v>
      </c>
      <c r="P19" s="20">
        <f t="shared" si="26"/>
        <v>0.94155033709948621</v>
      </c>
      <c r="Q19" s="20">
        <f t="shared" si="27"/>
        <v>0.95617219625693839</v>
      </c>
      <c r="R19" s="20">
        <f t="shared" si="28"/>
        <v>0.93557813512880827</v>
      </c>
      <c r="S19" s="20">
        <f t="shared" si="29"/>
        <v>0.97963419720806422</v>
      </c>
      <c r="T19" s="20">
        <f t="shared" si="30"/>
        <v>0.96327981288134146</v>
      </c>
      <c r="U19" s="20">
        <f t="shared" si="31"/>
        <v>0.9523470077175874</v>
      </c>
    </row>
    <row r="20" spans="1:21" x14ac:dyDescent="0.25">
      <c r="A20" s="11" t="s">
        <v>38</v>
      </c>
      <c r="B20" s="12">
        <v>3131.3504823151129</v>
      </c>
      <c r="C20" s="13">
        <f t="shared" si="19"/>
        <v>-1.411381783985411</v>
      </c>
      <c r="D20" s="12">
        <v>6413.5048231511264</v>
      </c>
      <c r="E20" s="13">
        <f t="shared" si="20"/>
        <v>-1.2103418847839349</v>
      </c>
      <c r="F20" s="12">
        <v>713.18327974276531</v>
      </c>
      <c r="G20" s="13">
        <f t="shared" si="21"/>
        <v>-1.1973547533631101</v>
      </c>
      <c r="H20" s="12">
        <v>2635.8520900321546</v>
      </c>
      <c r="I20" s="13">
        <f t="shared" si="22"/>
        <v>-0.49376708836529498</v>
      </c>
      <c r="J20" s="12">
        <v>450.16077170418004</v>
      </c>
      <c r="K20" s="13">
        <f t="shared" si="23"/>
        <v>-0.96698181071567757</v>
      </c>
      <c r="L20" s="12">
        <v>22.025723472668812</v>
      </c>
      <c r="M20" s="13">
        <f t="shared" si="24"/>
        <v>-0.72575501920045093</v>
      </c>
      <c r="O20" s="19" t="str">
        <f t="shared" si="25"/>
        <v>4Acid -Bulk Sample -6</v>
      </c>
      <c r="P20" s="20">
        <f t="shared" si="26"/>
        <v>0.88452604258334122</v>
      </c>
      <c r="Q20" s="20">
        <f t="shared" si="27"/>
        <v>0.89915531697595874</v>
      </c>
      <c r="R20" s="20">
        <f t="shared" si="28"/>
        <v>0.88637938399005878</v>
      </c>
      <c r="S20" s="20">
        <f t="shared" si="29"/>
        <v>0.93680743296691016</v>
      </c>
      <c r="T20" s="20">
        <f t="shared" si="30"/>
        <v>0.91557531408289483</v>
      </c>
      <c r="U20" s="20">
        <f t="shared" si="31"/>
        <v>0.91995321078534698</v>
      </c>
    </row>
    <row r="21" spans="1:21" x14ac:dyDescent="0.25">
      <c r="A21" s="11" t="s">
        <v>39</v>
      </c>
      <c r="B21" s="12">
        <v>3378.3518639633744</v>
      </c>
      <c r="C21" s="13">
        <f t="shared" si="19"/>
        <v>1.4600212367506218</v>
      </c>
      <c r="D21" s="12">
        <v>6777.3054283845649</v>
      </c>
      <c r="E21" s="13">
        <f t="shared" si="20"/>
        <v>1.0821565158358959</v>
      </c>
      <c r="F21" s="12">
        <v>759.8103335513407</v>
      </c>
      <c r="G21" s="13">
        <f t="shared" si="21"/>
        <v>1.503792256136006</v>
      </c>
      <c r="H21" s="12">
        <v>2715.9908436886853</v>
      </c>
      <c r="I21" s="13">
        <f t="shared" si="22"/>
        <v>0.89693407932443092</v>
      </c>
      <c r="J21" s="12">
        <v>466.31785480706338</v>
      </c>
      <c r="K21" s="13">
        <f t="shared" si="23"/>
        <v>0.64688213197408106</v>
      </c>
      <c r="L21" s="12">
        <v>22.563767168083714</v>
      </c>
      <c r="M21" s="13">
        <f t="shared" si="24"/>
        <v>0.86239064444618829</v>
      </c>
      <c r="O21" s="19" t="str">
        <f t="shared" si="25"/>
        <v>4Acid -Bulk Sample -7</v>
      </c>
      <c r="P21" s="20">
        <f t="shared" si="26"/>
        <v>0.95429758551852395</v>
      </c>
      <c r="Q21" s="20">
        <f t="shared" si="27"/>
        <v>0.95015913743523739</v>
      </c>
      <c r="R21" s="20">
        <f t="shared" si="28"/>
        <v>0.9443297880531254</v>
      </c>
      <c r="S21" s="20">
        <f t="shared" si="29"/>
        <v>0.96528952434754833</v>
      </c>
      <c r="T21" s="20">
        <f t="shared" si="30"/>
        <v>0.94843696566702484</v>
      </c>
      <c r="U21" s="20">
        <f t="shared" si="31"/>
        <v>0.94242579951796934</v>
      </c>
    </row>
    <row r="22" spans="1:21" x14ac:dyDescent="0.25">
      <c r="A22" s="14" t="s">
        <v>30</v>
      </c>
      <c r="B22" s="15">
        <f>AVERAGE(B15:B21)</f>
        <v>3252.7591623785002</v>
      </c>
      <c r="C22" s="16"/>
      <c r="D22" s="15">
        <f>AVERAGE(D15:D21)</f>
        <v>6605.5761066489576</v>
      </c>
      <c r="E22" s="16"/>
      <c r="F22" s="15">
        <f>AVERAGE(F15:F21)</f>
        <v>733.85195283485587</v>
      </c>
      <c r="G22" s="16"/>
      <c r="H22" s="15">
        <f>AVERAGE(H15:H21)</f>
        <v>2664.3052760778264</v>
      </c>
      <c r="I22" s="16"/>
      <c r="J22" s="15">
        <f>AVERAGE(J15:J21)</f>
        <v>459.84164074241545</v>
      </c>
      <c r="K22" s="16"/>
      <c r="L22" s="15">
        <f>AVERAGE(L15:L21)</f>
        <v>22.27160010819096</v>
      </c>
      <c r="M22" s="16"/>
      <c r="O22" s="14" t="s">
        <v>64</v>
      </c>
      <c r="P22" s="21">
        <f>AVERAGE(P15:P21)</f>
        <v>0.91882087477099805</v>
      </c>
      <c r="Q22" s="21">
        <f t="shared" ref="Q22" si="32">AVERAGE(Q15:Q21)</f>
        <v>0.92608317008555052</v>
      </c>
      <c r="R22" s="21">
        <f t="shared" ref="R22" si="33">AVERAGE(R15:R21)</f>
        <v>0.91206743114936273</v>
      </c>
      <c r="S22" s="21">
        <f t="shared" ref="S22" si="34">AVERAGE(S15:S21)</f>
        <v>0.94691997163323982</v>
      </c>
      <c r="T22" s="21">
        <f t="shared" ref="T22" si="35">AVERAGE(T15:T21)</f>
        <v>0.9352650899750119</v>
      </c>
      <c r="U22" s="21">
        <f t="shared" ref="U22" si="36">AVERAGE(U15:U21)</f>
        <v>0.93022279401090491</v>
      </c>
    </row>
    <row r="23" spans="1:21" x14ac:dyDescent="0.25">
      <c r="A23" s="14" t="s">
        <v>31</v>
      </c>
      <c r="B23" s="15">
        <f>STDEVA(B15:B21)</f>
        <v>86.021147106318466</v>
      </c>
      <c r="C23" s="16"/>
      <c r="D23" s="15">
        <f>STDEVA(D15:D21)</f>
        <v>158.69175966930948</v>
      </c>
      <c r="E23" s="16"/>
      <c r="F23" s="15">
        <f>STDEVA(F15:F21)</f>
        <v>17.261945997238271</v>
      </c>
      <c r="G23" s="16"/>
      <c r="H23" s="15">
        <f>STDEVA(H15:H21)</f>
        <v>57.624711561621559</v>
      </c>
      <c r="I23" s="16"/>
      <c r="J23" s="15">
        <f>STDEVA(J15:J21)</f>
        <v>10.011428271924226</v>
      </c>
      <c r="K23" s="16"/>
      <c r="L23" s="15">
        <f>STDEVA(L15:L21)</f>
        <v>0.3387873717952718</v>
      </c>
      <c r="M23" s="16"/>
      <c r="O23" s="72" t="s">
        <v>66</v>
      </c>
      <c r="P23" s="72"/>
      <c r="Q23" s="72"/>
      <c r="R23" s="72"/>
      <c r="S23" s="72"/>
      <c r="T23" s="72"/>
      <c r="U23" s="72"/>
    </row>
    <row r="24" spans="1:21" x14ac:dyDescent="0.25">
      <c r="A24" s="14" t="s">
        <v>32</v>
      </c>
      <c r="B24" s="15">
        <f>B23*100/B22</f>
        <v>2.6445593667444354</v>
      </c>
      <c r="C24" s="16"/>
      <c r="D24" s="15">
        <f>D23*100/D22</f>
        <v>2.4023909059131952</v>
      </c>
      <c r="E24" s="16"/>
      <c r="F24" s="15">
        <f>F23*100/F22</f>
        <v>2.3522382042530117</v>
      </c>
      <c r="G24" s="16"/>
      <c r="H24" s="15">
        <f>H23*100/H22</f>
        <v>2.1628419265247252</v>
      </c>
      <c r="I24" s="16"/>
      <c r="J24" s="15">
        <f>J23*100/J22</f>
        <v>2.1771469534078625</v>
      </c>
      <c r="K24" s="16"/>
      <c r="L24" s="15">
        <f t="shared" ref="L24" si="37">L23*100/L22</f>
        <v>1.5211631411731119</v>
      </c>
      <c r="M24" s="16"/>
      <c r="O24" s="19" t="s">
        <v>65</v>
      </c>
      <c r="P24" s="19" t="s">
        <v>7</v>
      </c>
      <c r="Q24" s="19" t="s">
        <v>1</v>
      </c>
      <c r="R24" s="19" t="s">
        <v>10</v>
      </c>
      <c r="S24" s="19" t="s">
        <v>9</v>
      </c>
      <c r="T24" s="19" t="s">
        <v>11</v>
      </c>
      <c r="U24" s="19" t="s">
        <v>4</v>
      </c>
    </row>
    <row r="25" spans="1:21" x14ac:dyDescent="0.25">
      <c r="A25" s="11" t="s">
        <v>40</v>
      </c>
      <c r="B25" s="12">
        <v>2953.3398821218075</v>
      </c>
      <c r="C25" s="13">
        <f t="shared" ref="C25:C31" si="38">(B25-B$32)/B$33</f>
        <v>-1.4163984481375904</v>
      </c>
      <c r="D25" s="12">
        <v>5988.7033398821213</v>
      </c>
      <c r="E25" s="13">
        <f t="shared" ref="E25:E31" si="39">(D25-D$32)/D$33</f>
        <v>-1.2774965748147453</v>
      </c>
      <c r="F25" s="12">
        <v>675.09823182711204</v>
      </c>
      <c r="G25" s="13">
        <f t="shared" ref="G25:G31" si="40">(F25-F$32)/F$33</f>
        <v>-1.1493835876261911</v>
      </c>
      <c r="H25" s="12">
        <v>2473.2318271119843</v>
      </c>
      <c r="I25" s="13">
        <f t="shared" ref="I25:I31" si="41">(H25-H$32)/H$33</f>
        <v>-1.1382458288150765</v>
      </c>
      <c r="J25" s="12">
        <v>428.53634577603145</v>
      </c>
      <c r="K25" s="13">
        <f t="shared" ref="K25:K31" si="42">(J25-J$32)/J$33</f>
        <v>-1.0380640771742893</v>
      </c>
      <c r="L25" s="12">
        <v>20.874263261296662</v>
      </c>
      <c r="M25" s="13">
        <f t="shared" ref="M25:M31" si="43">(L25-L$32)/L$33</f>
        <v>-0.97552626709405887</v>
      </c>
      <c r="O25" s="19" t="str">
        <f>A25</f>
        <v>MW-Bulk Sample-1</v>
      </c>
      <c r="P25" s="20">
        <f>B25/B$42</f>
        <v>0.83424262250113501</v>
      </c>
      <c r="Q25" s="20">
        <f>D25/D$42</f>
        <v>0.83959934518315493</v>
      </c>
      <c r="R25" s="20">
        <f>F25/F$42</f>
        <v>0.83904540649848802</v>
      </c>
      <c r="S25" s="20">
        <f>H25/H$42</f>
        <v>0.87901061210933684</v>
      </c>
      <c r="T25" s="20">
        <f>J25/J$42</f>
        <v>0.87159371505089933</v>
      </c>
      <c r="U25" s="20">
        <f>L25/L$42</f>
        <v>0.87185992023542103</v>
      </c>
    </row>
    <row r="26" spans="1:21" x14ac:dyDescent="0.25">
      <c r="A26" s="11" t="s">
        <v>41</v>
      </c>
      <c r="B26" s="12">
        <v>3109.158415841584</v>
      </c>
      <c r="C26" s="13">
        <f t="shared" si="38"/>
        <v>-0.49188856740978892</v>
      </c>
      <c r="D26" s="12">
        <v>6226.7326732673264</v>
      </c>
      <c r="E26" s="13">
        <f t="shared" si="39"/>
        <v>-0.58253600289853047</v>
      </c>
      <c r="F26" s="12">
        <v>695.29702970297035</v>
      </c>
      <c r="G26" s="13">
        <f t="shared" si="40"/>
        <v>-0.5999287972636137</v>
      </c>
      <c r="H26" s="12">
        <v>2527.9702970297026</v>
      </c>
      <c r="I26" s="13">
        <f t="shared" si="41"/>
        <v>-0.70317107003811685</v>
      </c>
      <c r="J26" s="12">
        <v>436.38613861386136</v>
      </c>
      <c r="K26" s="13">
        <f t="shared" si="42"/>
        <v>-0.69613463104908058</v>
      </c>
      <c r="L26" s="12">
        <v>21.287128712871283</v>
      </c>
      <c r="M26" s="13">
        <f t="shared" si="43"/>
        <v>-0.53887133989452984</v>
      </c>
      <c r="O26" s="19" t="str">
        <f t="shared" ref="O26:O31" si="44">A26</f>
        <v>MW-Bulk Sample-2</v>
      </c>
      <c r="P26" s="20">
        <f t="shared" ref="P26:P31" si="45">B26/B$42</f>
        <v>0.87825735409080796</v>
      </c>
      <c r="Q26" s="20">
        <f t="shared" ref="Q26:Q31" si="46">D26/D$42</f>
        <v>0.87297038747768518</v>
      </c>
      <c r="R26" s="20">
        <f t="shared" ref="R26:R31" si="47">F26/F$42</f>
        <v>0.86414946954522776</v>
      </c>
      <c r="S26" s="20">
        <f t="shared" ref="S26:S31" si="48">H26/H$42</f>
        <v>0.89846519595418695</v>
      </c>
      <c r="T26" s="20">
        <f t="shared" ref="T26:T31" si="49">J26/J$42</f>
        <v>0.88755929222852314</v>
      </c>
      <c r="U26" s="20">
        <f t="shared" ref="U26:U31" si="50">L26/L$42</f>
        <v>0.88910416187269214</v>
      </c>
    </row>
    <row r="27" spans="1:21" x14ac:dyDescent="0.25">
      <c r="A27" s="11" t="s">
        <v>42</v>
      </c>
      <c r="B27" s="12">
        <v>3231.9664031620555</v>
      </c>
      <c r="C27" s="13">
        <f t="shared" si="38"/>
        <v>0.23676158093684718</v>
      </c>
      <c r="D27" s="12">
        <v>6483.201581027668</v>
      </c>
      <c r="E27" s="13">
        <f t="shared" si="39"/>
        <v>0.16626153512344663</v>
      </c>
      <c r="F27" s="12">
        <v>723.32015810276687</v>
      </c>
      <c r="G27" s="13">
        <f t="shared" si="40"/>
        <v>0.16236617864764497</v>
      </c>
      <c r="H27" s="12">
        <v>2597.826086956522</v>
      </c>
      <c r="I27" s="13">
        <f t="shared" si="41"/>
        <v>-0.14794015113829581</v>
      </c>
      <c r="J27" s="12">
        <v>445.40513833992094</v>
      </c>
      <c r="K27" s="13">
        <f t="shared" si="42"/>
        <v>-0.30327565443085197</v>
      </c>
      <c r="L27" s="12">
        <v>21.492094861660078</v>
      </c>
      <c r="M27" s="13">
        <f t="shared" si="43"/>
        <v>-0.32209495805778737</v>
      </c>
      <c r="O27" s="19" t="str">
        <f t="shared" si="44"/>
        <v>MW-Bulk Sample-3</v>
      </c>
      <c r="P27" s="20">
        <f t="shared" si="45"/>
        <v>0.91294745461953908</v>
      </c>
      <c r="Q27" s="20">
        <f t="shared" si="46"/>
        <v>0.90892660617721754</v>
      </c>
      <c r="R27" s="20">
        <f t="shared" si="47"/>
        <v>0.89897799678922752</v>
      </c>
      <c r="S27" s="20">
        <f t="shared" si="48"/>
        <v>0.92329262215412256</v>
      </c>
      <c r="T27" s="20">
        <f t="shared" si="49"/>
        <v>0.90590290194742362</v>
      </c>
      <c r="U27" s="20">
        <f t="shared" si="50"/>
        <v>0.89766502784899205</v>
      </c>
    </row>
    <row r="28" spans="1:21" x14ac:dyDescent="0.25">
      <c r="A28" s="11" t="s">
        <v>43</v>
      </c>
      <c r="B28" s="12">
        <v>3214.9165848871439</v>
      </c>
      <c r="C28" s="13">
        <f t="shared" si="38"/>
        <v>0.13560079419682561</v>
      </c>
      <c r="D28" s="12">
        <v>6466.8792934249268</v>
      </c>
      <c r="E28" s="13">
        <f t="shared" si="39"/>
        <v>0.11860628958686008</v>
      </c>
      <c r="F28" s="12">
        <v>721.78606476938171</v>
      </c>
      <c r="G28" s="13">
        <f t="shared" si="40"/>
        <v>0.12063523326800801</v>
      </c>
      <c r="H28" s="12">
        <v>2648.92051030422</v>
      </c>
      <c r="I28" s="13">
        <f t="shared" si="41"/>
        <v>0.2581708334446326</v>
      </c>
      <c r="J28" s="12">
        <v>454.85770363101079</v>
      </c>
      <c r="K28" s="13">
        <f t="shared" si="42"/>
        <v>0.10846902230360421</v>
      </c>
      <c r="L28" s="12">
        <v>21.8351324828263</v>
      </c>
      <c r="M28" s="13">
        <f t="shared" si="43"/>
        <v>4.0708630679797082E-2</v>
      </c>
      <c r="O28" s="19" t="str">
        <f t="shared" si="44"/>
        <v>MW-Bulk Sample-4</v>
      </c>
      <c r="P28" s="20">
        <f t="shared" si="45"/>
        <v>0.90813131909889222</v>
      </c>
      <c r="Q28" s="20">
        <f t="shared" si="46"/>
        <v>0.90663826741582176</v>
      </c>
      <c r="R28" s="20">
        <f t="shared" si="47"/>
        <v>0.89707134986907022</v>
      </c>
      <c r="S28" s="20">
        <f t="shared" si="48"/>
        <v>0.9414520764559372</v>
      </c>
      <c r="T28" s="20">
        <f t="shared" si="49"/>
        <v>0.92512833423579266</v>
      </c>
      <c r="U28" s="20">
        <f t="shared" si="50"/>
        <v>0.91199275521756751</v>
      </c>
    </row>
    <row r="29" spans="1:21" x14ac:dyDescent="0.25">
      <c r="A29" s="11" t="s">
        <v>44</v>
      </c>
      <c r="B29" s="12">
        <v>3369.5246971109036</v>
      </c>
      <c r="C29" s="13">
        <f t="shared" si="38"/>
        <v>1.0529289449583743</v>
      </c>
      <c r="D29" s="12">
        <v>6843.6626281453864</v>
      </c>
      <c r="E29" s="13">
        <f t="shared" si="39"/>
        <v>1.218678948959794</v>
      </c>
      <c r="F29" s="12">
        <v>765.3774464119291</v>
      </c>
      <c r="G29" s="13">
        <f t="shared" si="40"/>
        <v>1.3064232989354168</v>
      </c>
      <c r="H29" s="12">
        <v>2770.7362534948738</v>
      </c>
      <c r="I29" s="13">
        <f t="shared" si="41"/>
        <v>1.226392180580874</v>
      </c>
      <c r="J29" s="12">
        <v>480.66169617893752</v>
      </c>
      <c r="K29" s="13">
        <f t="shared" si="42"/>
        <v>1.232466185287433</v>
      </c>
      <c r="L29" s="12">
        <v>22.600186393289839</v>
      </c>
      <c r="M29" s="13">
        <f t="shared" si="43"/>
        <v>0.84984525933954058</v>
      </c>
      <c r="O29" s="19" t="str">
        <f t="shared" si="44"/>
        <v>MW-Bulk Sample-5</v>
      </c>
      <c r="P29" s="20">
        <f t="shared" si="45"/>
        <v>0.95180413772105288</v>
      </c>
      <c r="Q29" s="20">
        <f t="shared" si="46"/>
        <v>0.95946222999224329</v>
      </c>
      <c r="R29" s="20">
        <f t="shared" si="47"/>
        <v>0.95124887071831543</v>
      </c>
      <c r="S29" s="20">
        <f t="shared" si="48"/>
        <v>0.98474657469616311</v>
      </c>
      <c r="T29" s="20">
        <f t="shared" si="49"/>
        <v>0.9776106917993389</v>
      </c>
      <c r="U29" s="20">
        <f t="shared" si="50"/>
        <v>0.94394692926447976</v>
      </c>
    </row>
    <row r="30" spans="1:21" x14ac:dyDescent="0.25">
      <c r="A30" s="11" t="s">
        <v>45</v>
      </c>
      <c r="B30" s="12">
        <v>3046.142578125</v>
      </c>
      <c r="C30" s="13">
        <f t="shared" si="38"/>
        <v>-0.86577711083616904</v>
      </c>
      <c r="D30" s="12">
        <v>6109.130859375</v>
      </c>
      <c r="E30" s="13">
        <f t="shared" si="39"/>
        <v>-0.92589126369209507</v>
      </c>
      <c r="F30" s="12">
        <v>678.7109375</v>
      </c>
      <c r="G30" s="13">
        <f t="shared" si="40"/>
        <v>-1.0511094997156998</v>
      </c>
      <c r="H30" s="12">
        <v>2507.8125</v>
      </c>
      <c r="I30" s="13">
        <f t="shared" si="41"/>
        <v>-0.86339017541968621</v>
      </c>
      <c r="J30" s="12">
        <v>434.326171875</v>
      </c>
      <c r="K30" s="13">
        <f t="shared" si="42"/>
        <v>-0.78586480617685384</v>
      </c>
      <c r="L30" s="12">
        <v>20.99609375</v>
      </c>
      <c r="M30" s="13">
        <f t="shared" si="43"/>
        <v>-0.84667585596726525</v>
      </c>
      <c r="O30" s="19" t="str">
        <f t="shared" si="44"/>
        <v>MW-Bulk Sample-6</v>
      </c>
      <c r="P30" s="20">
        <f t="shared" si="45"/>
        <v>0.86045699930129427</v>
      </c>
      <c r="Q30" s="20">
        <f t="shared" si="46"/>
        <v>0.85648294431468952</v>
      </c>
      <c r="R30" s="20">
        <f t="shared" si="47"/>
        <v>0.84353545543797914</v>
      </c>
      <c r="S30" s="20">
        <f t="shared" si="48"/>
        <v>0.89130091911138687</v>
      </c>
      <c r="T30" s="20">
        <f t="shared" si="49"/>
        <v>0.88336955644414272</v>
      </c>
      <c r="U30" s="20">
        <f t="shared" si="50"/>
        <v>0.87694844090958912</v>
      </c>
    </row>
    <row r="31" spans="1:21" x14ac:dyDescent="0.25">
      <c r="A31" s="11" t="s">
        <v>46</v>
      </c>
      <c r="B31" s="12">
        <v>3419.3867457962415</v>
      </c>
      <c r="C31" s="13">
        <f t="shared" si="38"/>
        <v>1.3487728062915065</v>
      </c>
      <c r="D31" s="12">
        <v>6865.4797230464892</v>
      </c>
      <c r="E31" s="13">
        <f t="shared" si="39"/>
        <v>1.2823770677352808</v>
      </c>
      <c r="F31" s="12">
        <v>761.86943620178045</v>
      </c>
      <c r="G31" s="13">
        <f t="shared" si="40"/>
        <v>1.2109971737544347</v>
      </c>
      <c r="H31" s="12">
        <v>2788.5756676557862</v>
      </c>
      <c r="I31" s="13">
        <f t="shared" si="41"/>
        <v>1.3681842113856832</v>
      </c>
      <c r="J31" s="12">
        <v>486.39960435212669</v>
      </c>
      <c r="K31" s="13">
        <f t="shared" si="42"/>
        <v>1.4824039612400359</v>
      </c>
      <c r="L31" s="12">
        <v>23.491592482690407</v>
      </c>
      <c r="M31" s="13">
        <f t="shared" si="43"/>
        <v>1.7926145309943076</v>
      </c>
      <c r="O31" s="19" t="str">
        <f t="shared" si="44"/>
        <v>MW-Bulk Sample-7</v>
      </c>
      <c r="P31" s="20">
        <f t="shared" si="45"/>
        <v>0.96588888513205873</v>
      </c>
      <c r="Q31" s="20">
        <f t="shared" si="46"/>
        <v>0.96252092526451993</v>
      </c>
      <c r="R31" s="20">
        <f t="shared" si="47"/>
        <v>0.94688894246786071</v>
      </c>
      <c r="S31" s="20">
        <f t="shared" si="48"/>
        <v>0.99108687575057997</v>
      </c>
      <c r="T31" s="20">
        <f t="shared" si="49"/>
        <v>0.98928093809369788</v>
      </c>
      <c r="U31" s="20">
        <f t="shared" si="50"/>
        <v>0.98117848241074734</v>
      </c>
    </row>
    <row r="32" spans="1:21" x14ac:dyDescent="0.25">
      <c r="A32" s="14" t="s">
        <v>30</v>
      </c>
      <c r="B32" s="15">
        <f>AVERAGE(B25:B31)</f>
        <v>3192.0621867206764</v>
      </c>
      <c r="C32" s="16"/>
      <c r="D32" s="15">
        <f>AVERAGE(D25:D31)</f>
        <v>6426.2557283098449</v>
      </c>
      <c r="E32" s="16"/>
      <c r="F32" s="15">
        <f>AVERAGE(F25:F31)</f>
        <v>717.35132921656293</v>
      </c>
      <c r="G32" s="16"/>
      <c r="H32" s="15">
        <f>AVERAGE(H25:H31)</f>
        <v>2616.4390203647267</v>
      </c>
      <c r="I32" s="16"/>
      <c r="J32" s="15">
        <f>AVERAGE(J25:J31)</f>
        <v>452.36754268098412</v>
      </c>
      <c r="K32" s="16"/>
      <c r="L32" s="15">
        <f>AVERAGE(L25:L31)</f>
        <v>21.796641706376366</v>
      </c>
      <c r="M32" s="16"/>
      <c r="O32" s="14" t="s">
        <v>64</v>
      </c>
      <c r="P32" s="41">
        <f>AVERAGE(P25:P31)</f>
        <v>0.90167553892354013</v>
      </c>
      <c r="Q32" s="41">
        <f t="shared" ref="Q32" si="51">AVERAGE(Q25:Q31)</f>
        <v>0.90094295797504742</v>
      </c>
      <c r="R32" s="41">
        <f t="shared" ref="R32" si="52">AVERAGE(R25:R31)</f>
        <v>0.89155964161802415</v>
      </c>
      <c r="S32" s="41">
        <f t="shared" ref="S32" si="53">AVERAGE(S25:S31)</f>
        <v>0.92990783946167344</v>
      </c>
      <c r="T32" s="41">
        <f t="shared" ref="T32" si="54">AVERAGE(T25:T31)</f>
        <v>0.92006363282854531</v>
      </c>
      <c r="U32" s="41">
        <f t="shared" ref="U32" si="55">AVERAGE(U25:U31)</f>
        <v>0.91038510253706995</v>
      </c>
    </row>
    <row r="33" spans="1:13" x14ac:dyDescent="0.25">
      <c r="A33" s="14" t="s">
        <v>31</v>
      </c>
      <c r="B33" s="15">
        <f>STDEVA(B25:B31)</f>
        <v>168.5417722059515</v>
      </c>
      <c r="C33" s="16"/>
      <c r="D33" s="15">
        <f>STDEVA(D25:D31)</f>
        <v>342.50768029744012</v>
      </c>
      <c r="E33" s="16"/>
      <c r="F33" s="15">
        <f>STDEVA(F25:F31)</f>
        <v>36.76152839167969</v>
      </c>
      <c r="G33" s="16"/>
      <c r="H33" s="15">
        <f>STDEVA(H25:H31)</f>
        <v>125.81394073881413</v>
      </c>
      <c r="I33" s="16"/>
      <c r="J33" s="15">
        <f>STDEVA(J25:J31)</f>
        <v>22.957346688870579</v>
      </c>
      <c r="K33" s="16"/>
      <c r="L33" s="15">
        <f>STDEVA(L25:L31)</f>
        <v>0.94551882014138566</v>
      </c>
      <c r="M33" s="16"/>
    </row>
    <row r="34" spans="1:13" x14ac:dyDescent="0.25">
      <c r="A34" s="14" t="s">
        <v>32</v>
      </c>
      <c r="B34" s="15">
        <f t="shared" ref="B34" si="56">B33*100/B32</f>
        <v>5.2800278424118261</v>
      </c>
      <c r="C34" s="16"/>
      <c r="D34" s="15">
        <f>D33*100/D32</f>
        <v>5.3298171560241077</v>
      </c>
      <c r="E34" s="16"/>
      <c r="F34" s="15">
        <f t="shared" ref="F34" si="57">F33*100/F32</f>
        <v>5.1246198193886201</v>
      </c>
      <c r="G34" s="16"/>
      <c r="H34" s="15">
        <f t="shared" ref="H34" si="58">H33*100/H32</f>
        <v>4.8085944201090491</v>
      </c>
      <c r="I34" s="16"/>
      <c r="J34" s="15">
        <f t="shared" ref="J34" si="59">J33*100/J32</f>
        <v>5.0749323332996994</v>
      </c>
      <c r="K34" s="16"/>
      <c r="L34" s="15">
        <f t="shared" ref="L34" si="60">L33*100/L32</f>
        <v>4.337910550067833</v>
      </c>
      <c r="M34" s="16"/>
    </row>
    <row r="35" spans="1:13" x14ac:dyDescent="0.25">
      <c r="A35" s="11" t="s">
        <v>47</v>
      </c>
      <c r="B35" s="12">
        <v>3547.7895143400851</v>
      </c>
      <c r="C35" s="13">
        <f t="shared" ref="C35:C41" si="61">(B35-B$42)/B$43</f>
        <v>6.2586818377574766E-2</v>
      </c>
      <c r="D35" s="12">
        <v>7167.3724083970019</v>
      </c>
      <c r="E35" s="13">
        <f t="shared" ref="E35:E41" si="62">(D35-D$42)/D$43</f>
        <v>0.1634568144902559</v>
      </c>
      <c r="F35" s="12">
        <v>813.95744253957605</v>
      </c>
      <c r="G35" s="13">
        <f t="shared" ref="G35:G41" si="63">(F35-F$42)/F$43</f>
        <v>0.3875580773512472</v>
      </c>
      <c r="H35" s="12">
        <v>2846.0092276080582</v>
      </c>
      <c r="I35" s="13">
        <f t="shared" ref="I35:I41" si="64">(H35-H$42)/H$43</f>
        <v>0.43488203395762454</v>
      </c>
      <c r="J35" s="12">
        <v>492.38292922460204</v>
      </c>
      <c r="K35" s="13">
        <f t="shared" ref="K35:K41" si="65">(J35-J$42)/J$43</f>
        <v>6.8782736950754028E-2</v>
      </c>
      <c r="L35" s="12">
        <v>24.529404736584063</v>
      </c>
      <c r="M35" s="13">
        <f t="shared" ref="M35:M41" si="66">(L35-L$42)/L$43</f>
        <v>1.0871954107929658</v>
      </c>
    </row>
    <row r="36" spans="1:13" x14ac:dyDescent="0.25">
      <c r="A36" s="11" t="s">
        <v>48</v>
      </c>
      <c r="B36" s="12">
        <v>3669.2668289112326</v>
      </c>
      <c r="C36" s="13">
        <f t="shared" si="61"/>
        <v>1.0571455267799008</v>
      </c>
      <c r="D36" s="12">
        <v>7342.8718782397173</v>
      </c>
      <c r="E36" s="13">
        <f t="shared" si="62"/>
        <v>0.99347161370318804</v>
      </c>
      <c r="F36" s="12">
        <v>830.04617316743429</v>
      </c>
      <c r="G36" s="13">
        <f t="shared" si="63"/>
        <v>1.0541016161590764</v>
      </c>
      <c r="H36" s="12">
        <v>2911.5243293646554</v>
      </c>
      <c r="I36" s="13">
        <f t="shared" si="64"/>
        <v>1.3154644097957711</v>
      </c>
      <c r="J36" s="12">
        <v>502.07670962322851</v>
      </c>
      <c r="K36" s="13">
        <f t="shared" si="65"/>
        <v>1.0038246926707359</v>
      </c>
      <c r="L36" s="12">
        <v>24.294034336607833</v>
      </c>
      <c r="M36" s="13">
        <f t="shared" si="66"/>
        <v>0.65139689036311843</v>
      </c>
    </row>
    <row r="37" spans="1:13" x14ac:dyDescent="0.25">
      <c r="A37" s="11" t="s">
        <v>49</v>
      </c>
      <c r="B37" s="12">
        <v>3380.1631430811372</v>
      </c>
      <c r="C37" s="13">
        <f t="shared" si="61"/>
        <v>-1.3098033096230413</v>
      </c>
      <c r="D37" s="12">
        <v>6884.2685594580644</v>
      </c>
      <c r="E37" s="13">
        <f t="shared" si="62"/>
        <v>-1.1754667990343468</v>
      </c>
      <c r="F37" s="12">
        <v>772.93832964653984</v>
      </c>
      <c r="G37" s="13">
        <f t="shared" si="63"/>
        <v>-1.3118317190780746</v>
      </c>
      <c r="H37" s="12">
        <v>2701.2907869621899</v>
      </c>
      <c r="I37" s="13">
        <f t="shared" si="64"/>
        <v>-1.5102650370945521</v>
      </c>
      <c r="J37" s="12">
        <v>474.47113691276314</v>
      </c>
      <c r="K37" s="13">
        <f t="shared" si="65"/>
        <v>-1.6589516066171139</v>
      </c>
      <c r="L37" s="12">
        <v>23.072785959598207</v>
      </c>
      <c r="M37" s="13">
        <f t="shared" si="66"/>
        <v>-1.6097975326904905</v>
      </c>
    </row>
    <row r="38" spans="1:13" x14ac:dyDescent="0.25">
      <c r="A38" s="11" t="s">
        <v>50</v>
      </c>
      <c r="B38" s="12">
        <v>3652.6817300500743</v>
      </c>
      <c r="C38" s="13">
        <f t="shared" si="61"/>
        <v>0.92136005473262694</v>
      </c>
      <c r="D38" s="12">
        <v>7278.1722809682615</v>
      </c>
      <c r="E38" s="13">
        <f t="shared" si="62"/>
        <v>0.68747853414258908</v>
      </c>
      <c r="F38" s="12">
        <v>823.04483071247569</v>
      </c>
      <c r="G38" s="13">
        <f t="shared" si="63"/>
        <v>0.76404146882507629</v>
      </c>
      <c r="H38" s="12">
        <v>2842.7939214981889</v>
      </c>
      <c r="I38" s="13">
        <f t="shared" si="64"/>
        <v>0.39166540424384261</v>
      </c>
      <c r="J38" s="12">
        <v>503.47538134525155</v>
      </c>
      <c r="K38" s="13">
        <f t="shared" si="65"/>
        <v>1.1387376666180273</v>
      </c>
      <c r="L38" s="12">
        <v>24.267396429533033</v>
      </c>
      <c r="M38" s="13">
        <f t="shared" si="66"/>
        <v>0.60207564822001935</v>
      </c>
    </row>
    <row r="39" spans="1:13" x14ac:dyDescent="0.25">
      <c r="A39" s="11" t="s">
        <v>51</v>
      </c>
      <c r="B39" s="12">
        <v>3610.213832778546</v>
      </c>
      <c r="C39" s="13">
        <f t="shared" si="61"/>
        <v>0.57366701255398733</v>
      </c>
      <c r="D39" s="12">
        <v>7242.3639241901483</v>
      </c>
      <c r="E39" s="13">
        <f t="shared" si="62"/>
        <v>0.51812493958206207</v>
      </c>
      <c r="F39" s="12">
        <v>811.95053081232504</v>
      </c>
      <c r="G39" s="13">
        <f t="shared" si="63"/>
        <v>0.30441329261350331</v>
      </c>
      <c r="H39" s="12">
        <v>2833.7938617239902</v>
      </c>
      <c r="I39" s="13">
        <f t="shared" si="64"/>
        <v>0.27069643974320889</v>
      </c>
      <c r="J39" s="12">
        <v>489.39484048962061</v>
      </c>
      <c r="K39" s="13">
        <f t="shared" si="65"/>
        <v>-0.21944210616801199</v>
      </c>
      <c r="L39" s="12">
        <v>23.790026968245446</v>
      </c>
      <c r="M39" s="13">
        <f t="shared" si="66"/>
        <v>-0.28179464706151891</v>
      </c>
    </row>
    <row r="40" spans="1:13" x14ac:dyDescent="0.25">
      <c r="A40" s="11" t="s">
        <v>52</v>
      </c>
      <c r="B40" s="12">
        <v>3368.4987365474403</v>
      </c>
      <c r="C40" s="13">
        <f t="shared" si="61"/>
        <v>-1.4053021040883953</v>
      </c>
      <c r="D40" s="12">
        <v>6787.6315522043751</v>
      </c>
      <c r="E40" s="13">
        <f t="shared" si="62"/>
        <v>-1.6325060496035642</v>
      </c>
      <c r="F40" s="12">
        <v>768.39435841601698</v>
      </c>
      <c r="G40" s="13">
        <f t="shared" si="63"/>
        <v>-1.5000848966773856</v>
      </c>
      <c r="H40" s="12">
        <v>2723.2843600586152</v>
      </c>
      <c r="I40" s="13">
        <f t="shared" si="64"/>
        <v>-1.2146514711968257</v>
      </c>
      <c r="J40" s="12">
        <v>483.24454448359904</v>
      </c>
      <c r="K40" s="13">
        <f t="shared" si="65"/>
        <v>-0.81268690533243637</v>
      </c>
      <c r="L40" s="12">
        <v>23.392352337135005</v>
      </c>
      <c r="M40" s="13">
        <f t="shared" si="66"/>
        <v>-1.0181065021967348</v>
      </c>
    </row>
    <row r="41" spans="1:13" x14ac:dyDescent="0.25">
      <c r="A41" s="11" t="s">
        <v>53</v>
      </c>
      <c r="B41" s="12">
        <v>3552.4014936019425</v>
      </c>
      <c r="C41" s="13">
        <f t="shared" si="61"/>
        <v>0.1003460012673542</v>
      </c>
      <c r="D41" s="12">
        <v>7226.9955208490583</v>
      </c>
      <c r="E41" s="13">
        <f t="shared" si="62"/>
        <v>0.44544094671980289</v>
      </c>
      <c r="F41" s="12">
        <v>811.8875044774652</v>
      </c>
      <c r="G41" s="13">
        <f t="shared" si="63"/>
        <v>0.30180216080657102</v>
      </c>
      <c r="H41" s="12">
        <v>2836.8823275147424</v>
      </c>
      <c r="I41" s="13">
        <f t="shared" si="64"/>
        <v>0.31220822055093078</v>
      </c>
      <c r="J41" s="12">
        <v>496.64336484133537</v>
      </c>
      <c r="K41" s="13">
        <f t="shared" si="65"/>
        <v>0.47973552187807267</v>
      </c>
      <c r="L41" s="12">
        <v>24.249549202779217</v>
      </c>
      <c r="M41" s="13">
        <f t="shared" si="66"/>
        <v>0.56903073257270664</v>
      </c>
    </row>
    <row r="42" spans="1:13" x14ac:dyDescent="0.25">
      <c r="A42" s="14" t="s">
        <v>30</v>
      </c>
      <c r="B42" s="15">
        <f>AVERAGE(B35:B41)</f>
        <v>3540.1450399014939</v>
      </c>
      <c r="C42" s="16"/>
      <c r="D42" s="15">
        <f>AVERAGE(D35:D41)</f>
        <v>7132.8108749009471</v>
      </c>
      <c r="E42" s="16"/>
      <c r="F42" s="15">
        <f>AVERAGE(F35:F41)</f>
        <v>804.60273853883325</v>
      </c>
      <c r="G42" s="16"/>
      <c r="H42" s="15">
        <f>AVERAGE(H35:H41)</f>
        <v>2813.6541163900629</v>
      </c>
      <c r="I42" s="16"/>
      <c r="J42" s="15">
        <f>AVERAGE(J35:J41)</f>
        <v>491.66984384577142</v>
      </c>
      <c r="K42" s="16"/>
      <c r="L42" s="15">
        <f>AVERAGE(L35:L41)</f>
        <v>23.942221424354681</v>
      </c>
      <c r="M42" s="16"/>
    </row>
    <row r="43" spans="1:13" x14ac:dyDescent="0.25">
      <c r="A43" s="14" t="s">
        <v>31</v>
      </c>
      <c r="B43" s="15">
        <f>STDEVA(B35:B41)</f>
        <v>122.14192439809851</v>
      </c>
      <c r="C43" s="16"/>
      <c r="D43" s="15">
        <f>STDEVA(D35:D41)</f>
        <v>211.44137430939071</v>
      </c>
      <c r="E43" s="16"/>
      <c r="F43" s="15">
        <f>STDEVA(F35:F41)</f>
        <v>24.137553949790476</v>
      </c>
      <c r="G43" s="16"/>
      <c r="H43" s="15">
        <f>STDEVA(H35:H41)</f>
        <v>74.399742209511459</v>
      </c>
      <c r="I43" s="16"/>
      <c r="J43" s="15">
        <f>STDEVA(J35:J41)</f>
        <v>10.36721436864538</v>
      </c>
      <c r="K43" s="16"/>
      <c r="L43" s="15">
        <f>STDEVA(L35:L41)</f>
        <v>0.5400899474006321</v>
      </c>
      <c r="M43" s="16"/>
    </row>
    <row r="44" spans="1:13" x14ac:dyDescent="0.25">
      <c r="A44" s="14" t="s">
        <v>32</v>
      </c>
      <c r="B44" s="15">
        <f t="shared" ref="B44" si="67">B43*100/B42</f>
        <v>3.4501954869481044</v>
      </c>
      <c r="C44" s="16"/>
      <c r="D44" s="15">
        <f>D43*100/D42</f>
        <v>2.9643485298820149</v>
      </c>
      <c r="E44" s="16"/>
      <c r="F44" s="15">
        <f t="shared" ref="F44" si="68">F43*100/F42</f>
        <v>2.999934351904459</v>
      </c>
      <c r="G44" s="16"/>
      <c r="H44" s="15">
        <f t="shared" ref="H44" si="69">H43*100/H42</f>
        <v>2.6442390973403236</v>
      </c>
      <c r="I44" s="16"/>
      <c r="J44" s="15">
        <f t="shared" ref="J44" si="70">J43*100/J42</f>
        <v>2.1085723475644769</v>
      </c>
      <c r="K44" s="16"/>
      <c r="L44" s="15">
        <f t="shared" ref="L44" si="71">L43*100/L42</f>
        <v>2.2558054986962817</v>
      </c>
      <c r="M44" s="16"/>
    </row>
    <row r="46" spans="1:13" ht="15.75" x14ac:dyDescent="0.25">
      <c r="A46" s="60" t="s">
        <v>27</v>
      </c>
      <c r="B46" s="60"/>
      <c r="C46" s="60"/>
      <c r="D46" s="60"/>
      <c r="E46" s="60"/>
      <c r="F46" s="60"/>
      <c r="G46" s="60"/>
      <c r="H46" s="60"/>
      <c r="I46" s="60"/>
      <c r="J46" s="60"/>
    </row>
  </sheetData>
  <mergeCells count="18">
    <mergeCell ref="A1:U1"/>
    <mergeCell ref="L3:M3"/>
    <mergeCell ref="B2:C2"/>
    <mergeCell ref="D2:E2"/>
    <mergeCell ref="F2:G2"/>
    <mergeCell ref="H2:I2"/>
    <mergeCell ref="J2:K2"/>
    <mergeCell ref="L2:M2"/>
    <mergeCell ref="A3:A4"/>
    <mergeCell ref="B3:C3"/>
    <mergeCell ref="D3:E3"/>
    <mergeCell ref="F3:G3"/>
    <mergeCell ref="H3:I3"/>
    <mergeCell ref="J3:K3"/>
    <mergeCell ref="A46:J46"/>
    <mergeCell ref="O3:U3"/>
    <mergeCell ref="O13:U13"/>
    <mergeCell ref="O23:U23"/>
  </mergeCells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53CF6-5235-4959-92C1-FDFE23BA9E44}">
  <dimension ref="A1:W70"/>
  <sheetViews>
    <sheetView topLeftCell="D42" workbookViewId="0">
      <selection activeCell="G70" sqref="G70"/>
    </sheetView>
  </sheetViews>
  <sheetFormatPr defaultRowHeight="15" x14ac:dyDescent="0.25"/>
  <cols>
    <col min="1" max="1" width="16.42578125" style="29" bestFit="1" customWidth="1"/>
    <col min="2" max="7" width="22.28515625" style="29" bestFit="1" customWidth="1"/>
    <col min="8" max="9" width="16" style="29" customWidth="1"/>
    <col min="10" max="10" width="22.42578125" style="29" bestFit="1" customWidth="1"/>
    <col min="11" max="11" width="16" style="29" customWidth="1"/>
    <col min="12" max="12" width="12" style="29" bestFit="1" customWidth="1"/>
    <col min="13" max="13" width="7.5703125" style="29" bestFit="1" customWidth="1"/>
    <col min="14" max="14" width="11.85546875" style="29" bestFit="1" customWidth="1"/>
    <col min="15" max="15" width="7.5703125" style="29" bestFit="1" customWidth="1"/>
    <col min="16" max="16" width="11.5703125" style="29" bestFit="1" customWidth="1"/>
    <col min="17" max="17" width="7.5703125" style="29" bestFit="1" customWidth="1"/>
    <col min="18" max="18" width="12.28515625" style="29" bestFit="1" customWidth="1"/>
    <col min="19" max="19" width="7.5703125" style="29" bestFit="1" customWidth="1"/>
    <col min="20" max="20" width="11.5703125" style="29" bestFit="1" customWidth="1"/>
    <col min="21" max="21" width="7.5703125" style="29" bestFit="1" customWidth="1"/>
    <col min="22" max="22" width="12.42578125" style="29" bestFit="1" customWidth="1"/>
    <col min="23" max="23" width="7.5703125" style="29" bestFit="1" customWidth="1"/>
    <col min="24" max="36" width="16" style="29" customWidth="1"/>
    <col min="37" max="16384" width="9.140625" style="29"/>
  </cols>
  <sheetData>
    <row r="1" spans="1:23" ht="18.75" x14ac:dyDescent="0.25">
      <c r="A1" s="79" t="s">
        <v>176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</row>
    <row r="2" spans="1:23" ht="18.75" x14ac:dyDescent="0.25">
      <c r="A2" s="80" t="s">
        <v>160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</row>
    <row r="3" spans="1:23" ht="15" customHeight="1" x14ac:dyDescent="0.25">
      <c r="A3" s="78" t="s">
        <v>163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</row>
    <row r="4" spans="1:23" x14ac:dyDescent="0.25">
      <c r="A4" s="50" t="s">
        <v>24</v>
      </c>
      <c r="B4" s="51" t="s">
        <v>1</v>
      </c>
      <c r="C4" s="51" t="s">
        <v>4</v>
      </c>
      <c r="D4" s="51" t="s">
        <v>7</v>
      </c>
      <c r="E4" s="51" t="s">
        <v>9</v>
      </c>
      <c r="F4" s="51" t="s">
        <v>10</v>
      </c>
      <c r="G4" s="51" t="s">
        <v>11</v>
      </c>
      <c r="J4" s="50" t="s">
        <v>150</v>
      </c>
      <c r="L4" s="52" t="s">
        <v>164</v>
      </c>
      <c r="M4" s="53"/>
      <c r="N4" s="52" t="s">
        <v>165</v>
      </c>
      <c r="O4" s="53"/>
      <c r="P4" s="52" t="s">
        <v>166</v>
      </c>
      <c r="Q4" s="53"/>
      <c r="R4" s="52" t="s">
        <v>167</v>
      </c>
      <c r="S4" s="53"/>
      <c r="T4" s="52" t="s">
        <v>168</v>
      </c>
      <c r="U4" s="53"/>
      <c r="V4" s="52" t="s">
        <v>169</v>
      </c>
      <c r="W4" s="53"/>
    </row>
    <row r="5" spans="1:23" x14ac:dyDescent="0.25">
      <c r="A5" s="31" t="s">
        <v>142</v>
      </c>
      <c r="B5" s="31">
        <v>6684.3891402714926</v>
      </c>
      <c r="C5" s="31">
        <v>21.978021978021978</v>
      </c>
      <c r="D5" s="31">
        <v>3279.8965740142207</v>
      </c>
      <c r="E5" s="31">
        <v>2598.2546864899805</v>
      </c>
      <c r="F5" s="31">
        <v>738.04137039431157</v>
      </c>
      <c r="G5" s="31">
        <v>448.12540400775697</v>
      </c>
      <c r="J5" s="31">
        <v>0.62329999999999997</v>
      </c>
      <c r="L5" s="31" t="s">
        <v>151</v>
      </c>
      <c r="M5" s="31">
        <f>(SMALL($B$5:$B$11,7)-SMALL($B$5:$B$11,1))</f>
        <v>406.6906165882865</v>
      </c>
      <c r="N5" s="31" t="s">
        <v>151</v>
      </c>
      <c r="O5" s="31">
        <f>(SMALL($C$5:$C$11,7)-SMALL($C$5:$C$11,1))</f>
        <v>0.82328095357411613</v>
      </c>
      <c r="P5" s="31" t="s">
        <v>151</v>
      </c>
      <c r="Q5" s="31">
        <f>(SMALL($D$5:$D$11,7)-SMALL($D$5:$D$11,1))</f>
        <v>247.00138164826149</v>
      </c>
      <c r="R5" s="31" t="s">
        <v>151</v>
      </c>
      <c r="S5" s="31">
        <f>(SMALL($E$5:$E$11,7)-SMALL($E$5:$E$11,1))</f>
        <v>158.09710504096392</v>
      </c>
      <c r="T5" s="31" t="s">
        <v>151</v>
      </c>
      <c r="U5" s="31">
        <f>(SMALL($F$5:$F$11,7)-SMALL($F$5:$F$11,1))</f>
        <v>46.627053808575397</v>
      </c>
      <c r="V5" s="31" t="s">
        <v>151</v>
      </c>
      <c r="W5" s="31">
        <f>(SMALL($G$5:$G$11,7)-SMALL($G$5:$G$11,1))</f>
        <v>25.49023117139609</v>
      </c>
    </row>
    <row r="6" spans="1:23" x14ac:dyDescent="0.25">
      <c r="A6" s="31" t="s">
        <v>143</v>
      </c>
      <c r="B6" s="31">
        <v>6443.8275636838671</v>
      </c>
      <c r="C6" s="31">
        <v>22.044415414761595</v>
      </c>
      <c r="D6" s="31">
        <v>3174.72240365774</v>
      </c>
      <c r="E6" s="31">
        <v>2636.0222077073809</v>
      </c>
      <c r="F6" s="31">
        <v>719.30111038536904</v>
      </c>
      <c r="G6" s="31">
        <v>456.56433703461784</v>
      </c>
      <c r="J6" s="31">
        <v>0.30309999999999998</v>
      </c>
      <c r="L6" s="31" t="s">
        <v>152</v>
      </c>
      <c r="M6" s="31">
        <f>(SMALL($B$5:$B$11,6)-SMALL($B$5:$B$11,2))</f>
        <v>333.47786470069786</v>
      </c>
      <c r="N6" s="31" t="s">
        <v>152</v>
      </c>
      <c r="O6" s="31">
        <f>(SMALL($C$5:$C$11,6)-SMALL($C$5:$C$11,2))</f>
        <v>0.56770676099244355</v>
      </c>
      <c r="P6" s="31" t="s">
        <v>152</v>
      </c>
      <c r="Q6" s="31">
        <f>(SMALL($D$5:$D$11,6)-SMALL($D$5:$D$11,2))</f>
        <v>158.5023520425857</v>
      </c>
      <c r="R6" s="31" t="s">
        <v>152</v>
      </c>
      <c r="S6" s="31">
        <f>(SMALL($E$5:$E$11,6)-SMALL($E$5:$E$11,2))</f>
        <v>98.131355835763316</v>
      </c>
      <c r="T6" s="31" t="s">
        <v>152</v>
      </c>
      <c r="U6" s="31">
        <f>(SMALL($F$5:$F$11,6)-SMALL($F$5:$F$11,2))</f>
        <v>33.467619256324724</v>
      </c>
      <c r="V6" s="31" t="s">
        <v>152</v>
      </c>
      <c r="W6" s="31">
        <f>(SMALL($G$5:$G$11,6)-SMALL($G$5:$G$11,2))</f>
        <v>19.580328619444572</v>
      </c>
    </row>
    <row r="7" spans="1:23" x14ac:dyDescent="0.25">
      <c r="A7" s="31" t="s">
        <v>144</v>
      </c>
      <c r="B7" s="31">
        <v>6556.3106796116508</v>
      </c>
      <c r="C7" s="31">
        <v>22.491909385113271</v>
      </c>
      <c r="D7" s="31">
        <v>3238.5113268608416</v>
      </c>
      <c r="E7" s="31">
        <v>2689.8058252427186</v>
      </c>
      <c r="F7" s="31">
        <v>728.31715210355992</v>
      </c>
      <c r="G7" s="31">
        <v>469.74110032362461</v>
      </c>
      <c r="J7" s="31">
        <v>0.1401</v>
      </c>
      <c r="L7" s="31" t="s">
        <v>153</v>
      </c>
      <c r="M7" s="31">
        <f>(SMALL($B$5:$B$11,5)-SMALL($B$5:$B$11,3))</f>
        <v>140.88946857090104</v>
      </c>
      <c r="N7" s="31" t="s">
        <v>153</v>
      </c>
      <c r="O7" s="31">
        <f>(SMALL($C$5:$C$11,5)-SMALL($C$5:$C$11,3))</f>
        <v>0.46618591244445895</v>
      </c>
      <c r="P7" s="31" t="s">
        <v>153</v>
      </c>
      <c r="Q7" s="31">
        <f>(SMALL($D$5:$D$11,5)-SMALL($D$5:$D$11,3))</f>
        <v>46.639843876334908</v>
      </c>
      <c r="R7" s="31" t="s">
        <v>153</v>
      </c>
      <c r="S7" s="31">
        <f>(SMALL($E$5:$E$11,5)-SMALL($E$5:$E$11,3))</f>
        <v>53.953735210563991</v>
      </c>
      <c r="T7" s="31" t="s">
        <v>153</v>
      </c>
      <c r="U7" s="31">
        <f>(SMALL($F$5:$F$11,5)-SMALL($F$5:$F$11,3))</f>
        <v>12.499676369360714</v>
      </c>
      <c r="V7" s="31" t="s">
        <v>153</v>
      </c>
      <c r="W7" s="31">
        <f>(SMALL($G$5:$G$11,5)-SMALL($G$5:$G$11,3))</f>
        <v>11.95147266655124</v>
      </c>
    </row>
    <row r="8" spans="1:23" x14ac:dyDescent="0.25">
      <c r="A8" s="31" t="s">
        <v>145</v>
      </c>
      <c r="B8" s="31">
        <v>6543.4996717005915</v>
      </c>
      <c r="C8" s="31">
        <v>21.996060407091271</v>
      </c>
      <c r="D8" s="31">
        <v>3233.2567301378858</v>
      </c>
      <c r="E8" s="31">
        <v>2617.859487852922</v>
      </c>
      <c r="F8" s="31">
        <v>725.54169402495086</v>
      </c>
      <c r="G8" s="31">
        <v>454.36638214051214</v>
      </c>
    </row>
    <row r="9" spans="1:23" x14ac:dyDescent="0.25">
      <c r="A9" s="31" t="s">
        <v>146</v>
      </c>
      <c r="B9" s="31">
        <v>6820.1954397394129</v>
      </c>
      <c r="C9" s="31">
        <v>22.801302931596094</v>
      </c>
      <c r="D9" s="31">
        <v>3333.2247557003257</v>
      </c>
      <c r="E9" s="31">
        <v>2756.3517915309444</v>
      </c>
      <c r="F9" s="31">
        <v>752.76872964169377</v>
      </c>
      <c r="G9" s="31">
        <v>473.61563517915306</v>
      </c>
      <c r="J9" s="49" t="s">
        <v>154</v>
      </c>
    </row>
    <row r="10" spans="1:23" x14ac:dyDescent="0.25">
      <c r="A10" s="31" t="s">
        <v>147</v>
      </c>
      <c r="B10" s="31">
        <v>6413.5048231511264</v>
      </c>
      <c r="C10" s="31">
        <v>22.025723472668812</v>
      </c>
      <c r="D10" s="31">
        <v>3131.3504823151129</v>
      </c>
      <c r="E10" s="31">
        <v>2635.8520900321546</v>
      </c>
      <c r="F10" s="31">
        <v>713.18327974276531</v>
      </c>
      <c r="G10" s="31">
        <v>450.16077170418004</v>
      </c>
      <c r="J10" s="31">
        <v>0.80300000000000005</v>
      </c>
    </row>
    <row r="11" spans="1:23" x14ac:dyDescent="0.25">
      <c r="A11" s="31" t="s">
        <v>148</v>
      </c>
      <c r="B11" s="31">
        <v>6777.3054283845649</v>
      </c>
      <c r="C11" s="31">
        <v>22.563767168083714</v>
      </c>
      <c r="D11" s="31">
        <v>3378.3518639633744</v>
      </c>
      <c r="E11" s="31">
        <v>2715.9908436886853</v>
      </c>
      <c r="F11" s="31">
        <v>759.8103335513407</v>
      </c>
      <c r="G11" s="31">
        <v>466.31785480706338</v>
      </c>
    </row>
    <row r="13" spans="1:23" x14ac:dyDescent="0.25">
      <c r="A13" s="46" t="s">
        <v>155</v>
      </c>
      <c r="B13" s="31">
        <f>AVERAGE($B$5:$B$11)</f>
        <v>6605.5761066489576</v>
      </c>
      <c r="C13" s="31">
        <f>AVERAGE($C$5:$C$11)</f>
        <v>22.27160010819096</v>
      </c>
      <c r="D13" s="31">
        <f>AVERAGE($D$5:$D$11)</f>
        <v>3252.7591623785002</v>
      </c>
      <c r="E13" s="31">
        <f>AVERAGE($E$5:$E$11)</f>
        <v>2664.3052760778264</v>
      </c>
      <c r="F13" s="31">
        <f>AVERAGE($F$5:$F$11)</f>
        <v>733.85195283485587</v>
      </c>
      <c r="G13" s="31">
        <f>AVERAGE($G$5:$G$11)</f>
        <v>459.84164074241545</v>
      </c>
    </row>
    <row r="14" spans="1:23" x14ac:dyDescent="0.25">
      <c r="A14" s="46" t="s">
        <v>156</v>
      </c>
      <c r="B14" s="31" cm="1">
        <f t="array" ref="B14">SUMPRODUCT(($B$5:$B$11-B13)^2)</f>
        <v>151098.44752165128</v>
      </c>
      <c r="C14" s="31" cm="1">
        <f t="array" ref="C14">SUMPRODUCT(($C$5:$C$11-C13)^2)</f>
        <v>0.6886612997276863</v>
      </c>
      <c r="D14" s="31" cm="1">
        <f t="array" ref="D14">SUMPRODUCT(($D$5:$D$11-D13)^2)</f>
        <v>44397.826496921298</v>
      </c>
      <c r="E14" s="31" cm="1">
        <f t="array" ref="E14">SUMPRODUCT(($E$5:$E$11-E13)^2)</f>
        <v>19923.644295360486</v>
      </c>
      <c r="F14" s="31" cm="1">
        <f t="array" ref="F14">SUMPRODUCT(($F$5:$F$11-F13)^2)</f>
        <v>1787.8486776694219</v>
      </c>
      <c r="G14" s="31" cm="1">
        <f t="array" ref="G14">SUMPRODUCT(($G$5:$G$11-G13)^2)</f>
        <v>601.37217626330209</v>
      </c>
    </row>
    <row r="15" spans="1:23" x14ac:dyDescent="0.25">
      <c r="A15" s="46" t="s">
        <v>157</v>
      </c>
      <c r="B15" s="31">
        <f>SUMPRODUCT($J$5:$J$7,M5:M7)</f>
        <v>374.30601665704376</v>
      </c>
      <c r="C15" s="31">
        <f>SUMPRODUCT($J$5:$J$7,O5:O7)</f>
        <v>0.75053558395302489</v>
      </c>
      <c r="D15" s="31">
        <f>SUMPRODUCT($J$5:$J$7,Q5:Q7)</f>
        <v>208.53226621254362</v>
      </c>
      <c r="E15" s="31">
        <f>SUMPRODUCT($J$5:$J$7,S5:S7)</f>
        <v>135.84445782885268</v>
      </c>
      <c r="F15" s="31">
        <f>SUMPRODUCT($J$5:$J$7,U5:U7)</f>
        <v>40.957882694824505</v>
      </c>
      <c r="G15" s="31">
        <f>SUMPRODUCT($J$5:$J$7,W5:W7)</f>
        <v>23.497260014268658</v>
      </c>
    </row>
    <row r="16" spans="1:23" x14ac:dyDescent="0.25">
      <c r="A16" s="46" t="s">
        <v>158</v>
      </c>
      <c r="B16" s="31">
        <f>(B15^2)/B14</f>
        <v>0.92724310807751431</v>
      </c>
      <c r="C16" s="31">
        <f>(C15^2)/C14</f>
        <v>0.81796909889150482</v>
      </c>
      <c r="D16" s="31">
        <f>(D15^2)/D14</f>
        <v>0.97945574103170596</v>
      </c>
      <c r="E16" s="31">
        <f>(E15^2)/E14</f>
        <v>0.92622195263304086</v>
      </c>
      <c r="F16" s="31">
        <f>(F15^2)/F14</f>
        <v>0.93830544821600825</v>
      </c>
      <c r="G16" s="31">
        <f>(G15^2)/G14</f>
        <v>0.91810238313455073</v>
      </c>
    </row>
    <row r="17" spans="1:23" x14ac:dyDescent="0.25">
      <c r="A17" s="47" t="s">
        <v>159</v>
      </c>
      <c r="B17" s="48" t="str">
        <f>IF(B16&lt;$J$10,"Reject normality","Do not reject  normality")</f>
        <v>Do not reject  normality</v>
      </c>
      <c r="C17" s="48" t="str">
        <f t="shared" ref="C17:G17" si="0">IF(C16&lt;$J$10,"Reject normality","Do not reject  normality")</f>
        <v>Do not reject  normality</v>
      </c>
      <c r="D17" s="48" t="str">
        <f t="shared" si="0"/>
        <v>Do not reject  normality</v>
      </c>
      <c r="E17" s="48" t="str">
        <f t="shared" si="0"/>
        <v>Do not reject  normality</v>
      </c>
      <c r="F17" s="48" t="str">
        <f t="shared" si="0"/>
        <v>Do not reject  normality</v>
      </c>
      <c r="G17" s="48" t="str">
        <f t="shared" si="0"/>
        <v>Do not reject  normality</v>
      </c>
    </row>
    <row r="18" spans="1:23" x14ac:dyDescent="0.25">
      <c r="A18" s="57"/>
      <c r="B18" s="58"/>
      <c r="C18" s="58"/>
      <c r="D18" s="58"/>
      <c r="E18" s="58"/>
      <c r="F18" s="58"/>
      <c r="G18" s="58"/>
    </row>
    <row r="19" spans="1:23" ht="18.75" x14ac:dyDescent="0.25">
      <c r="A19" s="83" t="s">
        <v>177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</row>
    <row r="20" spans="1:23" ht="15" customHeight="1" x14ac:dyDescent="0.25">
      <c r="A20" s="78" t="s">
        <v>163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</row>
    <row r="21" spans="1:23" x14ac:dyDescent="0.25">
      <c r="A21" s="50" t="s">
        <v>24</v>
      </c>
      <c r="B21" s="51" t="s">
        <v>1</v>
      </c>
      <c r="C21" s="51" t="s">
        <v>4</v>
      </c>
      <c r="D21" s="51" t="s">
        <v>7</v>
      </c>
      <c r="E21" s="51" t="s">
        <v>9</v>
      </c>
      <c r="F21" s="51" t="s">
        <v>10</v>
      </c>
      <c r="G21" s="51" t="s">
        <v>11</v>
      </c>
      <c r="J21" s="50" t="s">
        <v>150</v>
      </c>
      <c r="L21" s="52" t="s">
        <v>164</v>
      </c>
      <c r="M21" s="53"/>
      <c r="N21" s="52" t="s">
        <v>165</v>
      </c>
      <c r="O21" s="53"/>
      <c r="P21" s="52" t="s">
        <v>166</v>
      </c>
      <c r="Q21" s="53"/>
      <c r="R21" s="52" t="s">
        <v>167</v>
      </c>
      <c r="S21" s="53"/>
      <c r="T21" s="52" t="s">
        <v>168</v>
      </c>
      <c r="U21" s="53"/>
      <c r="V21" s="52" t="s">
        <v>169</v>
      </c>
      <c r="W21" s="53"/>
    </row>
    <row r="22" spans="1:23" x14ac:dyDescent="0.25">
      <c r="A22" s="31" t="s">
        <v>142</v>
      </c>
      <c r="B22" s="31">
        <v>618.23878627968338</v>
      </c>
      <c r="C22" s="31">
        <v>9.0041935483871001</v>
      </c>
      <c r="D22" s="31">
        <v>272.75725593667545</v>
      </c>
      <c r="E22" s="31">
        <v>265.17150395778367</v>
      </c>
      <c r="F22" s="31">
        <v>71.569920844327171</v>
      </c>
      <c r="G22" s="31">
        <v>90.011025483870995</v>
      </c>
      <c r="J22" s="31">
        <v>0.62329999999999997</v>
      </c>
      <c r="L22" s="31" t="s">
        <v>151</v>
      </c>
      <c r="M22" s="31">
        <f>(SMALL($B$22:$B$28,7)-SMALL($B$22:$B$28,1))</f>
        <v>3473.0890409121839</v>
      </c>
      <c r="N22" s="31" t="s">
        <v>151</v>
      </c>
      <c r="O22" s="31">
        <f>(SMALL($C$22:$C$28,7)-SMALL($C$22:$C$28,1))</f>
        <v>7.8040207406819126</v>
      </c>
      <c r="P22" s="31" t="s">
        <v>151</v>
      </c>
      <c r="Q22" s="31">
        <f>(SMALL($D$22:$D$28,7)-SMALL($D$22:$D$28,1))</f>
        <v>1704.8475725258404</v>
      </c>
      <c r="R22" s="31" t="s">
        <v>151</v>
      </c>
      <c r="S22" s="31">
        <f>(SMALL($E$22:$E$28,7)-SMALL($E$22:$E$28,1))</f>
        <v>1329.9682673255704</v>
      </c>
      <c r="T22" s="31" t="s">
        <v>151</v>
      </c>
      <c r="U22" s="31">
        <f>(SMALL($F$22:$F$28,7)-SMALL($F$22:$F$28,1))</f>
        <v>380.62194700827763</v>
      </c>
      <c r="V22" s="31" t="s">
        <v>151</v>
      </c>
      <c r="W22" s="31">
        <f>(SMALL($G$22:$G$28,7)-SMALL($G$22:$G$28,1))</f>
        <v>220.24669267524351</v>
      </c>
    </row>
    <row r="23" spans="1:23" x14ac:dyDescent="0.25">
      <c r="A23" s="31" t="s">
        <v>143</v>
      </c>
      <c r="B23" s="31">
        <v>1148.8709677419354</v>
      </c>
      <c r="C23" s="31">
        <v>6.1741935483871</v>
      </c>
      <c r="D23" s="31">
        <v>536.61290322580646</v>
      </c>
      <c r="E23" s="31">
        <v>469.35483870967744</v>
      </c>
      <c r="F23" s="31">
        <v>132.41935483870967</v>
      </c>
      <c r="G23" s="31">
        <v>87.741935483870975</v>
      </c>
      <c r="J23" s="31">
        <v>0.30309999999999998</v>
      </c>
      <c r="L23" s="31" t="s">
        <v>152</v>
      </c>
      <c r="M23" s="31">
        <f>(SMALL($B$22:$B$28,6)-SMALL($B$22:$B$28,2))</f>
        <v>2837.6235201289551</v>
      </c>
      <c r="N23" s="31" t="s">
        <v>152</v>
      </c>
      <c r="O23" s="31">
        <f>(SMALL($C$22:$C$28,6)-SMALL($C$22:$C$28,2))</f>
        <v>5.8544150341876708</v>
      </c>
      <c r="P23" s="31" t="s">
        <v>152</v>
      </c>
      <c r="Q23" s="31">
        <f>(SMALL($D$22:$D$28,6)-SMALL($D$22:$D$28,2))</f>
        <v>1417.1528313962938</v>
      </c>
      <c r="R23" s="31" t="s">
        <v>152</v>
      </c>
      <c r="S23" s="31">
        <f>(SMALL($E$22:$E$28,6)-SMALL($E$22:$E$28,2))</f>
        <v>1080.6991120773732</v>
      </c>
      <c r="T23" s="31" t="s">
        <v>152</v>
      </c>
      <c r="U23" s="31">
        <f>(SMALL($F$22:$F$28,6)-SMALL($F$22:$F$28,2))</f>
        <v>316.6940967706978</v>
      </c>
      <c r="V23" s="31" t="s">
        <v>152</v>
      </c>
      <c r="W23" s="31">
        <f>(SMALL($G$22:$G$28,6)-SMALL($G$22:$G$28,2))</f>
        <v>174.25431964466901</v>
      </c>
    </row>
    <row r="24" spans="1:23" x14ac:dyDescent="0.25">
      <c r="A24" s="31" t="s">
        <v>144</v>
      </c>
      <c r="B24" s="31">
        <v>986.51315789473699</v>
      </c>
      <c r="C24" s="31">
        <v>6.4144736842105265</v>
      </c>
      <c r="D24" s="31">
        <v>457.73026315789474</v>
      </c>
      <c r="E24" s="31">
        <v>421.38157894736844</v>
      </c>
      <c r="F24" s="31">
        <v>115.95394736842105</v>
      </c>
      <c r="G24" s="31">
        <v>80.098684210526315</v>
      </c>
      <c r="J24" s="31">
        <v>0.1401</v>
      </c>
      <c r="L24" s="31" t="s">
        <v>153</v>
      </c>
      <c r="M24" s="31">
        <f>(SMALL($B$22:$B$28,5)-SMALL($B$22:$B$28,3))</f>
        <v>239.04303921777932</v>
      </c>
      <c r="N24" s="31" t="s">
        <v>153</v>
      </c>
      <c r="O24" s="31">
        <f>(SMALL($C$22:$C$28,5)-SMALL($C$22:$C$28,3))</f>
        <v>2.7169665464016601</v>
      </c>
      <c r="P24" s="31" t="s">
        <v>153</v>
      </c>
      <c r="Q24" s="31">
        <f>(SMALL($D$22:$D$28,5)-SMALL($D$22:$D$28,3))</f>
        <v>114.21052069767944</v>
      </c>
      <c r="R24" s="31" t="s">
        <v>153</v>
      </c>
      <c r="S24" s="31">
        <f>(SMALL($E$22:$E$28,5)-SMALL($E$22:$E$28,3))</f>
        <v>77.726777822847566</v>
      </c>
      <c r="T24" s="31" t="s">
        <v>153</v>
      </c>
      <c r="U24" s="31">
        <f>(SMALL($F$22:$F$28,5)-SMALL($F$22:$F$28,3))</f>
        <v>25.536495804957184</v>
      </c>
      <c r="V24" s="31" t="s">
        <v>153</v>
      </c>
      <c r="W24" s="31">
        <f>(SMALL($G$22:$G$28,5)-SMALL($G$22:$G$28,3))</f>
        <v>9.9123412733446798</v>
      </c>
    </row>
    <row r="25" spans="1:23" x14ac:dyDescent="0.25">
      <c r="A25" s="31" t="s">
        <v>145</v>
      </c>
      <c r="B25" s="31">
        <v>742.51302083333348</v>
      </c>
      <c r="C25" s="31">
        <v>5.6966145833333348</v>
      </c>
      <c r="D25" s="31">
        <v>334.47265625000006</v>
      </c>
      <c r="E25" s="31">
        <v>317.38281250000006</v>
      </c>
      <c r="F25" s="31">
        <v>87.239583333333343</v>
      </c>
      <c r="G25" s="31">
        <v>61.360677083333343</v>
      </c>
    </row>
    <row r="26" spans="1:23" x14ac:dyDescent="0.25">
      <c r="A26" s="31" t="s">
        <v>146</v>
      </c>
      <c r="B26" s="31">
        <v>4091.3278271918675</v>
      </c>
      <c r="C26" s="31">
        <v>13.500635324015247</v>
      </c>
      <c r="D26" s="31">
        <v>1977.6048284625158</v>
      </c>
      <c r="E26" s="31">
        <v>1595.1397712833541</v>
      </c>
      <c r="F26" s="31">
        <v>452.19186785260479</v>
      </c>
      <c r="G26" s="31">
        <v>281.60736975857685</v>
      </c>
      <c r="J26" s="49" t="s">
        <v>154</v>
      </c>
    </row>
    <row r="27" spans="1:23" x14ac:dyDescent="0.25">
      <c r="A27" s="31" t="s">
        <v>147</v>
      </c>
      <c r="B27" s="31">
        <v>3580.1365409622886</v>
      </c>
      <c r="C27" s="31">
        <v>12.028608582574771</v>
      </c>
      <c r="D27" s="31">
        <v>1751.6254876462938</v>
      </c>
      <c r="E27" s="31">
        <v>1398.0819245773732</v>
      </c>
      <c r="F27" s="31">
        <v>403.93368010403117</v>
      </c>
      <c r="G27" s="31">
        <v>248.2119635890767</v>
      </c>
      <c r="J27" s="31">
        <v>0.80300000000000005</v>
      </c>
    </row>
    <row r="28" spans="1:23" x14ac:dyDescent="0.25">
      <c r="A28" s="31" t="s">
        <v>148</v>
      </c>
      <c r="B28" s="31">
        <v>909.82792852415605</v>
      </c>
      <c r="C28" s="31">
        <v>6.2872270019854399</v>
      </c>
      <c r="D28" s="31">
        <v>422.40238252812702</v>
      </c>
      <c r="E28" s="31">
        <v>391.62806088682987</v>
      </c>
      <c r="F28" s="31">
        <v>106.88285903375248</v>
      </c>
      <c r="G28" s="31">
        <v>73.957643944407678</v>
      </c>
    </row>
    <row r="30" spans="1:23" x14ac:dyDescent="0.25">
      <c r="A30" s="46" t="s">
        <v>155</v>
      </c>
      <c r="B30" s="31">
        <f>AVERAGE($B$22:$B$28)</f>
        <v>1725.346889918286</v>
      </c>
      <c r="C30" s="31">
        <f>AVERAGE($C$22:$C$28)</f>
        <v>8.4437066104133596</v>
      </c>
      <c r="D30" s="31">
        <f>AVERAGE($D$22:$D$28)</f>
        <v>821.88653960104489</v>
      </c>
      <c r="E30" s="31">
        <f>AVERAGE($E$22:$E$28)</f>
        <v>694.02007012319814</v>
      </c>
      <c r="F30" s="31">
        <f>AVERAGE($F$22:$F$28)</f>
        <v>195.74160191073997</v>
      </c>
      <c r="G30" s="31">
        <f>AVERAGE($G$22:$G$28)</f>
        <v>131.85561422195184</v>
      </c>
    </row>
    <row r="31" spans="1:23" x14ac:dyDescent="0.25">
      <c r="A31" s="46" t="s">
        <v>156</v>
      </c>
      <c r="B31" s="31" cm="1">
        <f t="array" ref="B31">SUMPRODUCT(($B$22:$B$28-B30)^2)</f>
        <v>12773032.161342949</v>
      </c>
      <c r="C31" s="31" cm="1">
        <f t="array" ref="C31">SUMPRODUCT(($C$22:$C$28-C30)^2)</f>
        <v>60.203590486402788</v>
      </c>
      <c r="D31" s="31" cm="1">
        <f t="array" ref="D31">SUMPRODUCT(($D$22:$D$28-D30)^2)</f>
        <v>3112792.9716182132</v>
      </c>
      <c r="E31" s="31" cm="1">
        <f t="array" ref="E31">SUMPRODUCT(($E$22:$E$28-E30)^2)</f>
        <v>1849733.6675752075</v>
      </c>
      <c r="F31" s="31" cm="1">
        <f t="array" ref="F31">SUMPRODUCT(($F$22:$F$28-F30)^2)</f>
        <v>154573.62771561975</v>
      </c>
      <c r="G31" s="31" cm="1">
        <f t="array" ref="G31">SUMPRODUCT(($G$22:$G$28-G30)^2)</f>
        <v>50661.86551145601</v>
      </c>
    </row>
    <row r="32" spans="1:23" x14ac:dyDescent="0.25">
      <c r="A32" s="46" t="s">
        <v>157</v>
      </c>
      <c r="B32" s="31">
        <f>SUMPRODUCT($J$22:$J$24,M22:M24)</f>
        <v>3058.3500179460607</v>
      </c>
      <c r="C32" s="31">
        <f>SUMPRODUCT($J$22:$J$24,O22:O24)</f>
        <v>7.0193663376801911</v>
      </c>
      <c r="D32" s="31">
        <f>SUMPRODUCT($J$22:$J$24,Q22:Q24)</f>
        <v>1508.171409101318</v>
      </c>
      <c r="E32" s="31">
        <f>SUMPRODUCT($J$22:$J$24,S22:S24)</f>
        <v>1167.4186434676608</v>
      </c>
      <c r="F32" s="31">
        <f>SUMPRODUCT($J$22:$J$24,U22:U24)</f>
        <v>336.8093033637324</v>
      </c>
      <c r="G32" s="31">
        <f>SUMPRODUCT($J$22:$J$24,W22:W24)</f>
        <v>191.48496684117404</v>
      </c>
    </row>
    <row r="33" spans="1:23" x14ac:dyDescent="0.25">
      <c r="A33" s="46" t="s">
        <v>158</v>
      </c>
      <c r="B33" s="31">
        <f>(B32^2)/B31</f>
        <v>0.73228538957090106</v>
      </c>
      <c r="C33" s="31">
        <f>(C32^2)/C31</f>
        <v>0.81841470557617291</v>
      </c>
      <c r="D33" s="31">
        <f>(D32^2)/D31</f>
        <v>0.73072029523640103</v>
      </c>
      <c r="E33" s="31">
        <f>(E32^2)/E31</f>
        <v>0.73679055152974404</v>
      </c>
      <c r="F33" s="31">
        <f>(F32^2)/F31</f>
        <v>0.73389302243114463</v>
      </c>
      <c r="G33" s="31">
        <f t="shared" ref="C33:G33" si="1">(G32^2)/G31</f>
        <v>0.72374935577281974</v>
      </c>
    </row>
    <row r="34" spans="1:23" x14ac:dyDescent="0.25">
      <c r="A34" s="47" t="s">
        <v>159</v>
      </c>
      <c r="B34" s="48" t="str">
        <f>IF(B33&lt;$J$10,"Reject normality","Do not reject  normality")</f>
        <v>Reject normality</v>
      </c>
      <c r="C34" s="48" t="str">
        <f t="shared" ref="C34" si="2">IF(C33&lt;$J$10,"Reject normality","Do not reject  normality")</f>
        <v>Do not reject  normality</v>
      </c>
      <c r="D34" s="48" t="str">
        <f t="shared" ref="D34" si="3">IF(D33&lt;$J$10,"Reject normality","Do not reject  normality")</f>
        <v>Reject normality</v>
      </c>
      <c r="E34" s="48" t="str">
        <f t="shared" ref="E34" si="4">IF(E33&lt;$J$10,"Reject normality","Do not reject  normality")</f>
        <v>Reject normality</v>
      </c>
      <c r="F34" s="48" t="str">
        <f t="shared" ref="F34" si="5">IF(F33&lt;$J$10,"Reject normality","Do not reject  normality")</f>
        <v>Reject normality</v>
      </c>
      <c r="G34" s="48" t="str">
        <f t="shared" ref="G34" si="6">IF(G33&lt;$J$10,"Reject normality","Do not reject  normality")</f>
        <v>Reject normality</v>
      </c>
    </row>
    <row r="35" spans="1:23" x14ac:dyDescent="0.25">
      <c r="A35" s="57"/>
      <c r="B35" s="58"/>
      <c r="C35" s="58"/>
      <c r="D35" s="58"/>
      <c r="E35" s="58"/>
      <c r="F35" s="58"/>
      <c r="G35" s="58"/>
    </row>
    <row r="37" spans="1:23" ht="18.75" x14ac:dyDescent="0.25">
      <c r="A37" s="81" t="s">
        <v>161</v>
      </c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</row>
    <row r="38" spans="1:23" ht="15" customHeight="1" x14ac:dyDescent="0.25">
      <c r="A38" s="78" t="s">
        <v>163</v>
      </c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  <row r="39" spans="1:23" x14ac:dyDescent="0.25">
      <c r="A39" s="51" t="s">
        <v>24</v>
      </c>
      <c r="B39" s="51" t="s">
        <v>1</v>
      </c>
      <c r="C39" s="51" t="s">
        <v>4</v>
      </c>
      <c r="D39" s="51" t="s">
        <v>7</v>
      </c>
      <c r="E39" s="51" t="s">
        <v>9</v>
      </c>
      <c r="F39" s="51" t="s">
        <v>10</v>
      </c>
      <c r="G39" s="51" t="s">
        <v>11</v>
      </c>
      <c r="J39" s="50" t="s">
        <v>150</v>
      </c>
      <c r="L39" s="52" t="s">
        <v>164</v>
      </c>
      <c r="M39" s="53"/>
      <c r="N39" s="52" t="s">
        <v>165</v>
      </c>
      <c r="O39" s="53"/>
      <c r="P39" s="52" t="s">
        <v>166</v>
      </c>
      <c r="Q39" s="53"/>
      <c r="R39" s="52" t="s">
        <v>167</v>
      </c>
      <c r="S39" s="53"/>
      <c r="T39" s="52" t="s">
        <v>168</v>
      </c>
      <c r="U39" s="53"/>
      <c r="V39" s="52" t="s">
        <v>169</v>
      </c>
      <c r="W39" s="53"/>
    </row>
    <row r="40" spans="1:23" x14ac:dyDescent="0.25">
      <c r="A40" s="31" t="s">
        <v>142</v>
      </c>
      <c r="B40" s="31">
        <v>5988.7033398821213</v>
      </c>
      <c r="C40" s="31">
        <v>20.874263261296662</v>
      </c>
      <c r="D40" s="31">
        <v>2953.3398821218075</v>
      </c>
      <c r="E40" s="31">
        <v>2473.2318271119843</v>
      </c>
      <c r="F40" s="31">
        <v>675.09823182711204</v>
      </c>
      <c r="G40" s="31">
        <v>428.53634577603145</v>
      </c>
      <c r="J40" s="31">
        <v>0.62329999999999997</v>
      </c>
      <c r="L40" s="31" t="s">
        <v>151</v>
      </c>
      <c r="M40" s="31">
        <f>(SMALL($B$40:$B$46,7)-SMALL($B$40:$B$46,1))</f>
        <v>876.77638316436787</v>
      </c>
      <c r="N40" s="31" t="s">
        <v>151</v>
      </c>
      <c r="O40" s="31">
        <f>(SMALL($C$40:$C$46,7)-SMALL($C$40:$C$46,1))</f>
        <v>2.6173292213937458</v>
      </c>
      <c r="P40" s="31" t="s">
        <v>151</v>
      </c>
      <c r="Q40" s="31">
        <f>(SMALL($D$40:$D$46,7)-SMALL($D$40:$D$46,1))</f>
        <v>466.04686367443401</v>
      </c>
      <c r="R40" s="31" t="s">
        <v>151</v>
      </c>
      <c r="S40" s="31">
        <f>(SMALL($E$40:$E$46,7)-SMALL($E$40:$E$46,1))</f>
        <v>315.34384054380189</v>
      </c>
      <c r="T40" s="31" t="s">
        <v>151</v>
      </c>
      <c r="U40" s="31">
        <f>(SMALL($F$40:$F$46,7)-SMALL($F$40:$F$46,1))</f>
        <v>90.279214584817055</v>
      </c>
      <c r="V40" s="31" t="s">
        <v>151</v>
      </c>
      <c r="W40" s="31">
        <f>(SMALL($G$40:$G$46,7)-SMALL($G$40:$G$46,1))</f>
        <v>57.863258576095234</v>
      </c>
    </row>
    <row r="41" spans="1:23" x14ac:dyDescent="0.25">
      <c r="A41" s="31" t="s">
        <v>143</v>
      </c>
      <c r="B41" s="31">
        <v>6226.7326732673264</v>
      </c>
      <c r="C41" s="31">
        <v>21.287128712871283</v>
      </c>
      <c r="D41" s="31">
        <v>3109.158415841584</v>
      </c>
      <c r="E41" s="31">
        <v>2527.9702970297026</v>
      </c>
      <c r="F41" s="31">
        <v>695.29702970297035</v>
      </c>
      <c r="G41" s="31">
        <v>436.38613861386136</v>
      </c>
      <c r="J41" s="31">
        <v>0.30309999999999998</v>
      </c>
      <c r="L41" s="31" t="s">
        <v>152</v>
      </c>
      <c r="M41" s="31">
        <f>(SMALL($B$40:$B$46,6)-SMALL($B$40:$B$46,2))</f>
        <v>734.53176877038641</v>
      </c>
      <c r="N41" s="31" t="s">
        <v>152</v>
      </c>
      <c r="O41" s="31">
        <f>(SMALL($C$40:$C$46,6)-SMALL($C$40:$C$46,2))</f>
        <v>1.6040926432898388</v>
      </c>
      <c r="P41" s="31" t="s">
        <v>152</v>
      </c>
      <c r="Q41" s="31">
        <f>(SMALL($D$40:$D$46,6)-SMALL($D$40:$D$46,2))</f>
        <v>323.38211898590362</v>
      </c>
      <c r="R41" s="31" t="s">
        <v>152</v>
      </c>
      <c r="S41" s="31">
        <f>(SMALL($E$40:$E$46,6)-SMALL($E$40:$E$46,2))</f>
        <v>262.92375349487384</v>
      </c>
      <c r="T41" s="31" t="s">
        <v>152</v>
      </c>
      <c r="U41" s="31">
        <f>(SMALL($F$40:$F$46,6)-SMALL($F$40:$F$46,2))</f>
        <v>83.158498701780445</v>
      </c>
      <c r="V41" s="31" t="s">
        <v>152</v>
      </c>
      <c r="W41" s="31">
        <f>(SMALL($G$40:$G$46,6)-SMALL($G$40:$G$46,2))</f>
        <v>46.335524303937518</v>
      </c>
    </row>
    <row r="42" spans="1:23" x14ac:dyDescent="0.25">
      <c r="A42" s="31" t="s">
        <v>144</v>
      </c>
      <c r="B42" s="31">
        <v>6483.201581027668</v>
      </c>
      <c r="C42" s="31">
        <v>21.492094861660078</v>
      </c>
      <c r="D42" s="31">
        <v>3231.9664031620555</v>
      </c>
      <c r="E42" s="31">
        <v>2597.826086956522</v>
      </c>
      <c r="F42" s="31">
        <v>723.32015810276687</v>
      </c>
      <c r="G42" s="31">
        <v>445.40513833992094</v>
      </c>
      <c r="J42" s="31">
        <v>0.1401</v>
      </c>
      <c r="L42" s="31" t="s">
        <v>153</v>
      </c>
      <c r="M42" s="31">
        <f>(SMALL($B$40:$B$46,5)-SMALL($B$40:$B$46,3))</f>
        <v>256.46890776034161</v>
      </c>
      <c r="N42" s="31" t="s">
        <v>153</v>
      </c>
      <c r="O42" s="31">
        <f>(SMALL($C$40:$C$46,5)-SMALL($C$40:$C$46,3))</f>
        <v>0.54800376995501665</v>
      </c>
      <c r="P42" s="31" t="s">
        <v>153</v>
      </c>
      <c r="Q42" s="31">
        <f>(SMALL($D$40:$D$46,5)-SMALL($D$40:$D$46,3))</f>
        <v>122.80798732047151</v>
      </c>
      <c r="R42" s="31" t="s">
        <v>153</v>
      </c>
      <c r="S42" s="31">
        <f>(SMALL($E$40:$E$46,5)-SMALL($E$40:$E$46,3))</f>
        <v>120.95021327451741</v>
      </c>
      <c r="T42" s="31" t="s">
        <v>153</v>
      </c>
      <c r="U42" s="31">
        <f>(SMALL($F$40:$F$46,5)-SMALL($F$40:$F$46,3))</f>
        <v>28.023128399796519</v>
      </c>
      <c r="V42" s="31" t="s">
        <v>153</v>
      </c>
      <c r="W42" s="31">
        <f>(SMALL($G$40:$G$46,5)-SMALL($G$40:$G$46,3))</f>
        <v>18.47156501714943</v>
      </c>
    </row>
    <row r="43" spans="1:23" x14ac:dyDescent="0.25">
      <c r="A43" s="31" t="s">
        <v>145</v>
      </c>
      <c r="B43" s="31">
        <v>6466.8792934249268</v>
      </c>
      <c r="C43" s="31">
        <v>21.8351324828263</v>
      </c>
      <c r="D43" s="31">
        <v>3214.9165848871439</v>
      </c>
      <c r="E43" s="31">
        <v>2648.92051030422</v>
      </c>
      <c r="F43" s="31">
        <v>721.78606476938171</v>
      </c>
      <c r="G43" s="31">
        <v>454.85770363101079</v>
      </c>
    </row>
    <row r="44" spans="1:23" x14ac:dyDescent="0.25">
      <c r="A44" s="31" t="s">
        <v>146</v>
      </c>
      <c r="B44" s="31">
        <v>6843.6626281453864</v>
      </c>
      <c r="C44" s="31">
        <v>22.600186393289839</v>
      </c>
      <c r="D44" s="31">
        <v>3369.5246971109036</v>
      </c>
      <c r="E44" s="31">
        <v>2770.7362534948738</v>
      </c>
      <c r="F44" s="31">
        <v>765.3774464119291</v>
      </c>
      <c r="G44" s="31">
        <v>480.66169617893752</v>
      </c>
      <c r="J44" s="49" t="s">
        <v>154</v>
      </c>
    </row>
    <row r="45" spans="1:23" x14ac:dyDescent="0.25">
      <c r="A45" s="31" t="s">
        <v>147</v>
      </c>
      <c r="B45" s="31">
        <v>6109.130859375</v>
      </c>
      <c r="C45" s="31">
        <v>20.99609375</v>
      </c>
      <c r="D45" s="31">
        <v>3046.142578125</v>
      </c>
      <c r="E45" s="31">
        <v>2507.8125</v>
      </c>
      <c r="F45" s="31">
        <v>678.7109375</v>
      </c>
      <c r="G45" s="31">
        <v>434.326171875</v>
      </c>
      <c r="J45" s="31">
        <v>0.80300000000000005</v>
      </c>
    </row>
    <row r="46" spans="1:23" x14ac:dyDescent="0.25">
      <c r="A46" s="31" t="s">
        <v>148</v>
      </c>
      <c r="B46" s="31">
        <v>6865.4797230464892</v>
      </c>
      <c r="C46" s="31">
        <v>23.491592482690407</v>
      </c>
      <c r="D46" s="31">
        <v>3419.3867457962415</v>
      </c>
      <c r="E46" s="31">
        <v>2788.5756676557862</v>
      </c>
      <c r="F46" s="31">
        <v>761.86943620178045</v>
      </c>
      <c r="G46" s="31">
        <v>486.39960435212669</v>
      </c>
    </row>
    <row r="48" spans="1:23" x14ac:dyDescent="0.25">
      <c r="A48" s="46" t="s">
        <v>155</v>
      </c>
      <c r="B48" s="31">
        <f>AVERAGE($B$40:$B$46)</f>
        <v>6426.2557283098449</v>
      </c>
      <c r="C48" s="31">
        <f>AVERAGE($C$40:$C$46)</f>
        <v>21.796641706376366</v>
      </c>
      <c r="D48" s="31">
        <f>AVERAGE($D$40:$D$46)</f>
        <v>3192.0621867206764</v>
      </c>
      <c r="E48" s="31">
        <f>AVERAGE($E$40:$E$46)</f>
        <v>2616.4390203647267</v>
      </c>
      <c r="F48" s="31">
        <f>AVERAGE($F$40:$F$46)</f>
        <v>717.35132921656293</v>
      </c>
      <c r="G48" s="31">
        <f>AVERAGE($G$40:$G$46)</f>
        <v>452.36754268098412</v>
      </c>
    </row>
    <row r="49" spans="1:23" x14ac:dyDescent="0.25">
      <c r="A49" s="46" t="s">
        <v>156</v>
      </c>
      <c r="B49" s="31" cm="1">
        <f t="array" ref="B49">SUMPRODUCT(($B$40:$B$46-B48)^2)</f>
        <v>703869.06637640076</v>
      </c>
      <c r="C49" s="31" cm="1">
        <f t="array" ref="C49">SUMPRODUCT(($C$40:$C$46-C48)^2)</f>
        <v>5.3640350354493478</v>
      </c>
      <c r="D49" s="31" cm="1">
        <f t="array" ref="D49">SUMPRODUCT(($D$40:$D$46-D48)^2)</f>
        <v>170437.97386993706</v>
      </c>
      <c r="E49" s="31" cm="1">
        <f t="array" ref="E49">SUMPRODUCT(($E$40:$E$46-E48)^2)</f>
        <v>94974.886105379002</v>
      </c>
      <c r="F49" s="31" cm="1">
        <f t="array" ref="F49">SUMPRODUCT(($F$40:$F$46-F48)^2)</f>
        <v>8108.4598181536312</v>
      </c>
      <c r="G49" s="31" cm="1">
        <f t="array" ref="G49">SUMPRODUCT(($G$40:$G$46-G48)^2)</f>
        <v>3162.2386019579822</v>
      </c>
    </row>
    <row r="50" spans="1:23" x14ac:dyDescent="0.25">
      <c r="A50" s="46" t="s">
        <v>157</v>
      </c>
      <c r="B50" s="31">
        <f>SUMPRODUCT($J$40:$J$42,M40:M42)</f>
        <v>805.06259271787849</v>
      </c>
      <c r="C50" s="31">
        <f>SUMPRODUCT($J$40:$J$42,O40:O42)</f>
        <v>2.1943571120465695</v>
      </c>
      <c r="D50" s="31">
        <f>SUMPRODUCT($J$40:$J$42,Q40:Q42)</f>
        <v>405.70952941650012</v>
      </c>
      <c r="E50" s="31">
        <f>SUMPRODUCT($J$40:$J$42,S40:S42)</f>
        <v>293.19113037500784</v>
      </c>
      <c r="F50" s="31">
        <f>SUMPRODUCT($J$40:$J$42,U40:U42)</f>
        <v>85.402415696037622</v>
      </c>
      <c r="G50" s="31">
        <f>SUMPRODUCT($J$40:$J$42,W40:W42)</f>
        <v>52.698332745906256</v>
      </c>
    </row>
    <row r="51" spans="1:23" x14ac:dyDescent="0.25">
      <c r="A51" s="46" t="s">
        <v>158</v>
      </c>
      <c r="B51" s="31">
        <f>(B50^2)/B49</f>
        <v>0.92080446371973568</v>
      </c>
      <c r="C51" s="31">
        <f>(C50^2)/C49</f>
        <v>0.89768301350887592</v>
      </c>
      <c r="D51" s="31">
        <f>(D50^2)/D49</f>
        <v>0.96574852729102534</v>
      </c>
      <c r="E51" s="31">
        <f>(E50^2)/E49</f>
        <v>0.90509230866775803</v>
      </c>
      <c r="F51" s="31">
        <f>(F50^2)/F49</f>
        <v>0.89950160329950613</v>
      </c>
      <c r="G51" s="31">
        <f>(G50^2)/G49</f>
        <v>0.8782114899485236</v>
      </c>
    </row>
    <row r="52" spans="1:23" x14ac:dyDescent="0.25">
      <c r="A52" s="47" t="s">
        <v>159</v>
      </c>
      <c r="B52" s="48" t="str">
        <f>IF(B51&lt;$J$45,"Reject normality","Do not reject normality")</f>
        <v>Do not reject normality</v>
      </c>
      <c r="C52" s="48" t="str">
        <f t="shared" ref="C52:G52" si="7">IF(C51&lt;$J$45,"Reject normality","Do not reject normality")</f>
        <v>Do not reject normality</v>
      </c>
      <c r="D52" s="48" t="str">
        <f t="shared" si="7"/>
        <v>Do not reject normality</v>
      </c>
      <c r="E52" s="48" t="str">
        <f t="shared" si="7"/>
        <v>Do not reject normality</v>
      </c>
      <c r="F52" s="48" t="str">
        <f t="shared" si="7"/>
        <v>Do not reject normality</v>
      </c>
      <c r="G52" s="48" t="str">
        <f t="shared" si="7"/>
        <v>Do not reject normality</v>
      </c>
    </row>
    <row r="55" spans="1:23" ht="18.75" x14ac:dyDescent="0.25">
      <c r="A55" s="82" t="s">
        <v>162</v>
      </c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</row>
    <row r="56" spans="1:23" ht="15" customHeight="1" x14ac:dyDescent="0.25">
      <c r="A56" s="78" t="s">
        <v>163</v>
      </c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</row>
    <row r="57" spans="1:23" x14ac:dyDescent="0.25">
      <c r="A57" s="50" t="s">
        <v>24</v>
      </c>
      <c r="B57" s="51" t="s">
        <v>1</v>
      </c>
      <c r="C57" s="51" t="s">
        <v>4</v>
      </c>
      <c r="D57" s="51" t="s">
        <v>7</v>
      </c>
      <c r="E57" s="51" t="s">
        <v>9</v>
      </c>
      <c r="F57" s="51" t="s">
        <v>10</v>
      </c>
      <c r="G57" s="51" t="s">
        <v>11</v>
      </c>
      <c r="J57" s="50" t="s">
        <v>150</v>
      </c>
      <c r="L57" s="52" t="s">
        <v>164</v>
      </c>
      <c r="M57" s="53"/>
      <c r="N57" s="52" t="s">
        <v>165</v>
      </c>
      <c r="O57" s="53"/>
      <c r="P57" s="52" t="s">
        <v>166</v>
      </c>
      <c r="Q57" s="53"/>
      <c r="R57" s="52" t="s">
        <v>167</v>
      </c>
      <c r="S57" s="53"/>
      <c r="T57" s="52" t="s">
        <v>168</v>
      </c>
      <c r="U57" s="53"/>
      <c r="V57" s="52" t="s">
        <v>169</v>
      </c>
      <c r="W57" s="53"/>
    </row>
    <row r="58" spans="1:23" x14ac:dyDescent="0.25">
      <c r="A58" s="31" t="s">
        <v>142</v>
      </c>
      <c r="B58" s="31">
        <v>7167.3724083970019</v>
      </c>
      <c r="C58" s="31">
        <v>24.529404736584063</v>
      </c>
      <c r="D58" s="31">
        <v>3547.7895143400851</v>
      </c>
      <c r="E58" s="31">
        <v>2846.0092276080582</v>
      </c>
      <c r="F58" s="31">
        <v>813.95744253957605</v>
      </c>
      <c r="G58" s="31">
        <v>492.38292922460204</v>
      </c>
      <c r="J58" s="31">
        <v>0.62329999999999997</v>
      </c>
      <c r="L58" s="31" t="s">
        <v>151</v>
      </c>
      <c r="M58" s="31">
        <f>(SMALL($B$58:$B$64,7)-SMALL($B$58:$B$64,1))</f>
        <v>555.24032603534215</v>
      </c>
      <c r="N58" s="31" t="s">
        <v>151</v>
      </c>
      <c r="O58" s="31">
        <f>(SMALL($C$58:$C$64,7)-SMALL($C$58:$C$64,1))</f>
        <v>1.4566187769858558</v>
      </c>
      <c r="P58" s="31" t="s">
        <v>151</v>
      </c>
      <c r="Q58" s="31">
        <f>(SMALL($D$58:$D$64,7)-SMALL($D$58:$D$64,1))</f>
        <v>300.76809236379222</v>
      </c>
      <c r="R58" s="31" t="s">
        <v>151</v>
      </c>
      <c r="S58" s="31">
        <f>(SMALL($E$58:$E$64,7)-SMALL($E$58:$E$64,1))</f>
        <v>210.23354240246545</v>
      </c>
      <c r="T58" s="31" t="s">
        <v>151</v>
      </c>
      <c r="U58" s="31">
        <f>(SMALL($F$58:$F$64,7)-SMALL($F$58:$F$64,1))</f>
        <v>61.651814751417305</v>
      </c>
      <c r="V58" s="31" t="s">
        <v>151</v>
      </c>
      <c r="W58" s="31">
        <f>(SMALL($G$58:$G$64,7)-SMALL($G$58:$G$64,1))</f>
        <v>29.004244432488406</v>
      </c>
    </row>
    <row r="59" spans="1:23" x14ac:dyDescent="0.25">
      <c r="A59" s="31" t="s">
        <v>143</v>
      </c>
      <c r="B59" s="31">
        <v>7342.8718782397173</v>
      </c>
      <c r="C59" s="31">
        <v>24.294034336607833</v>
      </c>
      <c r="D59" s="31">
        <v>3669.2668289112326</v>
      </c>
      <c r="E59" s="31">
        <v>2911.5243293646554</v>
      </c>
      <c r="F59" s="31">
        <v>830.04617316743429</v>
      </c>
      <c r="G59" s="31">
        <v>502.07670962322851</v>
      </c>
      <c r="J59" s="31">
        <v>0.30309999999999998</v>
      </c>
      <c r="L59" s="31" t="s">
        <v>152</v>
      </c>
      <c r="M59" s="31">
        <f>(SMALL($B$58:$B$64,6)-SMALL($B$58:$B$64,2))</f>
        <v>393.9037215101971</v>
      </c>
      <c r="N59" s="31" t="s">
        <v>152</v>
      </c>
      <c r="O59" s="31">
        <f>(SMALL($C$58:$C$64,6)-SMALL($C$58:$C$64,2))</f>
        <v>0.90168199947282801</v>
      </c>
      <c r="P59" s="31" t="s">
        <v>152</v>
      </c>
      <c r="Q59" s="31">
        <f>(SMALL($D$58:$D$64,6)-SMALL($D$58:$D$64,2))</f>
        <v>272.51858696893714</v>
      </c>
      <c r="R59" s="31" t="s">
        <v>152</v>
      </c>
      <c r="S59" s="31">
        <f>(SMALL($E$58:$E$64,6)-SMALL($E$58:$E$64,2))</f>
        <v>122.72486754944293</v>
      </c>
      <c r="T59" s="31" t="s">
        <v>152</v>
      </c>
      <c r="U59" s="31">
        <f>(SMALL($F$58:$F$64,6)-SMALL($F$58:$F$64,2))</f>
        <v>50.106501065935845</v>
      </c>
      <c r="V59" s="31" t="s">
        <v>152</v>
      </c>
      <c r="W59" s="31">
        <f>(SMALL($G$58:$G$64,6)-SMALL($G$58:$G$64,2))</f>
        <v>18.832165139629467</v>
      </c>
    </row>
    <row r="60" spans="1:23" x14ac:dyDescent="0.25">
      <c r="A60" s="31" t="s">
        <v>144</v>
      </c>
      <c r="B60" s="31">
        <v>6884.2685594580644</v>
      </c>
      <c r="C60" s="31">
        <v>23.072785959598207</v>
      </c>
      <c r="D60" s="31">
        <v>3380.1631430811372</v>
      </c>
      <c r="E60" s="31">
        <v>2701.2907869621899</v>
      </c>
      <c r="F60" s="31">
        <v>772.93832964653984</v>
      </c>
      <c r="G60" s="31">
        <v>474.47113691276314</v>
      </c>
      <c r="J60" s="31">
        <v>0.1401</v>
      </c>
      <c r="L60" s="31" t="s">
        <v>153</v>
      </c>
      <c r="M60" s="31">
        <f>(SMALL($B$58:$B$64,5)-SMALL($B$58:$B$64,3))</f>
        <v>74.991515793146391</v>
      </c>
      <c r="N60" s="31" t="s">
        <v>153</v>
      </c>
      <c r="O60" s="31">
        <f>(SMALL($C$58:$C$64,5)-SMALL($C$58:$C$64,3))</f>
        <v>0.47736946128758717</v>
      </c>
      <c r="P60" s="31" t="s">
        <v>153</v>
      </c>
      <c r="Q60" s="31">
        <f>(SMALL($D$58:$D$64,5)-SMALL($D$58:$D$64,3))</f>
        <v>62.424318438460887</v>
      </c>
      <c r="R60" s="31" t="s">
        <v>153</v>
      </c>
      <c r="S60" s="31">
        <f>(SMALL($E$58:$E$64,5)-SMALL($E$58:$E$64,3))</f>
        <v>9.0000597741986894</v>
      </c>
      <c r="T60" s="31" t="s">
        <v>153</v>
      </c>
      <c r="U60" s="31">
        <f>(SMALL($F$58:$F$64,5)-SMALL($F$58:$F$64,3))</f>
        <v>2.0699380621108503</v>
      </c>
      <c r="V60" s="31" t="s">
        <v>153</v>
      </c>
      <c r="W60" s="31">
        <f>(SMALL($G$58:$G$64,5)-SMALL($G$58:$G$64,3))</f>
        <v>7.2485243517147637</v>
      </c>
    </row>
    <row r="61" spans="1:23" x14ac:dyDescent="0.25">
      <c r="A61" s="31" t="s">
        <v>145</v>
      </c>
      <c r="B61" s="31">
        <v>7278.1722809682615</v>
      </c>
      <c r="C61" s="31">
        <v>24.267396429533033</v>
      </c>
      <c r="D61" s="31">
        <v>3652.6817300500743</v>
      </c>
      <c r="E61" s="31">
        <v>2842.7939214981889</v>
      </c>
      <c r="F61" s="31">
        <v>823.04483071247569</v>
      </c>
      <c r="G61" s="31">
        <v>503.47538134525155</v>
      </c>
    </row>
    <row r="62" spans="1:23" x14ac:dyDescent="0.25">
      <c r="A62" s="31" t="s">
        <v>146</v>
      </c>
      <c r="B62" s="31">
        <v>7242.3639241901483</v>
      </c>
      <c r="C62" s="31">
        <v>23.790026968245446</v>
      </c>
      <c r="D62" s="31">
        <v>3610.213832778546</v>
      </c>
      <c r="E62" s="31">
        <v>2833.7938617239902</v>
      </c>
      <c r="F62" s="31">
        <v>811.95053081232504</v>
      </c>
      <c r="G62" s="31">
        <v>489.39484048962061</v>
      </c>
      <c r="J62" s="49" t="s">
        <v>154</v>
      </c>
    </row>
    <row r="63" spans="1:23" x14ac:dyDescent="0.25">
      <c r="A63" s="31" t="s">
        <v>147</v>
      </c>
      <c r="B63" s="31">
        <v>6787.6315522043751</v>
      </c>
      <c r="C63" s="31">
        <v>23.392352337135005</v>
      </c>
      <c r="D63" s="31">
        <v>3368.4987365474403</v>
      </c>
      <c r="E63" s="31">
        <v>2723.2843600586152</v>
      </c>
      <c r="F63" s="31">
        <v>768.39435841601698</v>
      </c>
      <c r="G63" s="31">
        <v>483.24454448359904</v>
      </c>
      <c r="J63" s="31">
        <v>0.80300000000000005</v>
      </c>
    </row>
    <row r="64" spans="1:23" x14ac:dyDescent="0.25">
      <c r="A64" s="31" t="s">
        <v>148</v>
      </c>
      <c r="B64" s="31">
        <v>7226.9955208490583</v>
      </c>
      <c r="C64" s="31">
        <v>24.249549202779217</v>
      </c>
      <c r="D64" s="31">
        <v>3552.4014936019425</v>
      </c>
      <c r="E64" s="31">
        <v>2836.8823275147424</v>
      </c>
      <c r="F64" s="31">
        <v>811.8875044774652</v>
      </c>
      <c r="G64" s="31">
        <v>496.64336484133537</v>
      </c>
    </row>
    <row r="66" spans="1:7" x14ac:dyDescent="0.25">
      <c r="A66" s="46" t="s">
        <v>155</v>
      </c>
      <c r="B66" s="31">
        <f>AVERAGE($B$58:$B$64)</f>
        <v>7132.8108749009471</v>
      </c>
      <c r="C66" s="31">
        <f>AVERAGE($C$58:$C$64)</f>
        <v>23.942221424354681</v>
      </c>
      <c r="D66" s="31">
        <f>AVERAGE($D$58:$D$64)</f>
        <v>3540.1450399014939</v>
      </c>
      <c r="E66" s="31">
        <f>AVERAGE($E$58:$E$64)</f>
        <v>2813.6541163900629</v>
      </c>
      <c r="F66" s="31">
        <f>AVERAGE($F$58:$F$64)</f>
        <v>804.60273853883325</v>
      </c>
      <c r="G66" s="31">
        <f>AVERAGE($G$58:$G$64)</f>
        <v>491.66984384577142</v>
      </c>
    </row>
    <row r="67" spans="1:7" x14ac:dyDescent="0.25">
      <c r="A67" s="46" t="s">
        <v>156</v>
      </c>
      <c r="B67" s="31" cm="1">
        <f t="array" ref="B67">SUMPRODUCT(($B$58:$B$64-B66)^2)</f>
        <v>268244.72861906321</v>
      </c>
      <c r="C67" s="31" cm="1">
        <f t="array" ref="C67">SUMPRODUCT(($C$58:$C$64-C66)^2)</f>
        <v>1.7501829076993056</v>
      </c>
      <c r="D67" s="31" cm="1">
        <f t="array" ref="D67">SUMPRODUCT(($D$58:$D$64-D66)^2)</f>
        <v>89511.898174024871</v>
      </c>
      <c r="E67" s="31" cm="1">
        <f t="array" ref="E67">SUMPRODUCT(($E$58:$E$64-E66)^2)</f>
        <v>33211.929845050559</v>
      </c>
      <c r="F67" s="31" cm="1">
        <f t="array" ref="F67">SUMPRODUCT(($F$58:$F$64-F66)^2)</f>
        <v>3495.7290640742749</v>
      </c>
      <c r="G67" s="31" cm="1">
        <f t="array" ref="G67">SUMPRODUCT(($G$58:$G$64-G66)^2)</f>
        <v>644.8748025926833</v>
      </c>
    </row>
    <row r="68" spans="1:7" x14ac:dyDescent="0.25">
      <c r="A68" s="46" t="s">
        <v>157</v>
      </c>
      <c r="B68" s="31">
        <f>SUMPRODUCT($J$58:$J$60,M58:M60)</f>
        <v>475.97982457018929</v>
      </c>
      <c r="C68" s="31">
        <f>SUMPRODUCT($J$58:$J$60,O58:O60)</f>
        <v>1.2480897592618891</v>
      </c>
      <c r="D68" s="31">
        <f>SUMPRODUCT($J$58:$J$60,Q58:Q60)</f>
        <v>278.81478269386491</v>
      </c>
      <c r="E68" s="31">
        <f>SUMPRODUCT($J$58:$J$60,S58:S60)</f>
        <v>169.4973827080581</v>
      </c>
      <c r="F68" s="31">
        <f>SUMPRODUCT($J$58:$J$60,U58:U60)</f>
        <v>53.904854930145291</v>
      </c>
      <c r="G68" s="31">
        <f>SUMPRODUCT($J$58:$J$60,W58:W60)</f>
        <v>24.801893070266953</v>
      </c>
    </row>
    <row r="69" spans="1:7" x14ac:dyDescent="0.25">
      <c r="A69" s="46" t="s">
        <v>158</v>
      </c>
      <c r="B69" s="31">
        <f>(B68^2)/B67</f>
        <v>0.84458991818476159</v>
      </c>
      <c r="C69" s="31">
        <f>(C68^2)/C67</f>
        <v>0.89003728714395014</v>
      </c>
      <c r="D69" s="31">
        <f>(D68^2)/D67</f>
        <v>0.86846201046360472</v>
      </c>
      <c r="E69" s="31">
        <f>(E68^2)/E67</f>
        <v>0.86503141729246236</v>
      </c>
      <c r="F69" s="31">
        <f>(F68^2)/F67</f>
        <v>0.83122385396005904</v>
      </c>
      <c r="G69" s="31">
        <f>(G68^2)/G67</f>
        <v>0.9538811214143339</v>
      </c>
    </row>
    <row r="70" spans="1:7" x14ac:dyDescent="0.25">
      <c r="A70" s="47" t="s">
        <v>159</v>
      </c>
      <c r="B70" s="48" t="str">
        <f>IF(B69&lt;$J$63,"Reject normality","Do not reject normality")</f>
        <v>Do not reject normality</v>
      </c>
      <c r="C70" s="48" t="str">
        <f t="shared" ref="C70:G70" si="8">IF(C69&lt;$J$63,"Reject normality","Do not reject normality")</f>
        <v>Do not reject normality</v>
      </c>
      <c r="D70" s="48" t="str">
        <f t="shared" si="8"/>
        <v>Do not reject normality</v>
      </c>
      <c r="E70" s="48" t="str">
        <f t="shared" si="8"/>
        <v>Do not reject normality</v>
      </c>
      <c r="F70" s="48" t="str">
        <f t="shared" si="8"/>
        <v>Do not reject normality</v>
      </c>
      <c r="G70" s="48" t="str">
        <f t="shared" si="8"/>
        <v>Do not reject normality</v>
      </c>
    </row>
  </sheetData>
  <mergeCells count="9">
    <mergeCell ref="A38:W38"/>
    <mergeCell ref="A56:W56"/>
    <mergeCell ref="A1:W1"/>
    <mergeCell ref="A2:W2"/>
    <mergeCell ref="A37:W37"/>
    <mergeCell ref="A55:W55"/>
    <mergeCell ref="A3:W3"/>
    <mergeCell ref="A19:W19"/>
    <mergeCell ref="A20:W2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39834-ED56-4AA6-8A48-EA702F66F834}">
  <dimension ref="A1:U221"/>
  <sheetViews>
    <sheetView tabSelected="1" workbookViewId="0">
      <selection activeCell="G215" sqref="G215"/>
    </sheetView>
  </sheetViews>
  <sheetFormatPr defaultColWidth="9.28515625" defaultRowHeight="15" x14ac:dyDescent="0.25"/>
  <cols>
    <col min="1" max="1" width="12.140625" bestFit="1" customWidth="1"/>
    <col min="2" max="4" width="7.5703125" bestFit="1" customWidth="1"/>
    <col min="6" max="6" width="19.140625" bestFit="1" customWidth="1"/>
    <col min="7" max="12" width="12" bestFit="1" customWidth="1"/>
    <col min="14" max="14" width="19.140625" bestFit="1" customWidth="1"/>
    <col min="15" max="20" width="12" bestFit="1" customWidth="1"/>
  </cols>
  <sheetData>
    <row r="1" spans="1:20" ht="18.75" x14ac:dyDescent="0.3">
      <c r="A1" s="86" t="s">
        <v>173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</row>
    <row r="2" spans="1:20" x14ac:dyDescent="0.25">
      <c r="A2" s="84" t="s">
        <v>100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</row>
    <row r="3" spans="1:20" x14ac:dyDescent="0.25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x14ac:dyDescent="0.25">
      <c r="B4" s="87" t="s">
        <v>101</v>
      </c>
      <c r="C4" s="87"/>
      <c r="D4" s="87"/>
      <c r="F4" s="88"/>
      <c r="G4" s="88"/>
      <c r="H4" s="88"/>
      <c r="I4" s="88"/>
      <c r="J4" s="88"/>
      <c r="K4" s="88"/>
      <c r="L4" s="88"/>
      <c r="N4" s="88"/>
      <c r="O4" s="88"/>
      <c r="P4" s="88"/>
      <c r="Q4" s="88"/>
      <c r="R4" s="88"/>
      <c r="S4" s="88"/>
      <c r="T4" s="88"/>
    </row>
    <row r="5" spans="1:20" x14ac:dyDescent="0.25">
      <c r="A5" s="23" t="s">
        <v>65</v>
      </c>
      <c r="B5" s="23" t="s">
        <v>67</v>
      </c>
      <c r="C5" s="23" t="s">
        <v>68</v>
      </c>
      <c r="D5" s="23" t="s">
        <v>69</v>
      </c>
      <c r="E5" s="22"/>
      <c r="F5" s="32"/>
      <c r="G5" s="32"/>
      <c r="H5" s="32"/>
      <c r="I5" s="32"/>
      <c r="J5" s="32"/>
      <c r="K5" s="32"/>
      <c r="L5" s="32"/>
      <c r="M5" s="22"/>
      <c r="N5" s="24"/>
      <c r="O5" s="24"/>
      <c r="P5" s="24"/>
      <c r="Q5" s="24"/>
      <c r="R5" s="24"/>
      <c r="S5" s="24"/>
      <c r="T5" s="24"/>
    </row>
    <row r="6" spans="1:20" x14ac:dyDescent="0.25">
      <c r="A6" s="31" t="s">
        <v>103</v>
      </c>
      <c r="B6" s="31">
        <v>3279.8965740142207</v>
      </c>
      <c r="C6" s="31">
        <v>2953.3398821218075</v>
      </c>
      <c r="D6" s="31">
        <v>3547.7895143400851</v>
      </c>
      <c r="E6" s="22"/>
      <c r="F6" s="2" t="s">
        <v>70</v>
      </c>
      <c r="G6" s="2"/>
      <c r="H6" s="2"/>
      <c r="I6" s="2"/>
      <c r="J6" s="2"/>
      <c r="K6" s="2"/>
      <c r="L6" s="2"/>
      <c r="M6" s="22"/>
      <c r="N6" s="26" t="s">
        <v>70</v>
      </c>
      <c r="O6" s="26"/>
      <c r="P6" s="26"/>
      <c r="Q6" s="26"/>
      <c r="R6" s="26"/>
      <c r="S6" s="26"/>
      <c r="T6" s="26"/>
    </row>
    <row r="7" spans="1:20" x14ac:dyDescent="0.25">
      <c r="A7" s="31" t="s">
        <v>104</v>
      </c>
      <c r="B7" s="31">
        <v>3174.72240365774</v>
      </c>
      <c r="C7" s="31">
        <v>3109.158415841584</v>
      </c>
      <c r="D7" s="31">
        <v>3669.2668289112326</v>
      </c>
      <c r="E7" s="22"/>
      <c r="F7" s="2"/>
      <c r="G7" s="2"/>
      <c r="H7" s="2"/>
      <c r="I7" s="2"/>
      <c r="J7" s="2"/>
      <c r="K7" s="2"/>
      <c r="L7" s="2"/>
      <c r="M7" s="22"/>
      <c r="N7" s="26"/>
      <c r="O7" s="26"/>
      <c r="P7" s="26"/>
      <c r="Q7" s="26"/>
      <c r="R7" s="26"/>
      <c r="S7" s="26"/>
      <c r="T7" s="26"/>
    </row>
    <row r="8" spans="1:20" ht="15.75" thickBot="1" x14ac:dyDescent="0.3">
      <c r="A8" s="31" t="s">
        <v>105</v>
      </c>
      <c r="B8" s="31">
        <v>3238.5113268608416</v>
      </c>
      <c r="C8" s="31">
        <v>3231.9664031620555</v>
      </c>
      <c r="D8" s="31">
        <v>3380.1631430811372</v>
      </c>
      <c r="E8" s="22"/>
      <c r="F8" s="2" t="s">
        <v>71</v>
      </c>
      <c r="G8" s="2"/>
      <c r="H8" s="2"/>
      <c r="I8" s="2"/>
      <c r="J8" s="2"/>
      <c r="K8" s="2"/>
      <c r="L8" s="2"/>
      <c r="M8" s="22"/>
      <c r="N8" s="26" t="s">
        <v>71</v>
      </c>
      <c r="O8" s="26"/>
      <c r="P8" s="26"/>
      <c r="Q8" s="26"/>
      <c r="R8" s="26"/>
      <c r="S8" s="26"/>
      <c r="T8" s="26"/>
    </row>
    <row r="9" spans="1:20" x14ac:dyDescent="0.25">
      <c r="A9" s="31" t="s">
        <v>106</v>
      </c>
      <c r="B9" s="31">
        <v>3233.2567301378858</v>
      </c>
      <c r="C9" s="31">
        <v>3214.9165848871439</v>
      </c>
      <c r="D9" s="31">
        <v>3652.6817300500743</v>
      </c>
      <c r="E9" s="22"/>
      <c r="F9" s="33" t="s">
        <v>72</v>
      </c>
      <c r="G9" s="33" t="s">
        <v>73</v>
      </c>
      <c r="H9" s="33" t="s">
        <v>74</v>
      </c>
      <c r="I9" s="33" t="s">
        <v>75</v>
      </c>
      <c r="J9" s="33" t="s">
        <v>76</v>
      </c>
      <c r="K9" s="2"/>
      <c r="L9" s="2"/>
      <c r="M9" s="22"/>
      <c r="N9" s="27" t="s">
        <v>72</v>
      </c>
      <c r="O9" s="27" t="s">
        <v>73</v>
      </c>
      <c r="P9" s="27" t="s">
        <v>74</v>
      </c>
      <c r="Q9" s="27" t="s">
        <v>75</v>
      </c>
      <c r="R9" s="27" t="s">
        <v>76</v>
      </c>
      <c r="S9" s="26"/>
      <c r="T9" s="26"/>
    </row>
    <row r="10" spans="1:20" x14ac:dyDescent="0.25">
      <c r="A10" s="31" t="s">
        <v>107</v>
      </c>
      <c r="B10" s="31">
        <v>3333.2247557003257</v>
      </c>
      <c r="C10" s="31">
        <v>3369.5246971109036</v>
      </c>
      <c r="D10" s="31">
        <v>3610.213832778546</v>
      </c>
      <c r="E10" s="22"/>
      <c r="F10" s="2" t="s">
        <v>77</v>
      </c>
      <c r="G10" s="2">
        <v>8</v>
      </c>
      <c r="H10" s="2">
        <v>3719.1505754633408</v>
      </c>
      <c r="I10" s="2">
        <v>464.8938219329176</v>
      </c>
      <c r="J10" s="2">
        <v>1270832.838509006</v>
      </c>
      <c r="K10" s="2"/>
      <c r="L10" s="2"/>
      <c r="M10" s="22"/>
      <c r="N10" s="26" t="s">
        <v>77</v>
      </c>
      <c r="O10" s="26">
        <v>7</v>
      </c>
      <c r="P10" s="26">
        <v>22769.3141366495</v>
      </c>
      <c r="Q10" s="26">
        <v>3252.7591623785002</v>
      </c>
      <c r="R10" s="26">
        <v>7399.637749486883</v>
      </c>
      <c r="S10" s="26"/>
      <c r="T10" s="26"/>
    </row>
    <row r="11" spans="1:20" x14ac:dyDescent="0.25">
      <c r="A11" s="31" t="s">
        <v>108</v>
      </c>
      <c r="B11" s="31">
        <v>3131.3504823151129</v>
      </c>
      <c r="C11" s="31">
        <v>3046.142578125</v>
      </c>
      <c r="D11" s="31">
        <v>3368.4987365474403</v>
      </c>
      <c r="E11" s="22"/>
      <c r="F11" s="2" t="s">
        <v>78</v>
      </c>
      <c r="G11" s="2">
        <v>8</v>
      </c>
      <c r="H11" s="2">
        <v>4127.1535548679531</v>
      </c>
      <c r="I11" s="2">
        <v>515.89419435849413</v>
      </c>
      <c r="J11" s="2">
        <v>1175789.202797075</v>
      </c>
      <c r="K11" s="2"/>
      <c r="L11" s="2"/>
      <c r="M11" s="22"/>
      <c r="N11" s="26" t="s">
        <v>78</v>
      </c>
      <c r="O11" s="26">
        <v>7</v>
      </c>
      <c r="P11" s="26">
        <v>22344.435307044736</v>
      </c>
      <c r="Q11" s="26">
        <v>3192.0621867206764</v>
      </c>
      <c r="R11" s="26">
        <v>28406.328978322843</v>
      </c>
      <c r="S11" s="26"/>
      <c r="T11" s="26"/>
    </row>
    <row r="12" spans="1:20" ht="15.75" thickBot="1" x14ac:dyDescent="0.3">
      <c r="A12" s="31" t="s">
        <v>109</v>
      </c>
      <c r="B12" s="31">
        <v>3378.3518639633744</v>
      </c>
      <c r="C12" s="31">
        <v>3419.3867457962415</v>
      </c>
      <c r="D12" s="31">
        <v>3552.4014936019425</v>
      </c>
      <c r="E12" s="22"/>
      <c r="F12" s="34" t="s">
        <v>79</v>
      </c>
      <c r="G12" s="34">
        <v>8</v>
      </c>
      <c r="H12" s="34">
        <v>4203.4014402503153</v>
      </c>
      <c r="I12" s="34">
        <v>525.42518003128941</v>
      </c>
      <c r="J12" s="34">
        <v>1487652.2633179815</v>
      </c>
      <c r="K12" s="2"/>
      <c r="L12" s="2"/>
      <c r="M12" s="22"/>
      <c r="N12" s="28" t="s">
        <v>79</v>
      </c>
      <c r="O12" s="28">
        <v>7</v>
      </c>
      <c r="P12" s="28">
        <v>24781.015279310457</v>
      </c>
      <c r="Q12" s="28">
        <v>3540.1450399014939</v>
      </c>
      <c r="R12" s="28">
        <v>14918.649695670812</v>
      </c>
      <c r="S12" s="26"/>
      <c r="T12" s="26"/>
    </row>
    <row r="13" spans="1:20" x14ac:dyDescent="0.25">
      <c r="A13" s="22"/>
      <c r="B13" s="22"/>
      <c r="C13" s="22"/>
      <c r="D13" s="22"/>
      <c r="E13" s="22"/>
      <c r="F13" s="2"/>
      <c r="G13" s="2"/>
      <c r="H13" s="2"/>
      <c r="I13" s="2"/>
      <c r="J13" s="2"/>
      <c r="K13" s="2"/>
      <c r="L13" s="2"/>
      <c r="M13" s="22"/>
      <c r="N13" s="26"/>
      <c r="O13" s="26"/>
      <c r="P13" s="26"/>
      <c r="Q13" s="26"/>
      <c r="R13" s="26"/>
      <c r="S13" s="26"/>
      <c r="T13" s="26"/>
    </row>
    <row r="14" spans="1:20" x14ac:dyDescent="0.25">
      <c r="A14" s="30" t="s">
        <v>30</v>
      </c>
      <c r="B14" s="30">
        <f>AVERAGE(B6:B12)</f>
        <v>3252.7591623785002</v>
      </c>
      <c r="C14" s="30">
        <f>AVERAGE(C6:C12)</f>
        <v>3192.0621867206764</v>
      </c>
      <c r="D14" s="30">
        <f>AVERAGE(D6:D12)</f>
        <v>3540.1450399014939</v>
      </c>
      <c r="E14" s="22"/>
      <c r="F14" s="2"/>
      <c r="G14" s="2"/>
      <c r="H14" s="2"/>
      <c r="I14" s="2"/>
      <c r="J14" s="2"/>
      <c r="K14" s="2"/>
      <c r="L14" s="2"/>
      <c r="M14" s="22"/>
      <c r="N14" s="26"/>
      <c r="O14" s="26"/>
      <c r="P14" s="26"/>
      <c r="Q14" s="26"/>
      <c r="R14" s="26"/>
      <c r="S14" s="26"/>
      <c r="T14" s="26"/>
    </row>
    <row r="15" spans="1:20" ht="15.75" thickBot="1" x14ac:dyDescent="0.3">
      <c r="A15" s="29"/>
      <c r="B15" s="85" t="s">
        <v>101</v>
      </c>
      <c r="C15" s="85"/>
      <c r="D15" s="85"/>
      <c r="E15" s="22"/>
      <c r="F15" s="2" t="s">
        <v>80</v>
      </c>
      <c r="G15" s="2"/>
      <c r="H15" s="2"/>
      <c r="I15" s="2"/>
      <c r="J15" s="2"/>
      <c r="K15" s="2"/>
      <c r="L15" s="2"/>
      <c r="M15" s="22"/>
      <c r="N15" s="26" t="s">
        <v>80</v>
      </c>
      <c r="O15" s="26"/>
      <c r="P15" s="26"/>
      <c r="Q15" s="26"/>
      <c r="R15" s="26"/>
      <c r="S15" s="26"/>
      <c r="T15" s="26"/>
    </row>
    <row r="16" spans="1:20" x14ac:dyDescent="0.25">
      <c r="A16" s="23" t="s">
        <v>65</v>
      </c>
      <c r="B16" s="23" t="s">
        <v>67</v>
      </c>
      <c r="C16" s="23" t="s">
        <v>68</v>
      </c>
      <c r="D16" s="23" t="s">
        <v>69</v>
      </c>
      <c r="E16" s="22"/>
      <c r="F16" s="33" t="s">
        <v>81</v>
      </c>
      <c r="G16" s="33" t="s">
        <v>82</v>
      </c>
      <c r="H16" s="33" t="s">
        <v>83</v>
      </c>
      <c r="I16" s="33" t="s">
        <v>84</v>
      </c>
      <c r="J16" s="33" t="s">
        <v>85</v>
      </c>
      <c r="K16" s="33" t="s">
        <v>86</v>
      </c>
      <c r="L16" s="33" t="s">
        <v>87</v>
      </c>
      <c r="M16" s="22"/>
      <c r="N16" s="27" t="s">
        <v>81</v>
      </c>
      <c r="O16" s="27" t="s">
        <v>82</v>
      </c>
      <c r="P16" s="27" t="s">
        <v>83</v>
      </c>
      <c r="Q16" s="27" t="s">
        <v>84</v>
      </c>
      <c r="R16" s="27" t="s">
        <v>85</v>
      </c>
      <c r="S16" s="27" t="s">
        <v>86</v>
      </c>
      <c r="T16" s="27" t="s">
        <v>87</v>
      </c>
    </row>
    <row r="17" spans="1:20" x14ac:dyDescent="0.25">
      <c r="A17" s="31" t="s">
        <v>103</v>
      </c>
      <c r="B17" s="31">
        <f t="shared" ref="B17:D23" si="0">ABS(B6-B$14)</f>
        <v>27.137411635720582</v>
      </c>
      <c r="C17" s="31">
        <f t="shared" si="0"/>
        <v>238.72230459886896</v>
      </c>
      <c r="D17" s="31">
        <f t="shared" si="0"/>
        <v>7.64447443859126</v>
      </c>
      <c r="E17" s="22"/>
      <c r="F17" s="2" t="s">
        <v>88</v>
      </c>
      <c r="G17" s="2">
        <v>16949.127969801426</v>
      </c>
      <c r="H17" s="2">
        <v>2</v>
      </c>
      <c r="I17" s="2">
        <v>8474.563984900713</v>
      </c>
      <c r="J17" s="2">
        <v>6.4621045677524221E-3</v>
      </c>
      <c r="K17" s="2">
        <v>0.99356070482481629</v>
      </c>
      <c r="L17" s="2">
        <v>3.4668001115424172</v>
      </c>
      <c r="M17" s="22"/>
      <c r="N17" s="26" t="s">
        <v>88</v>
      </c>
      <c r="O17" s="26">
        <v>484018.35564172093</v>
      </c>
      <c r="P17" s="26">
        <v>2</v>
      </c>
      <c r="Q17" s="26">
        <v>242009.17782086047</v>
      </c>
      <c r="R17" s="26">
        <v>14.313120229461243</v>
      </c>
      <c r="S17" s="26">
        <v>1.9044911297367794E-4</v>
      </c>
      <c r="T17" s="26">
        <v>3.5545571456617879</v>
      </c>
    </row>
    <row r="18" spans="1:20" x14ac:dyDescent="0.25">
      <c r="A18" s="31" t="s">
        <v>104</v>
      </c>
      <c r="B18" s="31">
        <f t="shared" si="0"/>
        <v>78.03675872076019</v>
      </c>
      <c r="C18" s="31">
        <f t="shared" si="0"/>
        <v>82.903770879092463</v>
      </c>
      <c r="D18" s="31">
        <f t="shared" si="0"/>
        <v>129.12178900973868</v>
      </c>
      <c r="E18" s="22"/>
      <c r="F18" s="2" t="s">
        <v>89</v>
      </c>
      <c r="G18" s="2">
        <v>27539920.132368438</v>
      </c>
      <c r="H18" s="2">
        <v>21</v>
      </c>
      <c r="I18" s="2">
        <v>1311424.7682080208</v>
      </c>
      <c r="J18" s="2"/>
      <c r="K18" s="2"/>
      <c r="L18" s="2"/>
      <c r="M18" s="22"/>
      <c r="N18" s="26" t="s">
        <v>89</v>
      </c>
      <c r="O18" s="26">
        <v>304347.69854088326</v>
      </c>
      <c r="P18" s="26">
        <v>18</v>
      </c>
      <c r="Q18" s="26">
        <v>16908.205474493516</v>
      </c>
      <c r="R18" s="26"/>
      <c r="S18" s="26"/>
      <c r="T18" s="26"/>
    </row>
    <row r="19" spans="1:20" x14ac:dyDescent="0.25">
      <c r="A19" s="31" t="s">
        <v>105</v>
      </c>
      <c r="B19" s="31">
        <f t="shared" si="0"/>
        <v>14.247835517658586</v>
      </c>
      <c r="C19" s="31">
        <f t="shared" si="0"/>
        <v>39.904216441379049</v>
      </c>
      <c r="D19" s="31">
        <f t="shared" si="0"/>
        <v>159.98189682035672</v>
      </c>
      <c r="E19" s="22"/>
      <c r="F19" s="2"/>
      <c r="G19" s="2"/>
      <c r="H19" s="2"/>
      <c r="I19" s="2"/>
      <c r="J19" s="2"/>
      <c r="K19" s="2"/>
      <c r="L19" s="2"/>
      <c r="M19" s="22"/>
      <c r="N19" s="26"/>
      <c r="O19" s="26"/>
      <c r="P19" s="26"/>
      <c r="Q19" s="26"/>
      <c r="R19" s="26"/>
      <c r="S19" s="26"/>
      <c r="T19" s="26"/>
    </row>
    <row r="20" spans="1:20" ht="15.75" thickBot="1" x14ac:dyDescent="0.3">
      <c r="A20" s="31" t="s">
        <v>106</v>
      </c>
      <c r="B20" s="31">
        <f t="shared" si="0"/>
        <v>19.502432240614326</v>
      </c>
      <c r="C20" s="31">
        <f t="shared" si="0"/>
        <v>22.85439816646749</v>
      </c>
      <c r="D20" s="31">
        <f t="shared" si="0"/>
        <v>112.53669014858042</v>
      </c>
      <c r="E20" s="22"/>
      <c r="F20" s="34" t="s">
        <v>90</v>
      </c>
      <c r="G20" s="34">
        <v>27556869.260338239</v>
      </c>
      <c r="H20" s="34">
        <v>23</v>
      </c>
      <c r="I20" s="34"/>
      <c r="J20" s="34"/>
      <c r="K20" s="34"/>
      <c r="L20" s="34"/>
      <c r="M20" s="22"/>
      <c r="N20" s="28" t="s">
        <v>90</v>
      </c>
      <c r="O20" s="28">
        <v>788366.05418260419</v>
      </c>
      <c r="P20" s="28">
        <v>20</v>
      </c>
      <c r="Q20" s="28"/>
      <c r="R20" s="28"/>
      <c r="S20" s="28"/>
      <c r="T20" s="28"/>
    </row>
    <row r="21" spans="1:20" x14ac:dyDescent="0.25">
      <c r="A21" s="31" t="s">
        <v>107</v>
      </c>
      <c r="B21" s="31">
        <f t="shared" si="0"/>
        <v>80.465593321825509</v>
      </c>
      <c r="C21" s="31">
        <f t="shared" si="0"/>
        <v>177.46251039022718</v>
      </c>
      <c r="D21" s="31">
        <f t="shared" si="0"/>
        <v>70.068792877052147</v>
      </c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</row>
    <row r="22" spans="1:20" x14ac:dyDescent="0.25">
      <c r="A22" s="31" t="s">
        <v>108</v>
      </c>
      <c r="B22" s="31">
        <f t="shared" si="0"/>
        <v>121.40868006338724</v>
      </c>
      <c r="C22" s="31">
        <f t="shared" si="0"/>
        <v>145.91960859567644</v>
      </c>
      <c r="D22" s="31">
        <f t="shared" si="0"/>
        <v>171.64630335405354</v>
      </c>
      <c r="E22" s="22"/>
      <c r="F22" s="97" t="s">
        <v>91</v>
      </c>
      <c r="G22" s="98">
        <f>3.61*SQRT(Q18/7)</f>
        <v>177.42178339609137</v>
      </c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</row>
    <row r="23" spans="1:20" x14ac:dyDescent="0.25">
      <c r="A23" s="31" t="s">
        <v>109</v>
      </c>
      <c r="B23" s="31">
        <f t="shared" si="0"/>
        <v>125.59270158487425</v>
      </c>
      <c r="C23" s="31">
        <f t="shared" si="0"/>
        <v>227.32455907556505</v>
      </c>
      <c r="D23" s="31">
        <f t="shared" si="0"/>
        <v>12.256453700448674</v>
      </c>
      <c r="E23" s="22"/>
      <c r="F23" s="98" t="s">
        <v>92</v>
      </c>
      <c r="G23" s="98" t="str">
        <f>IF(ABS(Q10-Q11)&gt;G22, "true", "false")</f>
        <v>false</v>
      </c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</row>
    <row r="24" spans="1:20" x14ac:dyDescent="0.25">
      <c r="A24" s="22"/>
      <c r="B24" s="22"/>
      <c r="C24" s="22"/>
      <c r="D24" s="22"/>
      <c r="E24" s="22"/>
      <c r="F24" s="98" t="s">
        <v>93</v>
      </c>
      <c r="G24" s="98" t="str">
        <f>IF(ABS(Q10-Q12)&gt;G22, "true", "false")</f>
        <v>true</v>
      </c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</row>
    <row r="25" spans="1:20" x14ac:dyDescent="0.25">
      <c r="A25" s="22"/>
      <c r="B25" s="22"/>
      <c r="C25" s="22"/>
      <c r="D25" s="22"/>
      <c r="E25" s="22"/>
      <c r="F25" s="98" t="s">
        <v>94</v>
      </c>
      <c r="G25" s="98" t="str">
        <f>IF(ABS(Q11-Q12)&gt;G22, "true", "false")</f>
        <v>true</v>
      </c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</row>
    <row r="26" spans="1:20" x14ac:dyDescent="0.25">
      <c r="A26" s="22"/>
      <c r="B26" s="22"/>
      <c r="C26" s="22"/>
      <c r="D26" s="22"/>
      <c r="E26" s="22"/>
      <c r="F26" s="29" t="s">
        <v>7</v>
      </c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</row>
    <row r="27" spans="1:20" x14ac:dyDescent="0.25">
      <c r="A27" s="22"/>
      <c r="B27" s="22"/>
      <c r="C27" s="22"/>
      <c r="D27" s="22"/>
      <c r="E27" s="22"/>
      <c r="F27" s="25" t="s">
        <v>91</v>
      </c>
      <c r="G27" s="25">
        <f>3.61*SQRT(Q18/7)</f>
        <v>177.42178339609137</v>
      </c>
      <c r="H27" s="25" t="s">
        <v>95</v>
      </c>
      <c r="I27" s="25" t="s">
        <v>96</v>
      </c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</row>
    <row r="28" spans="1:20" x14ac:dyDescent="0.25">
      <c r="A28" s="22"/>
      <c r="B28" s="22"/>
      <c r="C28" s="22"/>
      <c r="D28" s="22"/>
      <c r="E28" s="22"/>
      <c r="F28" s="25" t="s">
        <v>97</v>
      </c>
      <c r="G28" s="25">
        <f>Q10-Q11</f>
        <v>60.696975657823714</v>
      </c>
      <c r="H28" s="25">
        <v>177.421783396091</v>
      </c>
      <c r="I28" s="25">
        <v>177.42178339609137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</row>
    <row r="29" spans="1:20" x14ac:dyDescent="0.25">
      <c r="A29" s="22"/>
      <c r="B29" s="22"/>
      <c r="C29" s="22"/>
      <c r="D29" s="22"/>
      <c r="E29" s="22"/>
      <c r="F29" s="25" t="s">
        <v>98</v>
      </c>
      <c r="G29" s="25">
        <f>Q10-Q12</f>
        <v>-287.38587752299372</v>
      </c>
      <c r="H29" s="25">
        <v>177.42178339609137</v>
      </c>
      <c r="I29" s="25">
        <v>177.42178339609137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</row>
    <row r="30" spans="1:20" x14ac:dyDescent="0.25">
      <c r="A30" s="22"/>
      <c r="B30" s="22"/>
      <c r="C30" s="22"/>
      <c r="D30" s="22"/>
      <c r="E30" s="22"/>
      <c r="F30" s="25" t="s">
        <v>99</v>
      </c>
      <c r="G30" s="25">
        <f>Q11-Q12</f>
        <v>-348.08285318081744</v>
      </c>
      <c r="H30" s="25">
        <v>177.42178339609137</v>
      </c>
      <c r="I30" s="25">
        <v>177.42178339609137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</row>
    <row r="41" spans="1:20" x14ac:dyDescent="0.25">
      <c r="A41" s="84" t="s">
        <v>102</v>
      </c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</row>
    <row r="42" spans="1:20" x14ac:dyDescent="0.25">
      <c r="A42" s="84"/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</row>
    <row r="43" spans="1:20" x14ac:dyDescent="0.25">
      <c r="B43" s="85" t="s">
        <v>101</v>
      </c>
      <c r="C43" s="85"/>
      <c r="D43" s="85"/>
    </row>
    <row r="44" spans="1:20" x14ac:dyDescent="0.25">
      <c r="A44" s="23" t="s">
        <v>65</v>
      </c>
      <c r="B44" s="23" t="s">
        <v>67</v>
      </c>
      <c r="C44" s="23" t="s">
        <v>68</v>
      </c>
      <c r="D44" s="23" t="s">
        <v>69</v>
      </c>
      <c r="E44" s="22"/>
      <c r="F44" s="32"/>
      <c r="G44" s="32"/>
      <c r="H44" s="32"/>
      <c r="I44" s="32"/>
      <c r="J44" s="32"/>
      <c r="K44" s="32"/>
      <c r="L44" s="32"/>
      <c r="M44" s="22"/>
      <c r="N44" s="24"/>
      <c r="O44" s="24"/>
      <c r="P44" s="24"/>
      <c r="Q44" s="24"/>
      <c r="R44" s="24"/>
      <c r="S44" s="24"/>
      <c r="T44" s="24"/>
    </row>
    <row r="45" spans="1:20" x14ac:dyDescent="0.25">
      <c r="A45" s="31" t="s">
        <v>103</v>
      </c>
      <c r="B45" s="25">
        <v>6684.3891402714899</v>
      </c>
      <c r="C45" s="25">
        <v>5988.7033398821213</v>
      </c>
      <c r="D45" s="25">
        <v>7167.3724083970019</v>
      </c>
      <c r="E45" s="22"/>
      <c r="F45" s="2" t="s">
        <v>70</v>
      </c>
      <c r="G45" s="2"/>
      <c r="H45" s="2"/>
      <c r="I45" s="2"/>
      <c r="J45" s="2"/>
      <c r="K45" s="2"/>
      <c r="L45" s="2"/>
      <c r="M45" s="22"/>
      <c r="N45" s="26" t="s">
        <v>70</v>
      </c>
      <c r="O45" s="26"/>
      <c r="P45" s="26"/>
      <c r="Q45" s="26"/>
      <c r="R45" s="26"/>
      <c r="S45" s="26"/>
      <c r="T45" s="26"/>
    </row>
    <row r="46" spans="1:20" x14ac:dyDescent="0.25">
      <c r="A46" s="31" t="s">
        <v>104</v>
      </c>
      <c r="B46" s="25">
        <v>6443.8275636838671</v>
      </c>
      <c r="C46" s="25">
        <v>6226.7326732673264</v>
      </c>
      <c r="D46" s="25">
        <v>7342.8718782397173</v>
      </c>
      <c r="E46" s="22"/>
      <c r="F46" s="2"/>
      <c r="G46" s="2"/>
      <c r="H46" s="2"/>
      <c r="I46" s="2"/>
      <c r="J46" s="2"/>
      <c r="K46" s="2"/>
      <c r="L46" s="2"/>
      <c r="M46" s="22"/>
      <c r="N46" s="26"/>
      <c r="O46" s="26"/>
      <c r="P46" s="26"/>
      <c r="Q46" s="26"/>
      <c r="R46" s="26"/>
      <c r="S46" s="26"/>
      <c r="T46" s="26"/>
    </row>
    <row r="47" spans="1:20" ht="15.75" thickBot="1" x14ac:dyDescent="0.3">
      <c r="A47" s="31" t="s">
        <v>105</v>
      </c>
      <c r="B47" s="25">
        <v>6556.3106796116508</v>
      </c>
      <c r="C47" s="25">
        <v>6483.201581027668</v>
      </c>
      <c r="D47" s="25">
        <v>6884.2685594580644</v>
      </c>
      <c r="E47" s="22"/>
      <c r="F47" s="2" t="s">
        <v>71</v>
      </c>
      <c r="G47" s="2"/>
      <c r="H47" s="2"/>
      <c r="I47" s="2"/>
      <c r="J47" s="2"/>
      <c r="K47" s="2"/>
      <c r="L47" s="2"/>
      <c r="M47" s="22"/>
      <c r="N47" s="26" t="s">
        <v>71</v>
      </c>
      <c r="O47" s="26"/>
      <c r="P47" s="26"/>
      <c r="Q47" s="26"/>
      <c r="R47" s="26"/>
      <c r="S47" s="26"/>
      <c r="T47" s="26"/>
    </row>
    <row r="48" spans="1:20" x14ac:dyDescent="0.25">
      <c r="A48" s="31" t="s">
        <v>106</v>
      </c>
      <c r="B48" s="25">
        <v>6543.4996717005915</v>
      </c>
      <c r="C48" s="25">
        <v>6466.8792934249268</v>
      </c>
      <c r="D48" s="25">
        <v>7278.1722809682615</v>
      </c>
      <c r="E48" s="22"/>
      <c r="F48" s="33" t="s">
        <v>72</v>
      </c>
      <c r="G48" s="33" t="s">
        <v>73</v>
      </c>
      <c r="H48" s="33" t="s">
        <v>74</v>
      </c>
      <c r="I48" s="33" t="s">
        <v>75</v>
      </c>
      <c r="J48" s="33" t="s">
        <v>76</v>
      </c>
      <c r="K48" s="2"/>
      <c r="L48" s="2"/>
      <c r="M48" s="22"/>
      <c r="N48" s="27" t="s">
        <v>72</v>
      </c>
      <c r="O48" s="27" t="s">
        <v>73</v>
      </c>
      <c r="P48" s="27" t="s">
        <v>74</v>
      </c>
      <c r="Q48" s="27" t="s">
        <v>75</v>
      </c>
      <c r="R48" s="27" t="s">
        <v>76</v>
      </c>
      <c r="S48" s="26"/>
      <c r="T48" s="26"/>
    </row>
    <row r="49" spans="1:20" x14ac:dyDescent="0.25">
      <c r="A49" s="31" t="s">
        <v>107</v>
      </c>
      <c r="B49" s="25">
        <v>6820.1954397394129</v>
      </c>
      <c r="C49" s="25">
        <v>6843.6626281453864</v>
      </c>
      <c r="D49" s="25">
        <v>7242.3639241901483</v>
      </c>
      <c r="E49" s="22"/>
      <c r="F49" s="2" t="s">
        <v>77</v>
      </c>
      <c r="G49" s="2">
        <v>8</v>
      </c>
      <c r="H49" s="2">
        <v>7535.8994835461499</v>
      </c>
      <c r="I49" s="2">
        <v>941.98743544326874</v>
      </c>
      <c r="J49" s="2">
        <v>5240858.7885699077</v>
      </c>
      <c r="K49" s="2"/>
      <c r="L49" s="2"/>
      <c r="M49" s="22"/>
      <c r="N49" s="26" t="s">
        <v>77</v>
      </c>
      <c r="O49" s="26">
        <v>7</v>
      </c>
      <c r="P49" s="26">
        <v>46239.032746542704</v>
      </c>
      <c r="Q49" s="26">
        <v>6605.5761066489576</v>
      </c>
      <c r="R49" s="26">
        <v>25183.074586941879</v>
      </c>
      <c r="S49" s="26"/>
      <c r="T49" s="26"/>
    </row>
    <row r="50" spans="1:20" x14ac:dyDescent="0.25">
      <c r="A50" s="31" t="s">
        <v>108</v>
      </c>
      <c r="B50" s="25">
        <v>6413.5048231511264</v>
      </c>
      <c r="C50" s="25">
        <v>6109.130859375</v>
      </c>
      <c r="D50" s="25">
        <v>6787.6315522043751</v>
      </c>
      <c r="E50" s="22"/>
      <c r="F50" s="2" t="s">
        <v>78</v>
      </c>
      <c r="G50" s="2">
        <v>8</v>
      </c>
      <c r="H50" s="2">
        <v>8334.6563531200227</v>
      </c>
      <c r="I50" s="2">
        <v>1041.8320441400028</v>
      </c>
      <c r="J50" s="2">
        <v>4759617.0980622862</v>
      </c>
      <c r="K50" s="2"/>
      <c r="L50" s="2"/>
      <c r="M50" s="22"/>
      <c r="N50" s="26" t="s">
        <v>78</v>
      </c>
      <c r="O50" s="26">
        <v>7</v>
      </c>
      <c r="P50" s="26">
        <v>44983.790098168916</v>
      </c>
      <c r="Q50" s="26">
        <v>6426.2557283098449</v>
      </c>
      <c r="R50" s="26">
        <v>117311.51106273347</v>
      </c>
      <c r="S50" s="26"/>
      <c r="T50" s="26"/>
    </row>
    <row r="51" spans="1:20" ht="15.75" thickBot="1" x14ac:dyDescent="0.3">
      <c r="A51" s="31" t="s">
        <v>109</v>
      </c>
      <c r="B51" s="25">
        <v>6777.3054283845649</v>
      </c>
      <c r="C51" s="25">
        <v>6865.4797230464892</v>
      </c>
      <c r="D51" s="25">
        <v>7226.9955208490583</v>
      </c>
      <c r="E51" s="22"/>
      <c r="F51" s="34" t="s">
        <v>79</v>
      </c>
      <c r="G51" s="34">
        <v>8</v>
      </c>
      <c r="H51" s="34">
        <v>8320.2541511798536</v>
      </c>
      <c r="I51" s="34">
        <v>1040.0317688974817</v>
      </c>
      <c r="J51" s="34">
        <v>6070272.4375994401</v>
      </c>
      <c r="K51" s="2"/>
      <c r="L51" s="2"/>
      <c r="M51" s="22"/>
      <c r="N51" s="28" t="s">
        <v>79</v>
      </c>
      <c r="O51" s="28">
        <v>7</v>
      </c>
      <c r="P51" s="28">
        <v>49929.676124306628</v>
      </c>
      <c r="Q51" s="28">
        <v>7132.8108749009471</v>
      </c>
      <c r="R51" s="28">
        <v>44707.454769843869</v>
      </c>
      <c r="S51" s="26"/>
      <c r="T51" s="26"/>
    </row>
    <row r="52" spans="1:20" x14ac:dyDescent="0.25">
      <c r="A52" s="22"/>
      <c r="B52" s="22"/>
      <c r="C52" s="22"/>
      <c r="D52" s="22"/>
      <c r="E52" s="22"/>
      <c r="F52" s="2"/>
      <c r="G52" s="2"/>
      <c r="H52" s="2"/>
      <c r="I52" s="2"/>
      <c r="J52" s="2"/>
      <c r="K52" s="2"/>
      <c r="L52" s="2"/>
      <c r="M52" s="22"/>
      <c r="N52" s="26"/>
      <c r="O52" s="26"/>
      <c r="P52" s="26"/>
      <c r="Q52" s="26"/>
      <c r="R52" s="26"/>
      <c r="S52" s="26"/>
      <c r="T52" s="26"/>
    </row>
    <row r="53" spans="1:20" x14ac:dyDescent="0.25">
      <c r="A53" s="29" t="s">
        <v>30</v>
      </c>
      <c r="B53" s="29">
        <f>AVERAGE(B45:B51)</f>
        <v>6605.5761066489576</v>
      </c>
      <c r="C53" s="29">
        <f t="shared" ref="C53:D53" si="1">AVERAGE(C45:C51)</f>
        <v>6426.2557283098449</v>
      </c>
      <c r="D53" s="29">
        <f t="shared" si="1"/>
        <v>7132.8108749009471</v>
      </c>
      <c r="E53" s="22"/>
      <c r="F53" s="2"/>
      <c r="G53" s="2"/>
      <c r="H53" s="2"/>
      <c r="I53" s="2"/>
      <c r="J53" s="2"/>
      <c r="K53" s="2"/>
      <c r="L53" s="2"/>
      <c r="M53" s="22"/>
      <c r="N53" s="26"/>
      <c r="O53" s="26"/>
      <c r="P53" s="26"/>
      <c r="Q53" s="26"/>
      <c r="R53" s="26"/>
      <c r="S53" s="26"/>
      <c r="T53" s="26"/>
    </row>
    <row r="54" spans="1:20" ht="15.75" thickBot="1" x14ac:dyDescent="0.3">
      <c r="A54" s="29"/>
      <c r="B54" s="85" t="s">
        <v>101</v>
      </c>
      <c r="C54" s="85"/>
      <c r="D54" s="85"/>
      <c r="E54" s="22"/>
      <c r="F54" s="2" t="s">
        <v>80</v>
      </c>
      <c r="G54" s="2"/>
      <c r="H54" s="2"/>
      <c r="I54" s="2"/>
      <c r="J54" s="2"/>
      <c r="K54" s="2"/>
      <c r="L54" s="2"/>
      <c r="M54" s="22"/>
      <c r="N54" s="26" t="s">
        <v>80</v>
      </c>
      <c r="O54" s="26"/>
      <c r="P54" s="26"/>
      <c r="Q54" s="26"/>
      <c r="R54" s="26"/>
      <c r="S54" s="26"/>
      <c r="T54" s="26"/>
    </row>
    <row r="55" spans="1:20" x14ac:dyDescent="0.25">
      <c r="A55" s="23" t="s">
        <v>65</v>
      </c>
      <c r="B55" s="23" t="s">
        <v>67</v>
      </c>
      <c r="C55" s="23" t="s">
        <v>68</v>
      </c>
      <c r="D55" s="23" t="s">
        <v>69</v>
      </c>
      <c r="E55" s="22"/>
      <c r="F55" s="33" t="s">
        <v>81</v>
      </c>
      <c r="G55" s="33" t="s">
        <v>82</v>
      </c>
      <c r="H55" s="33" t="s">
        <v>83</v>
      </c>
      <c r="I55" s="33" t="s">
        <v>84</v>
      </c>
      <c r="J55" s="33" t="s">
        <v>85</v>
      </c>
      <c r="K55" s="33" t="s">
        <v>86</v>
      </c>
      <c r="L55" s="33" t="s">
        <v>87</v>
      </c>
      <c r="M55" s="22"/>
      <c r="N55" s="27" t="s">
        <v>81</v>
      </c>
      <c r="O55" s="27" t="s">
        <v>82</v>
      </c>
      <c r="P55" s="27" t="s">
        <v>83</v>
      </c>
      <c r="Q55" s="27" t="s">
        <v>84</v>
      </c>
      <c r="R55" s="27" t="s">
        <v>85</v>
      </c>
      <c r="S55" s="27" t="s">
        <v>86</v>
      </c>
      <c r="T55" s="27" t="s">
        <v>87</v>
      </c>
    </row>
    <row r="56" spans="1:20" x14ac:dyDescent="0.25">
      <c r="A56" s="31" t="s">
        <v>103</v>
      </c>
      <c r="B56" s="25">
        <f>ABS(B45-B$53)</f>
        <v>78.813033622532203</v>
      </c>
      <c r="C56" s="25">
        <f t="shared" ref="C56:D56" si="2">ABS(C45-C$53)</f>
        <v>437.5523884277236</v>
      </c>
      <c r="D56" s="25">
        <f t="shared" si="2"/>
        <v>34.561533496054835</v>
      </c>
      <c r="E56" s="22"/>
      <c r="F56" s="2" t="s">
        <v>88</v>
      </c>
      <c r="G56" s="2">
        <v>52226.34186463058</v>
      </c>
      <c r="H56" s="2">
        <v>2</v>
      </c>
      <c r="I56" s="2">
        <v>26113.17093231529</v>
      </c>
      <c r="J56" s="2">
        <v>4.8746649014983811E-3</v>
      </c>
      <c r="K56" s="2">
        <v>0.99513832268600644</v>
      </c>
      <c r="L56" s="2">
        <v>3.4668001115424172</v>
      </c>
      <c r="M56" s="22"/>
      <c r="N56" s="26" t="s">
        <v>88</v>
      </c>
      <c r="O56" s="26">
        <v>1888489.1062701608</v>
      </c>
      <c r="P56" s="26">
        <v>2</v>
      </c>
      <c r="Q56" s="26">
        <v>944244.55313508038</v>
      </c>
      <c r="R56" s="26">
        <v>15.131959315491933</v>
      </c>
      <c r="S56" s="26">
        <v>1.395883985642307E-4</v>
      </c>
      <c r="T56" s="26">
        <v>3.5545571456617879</v>
      </c>
    </row>
    <row r="57" spans="1:20" x14ac:dyDescent="0.25">
      <c r="A57" s="31" t="s">
        <v>104</v>
      </c>
      <c r="B57" s="25">
        <f t="shared" ref="B57:D57" si="3">ABS(B46-B$53)</f>
        <v>161.74854296509056</v>
      </c>
      <c r="C57" s="25">
        <f t="shared" si="3"/>
        <v>199.52305504251854</v>
      </c>
      <c r="D57" s="25">
        <f t="shared" si="3"/>
        <v>210.06100333877021</v>
      </c>
      <c r="E57" s="22"/>
      <c r="F57" s="2" t="s">
        <v>89</v>
      </c>
      <c r="G57" s="2">
        <v>112495238.26962145</v>
      </c>
      <c r="H57" s="2">
        <v>21</v>
      </c>
      <c r="I57" s="2">
        <v>5356916.1080772113</v>
      </c>
      <c r="J57" s="2"/>
      <c r="K57" s="2"/>
      <c r="L57" s="2"/>
      <c r="M57" s="22"/>
      <c r="N57" s="26" t="s">
        <v>89</v>
      </c>
      <c r="O57" s="26">
        <v>1123212.2425171153</v>
      </c>
      <c r="P57" s="26">
        <v>18</v>
      </c>
      <c r="Q57" s="26">
        <v>62400.680139839737</v>
      </c>
      <c r="R57" s="26"/>
      <c r="S57" s="26"/>
      <c r="T57" s="26"/>
    </row>
    <row r="58" spans="1:20" x14ac:dyDescent="0.25">
      <c r="A58" s="31" t="s">
        <v>105</v>
      </c>
      <c r="B58" s="25">
        <f t="shared" ref="B58:D58" si="4">ABS(B47-B$53)</f>
        <v>49.265427037306836</v>
      </c>
      <c r="C58" s="25">
        <f t="shared" si="4"/>
        <v>56.945852717823072</v>
      </c>
      <c r="D58" s="25">
        <f t="shared" si="4"/>
        <v>248.54231544288268</v>
      </c>
      <c r="E58" s="22"/>
      <c r="F58" s="2"/>
      <c r="G58" s="2"/>
      <c r="H58" s="2"/>
      <c r="I58" s="2"/>
      <c r="J58" s="2"/>
      <c r="K58" s="2"/>
      <c r="L58" s="2"/>
      <c r="M58" s="22"/>
      <c r="N58" s="26"/>
      <c r="O58" s="26"/>
      <c r="P58" s="26"/>
      <c r="Q58" s="26"/>
      <c r="R58" s="26"/>
      <c r="S58" s="26"/>
      <c r="T58" s="26"/>
    </row>
    <row r="59" spans="1:20" ht="15.75" thickBot="1" x14ac:dyDescent="0.3">
      <c r="A59" s="31" t="s">
        <v>106</v>
      </c>
      <c r="B59" s="25">
        <f t="shared" ref="B59:D59" si="5">ABS(B48-B$53)</f>
        <v>62.076434948366114</v>
      </c>
      <c r="C59" s="25">
        <f t="shared" si="5"/>
        <v>40.623565115081874</v>
      </c>
      <c r="D59" s="25">
        <f t="shared" si="5"/>
        <v>145.36140606731442</v>
      </c>
      <c r="E59" s="22"/>
      <c r="F59" s="34" t="s">
        <v>90</v>
      </c>
      <c r="G59" s="34">
        <v>112547464.61148608</v>
      </c>
      <c r="H59" s="34">
        <v>23</v>
      </c>
      <c r="I59" s="34"/>
      <c r="J59" s="34"/>
      <c r="K59" s="34"/>
      <c r="L59" s="34"/>
      <c r="M59" s="22"/>
      <c r="N59" s="28" t="s">
        <v>90</v>
      </c>
      <c r="O59" s="28">
        <v>3011701.3487872761</v>
      </c>
      <c r="P59" s="28">
        <v>20</v>
      </c>
      <c r="Q59" s="28"/>
      <c r="R59" s="28"/>
      <c r="S59" s="28"/>
      <c r="T59" s="28"/>
    </row>
    <row r="60" spans="1:20" x14ac:dyDescent="0.25">
      <c r="A60" s="31" t="s">
        <v>107</v>
      </c>
      <c r="B60" s="25">
        <f t="shared" ref="B60:D60" si="6">ABS(B49-B$53)</f>
        <v>214.61933309045526</v>
      </c>
      <c r="C60" s="25">
        <f t="shared" si="6"/>
        <v>417.40689983554148</v>
      </c>
      <c r="D60" s="25">
        <f t="shared" si="6"/>
        <v>109.55304928920123</v>
      </c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</row>
    <row r="61" spans="1:20" x14ac:dyDescent="0.25">
      <c r="A61" s="31" t="s">
        <v>108</v>
      </c>
      <c r="B61" s="25">
        <f t="shared" ref="B61:D61" si="7">ABS(B50-B$53)</f>
        <v>192.07128349783125</v>
      </c>
      <c r="C61" s="25">
        <f t="shared" si="7"/>
        <v>317.12486893484493</v>
      </c>
      <c r="D61" s="25">
        <f t="shared" si="7"/>
        <v>345.17932269657194</v>
      </c>
      <c r="E61" s="22"/>
      <c r="F61" s="97" t="s">
        <v>91</v>
      </c>
      <c r="G61" s="98">
        <f>3.61*SQRT(Q57/7)</f>
        <v>340.84179481529998</v>
      </c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</row>
    <row r="62" spans="1:20" x14ac:dyDescent="0.25">
      <c r="A62" s="31" t="s">
        <v>109</v>
      </c>
      <c r="B62" s="25">
        <f t="shared" ref="B62:D62" si="8">ABS(B51-B$53)</f>
        <v>171.7293217356073</v>
      </c>
      <c r="C62" s="25">
        <f t="shared" si="8"/>
        <v>439.22399473664427</v>
      </c>
      <c r="D62" s="25">
        <f t="shared" si="8"/>
        <v>94.184645948111211</v>
      </c>
      <c r="E62" s="22"/>
      <c r="F62" s="98" t="s">
        <v>92</v>
      </c>
      <c r="G62" s="98" t="str">
        <f>IF(ABS(Q49-Q50)&gt;G61, "true", "false")</f>
        <v>false</v>
      </c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</row>
    <row r="63" spans="1:20" x14ac:dyDescent="0.25">
      <c r="A63" s="22"/>
      <c r="B63" s="22"/>
      <c r="C63" s="22"/>
      <c r="D63" s="22"/>
      <c r="E63" s="22"/>
      <c r="F63" s="98" t="s">
        <v>93</v>
      </c>
      <c r="G63" s="98" t="str">
        <f>IF(ABS(Q49-Q51)&gt;G61, "true", "false")</f>
        <v>true</v>
      </c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</row>
    <row r="64" spans="1:20" x14ac:dyDescent="0.25">
      <c r="A64" s="22"/>
      <c r="B64" s="22"/>
      <c r="C64" s="22"/>
      <c r="D64" s="22"/>
      <c r="E64" s="22"/>
      <c r="F64" s="98" t="s">
        <v>94</v>
      </c>
      <c r="G64" s="98" t="str">
        <f>IF(ABS(Q50-Q51)&gt;G61, "true", "false")</f>
        <v>true</v>
      </c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</row>
    <row r="65" spans="1:20" x14ac:dyDescent="0.2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</row>
    <row r="66" spans="1:20" x14ac:dyDescent="0.25">
      <c r="A66" s="22"/>
      <c r="B66" s="22"/>
      <c r="C66" s="22"/>
      <c r="D66" s="22"/>
      <c r="E66" s="22"/>
      <c r="F66" s="37" t="s">
        <v>1</v>
      </c>
      <c r="G66" s="35"/>
      <c r="H66" s="35"/>
      <c r="I66" s="35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</row>
    <row r="67" spans="1:20" x14ac:dyDescent="0.25">
      <c r="A67" s="22"/>
      <c r="B67" s="22"/>
      <c r="C67" s="22"/>
      <c r="D67" s="22"/>
      <c r="E67" s="22"/>
      <c r="F67" s="36" t="s">
        <v>91</v>
      </c>
      <c r="G67" s="13">
        <f>3.61*SQRT(Q57/7)</f>
        <v>340.84179481529998</v>
      </c>
      <c r="H67" s="13" t="s">
        <v>95</v>
      </c>
      <c r="I67" s="13" t="s">
        <v>96</v>
      </c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</row>
    <row r="68" spans="1:20" x14ac:dyDescent="0.25">
      <c r="A68" s="22"/>
      <c r="B68" s="22"/>
      <c r="C68" s="22"/>
      <c r="D68" s="22"/>
      <c r="E68" s="22"/>
      <c r="F68" s="36" t="s">
        <v>97</v>
      </c>
      <c r="G68" s="13">
        <f>Q49-Q50</f>
        <v>179.32037833911272</v>
      </c>
      <c r="H68" s="13">
        <v>340.84179481529998</v>
      </c>
      <c r="I68" s="13">
        <v>340.84179481529998</v>
      </c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</row>
    <row r="69" spans="1:20" x14ac:dyDescent="0.25">
      <c r="A69" s="22"/>
      <c r="B69" s="22"/>
      <c r="C69" s="22"/>
      <c r="D69" s="22"/>
      <c r="E69" s="22"/>
      <c r="F69" s="36" t="s">
        <v>98</v>
      </c>
      <c r="G69" s="13">
        <f>Q49-Q51</f>
        <v>-527.23476825198941</v>
      </c>
      <c r="H69" s="13">
        <v>340.84179481529998</v>
      </c>
      <c r="I69" s="13">
        <v>340.84179481529998</v>
      </c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</row>
    <row r="70" spans="1:20" x14ac:dyDescent="0.25">
      <c r="A70" s="22"/>
      <c r="B70" s="22"/>
      <c r="C70" s="22"/>
      <c r="D70" s="22"/>
      <c r="E70" s="22"/>
      <c r="F70" s="36" t="s">
        <v>99</v>
      </c>
      <c r="G70" s="13">
        <f>Q50-Q51</f>
        <v>-706.55514659110213</v>
      </c>
      <c r="H70" s="13">
        <v>340.84179481529998</v>
      </c>
      <c r="I70" s="13">
        <v>340.84179481529998</v>
      </c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</row>
    <row r="71" spans="1:20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</row>
    <row r="80" spans="1:20" x14ac:dyDescent="0.25">
      <c r="A80" s="84" t="s">
        <v>110</v>
      </c>
      <c r="B80" s="84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</row>
    <row r="81" spans="1:21" x14ac:dyDescent="0.25">
      <c r="A81" s="84"/>
      <c r="B81" s="84"/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</row>
    <row r="82" spans="1:21" x14ac:dyDescent="0.25">
      <c r="B82" s="85" t="s">
        <v>101</v>
      </c>
      <c r="C82" s="85"/>
      <c r="D82" s="85"/>
    </row>
    <row r="83" spans="1:21" x14ac:dyDescent="0.25">
      <c r="A83" s="22"/>
      <c r="B83" s="23" t="s">
        <v>67</v>
      </c>
      <c r="C83" s="23" t="s">
        <v>68</v>
      </c>
      <c r="D83" s="23" t="s">
        <v>69</v>
      </c>
      <c r="E83" s="22"/>
      <c r="F83" s="32"/>
      <c r="G83" s="32"/>
      <c r="H83" s="32"/>
      <c r="I83" s="32"/>
      <c r="J83" s="32"/>
      <c r="K83" s="32"/>
      <c r="L83" s="32"/>
      <c r="M83" s="22"/>
      <c r="N83" s="24"/>
      <c r="O83" s="24"/>
      <c r="P83" s="24"/>
      <c r="Q83" s="24"/>
      <c r="R83" s="24"/>
      <c r="S83" s="24"/>
      <c r="T83" s="24"/>
      <c r="U83" s="22"/>
    </row>
    <row r="84" spans="1:21" x14ac:dyDescent="0.25">
      <c r="A84" s="31" t="s">
        <v>103</v>
      </c>
      <c r="B84" s="25">
        <v>738.04137039431157</v>
      </c>
      <c r="C84" s="25">
        <v>675.09823182711204</v>
      </c>
      <c r="D84" s="25">
        <v>813.95744253957605</v>
      </c>
      <c r="E84" s="22"/>
      <c r="F84" s="2" t="s">
        <v>70</v>
      </c>
      <c r="G84" s="2"/>
      <c r="H84" s="2"/>
      <c r="I84" s="2"/>
      <c r="J84" s="2"/>
      <c r="K84" s="2"/>
      <c r="L84" s="2"/>
      <c r="M84" s="22"/>
      <c r="N84" s="26" t="s">
        <v>70</v>
      </c>
      <c r="O84" s="26"/>
      <c r="P84" s="26"/>
      <c r="Q84" s="26"/>
      <c r="R84" s="26"/>
      <c r="S84" s="26"/>
      <c r="T84" s="26"/>
      <c r="U84" s="22"/>
    </row>
    <row r="85" spans="1:21" x14ac:dyDescent="0.25">
      <c r="A85" s="31" t="s">
        <v>104</v>
      </c>
      <c r="B85" s="25">
        <v>719.30111038536904</v>
      </c>
      <c r="C85" s="25">
        <v>695.29702970297035</v>
      </c>
      <c r="D85" s="25">
        <v>830.04617316743429</v>
      </c>
      <c r="E85" s="22"/>
      <c r="F85" s="2"/>
      <c r="G85" s="2"/>
      <c r="H85" s="2"/>
      <c r="I85" s="2"/>
      <c r="J85" s="2"/>
      <c r="K85" s="2"/>
      <c r="L85" s="2"/>
      <c r="M85" s="22"/>
      <c r="N85" s="26"/>
      <c r="O85" s="26"/>
      <c r="P85" s="26"/>
      <c r="Q85" s="26"/>
      <c r="R85" s="26"/>
      <c r="S85" s="26"/>
      <c r="T85" s="26"/>
      <c r="U85" s="22"/>
    </row>
    <row r="86" spans="1:21" ht="15.75" thickBot="1" x14ac:dyDescent="0.3">
      <c r="A86" s="31" t="s">
        <v>105</v>
      </c>
      <c r="B86" s="25">
        <v>728.31715210355992</v>
      </c>
      <c r="C86" s="25">
        <v>723.32015810276687</v>
      </c>
      <c r="D86" s="25">
        <v>772.93832964653984</v>
      </c>
      <c r="E86" s="22"/>
      <c r="F86" s="2" t="s">
        <v>71</v>
      </c>
      <c r="G86" s="2"/>
      <c r="H86" s="2"/>
      <c r="I86" s="2"/>
      <c r="J86" s="2"/>
      <c r="K86" s="2"/>
      <c r="L86" s="2"/>
      <c r="M86" s="22"/>
      <c r="N86" s="26" t="s">
        <v>71</v>
      </c>
      <c r="O86" s="26"/>
      <c r="P86" s="26"/>
      <c r="Q86" s="26"/>
      <c r="R86" s="26"/>
      <c r="S86" s="26"/>
      <c r="T86" s="26"/>
      <c r="U86" s="22"/>
    </row>
    <row r="87" spans="1:21" x14ac:dyDescent="0.25">
      <c r="A87" s="31" t="s">
        <v>106</v>
      </c>
      <c r="B87" s="25">
        <v>725.54169402495086</v>
      </c>
      <c r="C87" s="25">
        <v>721.78606476938171</v>
      </c>
      <c r="D87" s="25">
        <v>823.04483071247569</v>
      </c>
      <c r="E87" s="22"/>
      <c r="F87" s="33" t="s">
        <v>72</v>
      </c>
      <c r="G87" s="33" t="s">
        <v>73</v>
      </c>
      <c r="H87" s="33" t="s">
        <v>74</v>
      </c>
      <c r="I87" s="33" t="s">
        <v>75</v>
      </c>
      <c r="J87" s="33" t="s">
        <v>76</v>
      </c>
      <c r="K87" s="2"/>
      <c r="L87" s="2"/>
      <c r="M87" s="22"/>
      <c r="N87" s="27" t="s">
        <v>72</v>
      </c>
      <c r="O87" s="27" t="s">
        <v>73</v>
      </c>
      <c r="P87" s="27" t="s">
        <v>74</v>
      </c>
      <c r="Q87" s="27" t="s">
        <v>75</v>
      </c>
      <c r="R87" s="27" t="s">
        <v>76</v>
      </c>
      <c r="S87" s="26"/>
      <c r="T87" s="26"/>
      <c r="U87" s="22"/>
    </row>
    <row r="88" spans="1:21" x14ac:dyDescent="0.25">
      <c r="A88" s="31" t="s">
        <v>107</v>
      </c>
      <c r="B88" s="25">
        <v>752.76872964169377</v>
      </c>
      <c r="C88" s="25">
        <v>765.3774464119291</v>
      </c>
      <c r="D88" s="25">
        <v>811.95053081232504</v>
      </c>
      <c r="E88" s="22"/>
      <c r="F88" s="2" t="s">
        <v>77</v>
      </c>
      <c r="G88" s="2">
        <v>8</v>
      </c>
      <c r="H88" s="2">
        <v>831.98110300041265</v>
      </c>
      <c r="I88" s="2">
        <v>103.99763787505158</v>
      </c>
      <c r="J88" s="2">
        <v>64828.923984068293</v>
      </c>
      <c r="K88" s="2"/>
      <c r="L88" s="2"/>
      <c r="M88" s="22"/>
      <c r="N88" s="26" t="s">
        <v>77</v>
      </c>
      <c r="O88" s="26">
        <v>7</v>
      </c>
      <c r="P88" s="26">
        <v>5136.9636698439908</v>
      </c>
      <c r="Q88" s="26">
        <v>733.85195283485587</v>
      </c>
      <c r="R88" s="26">
        <v>297.97477961157034</v>
      </c>
      <c r="S88" s="26"/>
      <c r="T88" s="26"/>
      <c r="U88" s="22"/>
    </row>
    <row r="89" spans="1:21" x14ac:dyDescent="0.25">
      <c r="A89" s="31" t="s">
        <v>108</v>
      </c>
      <c r="B89" s="25">
        <v>713.18327974276531</v>
      </c>
      <c r="C89" s="25">
        <v>678.7109375</v>
      </c>
      <c r="D89" s="25">
        <v>768.39435841601698</v>
      </c>
      <c r="E89" s="22"/>
      <c r="F89" s="2" t="s">
        <v>78</v>
      </c>
      <c r="G89" s="2">
        <v>8</v>
      </c>
      <c r="H89" s="2">
        <v>923.24690645577573</v>
      </c>
      <c r="I89" s="2">
        <v>115.40586330697197</v>
      </c>
      <c r="J89" s="2">
        <v>59450.469008843334</v>
      </c>
      <c r="K89" s="2"/>
      <c r="L89" s="2"/>
      <c r="M89" s="22"/>
      <c r="N89" s="26" t="s">
        <v>78</v>
      </c>
      <c r="O89" s="26">
        <v>7</v>
      </c>
      <c r="P89" s="26">
        <v>5021.4593045159409</v>
      </c>
      <c r="Q89" s="26">
        <v>717.35132921656293</v>
      </c>
      <c r="R89" s="26">
        <v>1351.4099696922719</v>
      </c>
      <c r="S89" s="26"/>
      <c r="T89" s="26"/>
      <c r="U89" s="22"/>
    </row>
    <row r="90" spans="1:21" ht="15.75" thickBot="1" x14ac:dyDescent="0.3">
      <c r="A90" s="31" t="s">
        <v>109</v>
      </c>
      <c r="B90" s="25">
        <v>759.8103335513407</v>
      </c>
      <c r="C90" s="25">
        <v>761.86943620178045</v>
      </c>
      <c r="D90" s="25">
        <v>811.8875044774652</v>
      </c>
      <c r="E90" s="22"/>
      <c r="F90" s="34" t="s">
        <v>79</v>
      </c>
      <c r="G90" s="34">
        <v>8</v>
      </c>
      <c r="H90" s="34">
        <v>940.34831656905294</v>
      </c>
      <c r="I90" s="34">
        <v>117.54353957113162</v>
      </c>
      <c r="J90" s="34">
        <v>77192.77519556896</v>
      </c>
      <c r="K90" s="2"/>
      <c r="L90" s="2"/>
      <c r="M90" s="22"/>
      <c r="N90" s="28" t="s">
        <v>79</v>
      </c>
      <c r="O90" s="28">
        <v>7</v>
      </c>
      <c r="P90" s="28">
        <v>5632.2191697718326</v>
      </c>
      <c r="Q90" s="28">
        <v>804.60273853883325</v>
      </c>
      <c r="R90" s="28">
        <v>582.62151067904585</v>
      </c>
      <c r="S90" s="26"/>
      <c r="T90" s="26"/>
      <c r="U90" s="22"/>
    </row>
    <row r="91" spans="1:21" x14ac:dyDescent="0.25">
      <c r="A91" s="22"/>
      <c r="B91" s="22"/>
      <c r="C91" s="22"/>
      <c r="D91" s="22"/>
      <c r="E91" s="22"/>
      <c r="F91" s="2"/>
      <c r="G91" s="2"/>
      <c r="H91" s="2"/>
      <c r="I91" s="2"/>
      <c r="J91" s="2"/>
      <c r="K91" s="2"/>
      <c r="L91" s="2"/>
      <c r="M91" s="22"/>
      <c r="N91" s="26"/>
      <c r="O91" s="26"/>
      <c r="P91" s="26"/>
      <c r="Q91" s="26"/>
      <c r="R91" s="26"/>
      <c r="S91" s="26"/>
      <c r="T91" s="26"/>
      <c r="U91" s="22"/>
    </row>
    <row r="92" spans="1:21" x14ac:dyDescent="0.25">
      <c r="A92" s="29" t="s">
        <v>30</v>
      </c>
      <c r="B92" s="29">
        <f>AVERAGE(B84:B90)</f>
        <v>733.85195283485587</v>
      </c>
      <c r="C92" s="29">
        <f t="shared" ref="C92:D92" si="9">AVERAGE(C84:C90)</f>
        <v>717.35132921656293</v>
      </c>
      <c r="D92" s="29">
        <f t="shared" si="9"/>
        <v>804.60273853883325</v>
      </c>
      <c r="E92" s="22"/>
      <c r="F92" s="2"/>
      <c r="G92" s="2"/>
      <c r="H92" s="2"/>
      <c r="I92" s="2"/>
      <c r="J92" s="2"/>
      <c r="K92" s="2"/>
      <c r="L92" s="2"/>
      <c r="M92" s="22"/>
      <c r="N92" s="26"/>
      <c r="O92" s="26"/>
      <c r="P92" s="26"/>
      <c r="Q92" s="26"/>
      <c r="R92" s="26"/>
      <c r="S92" s="26"/>
      <c r="T92" s="26"/>
      <c r="U92" s="22"/>
    </row>
    <row r="93" spans="1:21" ht="15.75" thickBot="1" x14ac:dyDescent="0.3">
      <c r="A93" s="29"/>
      <c r="B93" s="85" t="s">
        <v>101</v>
      </c>
      <c r="C93" s="85"/>
      <c r="D93" s="85"/>
      <c r="E93" s="22"/>
      <c r="F93" s="2" t="s">
        <v>80</v>
      </c>
      <c r="G93" s="2"/>
      <c r="H93" s="2"/>
      <c r="I93" s="2"/>
      <c r="J93" s="2"/>
      <c r="K93" s="2"/>
      <c r="L93" s="2"/>
      <c r="M93" s="22"/>
      <c r="N93" s="26" t="s">
        <v>80</v>
      </c>
      <c r="O93" s="26"/>
      <c r="P93" s="26"/>
      <c r="Q93" s="26"/>
      <c r="R93" s="26"/>
      <c r="S93" s="26"/>
      <c r="T93" s="26"/>
      <c r="U93" s="22"/>
    </row>
    <row r="94" spans="1:21" x14ac:dyDescent="0.25">
      <c r="A94" s="31" t="s">
        <v>103</v>
      </c>
      <c r="B94" s="23" t="s">
        <v>67</v>
      </c>
      <c r="C94" s="23" t="s">
        <v>68</v>
      </c>
      <c r="D94" s="23" t="s">
        <v>69</v>
      </c>
      <c r="E94" s="22"/>
      <c r="F94" s="33" t="s">
        <v>81</v>
      </c>
      <c r="G94" s="33" t="s">
        <v>82</v>
      </c>
      <c r="H94" s="33" t="s">
        <v>83</v>
      </c>
      <c r="I94" s="33" t="s">
        <v>84</v>
      </c>
      <c r="J94" s="33" t="s">
        <v>85</v>
      </c>
      <c r="K94" s="33" t="s">
        <v>86</v>
      </c>
      <c r="L94" s="33" t="s">
        <v>87</v>
      </c>
      <c r="M94" s="22"/>
      <c r="N94" s="27" t="s">
        <v>81</v>
      </c>
      <c r="O94" s="27" t="s">
        <v>82</v>
      </c>
      <c r="P94" s="27" t="s">
        <v>83</v>
      </c>
      <c r="Q94" s="27" t="s">
        <v>84</v>
      </c>
      <c r="R94" s="27" t="s">
        <v>85</v>
      </c>
      <c r="S94" s="27" t="s">
        <v>86</v>
      </c>
      <c r="T94" s="27" t="s">
        <v>87</v>
      </c>
      <c r="U94" s="22"/>
    </row>
    <row r="95" spans="1:21" x14ac:dyDescent="0.25">
      <c r="A95" s="31" t="s">
        <v>104</v>
      </c>
      <c r="B95" s="25">
        <f>ABS(B84-B$92)</f>
        <v>4.1894175594557055</v>
      </c>
      <c r="C95" s="25">
        <f t="shared" ref="C95:D95" si="10">ABS(C84-C$92)</f>
        <v>42.253097389450886</v>
      </c>
      <c r="D95" s="25">
        <f t="shared" si="10"/>
        <v>9.3547040007427995</v>
      </c>
      <c r="E95" s="22"/>
      <c r="F95" s="2" t="s">
        <v>88</v>
      </c>
      <c r="G95" s="2">
        <v>848.55658686859533</v>
      </c>
      <c r="H95" s="2">
        <v>2</v>
      </c>
      <c r="I95" s="2">
        <v>424.27829343429767</v>
      </c>
      <c r="J95" s="2">
        <v>6.3176710299366733E-3</v>
      </c>
      <c r="K95" s="2">
        <v>0.99370413138623004</v>
      </c>
      <c r="L95" s="2">
        <v>3.4668001115424172</v>
      </c>
      <c r="M95" s="22"/>
      <c r="N95" s="26" t="s">
        <v>88</v>
      </c>
      <c r="O95" s="26">
        <v>30078.42293457183</v>
      </c>
      <c r="P95" s="26">
        <v>2</v>
      </c>
      <c r="Q95" s="26">
        <v>15039.211467285915</v>
      </c>
      <c r="R95" s="26">
        <v>20.213937214586327</v>
      </c>
      <c r="S95" s="26">
        <v>2.4996071650673648E-5</v>
      </c>
      <c r="T95" s="26">
        <v>3.5545571456617879</v>
      </c>
      <c r="U95" s="22"/>
    </row>
    <row r="96" spans="1:21" x14ac:dyDescent="0.25">
      <c r="A96" s="31" t="s">
        <v>105</v>
      </c>
      <c r="B96" s="25">
        <f t="shared" ref="B96:D96" si="11">ABS(B85-B$92)</f>
        <v>14.550842449486822</v>
      </c>
      <c r="C96" s="25">
        <f t="shared" si="11"/>
        <v>22.054299513592582</v>
      </c>
      <c r="D96" s="25">
        <f t="shared" si="11"/>
        <v>25.44343462860104</v>
      </c>
      <c r="E96" s="22"/>
      <c r="F96" s="2" t="s">
        <v>89</v>
      </c>
      <c r="G96" s="2">
        <v>1410305.1773193642</v>
      </c>
      <c r="H96" s="2">
        <v>21</v>
      </c>
      <c r="I96" s="2">
        <v>67157.389396160201</v>
      </c>
      <c r="J96" s="2"/>
      <c r="K96" s="2"/>
      <c r="L96" s="2"/>
      <c r="M96" s="22"/>
      <c r="N96" s="26" t="s">
        <v>89</v>
      </c>
      <c r="O96" s="26">
        <v>13392.03755989733</v>
      </c>
      <c r="P96" s="26">
        <v>18</v>
      </c>
      <c r="Q96" s="26">
        <v>744.00208666096273</v>
      </c>
      <c r="R96" s="26"/>
      <c r="S96" s="26"/>
      <c r="T96" s="26"/>
      <c r="U96" s="22"/>
    </row>
    <row r="97" spans="1:21" x14ac:dyDescent="0.25">
      <c r="A97" s="31" t="s">
        <v>106</v>
      </c>
      <c r="B97" s="25">
        <f t="shared" ref="B97:D97" si="12">ABS(B86-B$92)</f>
        <v>5.5348007312959453</v>
      </c>
      <c r="C97" s="25">
        <f t="shared" si="12"/>
        <v>5.9688288862039371</v>
      </c>
      <c r="D97" s="25">
        <f t="shared" si="12"/>
        <v>31.664408892293409</v>
      </c>
      <c r="E97" s="22"/>
      <c r="F97" s="2"/>
      <c r="G97" s="2"/>
      <c r="H97" s="2"/>
      <c r="I97" s="2"/>
      <c r="J97" s="2"/>
      <c r="K97" s="2"/>
      <c r="L97" s="2"/>
      <c r="M97" s="22"/>
      <c r="N97" s="26"/>
      <c r="O97" s="26"/>
      <c r="P97" s="26"/>
      <c r="Q97" s="26"/>
      <c r="R97" s="26"/>
      <c r="S97" s="26"/>
      <c r="T97" s="26"/>
      <c r="U97" s="22"/>
    </row>
    <row r="98" spans="1:21" ht="15.75" thickBot="1" x14ac:dyDescent="0.3">
      <c r="A98" s="31" t="s">
        <v>107</v>
      </c>
      <c r="B98" s="25">
        <f t="shared" ref="B98:D98" si="13">ABS(B87-B$92)</f>
        <v>8.3102588099050081</v>
      </c>
      <c r="C98" s="25">
        <f t="shared" si="13"/>
        <v>4.4347355528187791</v>
      </c>
      <c r="D98" s="25">
        <f t="shared" si="13"/>
        <v>18.442092173642436</v>
      </c>
      <c r="E98" s="22"/>
      <c r="F98" s="34" t="s">
        <v>90</v>
      </c>
      <c r="G98" s="34">
        <v>1411153.7339062328</v>
      </c>
      <c r="H98" s="34">
        <v>23</v>
      </c>
      <c r="I98" s="34"/>
      <c r="J98" s="34"/>
      <c r="K98" s="34"/>
      <c r="L98" s="34"/>
      <c r="M98" s="22"/>
      <c r="N98" s="28" t="s">
        <v>90</v>
      </c>
      <c r="O98" s="28">
        <v>43470.46049446916</v>
      </c>
      <c r="P98" s="28">
        <v>20</v>
      </c>
      <c r="Q98" s="28"/>
      <c r="R98" s="28"/>
      <c r="S98" s="28"/>
      <c r="T98" s="28"/>
      <c r="U98" s="22"/>
    </row>
    <row r="99" spans="1:21" x14ac:dyDescent="0.25">
      <c r="A99" s="31" t="s">
        <v>108</v>
      </c>
      <c r="B99" s="25">
        <f t="shared" ref="B99:D99" si="14">ABS(B88-B$92)</f>
        <v>18.916776806837902</v>
      </c>
      <c r="C99" s="25">
        <f t="shared" si="14"/>
        <v>48.026117195366169</v>
      </c>
      <c r="D99" s="25">
        <f t="shared" si="14"/>
        <v>7.3477922734917911</v>
      </c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</row>
    <row r="100" spans="1:21" x14ac:dyDescent="0.25">
      <c r="A100" s="31" t="s">
        <v>109</v>
      </c>
      <c r="B100" s="25">
        <f t="shared" ref="B100:D100" si="15">ABS(B89-B$92)</f>
        <v>20.668673092090557</v>
      </c>
      <c r="C100" s="25">
        <f t="shared" si="15"/>
        <v>38.640391716562931</v>
      </c>
      <c r="D100" s="25">
        <f t="shared" si="15"/>
        <v>36.208380122816266</v>
      </c>
      <c r="E100" s="22"/>
      <c r="F100" s="97" t="s">
        <v>91</v>
      </c>
      <c r="G100" s="98">
        <f>3.61*SQRT(Q96/7)</f>
        <v>37.217333890798656</v>
      </c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</row>
    <row r="101" spans="1:21" x14ac:dyDescent="0.25">
      <c r="A101" s="22"/>
      <c r="B101" s="22"/>
      <c r="C101" s="22"/>
      <c r="D101" s="22"/>
      <c r="E101" s="22"/>
      <c r="F101" s="98" t="s">
        <v>92</v>
      </c>
      <c r="G101" s="98" t="str">
        <f>IF(ABS(Q88-Q89)&gt;G100, "true", "false")</f>
        <v>false</v>
      </c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</row>
    <row r="102" spans="1:21" x14ac:dyDescent="0.25">
      <c r="A102" s="22"/>
      <c r="B102" s="22"/>
      <c r="C102" s="22"/>
      <c r="D102" s="22"/>
      <c r="E102" s="22"/>
      <c r="F102" s="98" t="s">
        <v>93</v>
      </c>
      <c r="G102" s="98" t="str">
        <f>IF(ABS(Q88-Q90)&gt;G100, "true", "false")</f>
        <v>true</v>
      </c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</row>
    <row r="103" spans="1:21" x14ac:dyDescent="0.25">
      <c r="A103" s="22"/>
      <c r="B103" s="22"/>
      <c r="C103" s="22"/>
      <c r="D103" s="22"/>
      <c r="E103" s="22"/>
      <c r="F103" s="98" t="s">
        <v>94</v>
      </c>
      <c r="G103" s="98" t="str">
        <f>IF(ABS(Q89-Q90)&gt;G100, "true", "false")</f>
        <v>true</v>
      </c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</row>
    <row r="104" spans="1:21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</row>
    <row r="105" spans="1:21" x14ac:dyDescent="0.25">
      <c r="A105" s="22"/>
      <c r="B105" s="22"/>
      <c r="C105" s="22"/>
      <c r="D105" s="22"/>
      <c r="E105" s="22"/>
      <c r="F105" s="29" t="s">
        <v>10</v>
      </c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</row>
    <row r="106" spans="1:21" x14ac:dyDescent="0.25">
      <c r="A106" s="22"/>
      <c r="B106" s="22"/>
      <c r="C106" s="22"/>
      <c r="D106" s="22"/>
      <c r="E106" s="22"/>
      <c r="F106" s="25" t="s">
        <v>91</v>
      </c>
      <c r="G106" s="25">
        <f>3.61*SQRT(Q96/7)</f>
        <v>37.217333890798656</v>
      </c>
      <c r="H106" s="25" t="s">
        <v>95</v>
      </c>
      <c r="I106" s="25" t="s">
        <v>96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</row>
    <row r="107" spans="1:21" x14ac:dyDescent="0.25">
      <c r="A107" s="22"/>
      <c r="B107" s="22"/>
      <c r="C107" s="22"/>
      <c r="D107" s="22"/>
      <c r="E107" s="22"/>
      <c r="F107" s="25" t="s">
        <v>97</v>
      </c>
      <c r="G107" s="25">
        <f>Q88-Q89</f>
        <v>16.500623618292934</v>
      </c>
      <c r="H107" s="25">
        <v>37.217333890798656</v>
      </c>
      <c r="I107" s="25">
        <v>37.217333890798656</v>
      </c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</row>
    <row r="108" spans="1:21" x14ac:dyDescent="0.25">
      <c r="A108" s="22"/>
      <c r="B108" s="22"/>
      <c r="C108" s="22"/>
      <c r="D108" s="22"/>
      <c r="E108" s="22"/>
      <c r="F108" s="25" t="s">
        <v>98</v>
      </c>
      <c r="G108" s="25">
        <f>Q88-Q90</f>
        <v>-70.750785703977385</v>
      </c>
      <c r="H108" s="25">
        <v>37.217333890798656</v>
      </c>
      <c r="I108" s="25">
        <v>37.217333890798656</v>
      </c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</row>
    <row r="109" spans="1:21" x14ac:dyDescent="0.25">
      <c r="A109" s="22"/>
      <c r="B109" s="22"/>
      <c r="C109" s="22"/>
      <c r="D109" s="22"/>
      <c r="E109" s="22"/>
      <c r="F109" s="25" t="s">
        <v>99</v>
      </c>
      <c r="G109" s="25">
        <f>Q89-Q90</f>
        <v>-87.25140932227032</v>
      </c>
      <c r="H109" s="25">
        <v>37.217333890798656</v>
      </c>
      <c r="I109" s="25">
        <v>37.217333890798656</v>
      </c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</row>
    <row r="117" spans="1:20" x14ac:dyDescent="0.25">
      <c r="A117" s="84" t="s">
        <v>111</v>
      </c>
      <c r="B117" s="84"/>
      <c r="C117" s="84"/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</row>
    <row r="118" spans="1:20" x14ac:dyDescent="0.25">
      <c r="A118" s="84"/>
      <c r="B118" s="84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</row>
    <row r="119" spans="1:20" x14ac:dyDescent="0.25">
      <c r="B119" s="85" t="s">
        <v>101</v>
      </c>
      <c r="C119" s="85"/>
      <c r="D119" s="85"/>
    </row>
    <row r="120" spans="1:20" x14ac:dyDescent="0.25">
      <c r="A120" s="22"/>
      <c r="B120" s="23" t="s">
        <v>67</v>
      </c>
      <c r="C120" s="23" t="s">
        <v>68</v>
      </c>
      <c r="D120" s="23" t="s">
        <v>69</v>
      </c>
      <c r="E120" s="22"/>
      <c r="F120" s="32"/>
      <c r="G120" s="32"/>
      <c r="H120" s="32"/>
      <c r="I120" s="32"/>
      <c r="J120" s="32"/>
      <c r="K120" s="32"/>
      <c r="L120" s="32"/>
      <c r="M120" s="22"/>
      <c r="N120" s="24"/>
      <c r="O120" s="24"/>
      <c r="P120" s="24"/>
      <c r="Q120" s="24"/>
      <c r="R120" s="24"/>
      <c r="S120" s="24"/>
      <c r="T120" s="24"/>
    </row>
    <row r="121" spans="1:20" x14ac:dyDescent="0.25">
      <c r="A121" s="31" t="s">
        <v>103</v>
      </c>
      <c r="B121" s="25">
        <v>2598.2546864899805</v>
      </c>
      <c r="C121" s="25">
        <v>2473.2318271119843</v>
      </c>
      <c r="D121" s="25">
        <v>2846.0092276080582</v>
      </c>
      <c r="E121" s="22"/>
      <c r="F121" s="2" t="s">
        <v>70</v>
      </c>
      <c r="G121" s="2"/>
      <c r="H121" s="2"/>
      <c r="I121" s="2"/>
      <c r="J121" s="2"/>
      <c r="K121" s="2"/>
      <c r="L121" s="2"/>
      <c r="M121" s="22"/>
      <c r="N121" s="38" t="s">
        <v>70</v>
      </c>
      <c r="O121" s="38"/>
      <c r="P121" s="38"/>
      <c r="Q121" s="38"/>
      <c r="R121" s="38"/>
      <c r="S121" s="38"/>
      <c r="T121" s="38"/>
    </row>
    <row r="122" spans="1:20" x14ac:dyDescent="0.25">
      <c r="A122" s="31" t="s">
        <v>104</v>
      </c>
      <c r="B122" s="25">
        <v>2636.0222077073809</v>
      </c>
      <c r="C122" s="25">
        <v>2527.9702970297026</v>
      </c>
      <c r="D122" s="25">
        <v>2911.5243293646554</v>
      </c>
      <c r="E122" s="22"/>
      <c r="F122" s="2"/>
      <c r="G122" s="2"/>
      <c r="H122" s="2"/>
      <c r="I122" s="2"/>
      <c r="J122" s="2"/>
      <c r="K122" s="2"/>
      <c r="L122" s="2"/>
      <c r="M122" s="22"/>
      <c r="N122" s="38"/>
      <c r="O122" s="38"/>
      <c r="P122" s="38"/>
      <c r="Q122" s="38"/>
      <c r="R122" s="38"/>
      <c r="S122" s="38"/>
      <c r="T122" s="38"/>
    </row>
    <row r="123" spans="1:20" ht="15.75" thickBot="1" x14ac:dyDescent="0.3">
      <c r="A123" s="31" t="s">
        <v>105</v>
      </c>
      <c r="B123" s="25">
        <v>2689.8058252427186</v>
      </c>
      <c r="C123" s="25">
        <v>2597.826086956522</v>
      </c>
      <c r="D123" s="25">
        <v>2701.2907869621899</v>
      </c>
      <c r="E123" s="22"/>
      <c r="F123" s="2" t="s">
        <v>71</v>
      </c>
      <c r="G123" s="2"/>
      <c r="H123" s="2"/>
      <c r="I123" s="2"/>
      <c r="J123" s="2"/>
      <c r="K123" s="2"/>
      <c r="L123" s="2"/>
      <c r="M123" s="22"/>
      <c r="N123" s="38" t="s">
        <v>71</v>
      </c>
      <c r="O123" s="38"/>
      <c r="P123" s="38"/>
      <c r="Q123" s="38"/>
      <c r="R123" s="38"/>
      <c r="S123" s="38"/>
      <c r="T123" s="38"/>
    </row>
    <row r="124" spans="1:20" x14ac:dyDescent="0.25">
      <c r="A124" s="31" t="s">
        <v>106</v>
      </c>
      <c r="B124" s="25">
        <v>2617.859487852922</v>
      </c>
      <c r="C124" s="25">
        <v>2648.92051030422</v>
      </c>
      <c r="D124" s="25">
        <v>2842.7939214981889</v>
      </c>
      <c r="E124" s="22"/>
      <c r="F124" s="33" t="s">
        <v>72</v>
      </c>
      <c r="G124" s="33" t="s">
        <v>73</v>
      </c>
      <c r="H124" s="33" t="s">
        <v>74</v>
      </c>
      <c r="I124" s="33" t="s">
        <v>75</v>
      </c>
      <c r="J124" s="33" t="s">
        <v>76</v>
      </c>
      <c r="K124" s="2"/>
      <c r="L124" s="2"/>
      <c r="M124" s="22"/>
      <c r="N124" s="27" t="s">
        <v>72</v>
      </c>
      <c r="O124" s="27" t="s">
        <v>73</v>
      </c>
      <c r="P124" s="27" t="s">
        <v>74</v>
      </c>
      <c r="Q124" s="27" t="s">
        <v>75</v>
      </c>
      <c r="R124" s="27" t="s">
        <v>76</v>
      </c>
      <c r="S124" s="38"/>
      <c r="T124" s="38"/>
    </row>
    <row r="125" spans="1:20" x14ac:dyDescent="0.25">
      <c r="A125" s="31" t="s">
        <v>107</v>
      </c>
      <c r="B125" s="25">
        <v>2756.3517915309444</v>
      </c>
      <c r="C125" s="25">
        <v>2770.7362534948738</v>
      </c>
      <c r="D125" s="25">
        <v>2833.7938617239902</v>
      </c>
      <c r="E125" s="22"/>
      <c r="F125" s="2" t="s">
        <v>77</v>
      </c>
      <c r="G125" s="2">
        <v>8</v>
      </c>
      <c r="H125" s="2">
        <v>3002.7705405355632</v>
      </c>
      <c r="I125" s="2">
        <v>375.3463175669454</v>
      </c>
      <c r="J125" s="2">
        <v>855909.62622042478</v>
      </c>
      <c r="K125" s="2"/>
      <c r="L125" s="2"/>
      <c r="M125" s="22"/>
      <c r="N125" s="38" t="s">
        <v>77</v>
      </c>
      <c r="O125" s="38">
        <v>7</v>
      </c>
      <c r="P125" s="38">
        <v>18650.136932544785</v>
      </c>
      <c r="Q125" s="38">
        <v>2664.3052760778264</v>
      </c>
      <c r="R125" s="38">
        <v>3320.6073825600811</v>
      </c>
      <c r="S125" s="38"/>
      <c r="T125" s="38"/>
    </row>
    <row r="126" spans="1:20" x14ac:dyDescent="0.25">
      <c r="A126" s="31" t="s">
        <v>108</v>
      </c>
      <c r="B126" s="25">
        <v>2635.8520900321546</v>
      </c>
      <c r="C126" s="25">
        <v>2507.8125</v>
      </c>
      <c r="D126" s="25">
        <v>2723.2843600586152</v>
      </c>
      <c r="E126" s="22"/>
      <c r="F126" s="2" t="s">
        <v>78</v>
      </c>
      <c r="G126" s="2">
        <v>8</v>
      </c>
      <c r="H126" s="2">
        <v>3334.2697610861246</v>
      </c>
      <c r="I126" s="2">
        <v>416.78372013576558</v>
      </c>
      <c r="J126" s="2">
        <v>793008.38263297791</v>
      </c>
      <c r="K126" s="2"/>
      <c r="L126" s="2"/>
      <c r="M126" s="22"/>
      <c r="N126" s="38" t="s">
        <v>78</v>
      </c>
      <c r="O126" s="38">
        <v>7</v>
      </c>
      <c r="P126" s="38">
        <v>18315.073142553087</v>
      </c>
      <c r="Q126" s="38">
        <v>2616.4390203647267</v>
      </c>
      <c r="R126" s="38">
        <v>15829.147684229834</v>
      </c>
      <c r="S126" s="38"/>
      <c r="T126" s="38"/>
    </row>
    <row r="127" spans="1:20" ht="15.75" thickBot="1" x14ac:dyDescent="0.3">
      <c r="A127" s="31" t="s">
        <v>109</v>
      </c>
      <c r="B127" s="25">
        <v>2715.9908436886853</v>
      </c>
      <c r="C127" s="25">
        <v>2788.5756676557862</v>
      </c>
      <c r="D127" s="25">
        <v>2836.8823275147424</v>
      </c>
      <c r="E127" s="22"/>
      <c r="F127" s="34" t="s">
        <v>79</v>
      </c>
      <c r="G127" s="34">
        <v>8</v>
      </c>
      <c r="H127" s="34">
        <v>3219.1202879087041</v>
      </c>
      <c r="I127" s="34">
        <v>402.39003598858801</v>
      </c>
      <c r="J127" s="34">
        <v>950645.6411458028</v>
      </c>
      <c r="K127" s="2"/>
      <c r="L127" s="2"/>
      <c r="M127" s="22"/>
      <c r="N127" s="39" t="s">
        <v>79</v>
      </c>
      <c r="O127" s="39">
        <v>7</v>
      </c>
      <c r="P127" s="39">
        <v>19695.578814730441</v>
      </c>
      <c r="Q127" s="39">
        <v>2813.6541163900629</v>
      </c>
      <c r="R127" s="39">
        <v>5535.3216408417602</v>
      </c>
      <c r="S127" s="38"/>
      <c r="T127" s="38"/>
    </row>
    <row r="128" spans="1:20" x14ac:dyDescent="0.25">
      <c r="A128" s="22"/>
      <c r="B128" s="22"/>
      <c r="C128" s="22"/>
      <c r="D128" s="22"/>
      <c r="E128" s="22"/>
      <c r="F128" s="2"/>
      <c r="G128" s="2"/>
      <c r="H128" s="2"/>
      <c r="I128" s="2"/>
      <c r="J128" s="2"/>
      <c r="K128" s="2"/>
      <c r="L128" s="2"/>
      <c r="M128" s="22"/>
      <c r="N128" s="38"/>
      <c r="O128" s="38"/>
      <c r="P128" s="38"/>
      <c r="Q128" s="38"/>
      <c r="R128" s="38"/>
      <c r="S128" s="38"/>
      <c r="T128" s="38"/>
    </row>
    <row r="129" spans="1:20" x14ac:dyDescent="0.25">
      <c r="A129" s="29" t="s">
        <v>30</v>
      </c>
      <c r="B129" s="29">
        <f>AVERAGE(B121:B127)</f>
        <v>2664.3052760778264</v>
      </c>
      <c r="C129" s="29">
        <f t="shared" ref="C129:D129" si="16">AVERAGE(C121:C127)</f>
        <v>2616.4390203647267</v>
      </c>
      <c r="D129" s="29">
        <f t="shared" si="16"/>
        <v>2813.6541163900629</v>
      </c>
      <c r="E129" s="22"/>
      <c r="F129" s="2"/>
      <c r="G129" s="2"/>
      <c r="H129" s="2"/>
      <c r="I129" s="2"/>
      <c r="J129" s="2"/>
      <c r="K129" s="2"/>
      <c r="L129" s="2"/>
      <c r="M129" s="22"/>
      <c r="N129" s="38"/>
      <c r="O129" s="38"/>
      <c r="P129" s="38"/>
      <c r="Q129" s="38"/>
      <c r="R129" s="38"/>
      <c r="S129" s="38"/>
      <c r="T129" s="38"/>
    </row>
    <row r="130" spans="1:20" ht="15.75" thickBot="1" x14ac:dyDescent="0.3">
      <c r="A130" s="29"/>
      <c r="B130" s="85" t="s">
        <v>101</v>
      </c>
      <c r="C130" s="85"/>
      <c r="D130" s="85"/>
      <c r="E130" s="22"/>
      <c r="F130" s="2" t="s">
        <v>80</v>
      </c>
      <c r="G130" s="2"/>
      <c r="H130" s="2"/>
      <c r="I130" s="2"/>
      <c r="J130" s="2"/>
      <c r="K130" s="2"/>
      <c r="L130" s="2"/>
      <c r="M130" s="22"/>
      <c r="N130" s="38" t="s">
        <v>80</v>
      </c>
      <c r="O130" s="38"/>
      <c r="P130" s="38"/>
      <c r="Q130" s="38"/>
      <c r="R130" s="38"/>
      <c r="S130" s="38"/>
      <c r="T130" s="38"/>
    </row>
    <row r="131" spans="1:20" x14ac:dyDescent="0.25">
      <c r="A131" s="22"/>
      <c r="B131" s="23" t="s">
        <v>67</v>
      </c>
      <c r="C131" s="23" t="s">
        <v>68</v>
      </c>
      <c r="D131" s="23" t="s">
        <v>69</v>
      </c>
      <c r="E131" s="22"/>
      <c r="F131" s="33" t="s">
        <v>81</v>
      </c>
      <c r="G131" s="33" t="s">
        <v>82</v>
      </c>
      <c r="H131" s="33" t="s">
        <v>83</v>
      </c>
      <c r="I131" s="33" t="s">
        <v>84</v>
      </c>
      <c r="J131" s="33" t="s">
        <v>85</v>
      </c>
      <c r="K131" s="33" t="s">
        <v>86</v>
      </c>
      <c r="L131" s="33" t="s">
        <v>87</v>
      </c>
      <c r="M131" s="22"/>
      <c r="N131" s="38" t="s">
        <v>81</v>
      </c>
      <c r="O131" s="38" t="s">
        <v>82</v>
      </c>
      <c r="P131" s="38" t="s">
        <v>83</v>
      </c>
      <c r="Q131" s="38" t="s">
        <v>84</v>
      </c>
      <c r="R131" s="38" t="s">
        <v>85</v>
      </c>
      <c r="S131" s="38" t="s">
        <v>86</v>
      </c>
      <c r="T131" s="38" t="s">
        <v>87</v>
      </c>
    </row>
    <row r="132" spans="1:20" x14ac:dyDescent="0.25">
      <c r="A132" s="31" t="s">
        <v>103</v>
      </c>
      <c r="B132" s="25">
        <f>ABS(B121-B$129)</f>
        <v>66.050589587845934</v>
      </c>
      <c r="C132" s="25">
        <f t="shared" ref="C132:D132" si="17">ABS(C121-C$129)</f>
        <v>143.2071932527424</v>
      </c>
      <c r="D132" s="25">
        <f t="shared" si="17"/>
        <v>32.355111217995272</v>
      </c>
      <c r="E132" s="22"/>
      <c r="F132" s="2" t="s">
        <v>88</v>
      </c>
      <c r="G132" s="2">
        <v>7081.5978161245584</v>
      </c>
      <c r="H132" s="2">
        <v>2</v>
      </c>
      <c r="I132" s="2">
        <v>3540.7989080622792</v>
      </c>
      <c r="J132" s="2">
        <v>4.0862229798412841E-3</v>
      </c>
      <c r="K132" s="2">
        <v>0.99592290592767219</v>
      </c>
      <c r="L132" s="2">
        <v>3.4668001115424172</v>
      </c>
      <c r="M132" s="22"/>
      <c r="N132" s="38" t="s">
        <v>88</v>
      </c>
      <c r="O132" s="38">
        <v>148143.44682406305</v>
      </c>
      <c r="P132" s="38">
        <v>2</v>
      </c>
      <c r="Q132" s="38">
        <v>74071.723412031526</v>
      </c>
      <c r="R132" s="38">
        <v>9.0020044445474294</v>
      </c>
      <c r="S132" s="38">
        <v>1.9511686240742242E-3</v>
      </c>
      <c r="T132" s="38">
        <v>3.5545571456617879</v>
      </c>
    </row>
    <row r="133" spans="1:20" x14ac:dyDescent="0.25">
      <c r="A133" s="31" t="s">
        <v>104</v>
      </c>
      <c r="B133" s="25">
        <f t="shared" ref="B133:D133" si="18">ABS(B122-B$129)</f>
        <v>28.283068370445562</v>
      </c>
      <c r="C133" s="25">
        <f t="shared" si="18"/>
        <v>88.468723335024151</v>
      </c>
      <c r="D133" s="25">
        <f t="shared" si="18"/>
        <v>97.870212974592505</v>
      </c>
      <c r="E133" s="22"/>
      <c r="F133" s="2" t="s">
        <v>89</v>
      </c>
      <c r="G133" s="2">
        <v>18196945.549994439</v>
      </c>
      <c r="H133" s="2">
        <v>21</v>
      </c>
      <c r="I133" s="2">
        <v>866521.21666640183</v>
      </c>
      <c r="J133" s="2"/>
      <c r="K133" s="2"/>
      <c r="L133" s="2"/>
      <c r="M133" s="22"/>
      <c r="N133" s="38" t="s">
        <v>89</v>
      </c>
      <c r="O133" s="38">
        <v>148110.46024579005</v>
      </c>
      <c r="P133" s="38">
        <v>18</v>
      </c>
      <c r="Q133" s="38">
        <v>8228.3589025438923</v>
      </c>
      <c r="R133" s="38"/>
      <c r="S133" s="38"/>
      <c r="T133" s="38"/>
    </row>
    <row r="134" spans="1:20" x14ac:dyDescent="0.25">
      <c r="A134" s="31" t="s">
        <v>105</v>
      </c>
      <c r="B134" s="25">
        <f t="shared" ref="B134:D134" si="19">ABS(B123-B$129)</f>
        <v>25.500549164892163</v>
      </c>
      <c r="C134" s="25">
        <f t="shared" si="19"/>
        <v>18.612933408204754</v>
      </c>
      <c r="D134" s="25">
        <f t="shared" si="19"/>
        <v>112.36332942787294</v>
      </c>
      <c r="E134" s="22"/>
      <c r="F134" s="2"/>
      <c r="G134" s="2"/>
      <c r="H134" s="2"/>
      <c r="I134" s="2"/>
      <c r="J134" s="2"/>
      <c r="K134" s="2"/>
      <c r="L134" s="2"/>
      <c r="M134" s="22"/>
      <c r="N134" s="38"/>
      <c r="O134" s="38"/>
      <c r="P134" s="38"/>
      <c r="Q134" s="38"/>
      <c r="R134" s="38"/>
      <c r="S134" s="38"/>
      <c r="T134" s="38"/>
    </row>
    <row r="135" spans="1:20" ht="15.75" thickBot="1" x14ac:dyDescent="0.3">
      <c r="A135" s="31" t="s">
        <v>106</v>
      </c>
      <c r="B135" s="25">
        <f t="shared" ref="B135:D135" si="20">ABS(B124-B$129)</f>
        <v>46.445788224904391</v>
      </c>
      <c r="C135" s="25">
        <f t="shared" si="20"/>
        <v>32.481489939493258</v>
      </c>
      <c r="D135" s="25">
        <f t="shared" si="20"/>
        <v>29.139805108125984</v>
      </c>
      <c r="E135" s="22"/>
      <c r="F135" s="34" t="s">
        <v>90</v>
      </c>
      <c r="G135" s="34">
        <v>18204027.147810563</v>
      </c>
      <c r="H135" s="34">
        <v>23</v>
      </c>
      <c r="I135" s="34"/>
      <c r="J135" s="34"/>
      <c r="K135" s="34"/>
      <c r="L135" s="34"/>
      <c r="M135" s="22"/>
      <c r="N135" s="38" t="s">
        <v>90</v>
      </c>
      <c r="O135" s="38">
        <v>296253.9070698531</v>
      </c>
      <c r="P135" s="38">
        <v>20</v>
      </c>
      <c r="Q135" s="38"/>
      <c r="R135" s="38"/>
      <c r="S135" s="38"/>
      <c r="T135" s="38"/>
    </row>
    <row r="136" spans="1:20" x14ac:dyDescent="0.25">
      <c r="A136" s="31" t="s">
        <v>107</v>
      </c>
      <c r="B136" s="25">
        <f t="shared" ref="B136:D136" si="21">ABS(B125-B$129)</f>
        <v>92.046515453117991</v>
      </c>
      <c r="C136" s="25">
        <f t="shared" si="21"/>
        <v>154.29723313014711</v>
      </c>
      <c r="D136" s="25">
        <f t="shared" si="21"/>
        <v>20.139745333927294</v>
      </c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</row>
    <row r="137" spans="1:20" x14ac:dyDescent="0.25">
      <c r="A137" s="31" t="s">
        <v>108</v>
      </c>
      <c r="B137" s="25">
        <f t="shared" ref="B137:D137" si="22">ABS(B126-B$129)</f>
        <v>28.453186045671828</v>
      </c>
      <c r="C137" s="25">
        <f t="shared" si="22"/>
        <v>108.62652036472673</v>
      </c>
      <c r="D137" s="25">
        <f t="shared" si="22"/>
        <v>90.369756331447661</v>
      </c>
      <c r="E137" s="22"/>
      <c r="F137" s="97" t="s">
        <v>91</v>
      </c>
      <c r="G137" s="98">
        <f>3.61*SQRT(Q133/7)</f>
        <v>123.76983018827571</v>
      </c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</row>
    <row r="138" spans="1:20" x14ac:dyDescent="0.25">
      <c r="A138" s="31" t="s">
        <v>109</v>
      </c>
      <c r="B138" s="25">
        <f t="shared" ref="B138:D138" si="23">ABS(B127-B$129)</f>
        <v>51.685567610858925</v>
      </c>
      <c r="C138" s="25">
        <f t="shared" si="23"/>
        <v>172.13664729105949</v>
      </c>
      <c r="D138" s="25">
        <f t="shared" si="23"/>
        <v>23.228211124679547</v>
      </c>
      <c r="E138" s="22"/>
      <c r="F138" s="98" t="s">
        <v>92</v>
      </c>
      <c r="G138" s="98" t="str">
        <f>IF(ABS(Q125-Q126)&gt;G137, "true", "false")</f>
        <v>false</v>
      </c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</row>
    <row r="139" spans="1:20" x14ac:dyDescent="0.25">
      <c r="A139" s="22"/>
      <c r="B139" s="22"/>
      <c r="C139" s="22"/>
      <c r="D139" s="22"/>
      <c r="E139" s="22"/>
      <c r="F139" s="98" t="s">
        <v>93</v>
      </c>
      <c r="G139" s="98" t="str">
        <f>IF(ABS(Q125-Q127)&gt;G137, "true", "false")</f>
        <v>true</v>
      </c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</row>
    <row r="140" spans="1:20" x14ac:dyDescent="0.25">
      <c r="A140" s="22"/>
      <c r="B140" s="22"/>
      <c r="C140" s="22"/>
      <c r="D140" s="22"/>
      <c r="E140" s="22"/>
      <c r="F140" s="98" t="s">
        <v>94</v>
      </c>
      <c r="G140" s="98" t="str">
        <f>IF(ABS(Q126-Q127)&gt;G137, "true", "false")</f>
        <v>true</v>
      </c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</row>
    <row r="141" spans="1:20" x14ac:dyDescent="0.25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</row>
    <row r="142" spans="1:20" x14ac:dyDescent="0.25">
      <c r="A142" s="22"/>
      <c r="B142" s="22"/>
      <c r="C142" s="22"/>
      <c r="D142" s="22"/>
      <c r="E142" s="22"/>
      <c r="F142" s="29" t="s">
        <v>9</v>
      </c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</row>
    <row r="143" spans="1:20" x14ac:dyDescent="0.25">
      <c r="A143" s="22"/>
      <c r="B143" s="22"/>
      <c r="C143" s="22"/>
      <c r="D143" s="22"/>
      <c r="E143" s="22"/>
      <c r="F143" s="25" t="s">
        <v>91</v>
      </c>
      <c r="G143" s="25">
        <f>3.61*SQRT(Q133/7)</f>
        <v>123.76983018827571</v>
      </c>
      <c r="H143" s="25" t="s">
        <v>95</v>
      </c>
      <c r="I143" s="25" t="s">
        <v>96</v>
      </c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</row>
    <row r="144" spans="1:20" x14ac:dyDescent="0.25">
      <c r="A144" s="22"/>
      <c r="B144" s="22"/>
      <c r="C144" s="22"/>
      <c r="D144" s="22"/>
      <c r="E144" s="22"/>
      <c r="F144" s="25" t="s">
        <v>97</v>
      </c>
      <c r="G144" s="25">
        <f>Q125-Q126</f>
        <v>47.86625571309969</v>
      </c>
      <c r="H144" s="25">
        <v>123.76983018827571</v>
      </c>
      <c r="I144" s="25">
        <v>123.76983018827571</v>
      </c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</row>
    <row r="145" spans="1:21" x14ac:dyDescent="0.25">
      <c r="A145" s="22"/>
      <c r="B145" s="22"/>
      <c r="C145" s="22"/>
      <c r="D145" s="22"/>
      <c r="E145" s="22"/>
      <c r="F145" s="25" t="s">
        <v>98</v>
      </c>
      <c r="G145" s="25">
        <f>Q125-Q127</f>
        <v>-149.34884031223646</v>
      </c>
      <c r="H145" s="25">
        <v>123.76983018827571</v>
      </c>
      <c r="I145" s="25">
        <v>123.76983018827571</v>
      </c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</row>
    <row r="146" spans="1:21" x14ac:dyDescent="0.25">
      <c r="A146" s="22"/>
      <c r="B146" s="22"/>
      <c r="C146" s="22"/>
      <c r="D146" s="22"/>
      <c r="E146" s="22"/>
      <c r="F146" s="25" t="s">
        <v>99</v>
      </c>
      <c r="G146" s="25">
        <f>Q126-Q127</f>
        <v>-197.21509602533615</v>
      </c>
      <c r="H146" s="25">
        <v>123.76983018827571</v>
      </c>
      <c r="I146" s="25">
        <v>123.76983018827571</v>
      </c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</row>
    <row r="147" spans="1:21" x14ac:dyDescent="0.25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</row>
    <row r="156" spans="1:21" x14ac:dyDescent="0.25">
      <c r="A156" s="84" t="s">
        <v>112</v>
      </c>
      <c r="B156" s="84"/>
      <c r="C156" s="84"/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</row>
    <row r="157" spans="1:21" x14ac:dyDescent="0.25">
      <c r="A157" s="84"/>
      <c r="B157" s="84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</row>
    <row r="158" spans="1:21" x14ac:dyDescent="0.25">
      <c r="B158" s="85" t="s">
        <v>101</v>
      </c>
      <c r="C158" s="85"/>
      <c r="D158" s="85"/>
    </row>
    <row r="159" spans="1:21" x14ac:dyDescent="0.25">
      <c r="A159" s="22"/>
      <c r="B159" s="23" t="s">
        <v>67</v>
      </c>
      <c r="C159" s="23" t="s">
        <v>68</v>
      </c>
      <c r="D159" s="23" t="s">
        <v>69</v>
      </c>
      <c r="E159" s="22"/>
      <c r="F159" s="32"/>
      <c r="G159" s="32"/>
      <c r="H159" s="32"/>
      <c r="I159" s="32"/>
      <c r="J159" s="32"/>
      <c r="K159" s="32"/>
      <c r="L159" s="32"/>
      <c r="M159" s="22"/>
      <c r="N159" s="24"/>
      <c r="O159" s="24"/>
      <c r="P159" s="24"/>
      <c r="Q159" s="24"/>
      <c r="R159" s="24"/>
      <c r="S159" s="24"/>
      <c r="T159" s="24"/>
      <c r="U159" s="22"/>
    </row>
    <row r="160" spans="1:21" x14ac:dyDescent="0.25">
      <c r="A160" s="31" t="s">
        <v>103</v>
      </c>
      <c r="B160" s="25">
        <v>448.12540400775697</v>
      </c>
      <c r="C160" s="25">
        <v>428.53634577603145</v>
      </c>
      <c r="D160" s="25">
        <v>492.38292922460204</v>
      </c>
      <c r="E160" s="22"/>
      <c r="F160" s="2" t="s">
        <v>70</v>
      </c>
      <c r="G160" s="2"/>
      <c r="H160" s="2"/>
      <c r="I160" s="2"/>
      <c r="J160" s="2"/>
      <c r="K160" s="2"/>
      <c r="L160" s="2"/>
      <c r="M160" s="22"/>
      <c r="N160" s="26" t="s">
        <v>70</v>
      </c>
      <c r="O160" s="26"/>
      <c r="P160" s="26"/>
      <c r="Q160" s="26"/>
      <c r="R160" s="26"/>
      <c r="S160" s="26"/>
      <c r="T160" s="26"/>
      <c r="U160" s="22"/>
    </row>
    <row r="161" spans="1:21" x14ac:dyDescent="0.25">
      <c r="A161" s="31" t="s">
        <v>104</v>
      </c>
      <c r="B161" s="25">
        <v>456.56433703461784</v>
      </c>
      <c r="C161" s="25">
        <v>436.38613861386136</v>
      </c>
      <c r="D161" s="25">
        <v>502.07670962322851</v>
      </c>
      <c r="E161" s="22"/>
      <c r="F161" s="2"/>
      <c r="G161" s="2"/>
      <c r="H161" s="2"/>
      <c r="I161" s="2"/>
      <c r="J161" s="2"/>
      <c r="K161" s="2"/>
      <c r="L161" s="2"/>
      <c r="M161" s="22"/>
      <c r="N161" s="26"/>
      <c r="O161" s="26"/>
      <c r="P161" s="26"/>
      <c r="Q161" s="26"/>
      <c r="R161" s="26"/>
      <c r="S161" s="26"/>
      <c r="T161" s="26"/>
      <c r="U161" s="22"/>
    </row>
    <row r="162" spans="1:21" ht="15.75" thickBot="1" x14ac:dyDescent="0.3">
      <c r="A162" s="31" t="s">
        <v>105</v>
      </c>
      <c r="B162" s="25">
        <v>469.74110032362461</v>
      </c>
      <c r="C162" s="25">
        <v>445.40513833992094</v>
      </c>
      <c r="D162" s="25">
        <v>474.47113691276314</v>
      </c>
      <c r="E162" s="22"/>
      <c r="F162" s="2" t="s">
        <v>71</v>
      </c>
      <c r="G162" s="2"/>
      <c r="H162" s="2"/>
      <c r="I162" s="2"/>
      <c r="J162" s="2"/>
      <c r="K162" s="2"/>
      <c r="L162" s="2"/>
      <c r="M162" s="22"/>
      <c r="N162" s="26" t="s">
        <v>71</v>
      </c>
      <c r="O162" s="26"/>
      <c r="P162" s="26"/>
      <c r="Q162" s="26"/>
      <c r="R162" s="26"/>
      <c r="S162" s="26"/>
      <c r="T162" s="26"/>
      <c r="U162" s="22"/>
    </row>
    <row r="163" spans="1:21" x14ac:dyDescent="0.25">
      <c r="A163" s="31" t="s">
        <v>106</v>
      </c>
      <c r="B163" s="25">
        <v>454.36638214051214</v>
      </c>
      <c r="C163" s="25">
        <v>454.85770363101079</v>
      </c>
      <c r="D163" s="25">
        <v>503.47538134525155</v>
      </c>
      <c r="E163" s="22"/>
      <c r="F163" s="33" t="s">
        <v>72</v>
      </c>
      <c r="G163" s="33" t="s">
        <v>73</v>
      </c>
      <c r="H163" s="33" t="s">
        <v>74</v>
      </c>
      <c r="I163" s="33" t="s">
        <v>75</v>
      </c>
      <c r="J163" s="33" t="s">
        <v>76</v>
      </c>
      <c r="K163" s="2"/>
      <c r="L163" s="2"/>
      <c r="M163" s="22"/>
      <c r="N163" s="27" t="s">
        <v>72</v>
      </c>
      <c r="O163" s="27" t="s">
        <v>73</v>
      </c>
      <c r="P163" s="27" t="s">
        <v>74</v>
      </c>
      <c r="Q163" s="27" t="s">
        <v>75</v>
      </c>
      <c r="R163" s="27" t="s">
        <v>76</v>
      </c>
      <c r="S163" s="26"/>
      <c r="T163" s="26"/>
      <c r="U163" s="22"/>
    </row>
    <row r="164" spans="1:21" x14ac:dyDescent="0.25">
      <c r="A164" s="31" t="s">
        <v>107</v>
      </c>
      <c r="B164" s="25">
        <v>473.61563517915306</v>
      </c>
      <c r="C164" s="25">
        <v>480.66169617893752</v>
      </c>
      <c r="D164" s="25">
        <v>489.39484048962061</v>
      </c>
      <c r="E164" s="22"/>
      <c r="F164" s="2" t="s">
        <v>77</v>
      </c>
      <c r="G164" s="2">
        <v>8</v>
      </c>
      <c r="H164" s="2">
        <v>520.14097690760491</v>
      </c>
      <c r="I164" s="2">
        <v>65.017622113450614</v>
      </c>
      <c r="J164" s="2">
        <v>25462.482464948611</v>
      </c>
      <c r="K164" s="2"/>
      <c r="L164" s="2"/>
      <c r="M164" s="22"/>
      <c r="N164" s="26" t="s">
        <v>77</v>
      </c>
      <c r="O164" s="26">
        <v>7</v>
      </c>
      <c r="P164" s="26">
        <v>3218.891485196908</v>
      </c>
      <c r="Q164" s="26">
        <v>459.84164074241545</v>
      </c>
      <c r="R164" s="26">
        <v>100.22869604388369</v>
      </c>
      <c r="S164" s="26"/>
      <c r="T164" s="26"/>
      <c r="U164" s="22"/>
    </row>
    <row r="165" spans="1:21" x14ac:dyDescent="0.25">
      <c r="A165" s="31" t="s">
        <v>108</v>
      </c>
      <c r="B165" s="25">
        <v>450.16077170418004</v>
      </c>
      <c r="C165" s="25">
        <v>434.326171875</v>
      </c>
      <c r="D165" s="25">
        <v>483.24454448359904</v>
      </c>
      <c r="E165" s="22"/>
      <c r="F165" s="2" t="s">
        <v>78</v>
      </c>
      <c r="G165" s="2">
        <v>8</v>
      </c>
      <c r="H165" s="2">
        <v>582.00029491922942</v>
      </c>
      <c r="I165" s="2">
        <v>72.750036864903677</v>
      </c>
      <c r="J165" s="2">
        <v>23636.869908918743</v>
      </c>
      <c r="K165" s="2"/>
      <c r="L165" s="2"/>
      <c r="M165" s="22"/>
      <c r="N165" s="26" t="s">
        <v>78</v>
      </c>
      <c r="O165" s="26">
        <v>7</v>
      </c>
      <c r="P165" s="26">
        <v>3166.5727987668888</v>
      </c>
      <c r="Q165" s="26">
        <v>452.36754268098412</v>
      </c>
      <c r="R165" s="26">
        <v>527.03976699299699</v>
      </c>
      <c r="S165" s="26"/>
      <c r="T165" s="26"/>
      <c r="U165" s="22"/>
    </row>
    <row r="166" spans="1:21" ht="15.75" thickBot="1" x14ac:dyDescent="0.3">
      <c r="A166" s="31" t="s">
        <v>109</v>
      </c>
      <c r="B166" s="25">
        <v>466.31785480706338</v>
      </c>
      <c r="C166" s="25">
        <v>486.39960435212669</v>
      </c>
      <c r="D166" s="25">
        <v>496.64336484133537</v>
      </c>
      <c r="E166" s="22"/>
      <c r="F166" s="34" t="s">
        <v>79</v>
      </c>
      <c r="G166" s="34">
        <v>8</v>
      </c>
      <c r="H166" s="34">
        <v>547.46786314843462</v>
      </c>
      <c r="I166" s="34">
        <v>68.433482893554327</v>
      </c>
      <c r="J166" s="34">
        <v>29274.13964319697</v>
      </c>
      <c r="K166" s="2"/>
      <c r="L166" s="2"/>
      <c r="M166" s="22"/>
      <c r="N166" s="28" t="s">
        <v>79</v>
      </c>
      <c r="O166" s="28">
        <v>7</v>
      </c>
      <c r="P166" s="28">
        <v>3441.6889069203999</v>
      </c>
      <c r="Q166" s="28">
        <v>491.66984384577142</v>
      </c>
      <c r="R166" s="28">
        <v>107.47913376544722</v>
      </c>
      <c r="S166" s="26"/>
      <c r="T166" s="26"/>
      <c r="U166" s="22"/>
    </row>
    <row r="167" spans="1:21" x14ac:dyDescent="0.25">
      <c r="A167" s="22"/>
      <c r="B167" s="22"/>
      <c r="C167" s="22"/>
      <c r="D167" s="22"/>
      <c r="E167" s="22"/>
      <c r="F167" s="2"/>
      <c r="G167" s="2"/>
      <c r="H167" s="2"/>
      <c r="I167" s="2"/>
      <c r="J167" s="2"/>
      <c r="K167" s="2"/>
      <c r="L167" s="2"/>
      <c r="M167" s="22"/>
      <c r="N167" s="26"/>
      <c r="O167" s="26"/>
      <c r="P167" s="26"/>
      <c r="Q167" s="26"/>
      <c r="R167" s="26"/>
      <c r="S167" s="26"/>
      <c r="T167" s="26"/>
      <c r="U167" s="22"/>
    </row>
    <row r="168" spans="1:21" x14ac:dyDescent="0.25">
      <c r="A168" s="29" t="s">
        <v>30</v>
      </c>
      <c r="B168" s="29">
        <f>AVERAGE(B160:B166)</f>
        <v>459.84164074241545</v>
      </c>
      <c r="C168" s="29">
        <f t="shared" ref="C168:D168" si="24">AVERAGE(C160:C166)</f>
        <v>452.36754268098412</v>
      </c>
      <c r="D168" s="29">
        <f t="shared" si="24"/>
        <v>491.66984384577142</v>
      </c>
      <c r="E168" s="22"/>
      <c r="F168" s="2"/>
      <c r="G168" s="2"/>
      <c r="H168" s="2"/>
      <c r="I168" s="2"/>
      <c r="J168" s="2"/>
      <c r="K168" s="2"/>
      <c r="L168" s="2"/>
      <c r="M168" s="22"/>
      <c r="N168" s="26"/>
      <c r="O168" s="26"/>
      <c r="P168" s="26"/>
      <c r="Q168" s="26"/>
      <c r="R168" s="26"/>
      <c r="S168" s="26"/>
      <c r="T168" s="26"/>
      <c r="U168" s="22"/>
    </row>
    <row r="169" spans="1:21" ht="15.75" thickBot="1" x14ac:dyDescent="0.3">
      <c r="A169" s="29"/>
      <c r="B169" s="85" t="s">
        <v>101</v>
      </c>
      <c r="C169" s="85"/>
      <c r="D169" s="85"/>
      <c r="E169" s="22"/>
      <c r="F169" s="2" t="s">
        <v>80</v>
      </c>
      <c r="G169" s="2"/>
      <c r="H169" s="2"/>
      <c r="I169" s="2"/>
      <c r="J169" s="2"/>
      <c r="K169" s="2"/>
      <c r="L169" s="2"/>
      <c r="M169" s="22"/>
      <c r="N169" s="26" t="s">
        <v>80</v>
      </c>
      <c r="O169" s="26"/>
      <c r="P169" s="26"/>
      <c r="Q169" s="26"/>
      <c r="R169" s="26"/>
      <c r="S169" s="26"/>
      <c r="T169" s="26"/>
      <c r="U169" s="22"/>
    </row>
    <row r="170" spans="1:21" x14ac:dyDescent="0.25">
      <c r="A170" s="22"/>
      <c r="B170" s="23" t="s">
        <v>67</v>
      </c>
      <c r="C170" s="23" t="s">
        <v>68</v>
      </c>
      <c r="D170" s="23" t="s">
        <v>69</v>
      </c>
      <c r="E170" s="22"/>
      <c r="F170" s="33" t="s">
        <v>81</v>
      </c>
      <c r="G170" s="33" t="s">
        <v>82</v>
      </c>
      <c r="H170" s="33" t="s">
        <v>83</v>
      </c>
      <c r="I170" s="33" t="s">
        <v>84</v>
      </c>
      <c r="J170" s="33" t="s">
        <v>85</v>
      </c>
      <c r="K170" s="33" t="s">
        <v>86</v>
      </c>
      <c r="L170" s="33" t="s">
        <v>87</v>
      </c>
      <c r="M170" s="22"/>
      <c r="N170" s="27" t="s">
        <v>81</v>
      </c>
      <c r="O170" s="27" t="s">
        <v>82</v>
      </c>
      <c r="P170" s="27" t="s">
        <v>83</v>
      </c>
      <c r="Q170" s="27" t="s">
        <v>84</v>
      </c>
      <c r="R170" s="27" t="s">
        <v>85</v>
      </c>
      <c r="S170" s="27" t="s">
        <v>86</v>
      </c>
      <c r="T170" s="27" t="s">
        <v>87</v>
      </c>
      <c r="U170" s="22"/>
    </row>
    <row r="171" spans="1:21" x14ac:dyDescent="0.25">
      <c r="A171" s="31" t="s">
        <v>103</v>
      </c>
      <c r="B171" s="25">
        <f>ABS(B160-B$168)</f>
        <v>11.71623673465848</v>
      </c>
      <c r="C171" s="25">
        <f t="shared" ref="C171:D171" si="25">ABS(C160-C$168)</f>
        <v>23.831196904952662</v>
      </c>
      <c r="D171" s="25">
        <f t="shared" si="25"/>
        <v>0.71308537883061263</v>
      </c>
      <c r="E171" s="22"/>
      <c r="F171" s="2" t="s">
        <v>88</v>
      </c>
      <c r="G171" s="2">
        <v>240.24261585366912</v>
      </c>
      <c r="H171" s="2">
        <v>2</v>
      </c>
      <c r="I171" s="2">
        <v>120.12130792683456</v>
      </c>
      <c r="J171" s="2">
        <v>4.5980332699995224E-3</v>
      </c>
      <c r="K171" s="2">
        <v>0.99541352334889099</v>
      </c>
      <c r="L171" s="2">
        <v>3.4668001115424172</v>
      </c>
      <c r="M171" s="22"/>
      <c r="N171" s="26" t="s">
        <v>88</v>
      </c>
      <c r="O171" s="26">
        <v>6098.3242400920481</v>
      </c>
      <c r="P171" s="26">
        <v>2</v>
      </c>
      <c r="Q171" s="26">
        <v>3049.162120046024</v>
      </c>
      <c r="R171" s="26">
        <v>12.449835018104942</v>
      </c>
      <c r="S171" s="26">
        <v>4.0305747476592602E-4</v>
      </c>
      <c r="T171" s="26">
        <v>3.5545571456617879</v>
      </c>
      <c r="U171" s="22"/>
    </row>
    <row r="172" spans="1:21" x14ac:dyDescent="0.25">
      <c r="A172" s="31" t="s">
        <v>104</v>
      </c>
      <c r="B172" s="25">
        <f t="shared" ref="B172:D172" si="26">ABS(B161-B$168)</f>
        <v>3.2773037077976142</v>
      </c>
      <c r="C172" s="25">
        <f t="shared" si="26"/>
        <v>15.981404067122753</v>
      </c>
      <c r="D172" s="25">
        <f t="shared" si="26"/>
        <v>10.406865777457085</v>
      </c>
      <c r="E172" s="22"/>
      <c r="F172" s="2" t="s">
        <v>89</v>
      </c>
      <c r="G172" s="2">
        <v>548614.44411945017</v>
      </c>
      <c r="H172" s="2">
        <v>21</v>
      </c>
      <c r="I172" s="2">
        <v>26124.497339021436</v>
      </c>
      <c r="J172" s="2"/>
      <c r="K172" s="2"/>
      <c r="L172" s="2"/>
      <c r="M172" s="22"/>
      <c r="N172" s="26" t="s">
        <v>89</v>
      </c>
      <c r="O172" s="26">
        <v>4408.4855808139673</v>
      </c>
      <c r="P172" s="26">
        <v>18</v>
      </c>
      <c r="Q172" s="26">
        <v>244.91586560077596</v>
      </c>
      <c r="R172" s="26"/>
      <c r="S172" s="26"/>
      <c r="T172" s="26"/>
      <c r="U172" s="22"/>
    </row>
    <row r="173" spans="1:21" x14ac:dyDescent="0.25">
      <c r="A173" s="31" t="s">
        <v>105</v>
      </c>
      <c r="B173" s="25">
        <f t="shared" ref="B173:D173" si="27">ABS(B162-B$168)</f>
        <v>9.8994595812091575</v>
      </c>
      <c r="C173" s="25">
        <f t="shared" si="27"/>
        <v>6.9624043410631771</v>
      </c>
      <c r="D173" s="25">
        <f t="shared" si="27"/>
        <v>17.198706933008282</v>
      </c>
      <c r="E173" s="22"/>
      <c r="F173" s="2"/>
      <c r="G173" s="2"/>
      <c r="H173" s="2"/>
      <c r="I173" s="2"/>
      <c r="J173" s="2"/>
      <c r="K173" s="2"/>
      <c r="L173" s="2"/>
      <c r="M173" s="22"/>
      <c r="N173" s="26"/>
      <c r="O173" s="26"/>
      <c r="P173" s="26"/>
      <c r="Q173" s="26"/>
      <c r="R173" s="26"/>
      <c r="S173" s="26"/>
      <c r="T173" s="26"/>
      <c r="U173" s="22"/>
    </row>
    <row r="174" spans="1:21" ht="15.75" thickBot="1" x14ac:dyDescent="0.3">
      <c r="A174" s="31" t="s">
        <v>106</v>
      </c>
      <c r="B174" s="25">
        <f t="shared" ref="B174:D174" si="28">ABS(B163-B$168)</f>
        <v>5.475258601903306</v>
      </c>
      <c r="C174" s="25">
        <f t="shared" si="28"/>
        <v>2.4901609500266773</v>
      </c>
      <c r="D174" s="25">
        <f t="shared" si="28"/>
        <v>11.805537499480124</v>
      </c>
      <c r="E174" s="22"/>
      <c r="F174" s="34" t="s">
        <v>90</v>
      </c>
      <c r="G174" s="34">
        <v>548854.68673530384</v>
      </c>
      <c r="H174" s="34">
        <v>23</v>
      </c>
      <c r="I174" s="34"/>
      <c r="J174" s="34"/>
      <c r="K174" s="34"/>
      <c r="L174" s="34"/>
      <c r="M174" s="22"/>
      <c r="N174" s="28" t="s">
        <v>90</v>
      </c>
      <c r="O174" s="28">
        <v>10506.809820906015</v>
      </c>
      <c r="P174" s="28">
        <v>20</v>
      </c>
      <c r="Q174" s="28"/>
      <c r="R174" s="28"/>
      <c r="S174" s="28"/>
      <c r="T174" s="28"/>
      <c r="U174" s="22"/>
    </row>
    <row r="175" spans="1:21" x14ac:dyDescent="0.25">
      <c r="A175" s="31" t="s">
        <v>107</v>
      </c>
      <c r="B175" s="25">
        <f t="shared" ref="B175:D175" si="29">ABS(B164-B$168)</f>
        <v>13.77399443673761</v>
      </c>
      <c r="C175" s="25">
        <f t="shared" si="29"/>
        <v>28.294153497953403</v>
      </c>
      <c r="D175" s="25">
        <f t="shared" si="29"/>
        <v>2.2750033561508189</v>
      </c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</row>
    <row r="176" spans="1:21" x14ac:dyDescent="0.25">
      <c r="A176" s="31" t="s">
        <v>108</v>
      </c>
      <c r="B176" s="25">
        <f t="shared" ref="B176:D176" si="30">ABS(B165-B$168)</f>
        <v>9.6808690382354143</v>
      </c>
      <c r="C176" s="25">
        <f t="shared" si="30"/>
        <v>18.041370805984116</v>
      </c>
      <c r="D176" s="25">
        <f t="shared" si="30"/>
        <v>8.4252993621723817</v>
      </c>
      <c r="E176" s="22"/>
      <c r="F176" s="97" t="s">
        <v>91</v>
      </c>
      <c r="G176" s="98">
        <f>3.61*SQRT(Q172/7)</f>
        <v>21.35338063598185</v>
      </c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</row>
    <row r="177" spans="1:21" x14ac:dyDescent="0.25">
      <c r="A177" s="31" t="s">
        <v>109</v>
      </c>
      <c r="B177" s="25">
        <f t="shared" ref="B177:D177" si="31">ABS(B166-B$168)</f>
        <v>6.4762140646479338</v>
      </c>
      <c r="C177" s="25">
        <f t="shared" si="31"/>
        <v>34.032061671142571</v>
      </c>
      <c r="D177" s="25">
        <f t="shared" si="31"/>
        <v>4.9735209955639448</v>
      </c>
      <c r="E177" s="22"/>
      <c r="F177" s="98" t="s">
        <v>92</v>
      </c>
      <c r="G177" s="98" t="str">
        <f>IF(ABS(Q164-Q165)&gt;G176, "true", "false")</f>
        <v>false</v>
      </c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</row>
    <row r="178" spans="1:21" x14ac:dyDescent="0.25">
      <c r="A178" s="22"/>
      <c r="B178" s="22"/>
      <c r="C178" s="22"/>
      <c r="D178" s="22"/>
      <c r="E178" s="22"/>
      <c r="F178" s="98" t="s">
        <v>93</v>
      </c>
      <c r="G178" s="98" t="str">
        <f>IF(ABS(Q164-Q166)&gt;G176, "true", "false")</f>
        <v>true</v>
      </c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</row>
    <row r="179" spans="1:21" x14ac:dyDescent="0.25">
      <c r="A179" s="22"/>
      <c r="B179" s="22"/>
      <c r="C179" s="22"/>
      <c r="D179" s="22"/>
      <c r="E179" s="22"/>
      <c r="F179" s="98" t="s">
        <v>94</v>
      </c>
      <c r="G179" s="98" t="str">
        <f>IF(ABS(Q165-Q166)&gt;G176, "true", "false")</f>
        <v>true</v>
      </c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</row>
    <row r="180" spans="1:21" x14ac:dyDescent="0.25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</row>
    <row r="181" spans="1:21" x14ac:dyDescent="0.25">
      <c r="A181" s="22"/>
      <c r="B181" s="22"/>
      <c r="C181" s="22"/>
      <c r="D181" s="22"/>
      <c r="E181" s="22"/>
      <c r="F181" s="29" t="s">
        <v>11</v>
      </c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</row>
    <row r="182" spans="1:21" x14ac:dyDescent="0.25">
      <c r="A182" s="22"/>
      <c r="B182" s="22"/>
      <c r="C182" s="22"/>
      <c r="D182" s="22"/>
      <c r="E182" s="22"/>
      <c r="F182" s="25" t="s">
        <v>91</v>
      </c>
      <c r="G182" s="25">
        <f>3.61*SQRT(Q172/7)</f>
        <v>21.35338063598185</v>
      </c>
      <c r="H182" s="25" t="s">
        <v>95</v>
      </c>
      <c r="I182" s="25" t="s">
        <v>96</v>
      </c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</row>
    <row r="183" spans="1:21" x14ac:dyDescent="0.25">
      <c r="A183" s="22"/>
      <c r="B183" s="22"/>
      <c r="C183" s="22"/>
      <c r="D183" s="22"/>
      <c r="E183" s="22"/>
      <c r="F183" s="25" t="s">
        <v>97</v>
      </c>
      <c r="G183" s="25">
        <f>Q164-Q165</f>
        <v>7.4740980614313344</v>
      </c>
      <c r="H183" s="25">
        <v>21.35338063598185</v>
      </c>
      <c r="I183" s="25">
        <v>21.35338063598185</v>
      </c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</row>
    <row r="184" spans="1:21" x14ac:dyDescent="0.25">
      <c r="A184" s="22"/>
      <c r="B184" s="22"/>
      <c r="C184" s="22"/>
      <c r="D184" s="22"/>
      <c r="E184" s="22"/>
      <c r="F184" s="25" t="s">
        <v>98</v>
      </c>
      <c r="G184" s="25">
        <f>Q164-Q166</f>
        <v>-31.828203103355975</v>
      </c>
      <c r="H184" s="25">
        <v>21.35338063598185</v>
      </c>
      <c r="I184" s="25">
        <v>21.35338063598185</v>
      </c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</row>
    <row r="185" spans="1:21" x14ac:dyDescent="0.25">
      <c r="A185" s="22"/>
      <c r="B185" s="22"/>
      <c r="C185" s="22"/>
      <c r="D185" s="22"/>
      <c r="E185" s="22"/>
      <c r="F185" s="25" t="s">
        <v>99</v>
      </c>
      <c r="G185" s="25">
        <f>Q165-Q166</f>
        <v>-39.302301164787309</v>
      </c>
      <c r="H185" s="25">
        <v>21.35338063598185</v>
      </c>
      <c r="I185" s="25">
        <v>21.35338063598185</v>
      </c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</row>
    <row r="186" spans="1:21" x14ac:dyDescent="0.25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</row>
    <row r="193" spans="1:20" x14ac:dyDescent="0.25">
      <c r="A193" s="84" t="s">
        <v>113</v>
      </c>
      <c r="B193" s="84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</row>
    <row r="194" spans="1:20" x14ac:dyDescent="0.25">
      <c r="A194" s="84"/>
      <c r="B194" s="84"/>
      <c r="C194" s="84"/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</row>
    <row r="195" spans="1:20" x14ac:dyDescent="0.25">
      <c r="B195" s="85" t="s">
        <v>101</v>
      </c>
      <c r="C195" s="85"/>
      <c r="D195" s="85"/>
    </row>
    <row r="196" spans="1:20" x14ac:dyDescent="0.25">
      <c r="A196" s="22"/>
      <c r="B196" s="23" t="s">
        <v>67</v>
      </c>
      <c r="C196" s="23" t="s">
        <v>68</v>
      </c>
      <c r="D196" s="23" t="s">
        <v>69</v>
      </c>
      <c r="E196" s="22"/>
      <c r="F196" s="32"/>
      <c r="G196" s="32"/>
      <c r="H196" s="32"/>
      <c r="I196" s="32"/>
      <c r="J196" s="32"/>
      <c r="K196" s="32"/>
      <c r="L196" s="32"/>
      <c r="M196" s="22"/>
      <c r="N196" s="24"/>
      <c r="O196" s="24"/>
      <c r="P196" s="24"/>
      <c r="Q196" s="24"/>
      <c r="R196" s="24"/>
      <c r="S196" s="24"/>
      <c r="T196" s="24"/>
    </row>
    <row r="197" spans="1:20" x14ac:dyDescent="0.25">
      <c r="A197" s="31" t="s">
        <v>103</v>
      </c>
      <c r="B197" s="25">
        <v>21.978021978021978</v>
      </c>
      <c r="C197" s="25">
        <v>20.874263261296662</v>
      </c>
      <c r="D197" s="25">
        <v>24.529404736584063</v>
      </c>
      <c r="E197" s="22"/>
      <c r="F197" s="2" t="s">
        <v>70</v>
      </c>
      <c r="G197" s="2"/>
      <c r="H197" s="2"/>
      <c r="I197" s="2"/>
      <c r="J197" s="2"/>
      <c r="K197" s="2"/>
      <c r="L197" s="2"/>
      <c r="M197" s="22"/>
      <c r="N197" s="26" t="s">
        <v>70</v>
      </c>
      <c r="O197" s="26"/>
      <c r="P197" s="26"/>
      <c r="Q197" s="26"/>
      <c r="R197" s="26"/>
      <c r="S197" s="26"/>
      <c r="T197" s="26"/>
    </row>
    <row r="198" spans="1:20" x14ac:dyDescent="0.25">
      <c r="A198" s="31" t="s">
        <v>104</v>
      </c>
      <c r="B198" s="25">
        <v>22.044415414761595</v>
      </c>
      <c r="C198" s="25">
        <v>21.287128712871283</v>
      </c>
      <c r="D198" s="25">
        <v>24.294034336607833</v>
      </c>
      <c r="E198" s="22"/>
      <c r="F198" s="2"/>
      <c r="G198" s="2"/>
      <c r="H198" s="2"/>
      <c r="I198" s="2"/>
      <c r="J198" s="2"/>
      <c r="K198" s="2"/>
      <c r="L198" s="2"/>
      <c r="M198" s="22"/>
      <c r="N198" s="26"/>
      <c r="O198" s="26"/>
      <c r="P198" s="26"/>
      <c r="Q198" s="26"/>
      <c r="R198" s="26"/>
      <c r="S198" s="26"/>
      <c r="T198" s="26"/>
    </row>
    <row r="199" spans="1:20" ht="15.75" thickBot="1" x14ac:dyDescent="0.3">
      <c r="A199" s="31" t="s">
        <v>105</v>
      </c>
      <c r="B199" s="25">
        <v>22.491909385113271</v>
      </c>
      <c r="C199" s="25">
        <v>21.492094861660078</v>
      </c>
      <c r="D199" s="25">
        <v>23.072785959598207</v>
      </c>
      <c r="E199" s="22"/>
      <c r="F199" s="2" t="s">
        <v>71</v>
      </c>
      <c r="G199" s="2"/>
      <c r="H199" s="2"/>
      <c r="I199" s="2"/>
      <c r="J199" s="2"/>
      <c r="K199" s="2"/>
      <c r="L199" s="2"/>
      <c r="M199" s="22"/>
      <c r="N199" s="26" t="s">
        <v>71</v>
      </c>
      <c r="O199" s="26"/>
      <c r="P199" s="26"/>
      <c r="Q199" s="26"/>
      <c r="R199" s="26"/>
      <c r="S199" s="26"/>
      <c r="T199" s="26"/>
    </row>
    <row r="200" spans="1:20" x14ac:dyDescent="0.25">
      <c r="A200" s="31" t="s">
        <v>106</v>
      </c>
      <c r="B200" s="25">
        <v>21.996060407091271</v>
      </c>
      <c r="C200" s="25">
        <v>21.8351324828263</v>
      </c>
      <c r="D200" s="25">
        <v>24.267396429533033</v>
      </c>
      <c r="E200" s="22"/>
      <c r="F200" s="33" t="s">
        <v>72</v>
      </c>
      <c r="G200" s="33" t="s">
        <v>73</v>
      </c>
      <c r="H200" s="33" t="s">
        <v>74</v>
      </c>
      <c r="I200" s="33" t="s">
        <v>75</v>
      </c>
      <c r="J200" s="33" t="s">
        <v>76</v>
      </c>
      <c r="K200" s="2"/>
      <c r="L200" s="2"/>
      <c r="M200" s="22"/>
      <c r="N200" s="27" t="s">
        <v>72</v>
      </c>
      <c r="O200" s="27" t="s">
        <v>73</v>
      </c>
      <c r="P200" s="27" t="s">
        <v>74</v>
      </c>
      <c r="Q200" s="27" t="s">
        <v>75</v>
      </c>
      <c r="R200" s="27" t="s">
        <v>76</v>
      </c>
      <c r="S200" s="26"/>
      <c r="T200" s="26"/>
    </row>
    <row r="201" spans="1:20" x14ac:dyDescent="0.25">
      <c r="A201" s="31" t="s">
        <v>107</v>
      </c>
      <c r="B201" s="25">
        <v>22.801302931596094</v>
      </c>
      <c r="C201" s="25">
        <v>22.600186393289839</v>
      </c>
      <c r="D201" s="25">
        <v>23.790026968245446</v>
      </c>
      <c r="E201" s="22"/>
      <c r="F201" s="2" t="s">
        <v>77</v>
      </c>
      <c r="G201" s="2">
        <v>8</v>
      </c>
      <c r="H201" s="2">
        <v>24.355958428631343</v>
      </c>
      <c r="I201" s="2">
        <v>3.0444948035789179</v>
      </c>
      <c r="J201" s="2">
        <v>60.365891972392426</v>
      </c>
      <c r="K201" s="2"/>
      <c r="L201" s="2"/>
      <c r="M201" s="22"/>
      <c r="N201" s="26" t="s">
        <v>77</v>
      </c>
      <c r="O201" s="26">
        <v>7</v>
      </c>
      <c r="P201" s="26">
        <v>155.90120075733671</v>
      </c>
      <c r="Q201" s="26">
        <v>22.27160010819096</v>
      </c>
      <c r="R201" s="26">
        <v>0.11477688328794772</v>
      </c>
      <c r="S201" s="26"/>
      <c r="T201" s="26"/>
    </row>
    <row r="202" spans="1:20" x14ac:dyDescent="0.25">
      <c r="A202" s="31" t="s">
        <v>108</v>
      </c>
      <c r="B202" s="25">
        <v>22.025723472668812</v>
      </c>
      <c r="C202" s="25">
        <v>20.99609375</v>
      </c>
      <c r="D202" s="25">
        <v>23.392352337135005</v>
      </c>
      <c r="E202" s="22"/>
      <c r="F202" s="2" t="s">
        <v>78</v>
      </c>
      <c r="G202" s="2">
        <v>8</v>
      </c>
      <c r="H202" s="2">
        <v>26.870614185731256</v>
      </c>
      <c r="I202" s="2">
        <v>3.358826773216407</v>
      </c>
      <c r="J202" s="2">
        <v>55.743412338827468</v>
      </c>
      <c r="K202" s="2"/>
      <c r="L202" s="2"/>
      <c r="M202" s="22"/>
      <c r="N202" s="26" t="s">
        <v>78</v>
      </c>
      <c r="O202" s="26">
        <v>7</v>
      </c>
      <c r="P202" s="26">
        <v>152.57649194463457</v>
      </c>
      <c r="Q202" s="26">
        <v>21.796641706376366</v>
      </c>
      <c r="R202" s="26">
        <v>0.89400583924155796</v>
      </c>
      <c r="S202" s="26"/>
      <c r="T202" s="26"/>
    </row>
    <row r="203" spans="1:20" ht="15.75" thickBot="1" x14ac:dyDescent="0.3">
      <c r="A203" s="31" t="s">
        <v>109</v>
      </c>
      <c r="B203" s="25">
        <v>22.563767168083714</v>
      </c>
      <c r="C203" s="25">
        <v>23.491592482690407</v>
      </c>
      <c r="D203" s="25">
        <v>24.249549202779217</v>
      </c>
      <c r="E203" s="22"/>
      <c r="F203" s="34" t="s">
        <v>79</v>
      </c>
      <c r="G203" s="34">
        <v>8</v>
      </c>
      <c r="H203" s="34">
        <v>27.085219440525488</v>
      </c>
      <c r="I203" s="34">
        <v>3.3856524300656861</v>
      </c>
      <c r="J203" s="34">
        <v>69.039858660407177</v>
      </c>
      <c r="K203" s="2"/>
      <c r="L203" s="2"/>
      <c r="M203" s="22"/>
      <c r="N203" s="28" t="s">
        <v>79</v>
      </c>
      <c r="O203" s="28">
        <v>7</v>
      </c>
      <c r="P203" s="28">
        <v>167.59554997048278</v>
      </c>
      <c r="Q203" s="28">
        <v>23.942221424354681</v>
      </c>
      <c r="R203" s="28">
        <v>0.2916971512832176</v>
      </c>
      <c r="S203" s="26"/>
      <c r="T203" s="26"/>
    </row>
    <row r="204" spans="1:20" x14ac:dyDescent="0.25">
      <c r="A204" s="22"/>
      <c r="B204" s="22"/>
      <c r="C204" s="22"/>
      <c r="D204" s="22"/>
      <c r="E204" s="22"/>
      <c r="F204" s="2"/>
      <c r="G204" s="2"/>
      <c r="H204" s="2"/>
      <c r="I204" s="2"/>
      <c r="J204" s="2"/>
      <c r="K204" s="2"/>
      <c r="L204" s="2"/>
      <c r="M204" s="22"/>
      <c r="N204" s="26"/>
      <c r="O204" s="26"/>
      <c r="P204" s="26"/>
      <c r="Q204" s="26"/>
      <c r="R204" s="26"/>
      <c r="S204" s="26"/>
      <c r="T204" s="26"/>
    </row>
    <row r="205" spans="1:20" x14ac:dyDescent="0.25">
      <c r="A205" s="29" t="s">
        <v>30</v>
      </c>
      <c r="B205" s="29">
        <f>AVERAGE(B197:B203)</f>
        <v>22.27160010819096</v>
      </c>
      <c r="C205" s="29">
        <f t="shared" ref="C205:D205" si="32">AVERAGE(C197:C203)</f>
        <v>21.796641706376366</v>
      </c>
      <c r="D205" s="29">
        <f t="shared" si="32"/>
        <v>23.942221424354681</v>
      </c>
      <c r="E205" s="22"/>
      <c r="F205" s="2"/>
      <c r="G205" s="2"/>
      <c r="H205" s="2"/>
      <c r="I205" s="2"/>
      <c r="J205" s="2"/>
      <c r="K205" s="2"/>
      <c r="L205" s="2"/>
      <c r="M205" s="22"/>
      <c r="N205" s="26"/>
      <c r="O205" s="26"/>
      <c r="P205" s="26"/>
      <c r="Q205" s="26"/>
      <c r="R205" s="26"/>
      <c r="S205" s="26"/>
      <c r="T205" s="26"/>
    </row>
    <row r="206" spans="1:20" ht="15.75" thickBot="1" x14ac:dyDescent="0.3">
      <c r="A206" s="29"/>
      <c r="B206" s="85" t="s">
        <v>101</v>
      </c>
      <c r="C206" s="85"/>
      <c r="D206" s="85"/>
      <c r="E206" s="22"/>
      <c r="F206" s="2" t="s">
        <v>80</v>
      </c>
      <c r="G206" s="2"/>
      <c r="H206" s="2"/>
      <c r="I206" s="2"/>
      <c r="J206" s="2"/>
      <c r="K206" s="2"/>
      <c r="L206" s="2"/>
      <c r="M206" s="22"/>
      <c r="N206" s="26" t="s">
        <v>80</v>
      </c>
      <c r="O206" s="26"/>
      <c r="P206" s="26"/>
      <c r="Q206" s="26"/>
      <c r="R206" s="26"/>
      <c r="S206" s="26"/>
      <c r="T206" s="26"/>
    </row>
    <row r="207" spans="1:20" x14ac:dyDescent="0.25">
      <c r="A207" s="22"/>
      <c r="B207" s="23" t="s">
        <v>67</v>
      </c>
      <c r="C207" s="23" t="s">
        <v>68</v>
      </c>
      <c r="D207" s="23" t="s">
        <v>69</v>
      </c>
      <c r="E207" s="22"/>
      <c r="F207" s="33" t="s">
        <v>81</v>
      </c>
      <c r="G207" s="33" t="s">
        <v>82</v>
      </c>
      <c r="H207" s="33" t="s">
        <v>83</v>
      </c>
      <c r="I207" s="33" t="s">
        <v>84</v>
      </c>
      <c r="J207" s="33" t="s">
        <v>85</v>
      </c>
      <c r="K207" s="33" t="s">
        <v>86</v>
      </c>
      <c r="L207" s="33" t="s">
        <v>87</v>
      </c>
      <c r="M207" s="22"/>
      <c r="N207" s="27" t="s">
        <v>81</v>
      </c>
      <c r="O207" s="27" t="s">
        <v>82</v>
      </c>
      <c r="P207" s="27" t="s">
        <v>83</v>
      </c>
      <c r="Q207" s="27" t="s">
        <v>84</v>
      </c>
      <c r="R207" s="27" t="s">
        <v>85</v>
      </c>
      <c r="S207" s="27" t="s">
        <v>86</v>
      </c>
      <c r="T207" s="27" t="s">
        <v>87</v>
      </c>
    </row>
    <row r="208" spans="1:20" x14ac:dyDescent="0.25">
      <c r="A208" s="31" t="s">
        <v>103</v>
      </c>
      <c r="B208" s="25">
        <f>ABS(B197-B$205)</f>
        <v>0.29357813016898149</v>
      </c>
      <c r="C208" s="25">
        <f t="shared" ref="C208:D208" si="33">ABS(C197-C$205)</f>
        <v>0.92237844507970479</v>
      </c>
      <c r="D208" s="25">
        <f t="shared" si="33"/>
        <v>0.58718331222938147</v>
      </c>
      <c r="E208" s="22"/>
      <c r="F208" s="2" t="s">
        <v>88</v>
      </c>
      <c r="G208" s="2">
        <v>0.57576727763103008</v>
      </c>
      <c r="H208" s="2">
        <v>2</v>
      </c>
      <c r="I208" s="2">
        <v>0.28788363881551504</v>
      </c>
      <c r="J208" s="2">
        <v>4.6646223109250255E-3</v>
      </c>
      <c r="K208" s="2">
        <v>0.99534727114535138</v>
      </c>
      <c r="L208" s="2">
        <v>3.4668001115424172</v>
      </c>
      <c r="M208" s="22"/>
      <c r="N208" s="26" t="s">
        <v>88</v>
      </c>
      <c r="O208" s="26">
        <v>17.780171247241235</v>
      </c>
      <c r="P208" s="26">
        <v>2</v>
      </c>
      <c r="Q208" s="26">
        <v>8.8900856236206174</v>
      </c>
      <c r="R208" s="26">
        <v>20.50801200995943</v>
      </c>
      <c r="S208" s="26">
        <v>2.2841415871333505E-5</v>
      </c>
      <c r="T208" s="26">
        <v>3.5545571456617879</v>
      </c>
    </row>
    <row r="209" spans="1:20" x14ac:dyDescent="0.25">
      <c r="A209" s="31" t="s">
        <v>104</v>
      </c>
      <c r="B209" s="25">
        <f t="shared" ref="B209:D209" si="34">ABS(B198-B$205)</f>
        <v>0.22718469342936487</v>
      </c>
      <c r="C209" s="25">
        <f t="shared" si="34"/>
        <v>0.5095129935050835</v>
      </c>
      <c r="D209" s="25">
        <f t="shared" si="34"/>
        <v>0.35181291225315192</v>
      </c>
      <c r="E209" s="22"/>
      <c r="F209" s="2" t="s">
        <v>89</v>
      </c>
      <c r="G209" s="2">
        <v>1296.0441408013894</v>
      </c>
      <c r="H209" s="2">
        <v>21</v>
      </c>
      <c r="I209" s="2">
        <v>61.716387657209019</v>
      </c>
      <c r="J209" s="2"/>
      <c r="K209" s="2"/>
      <c r="L209" s="2"/>
      <c r="M209" s="22"/>
      <c r="N209" s="26" t="s">
        <v>89</v>
      </c>
      <c r="O209" s="26">
        <v>7.8028792428763394</v>
      </c>
      <c r="P209" s="26">
        <v>18</v>
      </c>
      <c r="Q209" s="26">
        <v>0.43349329127090774</v>
      </c>
      <c r="R209" s="26"/>
      <c r="S209" s="26"/>
      <c r="T209" s="26"/>
    </row>
    <row r="210" spans="1:20" x14ac:dyDescent="0.25">
      <c r="A210" s="31" t="s">
        <v>105</v>
      </c>
      <c r="B210" s="25">
        <f t="shared" ref="B210:D210" si="35">ABS(B199-B$205)</f>
        <v>0.22030927692231117</v>
      </c>
      <c r="C210" s="25">
        <f t="shared" si="35"/>
        <v>0.30454684471628823</v>
      </c>
      <c r="D210" s="25">
        <f t="shared" si="35"/>
        <v>0.86943546475647437</v>
      </c>
      <c r="E210" s="22"/>
      <c r="F210" s="2"/>
      <c r="G210" s="2"/>
      <c r="H210" s="2"/>
      <c r="I210" s="2"/>
      <c r="J210" s="2"/>
      <c r="K210" s="2"/>
      <c r="L210" s="2"/>
      <c r="M210" s="22"/>
      <c r="N210" s="26"/>
      <c r="O210" s="26"/>
      <c r="P210" s="26"/>
      <c r="Q210" s="26"/>
      <c r="R210" s="26"/>
      <c r="S210" s="26"/>
      <c r="T210" s="26"/>
    </row>
    <row r="211" spans="1:20" ht="15.75" thickBot="1" x14ac:dyDescent="0.3">
      <c r="A211" s="31" t="s">
        <v>106</v>
      </c>
      <c r="B211" s="25">
        <f t="shared" ref="B211:D211" si="36">ABS(B200-B$205)</f>
        <v>0.27553970109968873</v>
      </c>
      <c r="C211" s="25">
        <f t="shared" si="36"/>
        <v>3.8490776449933151E-2</v>
      </c>
      <c r="D211" s="25">
        <f t="shared" si="36"/>
        <v>0.32517500517835174</v>
      </c>
      <c r="E211" s="22"/>
      <c r="F211" s="34" t="s">
        <v>90</v>
      </c>
      <c r="G211" s="34">
        <v>1296.6199080790204</v>
      </c>
      <c r="H211" s="34">
        <v>23</v>
      </c>
      <c r="I211" s="34"/>
      <c r="J211" s="34"/>
      <c r="K211" s="34"/>
      <c r="L211" s="34"/>
      <c r="M211" s="22"/>
      <c r="N211" s="28" t="s">
        <v>90</v>
      </c>
      <c r="O211" s="28">
        <v>25.583050490117575</v>
      </c>
      <c r="P211" s="28">
        <v>20</v>
      </c>
      <c r="Q211" s="28"/>
      <c r="R211" s="28"/>
      <c r="S211" s="28"/>
      <c r="T211" s="28"/>
    </row>
    <row r="212" spans="1:20" x14ac:dyDescent="0.25">
      <c r="A212" s="31" t="s">
        <v>107</v>
      </c>
      <c r="B212" s="25">
        <f t="shared" ref="B212:D212" si="37">ABS(B201-B$205)</f>
        <v>0.52970282340513464</v>
      </c>
      <c r="C212" s="25">
        <f t="shared" si="37"/>
        <v>0.80354468691347236</v>
      </c>
      <c r="D212" s="25">
        <f t="shared" si="37"/>
        <v>0.15219445610923543</v>
      </c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</row>
    <row r="213" spans="1:20" x14ac:dyDescent="0.25">
      <c r="A213" s="31" t="s">
        <v>108</v>
      </c>
      <c r="B213" s="25">
        <f t="shared" ref="B213:D213" si="38">ABS(B202-B$205)</f>
        <v>0.24587663552214778</v>
      </c>
      <c r="C213" s="25">
        <f t="shared" si="38"/>
        <v>0.80054795637636644</v>
      </c>
      <c r="D213" s="25">
        <f t="shared" si="38"/>
        <v>0.54986908721967609</v>
      </c>
      <c r="E213" s="22"/>
      <c r="F213" s="97" t="s">
        <v>91</v>
      </c>
      <c r="G213" s="98">
        <f>3.61*SQRT(Q209/7)</f>
        <v>0.89835786070009793</v>
      </c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</row>
    <row r="214" spans="1:20" x14ac:dyDescent="0.25">
      <c r="A214" s="31" t="s">
        <v>109</v>
      </c>
      <c r="B214" s="25">
        <f t="shared" ref="B214:D214" si="39">ABS(B203-B$205)</f>
        <v>0.29216705989275482</v>
      </c>
      <c r="C214" s="25">
        <f t="shared" si="39"/>
        <v>1.694950776314041</v>
      </c>
      <c r="D214" s="25">
        <f t="shared" si="39"/>
        <v>0.30732777842453629</v>
      </c>
      <c r="E214" s="22"/>
      <c r="F214" s="98" t="s">
        <v>92</v>
      </c>
      <c r="G214" s="98" t="str">
        <f>IF(ABS(Q201-Q202)&gt;G213, "true", "false")</f>
        <v>false</v>
      </c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</row>
    <row r="215" spans="1:20" x14ac:dyDescent="0.25">
      <c r="A215" s="22"/>
      <c r="B215" s="22"/>
      <c r="C215" s="22"/>
      <c r="D215" s="22"/>
      <c r="E215" s="22"/>
      <c r="F215" s="98" t="s">
        <v>93</v>
      </c>
      <c r="G215" s="98" t="str">
        <f>IF(ABS(Q201-Q203)&gt;G213, "true", "false")</f>
        <v>true</v>
      </c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</row>
    <row r="216" spans="1:20" x14ac:dyDescent="0.25">
      <c r="A216" s="22"/>
      <c r="B216" s="22"/>
      <c r="C216" s="22"/>
      <c r="D216" s="22"/>
      <c r="E216" s="22"/>
      <c r="F216" s="98" t="s">
        <v>94</v>
      </c>
      <c r="G216" s="98" t="str">
        <f>IF(ABS(Q202-Q203)&gt;G213, "true", "false")</f>
        <v>true</v>
      </c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</row>
    <row r="217" spans="1:20" x14ac:dyDescent="0.25">
      <c r="A217" s="22"/>
      <c r="B217" s="22"/>
      <c r="C217" s="22"/>
      <c r="D217" s="22"/>
      <c r="E217" s="22"/>
      <c r="F217" s="29" t="s">
        <v>4</v>
      </c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</row>
    <row r="218" spans="1:20" x14ac:dyDescent="0.25">
      <c r="A218" s="22"/>
      <c r="B218" s="22"/>
      <c r="C218" s="22"/>
      <c r="D218" s="22"/>
      <c r="E218" s="22"/>
      <c r="F218" s="25" t="s">
        <v>91</v>
      </c>
      <c r="G218" s="25">
        <f>3.61*SQRT(Q209/7)</f>
        <v>0.89835786070009793</v>
      </c>
      <c r="H218" s="25" t="s">
        <v>95</v>
      </c>
      <c r="I218" s="25" t="s">
        <v>96</v>
      </c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</row>
    <row r="219" spans="1:20" x14ac:dyDescent="0.25">
      <c r="A219" s="22"/>
      <c r="B219" s="22"/>
      <c r="C219" s="22"/>
      <c r="D219" s="22"/>
      <c r="E219" s="22"/>
      <c r="F219" s="25" t="s">
        <v>97</v>
      </c>
      <c r="G219" s="25">
        <f>Q201-Q202</f>
        <v>0.47495840181459315</v>
      </c>
      <c r="H219" s="25">
        <v>0.89835786070009793</v>
      </c>
      <c r="I219" s="25">
        <v>0.89835786070009793</v>
      </c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</row>
    <row r="220" spans="1:20" x14ac:dyDescent="0.25">
      <c r="A220" s="22"/>
      <c r="B220" s="22"/>
      <c r="C220" s="22"/>
      <c r="D220" s="22"/>
      <c r="E220" s="22"/>
      <c r="F220" s="25" t="s">
        <v>98</v>
      </c>
      <c r="G220" s="25">
        <f>Q201-Q203</f>
        <v>-1.6706213161637216</v>
      </c>
      <c r="H220" s="25">
        <v>0.89835786070009793</v>
      </c>
      <c r="I220" s="25">
        <v>0.89835786070009793</v>
      </c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</row>
    <row r="221" spans="1:20" x14ac:dyDescent="0.25">
      <c r="A221" s="22"/>
      <c r="B221" s="22"/>
      <c r="C221" s="22"/>
      <c r="D221" s="22"/>
      <c r="E221" s="22"/>
      <c r="F221" s="25" t="s">
        <v>99</v>
      </c>
      <c r="G221" s="25">
        <f>Q202-Q203</f>
        <v>-2.1455797179783147</v>
      </c>
      <c r="H221" s="25">
        <v>0.89835786070009793</v>
      </c>
      <c r="I221" s="25">
        <v>0.89835786070009793</v>
      </c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</row>
  </sheetData>
  <mergeCells count="21">
    <mergeCell ref="B4:D4"/>
    <mergeCell ref="A2:T3"/>
    <mergeCell ref="B15:D15"/>
    <mergeCell ref="F4:L4"/>
    <mergeCell ref="N4:T4"/>
    <mergeCell ref="A193:T194"/>
    <mergeCell ref="B195:D195"/>
    <mergeCell ref="B206:D206"/>
    <mergeCell ref="A1:T1"/>
    <mergeCell ref="A117:T118"/>
    <mergeCell ref="B119:D119"/>
    <mergeCell ref="B130:D130"/>
    <mergeCell ref="A156:T157"/>
    <mergeCell ref="B158:D158"/>
    <mergeCell ref="B169:D169"/>
    <mergeCell ref="A41:T42"/>
    <mergeCell ref="B43:D43"/>
    <mergeCell ref="B54:D54"/>
    <mergeCell ref="A80:T81"/>
    <mergeCell ref="B82:D82"/>
    <mergeCell ref="B93:D93"/>
  </mergeCells>
  <phoneticPr fontId="8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61BF0-422A-4832-B276-319C52C68332}">
  <dimension ref="A1:W46"/>
  <sheetViews>
    <sheetView workbookViewId="0">
      <selection activeCell="A5" sqref="A5:M11"/>
    </sheetView>
  </sheetViews>
  <sheetFormatPr defaultRowHeight="15" x14ac:dyDescent="0.25"/>
  <cols>
    <col min="1" max="1" width="29.85546875" style="8" bestFit="1" customWidth="1"/>
    <col min="2" max="2" width="12.7109375" style="9" bestFit="1" customWidth="1"/>
    <col min="3" max="3" width="4.28515625" style="10" bestFit="1" customWidth="1"/>
    <col min="4" max="4" width="12.7109375" style="9" bestFit="1" customWidth="1"/>
    <col min="5" max="5" width="4.28515625" style="10" bestFit="1" customWidth="1"/>
    <col min="6" max="6" width="12.5703125" style="9" customWidth="1"/>
    <col min="7" max="7" width="4.28515625" style="10" bestFit="1" customWidth="1"/>
    <col min="8" max="8" width="12.7109375" style="9" bestFit="1" customWidth="1"/>
    <col min="9" max="9" width="4.28515625" style="10" bestFit="1" customWidth="1"/>
    <col min="10" max="10" width="12.7109375" style="9" bestFit="1" customWidth="1"/>
    <col min="11" max="11" width="4.28515625" style="10" bestFit="1" customWidth="1"/>
    <col min="12" max="12" width="12.7109375" style="9" bestFit="1" customWidth="1"/>
    <col min="13" max="13" width="4.28515625" style="10" bestFit="1" customWidth="1"/>
    <col min="15" max="15" width="27.5703125" bestFit="1" customWidth="1"/>
  </cols>
  <sheetData>
    <row r="1" spans="1:23" ht="15.75" x14ac:dyDescent="0.25">
      <c r="A1" s="89" t="s">
        <v>174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</row>
    <row r="2" spans="1:23" x14ac:dyDescent="0.25">
      <c r="A2" s="17" t="s">
        <v>61</v>
      </c>
      <c r="B2" s="74" t="str">
        <f>'[1]Masses&amp; DF '!CA1</f>
        <v xml:space="preserve">139La </v>
      </c>
      <c r="C2" s="75"/>
      <c r="D2" s="74" t="str">
        <f>'[1]Masses&amp; DF '!BO1</f>
        <v xml:space="preserve">140Ce </v>
      </c>
      <c r="E2" s="75"/>
      <c r="F2" s="74" t="str">
        <f>'[1]Masses&amp; DF '!CE1</f>
        <v xml:space="preserve">141Pr </v>
      </c>
      <c r="G2" s="75"/>
      <c r="H2" s="74" t="str">
        <f>'[1]Masses&amp; DF '!CD1</f>
        <v xml:space="preserve">146Nd </v>
      </c>
      <c r="I2" s="75"/>
      <c r="J2" s="74" t="str">
        <f>'[1]Masses&amp; DF '!CH1</f>
        <v xml:space="preserve">152Sm </v>
      </c>
      <c r="K2" s="75"/>
      <c r="L2" s="74" t="str">
        <f>'[1]Masses&amp; DF '!BV1</f>
        <v xml:space="preserve">151Eu </v>
      </c>
      <c r="M2" s="75"/>
    </row>
    <row r="3" spans="1:23" x14ac:dyDescent="0.25">
      <c r="A3" s="76" t="s">
        <v>24</v>
      </c>
      <c r="B3" s="70" t="s">
        <v>7</v>
      </c>
      <c r="C3" s="71"/>
      <c r="D3" s="70" t="s">
        <v>1</v>
      </c>
      <c r="E3" s="71"/>
      <c r="F3" s="70" t="s">
        <v>10</v>
      </c>
      <c r="G3" s="71"/>
      <c r="H3" s="70" t="s">
        <v>9</v>
      </c>
      <c r="I3" s="71"/>
      <c r="J3" s="70" t="s">
        <v>11</v>
      </c>
      <c r="K3" s="71"/>
      <c r="L3" s="70" t="s">
        <v>4</v>
      </c>
      <c r="M3" s="71"/>
      <c r="O3" s="72" t="s">
        <v>66</v>
      </c>
      <c r="P3" s="72"/>
      <c r="Q3" s="72"/>
      <c r="R3" s="72"/>
      <c r="S3" s="72"/>
      <c r="T3" s="72"/>
      <c r="U3" s="72"/>
    </row>
    <row r="4" spans="1:23" x14ac:dyDescent="0.25">
      <c r="A4" s="77"/>
      <c r="B4" s="6" t="s">
        <v>28</v>
      </c>
      <c r="C4" s="7" t="s">
        <v>29</v>
      </c>
      <c r="D4" s="6" t="s">
        <v>28</v>
      </c>
      <c r="E4" s="7" t="s">
        <v>29</v>
      </c>
      <c r="F4" s="6" t="s">
        <v>28</v>
      </c>
      <c r="G4" s="7" t="s">
        <v>29</v>
      </c>
      <c r="H4" s="6" t="s">
        <v>28</v>
      </c>
      <c r="I4" s="7" t="s">
        <v>29</v>
      </c>
      <c r="J4" s="6" t="s">
        <v>28</v>
      </c>
      <c r="K4" s="7" t="s">
        <v>29</v>
      </c>
      <c r="L4" s="6" t="s">
        <v>28</v>
      </c>
      <c r="M4" s="7" t="s">
        <v>29</v>
      </c>
      <c r="O4" s="19" t="s">
        <v>65</v>
      </c>
      <c r="P4" s="19" t="s">
        <v>7</v>
      </c>
      <c r="Q4" s="19" t="s">
        <v>1</v>
      </c>
      <c r="R4" s="19" t="s">
        <v>10</v>
      </c>
      <c r="S4" s="19" t="s">
        <v>9</v>
      </c>
      <c r="T4" s="19" t="s">
        <v>11</v>
      </c>
      <c r="U4" s="19" t="s">
        <v>4</v>
      </c>
    </row>
    <row r="5" spans="1:23" x14ac:dyDescent="0.25">
      <c r="A5" s="11" t="s">
        <v>114</v>
      </c>
      <c r="B5" s="12">
        <v>6493.9842312746396</v>
      </c>
      <c r="C5" s="13">
        <f t="shared" ref="C5:C11" si="0">(B5-B$13)/B$12</f>
        <v>0.63563318388256806</v>
      </c>
      <c r="D5" s="12">
        <v>13207.95006570302</v>
      </c>
      <c r="E5" s="13">
        <f t="shared" ref="E5:E11" si="1">(D5-D$13)/D$12</f>
        <v>0.63832435887992867</v>
      </c>
      <c r="F5" s="12">
        <v>1508.7056504599211</v>
      </c>
      <c r="G5" s="13">
        <f t="shared" ref="G5:G11" si="2">(F5-F$13)/F$12</f>
        <v>0.6635040937804344</v>
      </c>
      <c r="H5" s="12">
        <v>5125.9855453350856</v>
      </c>
      <c r="I5" s="13">
        <f t="shared" ref="I5:I11" si="3">(H5-H$13)/H$12</f>
        <v>0.62586173950641666</v>
      </c>
      <c r="J5" s="12">
        <v>916.06438896189218</v>
      </c>
      <c r="K5" s="13">
        <f t="shared" ref="K5:K11" si="4">(J5-J$13)/J$12</f>
        <v>0.64510292835444838</v>
      </c>
      <c r="L5" s="12">
        <v>39.75032851511169</v>
      </c>
      <c r="M5" s="13">
        <f t="shared" ref="M5:M11" si="5">(L5-L$13)/L$12</f>
        <v>0.75064384889845626</v>
      </c>
      <c r="O5" s="19" t="str">
        <f>A5</f>
        <v>3Acid-Concentrate-1</v>
      </c>
      <c r="P5" s="20">
        <f>B5/B$42</f>
        <v>0.11703290801068683</v>
      </c>
      <c r="Q5" s="20">
        <f>D5/D$42</f>
        <v>0.12040040774214338</v>
      </c>
      <c r="R5" s="20">
        <f>F5/F$42</f>
        <v>0.12328345771856612</v>
      </c>
      <c r="S5" s="20">
        <f>H5/H$42</f>
        <v>0.11872895237590925</v>
      </c>
      <c r="T5" s="20">
        <f>J5/J$42</f>
        <v>0.12241603057021831</v>
      </c>
      <c r="U5" s="20">
        <f>L5/L$42</f>
        <v>0.13220930686548521</v>
      </c>
      <c r="V5" s="18"/>
      <c r="W5" s="18"/>
    </row>
    <row r="6" spans="1:23" x14ac:dyDescent="0.25">
      <c r="A6" s="11" t="s">
        <v>115</v>
      </c>
      <c r="B6" s="12">
        <v>7247.7302204928665</v>
      </c>
      <c r="C6" s="13">
        <f t="shared" si="0"/>
        <v>0.72821985650641707</v>
      </c>
      <c r="D6" s="12">
        <v>14627.431906614787</v>
      </c>
      <c r="E6" s="13">
        <f t="shared" si="1"/>
        <v>0.72448305314732864</v>
      </c>
      <c r="F6" s="12">
        <v>1642.5097276264594</v>
      </c>
      <c r="G6" s="13">
        <f t="shared" si="2"/>
        <v>0.73618657467770887</v>
      </c>
      <c r="H6" s="12">
        <v>5671.206225680934</v>
      </c>
      <c r="I6" s="13">
        <f t="shared" si="3"/>
        <v>0.7106657390672948</v>
      </c>
      <c r="J6" s="12">
        <v>984.43579766536982</v>
      </c>
      <c r="K6" s="13">
        <f t="shared" si="4"/>
        <v>0.70577478366851054</v>
      </c>
      <c r="L6" s="12">
        <v>42.801556420233467</v>
      </c>
      <c r="M6" s="13">
        <f t="shared" si="5"/>
        <v>0.81746011437034771</v>
      </c>
      <c r="O6" s="19" t="str">
        <f t="shared" ref="O6:O11" si="6">A6</f>
        <v>3Acid-Concentrate-2</v>
      </c>
      <c r="P6" s="20">
        <f t="shared" ref="P6:P11" si="7">B6/B$42</f>
        <v>0.13061672372042815</v>
      </c>
      <c r="Q6" s="20">
        <f t="shared" ref="Q6:Q11" si="8">D6/D$42</f>
        <v>0.13334005330244389</v>
      </c>
      <c r="R6" s="20">
        <f t="shared" ref="R6:R11" si="9">F6/F$42</f>
        <v>0.13421722023539903</v>
      </c>
      <c r="S6" s="20">
        <f t="shared" ref="S6:S11" si="10">H6/H$42</f>
        <v>0.13135744686123879</v>
      </c>
      <c r="T6" s="20">
        <f t="shared" ref="T6:T11" si="11">J6/J$42</f>
        <v>0.13155267703178269</v>
      </c>
      <c r="U6" s="20">
        <f t="shared" ref="U6:U11" si="12">L6/L$42</f>
        <v>0.14235766894182419</v>
      </c>
      <c r="V6" s="18"/>
      <c r="W6" s="18"/>
    </row>
    <row r="7" spans="1:23" x14ac:dyDescent="0.25">
      <c r="A7" s="11" t="s">
        <v>116</v>
      </c>
      <c r="B7" s="12">
        <v>9888.6861313868612</v>
      </c>
      <c r="C7" s="13">
        <f t="shared" si="0"/>
        <v>1.0526226710269568</v>
      </c>
      <c r="D7" s="12">
        <v>20155.109489051094</v>
      </c>
      <c r="E7" s="13">
        <f t="shared" si="1"/>
        <v>1.0599980763814261</v>
      </c>
      <c r="F7" s="12">
        <v>2246.350364963504</v>
      </c>
      <c r="G7" s="13">
        <f t="shared" si="2"/>
        <v>1.064193288057766</v>
      </c>
      <c r="H7" s="12">
        <v>8029.1970802919714</v>
      </c>
      <c r="I7" s="13">
        <f t="shared" si="3"/>
        <v>1.077429258147578</v>
      </c>
      <c r="J7" s="12">
        <v>1399.6350364963505</v>
      </c>
      <c r="K7" s="13">
        <f t="shared" si="4"/>
        <v>1.0742169237758366</v>
      </c>
      <c r="L7" s="12">
        <v>54.744525547445257</v>
      </c>
      <c r="M7" s="13">
        <f t="shared" si="5"/>
        <v>1.0789891186072627</v>
      </c>
      <c r="O7" s="19" t="str">
        <f t="shared" si="6"/>
        <v>3Acid-Concentrate-3</v>
      </c>
      <c r="P7" s="20">
        <f t="shared" si="7"/>
        <v>0.17821134963458293</v>
      </c>
      <c r="Q7" s="20">
        <f t="shared" si="8"/>
        <v>0.183728995680461</v>
      </c>
      <c r="R7" s="20">
        <f t="shared" si="9"/>
        <v>0.1835598880110515</v>
      </c>
      <c r="S7" s="20">
        <f t="shared" si="10"/>
        <v>0.18597363362257743</v>
      </c>
      <c r="T7" s="20">
        <f t="shared" si="11"/>
        <v>0.18703681474732389</v>
      </c>
      <c r="U7" s="20">
        <f t="shared" si="12"/>
        <v>0.1820798983977214</v>
      </c>
      <c r="V7" s="18"/>
      <c r="W7" s="18"/>
    </row>
    <row r="8" spans="1:23" x14ac:dyDescent="0.25">
      <c r="A8" s="11" t="s">
        <v>117</v>
      </c>
      <c r="B8" s="12">
        <v>9952.2058823529387</v>
      </c>
      <c r="C8" s="13">
        <f t="shared" si="0"/>
        <v>1.0604251435733707</v>
      </c>
      <c r="D8" s="12">
        <v>20156.249999999996</v>
      </c>
      <c r="E8" s="13">
        <f t="shared" si="1"/>
        <v>1.0600673022998721</v>
      </c>
      <c r="F8" s="12">
        <v>2229.7794117647059</v>
      </c>
      <c r="G8" s="13">
        <f t="shared" si="2"/>
        <v>1.0551919331302759</v>
      </c>
      <c r="H8" s="12">
        <v>7867.6470588235288</v>
      </c>
      <c r="I8" s="13">
        <f t="shared" si="3"/>
        <v>1.0523016567129084</v>
      </c>
      <c r="J8" s="12">
        <v>1380.5147058823527</v>
      </c>
      <c r="K8" s="13">
        <f t="shared" si="4"/>
        <v>1.05724980324157</v>
      </c>
      <c r="L8" s="12">
        <v>51.470588235294116</v>
      </c>
      <c r="M8" s="13">
        <f t="shared" si="5"/>
        <v>1.0072959277381621</v>
      </c>
      <c r="O8" s="19" t="str">
        <f t="shared" si="6"/>
        <v>3Acid-Concentrate-4</v>
      </c>
      <c r="P8" s="20">
        <f t="shared" si="7"/>
        <v>0.17935608619490187</v>
      </c>
      <c r="Q8" s="20">
        <f t="shared" si="8"/>
        <v>0.18373939229633243</v>
      </c>
      <c r="R8" s="20">
        <f t="shared" si="9"/>
        <v>0.18220579723302757</v>
      </c>
      <c r="S8" s="20">
        <f t="shared" si="10"/>
        <v>0.18223178444340657</v>
      </c>
      <c r="T8" s="20">
        <f t="shared" si="11"/>
        <v>0.18448171599535917</v>
      </c>
      <c r="U8" s="20">
        <f t="shared" si="12"/>
        <v>0.1711908064347204</v>
      </c>
      <c r="V8" s="18"/>
      <c r="W8" s="18"/>
    </row>
    <row r="9" spans="1:23" x14ac:dyDescent="0.25">
      <c r="A9" s="11" t="s">
        <v>118</v>
      </c>
      <c r="B9" s="12">
        <v>7697.0607882431532</v>
      </c>
      <c r="C9" s="13">
        <f t="shared" si="0"/>
        <v>0.78341354611972158</v>
      </c>
      <c r="D9" s="12">
        <v>15528.223112892449</v>
      </c>
      <c r="E9" s="13">
        <f t="shared" si="1"/>
        <v>0.77915863398504337</v>
      </c>
      <c r="F9" s="12">
        <v>1750.6680026720105</v>
      </c>
      <c r="G9" s="13">
        <f t="shared" si="2"/>
        <v>0.79493823551160125</v>
      </c>
      <c r="H9" s="12">
        <v>6111.7234468937868</v>
      </c>
      <c r="I9" s="13">
        <f t="shared" si="3"/>
        <v>0.77918409059166682</v>
      </c>
      <c r="J9" s="12">
        <v>1072.8122912491649</v>
      </c>
      <c r="K9" s="13">
        <f t="shared" si="4"/>
        <v>0.78419887838234992</v>
      </c>
      <c r="L9" s="12">
        <v>45.925183700734806</v>
      </c>
      <c r="M9" s="13">
        <f t="shared" si="5"/>
        <v>0.88586179267791743</v>
      </c>
      <c r="O9" s="19" t="str">
        <f t="shared" si="6"/>
        <v>3Acid-Concentrate-5</v>
      </c>
      <c r="P9" s="20">
        <f t="shared" si="7"/>
        <v>0.13871444326040727</v>
      </c>
      <c r="Q9" s="20">
        <f t="shared" si="8"/>
        <v>0.14155144325976918</v>
      </c>
      <c r="R9" s="20">
        <f t="shared" si="9"/>
        <v>0.14305534324794716</v>
      </c>
      <c r="S9" s="20">
        <f t="shared" si="10"/>
        <v>0.14156078194979485</v>
      </c>
      <c r="T9" s="20">
        <f t="shared" si="11"/>
        <v>0.14336265422400016</v>
      </c>
      <c r="U9" s="20">
        <f t="shared" si="12"/>
        <v>0.15274683082017709</v>
      </c>
      <c r="V9" s="18"/>
      <c r="W9" s="18"/>
    </row>
    <row r="10" spans="1:23" x14ac:dyDescent="0.25">
      <c r="A10" s="11" t="s">
        <v>119</v>
      </c>
      <c r="B10" s="12">
        <v>8196.8770122343849</v>
      </c>
      <c r="C10" s="13">
        <f t="shared" si="0"/>
        <v>0.84480866034216895</v>
      </c>
      <c r="D10" s="12">
        <v>16345.943335479717</v>
      </c>
      <c r="E10" s="13">
        <f t="shared" si="1"/>
        <v>0.82879203162605353</v>
      </c>
      <c r="F10" s="12">
        <v>1811.4938828074692</v>
      </c>
      <c r="G10" s="13">
        <f t="shared" si="2"/>
        <v>0.82797890186964385</v>
      </c>
      <c r="H10" s="12">
        <v>6284.4494526722465</v>
      </c>
      <c r="I10" s="13">
        <f t="shared" si="3"/>
        <v>0.80605001231146889</v>
      </c>
      <c r="J10" s="12">
        <v>1090.7920154539599</v>
      </c>
      <c r="K10" s="13">
        <f t="shared" si="4"/>
        <v>0.80015384035002068</v>
      </c>
      <c r="L10" s="12">
        <v>42.498390212491948</v>
      </c>
      <c r="M10" s="13">
        <f t="shared" si="5"/>
        <v>0.81082133337841933</v>
      </c>
      <c r="O10" s="19" t="str">
        <f t="shared" si="6"/>
        <v>3Acid-Concentrate-6</v>
      </c>
      <c r="P10" s="20">
        <f t="shared" si="7"/>
        <v>0.1477220022690828</v>
      </c>
      <c r="Q10" s="20">
        <f t="shared" si="8"/>
        <v>0.14900557866524422</v>
      </c>
      <c r="R10" s="20">
        <f t="shared" si="9"/>
        <v>0.14802571292846664</v>
      </c>
      <c r="S10" s="20">
        <f t="shared" si="10"/>
        <v>0.14556149118566358</v>
      </c>
      <c r="T10" s="20">
        <f t="shared" si="11"/>
        <v>0.14576533082012078</v>
      </c>
      <c r="U10" s="20">
        <f t="shared" si="12"/>
        <v>0.14134934031441912</v>
      </c>
      <c r="V10" s="18"/>
      <c r="W10" s="18"/>
    </row>
    <row r="11" spans="1:23" x14ac:dyDescent="0.25">
      <c r="A11" s="11" t="s">
        <v>120</v>
      </c>
      <c r="B11" s="12">
        <v>7510.2960102960096</v>
      </c>
      <c r="C11" s="13">
        <f t="shared" si="0"/>
        <v>0.76047222424099048</v>
      </c>
      <c r="D11" s="12">
        <v>15305.501930501929</v>
      </c>
      <c r="E11" s="13">
        <f t="shared" si="1"/>
        <v>0.76564006283648056</v>
      </c>
      <c r="F11" s="12">
        <v>1697.0720720720719</v>
      </c>
      <c r="G11" s="13">
        <f t="shared" si="2"/>
        <v>0.76582488347858957</v>
      </c>
      <c r="H11" s="12">
        <v>5914.0926640926646</v>
      </c>
      <c r="I11" s="13">
        <f t="shared" si="3"/>
        <v>0.7484444627271275</v>
      </c>
      <c r="J11" s="12">
        <v>1044.0797940797941</v>
      </c>
      <c r="K11" s="13">
        <f t="shared" si="4"/>
        <v>0.75870205238257937</v>
      </c>
      <c r="L11" s="12">
        <v>42.471042471042473</v>
      </c>
      <c r="M11" s="13">
        <f t="shared" si="5"/>
        <v>0.81022246826261546</v>
      </c>
      <c r="O11" s="19" t="str">
        <f t="shared" si="6"/>
        <v>3Acid-Concentrate-7</v>
      </c>
      <c r="P11" s="20">
        <f t="shared" si="7"/>
        <v>0.13534861662783565</v>
      </c>
      <c r="Q11" s="20">
        <f t="shared" si="8"/>
        <v>0.13952117201864273</v>
      </c>
      <c r="R11" s="20">
        <f t="shared" si="9"/>
        <v>0.13867576685941144</v>
      </c>
      <c r="S11" s="20">
        <f t="shared" si="10"/>
        <v>0.13698322401646004</v>
      </c>
      <c r="T11" s="20">
        <f t="shared" si="11"/>
        <v>0.13952305703604448</v>
      </c>
      <c r="U11" s="20">
        <f t="shared" si="12"/>
        <v>0.14125838192296841</v>
      </c>
      <c r="V11" s="18"/>
      <c r="W11" s="18"/>
    </row>
    <row r="12" spans="1:23" x14ac:dyDescent="0.25">
      <c r="A12" s="14" t="s">
        <v>62</v>
      </c>
      <c r="B12" s="15">
        <f>AVERAGE(B5:B11)</f>
        <v>8140.9771823258361</v>
      </c>
      <c r="C12" s="16"/>
      <c r="D12" s="15">
        <f>AVERAGE(D5:D11)</f>
        <v>16475.201405748998</v>
      </c>
      <c r="E12" s="16"/>
      <c r="F12" s="15">
        <f>AVERAGE(F5:F11)</f>
        <v>1840.9398731951635</v>
      </c>
      <c r="G12" s="16"/>
      <c r="H12" s="15">
        <f>AVERAGE(H5:H11)</f>
        <v>6429.1859248271739</v>
      </c>
      <c r="I12" s="16"/>
      <c r="J12" s="15">
        <f>AVERAGE(J5:J11)</f>
        <v>1126.9048613984121</v>
      </c>
      <c r="K12" s="16"/>
      <c r="L12" s="15">
        <f>AVERAGE(L5:L11)</f>
        <v>45.665945014621968</v>
      </c>
      <c r="M12" s="16"/>
      <c r="O12" s="14" t="s">
        <v>64</v>
      </c>
      <c r="P12" s="40">
        <f>B12/B$42</f>
        <v>0.14671458995970366</v>
      </c>
      <c r="Q12" s="41">
        <f t="shared" ref="Q12:U12" si="13">AVERAGE(Q5:Q11)</f>
        <v>0.15018386328071953</v>
      </c>
      <c r="R12" s="41">
        <f t="shared" si="13"/>
        <v>0.15043188374769564</v>
      </c>
      <c r="S12" s="41">
        <f t="shared" si="13"/>
        <v>0.14891390206500724</v>
      </c>
      <c r="T12" s="41">
        <f t="shared" si="13"/>
        <v>0.15059118291783566</v>
      </c>
      <c r="U12" s="41">
        <f t="shared" si="13"/>
        <v>0.15188460481390226</v>
      </c>
    </row>
    <row r="13" spans="1:23" x14ac:dyDescent="0.25">
      <c r="A13" s="14" t="s">
        <v>31</v>
      </c>
      <c r="B13" s="15">
        <f>STDEVA(B5:B11)</f>
        <v>1319.3089849575304</v>
      </c>
      <c r="C13" s="16"/>
      <c r="D13" s="15">
        <f>STDEVA(D5:D11)</f>
        <v>2691.4276909605924</v>
      </c>
      <c r="E13" s="16"/>
      <c r="F13" s="15">
        <f>STDEVA(F5:F11)</f>
        <v>287.23450819129636</v>
      </c>
      <c r="G13" s="16"/>
      <c r="H13" s="15">
        <f>STDEVA(H5:H11)</f>
        <v>1102.2040588125806</v>
      </c>
      <c r="I13" s="16"/>
      <c r="J13" s="15">
        <f>STDEVA(J5:J11)</f>
        <v>189.0947628969127</v>
      </c>
      <c r="K13" s="16"/>
      <c r="L13" s="15">
        <f>STDEVA(L5:L11)</f>
        <v>5.4714677857505851</v>
      </c>
      <c r="M13" s="16"/>
      <c r="O13" s="72" t="s">
        <v>66</v>
      </c>
      <c r="P13" s="72"/>
      <c r="Q13" s="72"/>
      <c r="R13" s="72"/>
      <c r="S13" s="72"/>
      <c r="T13" s="72"/>
      <c r="U13" s="72"/>
    </row>
    <row r="14" spans="1:23" x14ac:dyDescent="0.25">
      <c r="A14" s="14" t="s">
        <v>63</v>
      </c>
      <c r="B14" s="15">
        <f t="shared" ref="B14" si="14">B13*100/B12</f>
        <v>16.205781632968666</v>
      </c>
      <c r="C14" s="16"/>
      <c r="D14" s="15">
        <f>D13*100/D12</f>
        <v>16.33623544062668</v>
      </c>
      <c r="E14" s="16"/>
      <c r="F14" s="15">
        <f t="shared" ref="F14" si="15">F13*100/F12</f>
        <v>15.602601278485416</v>
      </c>
      <c r="G14" s="16"/>
      <c r="H14" s="15">
        <f t="shared" ref="H14" si="16">H13*100/H12</f>
        <v>17.143757727650559</v>
      </c>
      <c r="I14" s="16"/>
      <c r="J14" s="15">
        <f t="shared" ref="J14" si="17">J13*100/J12</f>
        <v>16.780011283495483</v>
      </c>
      <c r="K14" s="16"/>
      <c r="L14" s="15">
        <f t="shared" ref="L14" si="18">L13*100/L12</f>
        <v>11.981505658097415</v>
      </c>
      <c r="M14" s="16"/>
      <c r="O14" s="19" t="s">
        <v>65</v>
      </c>
      <c r="P14" s="19" t="s">
        <v>7</v>
      </c>
      <c r="Q14" s="19" t="s">
        <v>1</v>
      </c>
      <c r="R14" s="19" t="s">
        <v>10</v>
      </c>
      <c r="S14" s="19" t="s">
        <v>9</v>
      </c>
      <c r="T14" s="19" t="s">
        <v>11</v>
      </c>
      <c r="U14" s="19" t="s">
        <v>4</v>
      </c>
    </row>
    <row r="15" spans="1:23" x14ac:dyDescent="0.25">
      <c r="A15" s="11" t="s">
        <v>121</v>
      </c>
      <c r="B15" s="12">
        <v>48542.074363992178</v>
      </c>
      <c r="C15" s="13">
        <f t="shared" ref="C15:C21" si="19">(B15-B$22)/B$23</f>
        <v>-0.75787614559892402</v>
      </c>
      <c r="D15" s="12">
        <v>96266.144814090047</v>
      </c>
      <c r="E15" s="13">
        <f t="shared" ref="E15:E21" si="20">(D15-D$22)/D$23</f>
        <v>-0.85642795261400195</v>
      </c>
      <c r="F15" s="12">
        <v>10571.265492498371</v>
      </c>
      <c r="G15" s="13">
        <f t="shared" ref="G15:G21" si="21">(F15-F$22)/F$23</f>
        <v>-0.90453293395775425</v>
      </c>
      <c r="H15" s="12">
        <v>38245.270711024146</v>
      </c>
      <c r="I15" s="13">
        <f t="shared" ref="I15:I21" si="22">(H15-H$22)/H$23</f>
        <v>-1.0081425024253425</v>
      </c>
      <c r="J15" s="12">
        <v>6674.9836921069809</v>
      </c>
      <c r="K15" s="13">
        <f t="shared" ref="K15:K21" si="23">(J15-J$22)/J$23</f>
        <v>-0.79162862688556479</v>
      </c>
      <c r="L15" s="12">
        <v>263.69863013698631</v>
      </c>
      <c r="M15" s="13">
        <f t="shared" ref="M15:M21" si="24">(L15-L$22)/L$23</f>
        <v>-1.3021148914398795</v>
      </c>
      <c r="O15" s="19" t="str">
        <f>A15</f>
        <v>4Acid -Concentrate Sample -1</v>
      </c>
      <c r="P15" s="20">
        <f>B15/B$42</f>
        <v>0.87481273766104373</v>
      </c>
      <c r="Q15" s="20">
        <f>D15/D$42</f>
        <v>0.87753837875853102</v>
      </c>
      <c r="R15" s="20">
        <f>F15/F$42</f>
        <v>0.86382798525270144</v>
      </c>
      <c r="S15" s="20">
        <f>H15/H$42</f>
        <v>0.88584348993830586</v>
      </c>
      <c r="T15" s="20">
        <f>J15/J$42</f>
        <v>0.89199516710246107</v>
      </c>
      <c r="U15" s="20">
        <f>L15/L$42</f>
        <v>0.87705974803541686</v>
      </c>
    </row>
    <row r="16" spans="1:23" x14ac:dyDescent="0.25">
      <c r="A16" s="11" t="s">
        <v>122</v>
      </c>
      <c r="B16" s="12">
        <v>48746.229508196724</v>
      </c>
      <c r="C16" s="13">
        <f t="shared" si="19"/>
        <v>-0.58734940001578984</v>
      </c>
      <c r="D16" s="12">
        <v>97883.770491803283</v>
      </c>
      <c r="E16" s="13">
        <f t="shared" si="20"/>
        <v>-0.20102491291704092</v>
      </c>
      <c r="F16" s="12">
        <v>10695.245901639346</v>
      </c>
      <c r="G16" s="13">
        <f t="shared" si="21"/>
        <v>-0.50696234839345522</v>
      </c>
      <c r="H16" s="12">
        <v>38307.049180327871</v>
      </c>
      <c r="I16" s="13">
        <f t="shared" si="22"/>
        <v>-0.94140462159886751</v>
      </c>
      <c r="J16" s="12">
        <v>6596.3934426229507</v>
      </c>
      <c r="K16" s="13">
        <f t="shared" si="23"/>
        <v>-1.3905823938372452</v>
      </c>
      <c r="L16" s="12">
        <v>266.88524590163934</v>
      </c>
      <c r="M16" s="13">
        <f t="shared" si="24"/>
        <v>-0.68881788477514305</v>
      </c>
      <c r="O16" s="19" t="str">
        <f t="shared" ref="O16:O21" si="25">A16</f>
        <v>4Acid -Concentrate Sample -2</v>
      </c>
      <c r="P16" s="20">
        <f t="shared" ref="P16:P21" si="26">B16/B$42</f>
        <v>0.87849196898663462</v>
      </c>
      <c r="Q16" s="20">
        <f t="shared" ref="Q16:Q21" si="27">D16/D$42</f>
        <v>0.89228425455318394</v>
      </c>
      <c r="R16" s="20">
        <f t="shared" ref="R16:R21" si="28">F16/F$42</f>
        <v>0.87395900950093863</v>
      </c>
      <c r="S16" s="20">
        <f t="shared" ref="S16:S21" si="29">H16/H$42</f>
        <v>0.8872744133919418</v>
      </c>
      <c r="T16" s="20">
        <f t="shared" ref="T16:T21" si="30">J16/J$42</f>
        <v>0.88149295077434842</v>
      </c>
      <c r="U16" s="20">
        <f t="shared" ref="U16:U21" si="31">L16/L$42</f>
        <v>0.88765840915921723</v>
      </c>
    </row>
    <row r="17" spans="1:21" x14ac:dyDescent="0.25">
      <c r="A17" s="11" t="s">
        <v>123</v>
      </c>
      <c r="B17" s="12">
        <v>50932.773109243695</v>
      </c>
      <c r="C17" s="13">
        <f t="shared" si="19"/>
        <v>1.2390271324735884</v>
      </c>
      <c r="D17" s="12">
        <v>101022.94764059469</v>
      </c>
      <c r="E17" s="13">
        <f t="shared" si="20"/>
        <v>1.0708553952477118</v>
      </c>
      <c r="F17" s="12">
        <v>11170.652876535229</v>
      </c>
      <c r="G17" s="13">
        <f t="shared" si="21"/>
        <v>1.0175351968259019</v>
      </c>
      <c r="H17" s="12">
        <v>40046.541693600513</v>
      </c>
      <c r="I17" s="13">
        <f t="shared" si="22"/>
        <v>0.93772973309994845</v>
      </c>
      <c r="J17" s="12">
        <v>6927.4402068519703</v>
      </c>
      <c r="K17" s="13">
        <f t="shared" si="23"/>
        <v>1.132398609199621</v>
      </c>
      <c r="L17" s="12">
        <v>273.75565610859724</v>
      </c>
      <c r="M17" s="13">
        <f t="shared" si="24"/>
        <v>0.63346328298432442</v>
      </c>
      <c r="O17" s="19" t="str">
        <f t="shared" si="25"/>
        <v>4Acid -Concentrate Sample -3</v>
      </c>
      <c r="P17" s="20">
        <f>B17/B$42</f>
        <v>0.91789729351611204</v>
      </c>
      <c r="Q17" s="20">
        <f t="shared" si="27"/>
        <v>0.92090021742472339</v>
      </c>
      <c r="R17" s="20">
        <f t="shared" si="28"/>
        <v>0.91280675668795352</v>
      </c>
      <c r="S17" s="20">
        <f t="shared" si="29"/>
        <v>0.92756483597312711</v>
      </c>
      <c r="T17" s="20">
        <f t="shared" si="30"/>
        <v>0.92573157777299853</v>
      </c>
      <c r="U17" s="20">
        <f t="shared" si="31"/>
        <v>0.91050934411433693</v>
      </c>
    </row>
    <row r="18" spans="1:21" x14ac:dyDescent="0.25">
      <c r="A18" s="11" t="s">
        <v>124</v>
      </c>
      <c r="B18" s="12">
        <v>50049.640757674722</v>
      </c>
      <c r="C18" s="13">
        <f t="shared" si="19"/>
        <v>0.50136418296029306</v>
      </c>
      <c r="D18" s="12">
        <v>99705.911169170475</v>
      </c>
      <c r="E18" s="13">
        <f t="shared" si="20"/>
        <v>0.53724015987172347</v>
      </c>
      <c r="F18" s="12">
        <v>11096.99542782495</v>
      </c>
      <c r="G18" s="13">
        <f t="shared" si="21"/>
        <v>0.78133630687370192</v>
      </c>
      <c r="H18" s="12">
        <v>39804.049640757672</v>
      </c>
      <c r="I18" s="13">
        <f t="shared" si="22"/>
        <v>0.67577106195791148</v>
      </c>
      <c r="J18" s="12">
        <v>6827.4003919007182</v>
      </c>
      <c r="K18" s="13">
        <f t="shared" si="23"/>
        <v>0.36997293421334604</v>
      </c>
      <c r="L18" s="12">
        <v>271.22795558458523</v>
      </c>
      <c r="M18" s="13">
        <f t="shared" si="24"/>
        <v>0.14698129719955735</v>
      </c>
      <c r="O18" s="19" t="str">
        <f t="shared" si="25"/>
        <v>4Acid -Concentrate Sample -4</v>
      </c>
      <c r="P18" s="20">
        <f t="shared" si="26"/>
        <v>0.9019817101728882</v>
      </c>
      <c r="Q18" s="20">
        <f t="shared" si="27"/>
        <v>0.90889443852777618</v>
      </c>
      <c r="R18" s="20">
        <f t="shared" si="28"/>
        <v>0.90678785899179737</v>
      </c>
      <c r="S18" s="20">
        <f t="shared" si="29"/>
        <v>0.92194819364378711</v>
      </c>
      <c r="T18" s="20">
        <f t="shared" si="30"/>
        <v>0.9123630010737237</v>
      </c>
      <c r="U18" s="20">
        <f t="shared" si="31"/>
        <v>0.90210223034379022</v>
      </c>
    </row>
    <row r="19" spans="1:21" x14ac:dyDescent="0.25">
      <c r="A19" s="11" t="s">
        <v>125</v>
      </c>
      <c r="B19" s="12">
        <v>49742.071197411002</v>
      </c>
      <c r="C19" s="13">
        <f t="shared" si="19"/>
        <v>0.24445742532474304</v>
      </c>
      <c r="D19" s="12">
        <v>98480.258899676366</v>
      </c>
      <c r="E19" s="13">
        <f t="shared" si="20"/>
        <v>4.0650476544304488E-2</v>
      </c>
      <c r="F19" s="12">
        <v>10877.184466019417</v>
      </c>
      <c r="G19" s="13">
        <f t="shared" si="21"/>
        <v>7.6463872559437498E-2</v>
      </c>
      <c r="H19" s="12">
        <v>40342.233009708732</v>
      </c>
      <c r="I19" s="13">
        <f t="shared" si="22"/>
        <v>1.2571583631431364</v>
      </c>
      <c r="J19" s="12">
        <v>6916.8284789644013</v>
      </c>
      <c r="K19" s="13">
        <f t="shared" si="23"/>
        <v>1.0515242713033248</v>
      </c>
      <c r="L19" s="12">
        <v>277.66990291262135</v>
      </c>
      <c r="M19" s="13">
        <f t="shared" si="24"/>
        <v>1.3868003733493406</v>
      </c>
      <c r="O19" s="19" t="str">
        <f t="shared" si="25"/>
        <v>4Acid -Concentrate Sample -5</v>
      </c>
      <c r="P19" s="20">
        <f t="shared" si="26"/>
        <v>0.89643877092768987</v>
      </c>
      <c r="Q19" s="20">
        <f t="shared" si="27"/>
        <v>0.8977216954250925</v>
      </c>
      <c r="R19" s="20">
        <f t="shared" si="28"/>
        <v>0.88882606809668874</v>
      </c>
      <c r="S19" s="20">
        <f t="shared" si="29"/>
        <v>0.93441368872108932</v>
      </c>
      <c r="T19" s="20">
        <f t="shared" si="30"/>
        <v>0.92431350539605617</v>
      </c>
      <c r="U19" s="20">
        <f t="shared" si="31"/>
        <v>0.92352810084395076</v>
      </c>
    </row>
    <row r="20" spans="1:21" x14ac:dyDescent="0.25">
      <c r="A20" s="11" t="s">
        <v>126</v>
      </c>
      <c r="B20" s="12">
        <v>50540.052527905449</v>
      </c>
      <c r="C20" s="13">
        <f t="shared" si="19"/>
        <v>0.91099541463438372</v>
      </c>
      <c r="D20" s="12">
        <v>100968.15495732108</v>
      </c>
      <c r="E20" s="13">
        <f t="shared" si="20"/>
        <v>1.0486553945519734</v>
      </c>
      <c r="F20" s="12">
        <v>11173.342087984242</v>
      </c>
      <c r="G20" s="13">
        <f t="shared" si="21"/>
        <v>1.0261587477392931</v>
      </c>
      <c r="H20" s="12">
        <v>39321.569271175314</v>
      </c>
      <c r="I20" s="13">
        <f t="shared" si="22"/>
        <v>0.15455844906528843</v>
      </c>
      <c r="J20" s="12">
        <v>6839.7898883782009</v>
      </c>
      <c r="K20" s="13">
        <f t="shared" si="23"/>
        <v>0.46439604184491995</v>
      </c>
      <c r="L20" s="12">
        <v>274.45830597504926</v>
      </c>
      <c r="M20" s="13">
        <f t="shared" si="24"/>
        <v>0.76869548280221589</v>
      </c>
      <c r="O20" s="19" t="str">
        <f t="shared" si="25"/>
        <v>4Acid -Concentrate Sample -6</v>
      </c>
      <c r="P20" s="20">
        <f t="shared" si="26"/>
        <v>0.91081978454275858</v>
      </c>
      <c r="Q20" s="20">
        <f t="shared" si="27"/>
        <v>0.92040074086896628</v>
      </c>
      <c r="R20" s="20">
        <f t="shared" si="28"/>
        <v>0.9130265048448386</v>
      </c>
      <c r="S20" s="20">
        <f t="shared" si="29"/>
        <v>0.91077290094820262</v>
      </c>
      <c r="T20" s="20">
        <f t="shared" si="30"/>
        <v>0.91401864122065246</v>
      </c>
      <c r="U20" s="20">
        <f t="shared" si="31"/>
        <v>0.9128463525186179</v>
      </c>
    </row>
    <row r="21" spans="1:21" x14ac:dyDescent="0.25">
      <c r="A21" s="11" t="s">
        <v>127</v>
      </c>
      <c r="B21" s="12">
        <v>47593.000648088149</v>
      </c>
      <c r="C21" s="13">
        <f t="shared" si="19"/>
        <v>-1.5506186097782944</v>
      </c>
      <c r="D21" s="12">
        <v>94332.307193778382</v>
      </c>
      <c r="E21" s="13">
        <f t="shared" si="20"/>
        <v>-1.6399485606846704</v>
      </c>
      <c r="F21" s="12">
        <v>10388.690861957228</v>
      </c>
      <c r="G21" s="13">
        <f t="shared" si="21"/>
        <v>-1.4899988416471834</v>
      </c>
      <c r="H21" s="12">
        <v>38182.76085547635</v>
      </c>
      <c r="I21" s="13">
        <f t="shared" si="22"/>
        <v>-1.0756704832420747</v>
      </c>
      <c r="J21" s="12">
        <v>6669.1510045366185</v>
      </c>
      <c r="K21" s="13">
        <f t="shared" si="23"/>
        <v>-0.83608083583841575</v>
      </c>
      <c r="L21" s="12">
        <v>265.55411535968898</v>
      </c>
      <c r="M21" s="13">
        <f t="shared" si="24"/>
        <v>-0.9450076601204157</v>
      </c>
      <c r="O21" s="19" t="str">
        <f t="shared" si="25"/>
        <v>4Acid -Concentrate Sample -7</v>
      </c>
      <c r="P21" s="20">
        <f t="shared" si="26"/>
        <v>0.85770877606627471</v>
      </c>
      <c r="Q21" s="20">
        <f t="shared" si="27"/>
        <v>0.8599099930639772</v>
      </c>
      <c r="R21" s="20">
        <f t="shared" si="28"/>
        <v>0.84890895068957095</v>
      </c>
      <c r="S21" s="20">
        <f t="shared" si="29"/>
        <v>0.88439562599161303</v>
      </c>
      <c r="T21" s="20">
        <f t="shared" si="30"/>
        <v>0.89121573012344135</v>
      </c>
      <c r="U21" s="20">
        <f t="shared" si="31"/>
        <v>0.88323107854654492</v>
      </c>
    </row>
    <row r="22" spans="1:21" x14ac:dyDescent="0.25">
      <c r="A22" s="14" t="s">
        <v>30</v>
      </c>
      <c r="B22" s="15">
        <f>AVERAGE(B15:B21)</f>
        <v>49449.406016073131</v>
      </c>
      <c r="C22" s="16"/>
      <c r="D22" s="15">
        <f>AVERAGE(D15:D21)</f>
        <v>98379.927880919189</v>
      </c>
      <c r="E22" s="16"/>
      <c r="F22" s="15">
        <f>AVERAGE(F15:F21)</f>
        <v>10853.339587779828</v>
      </c>
      <c r="G22" s="16"/>
      <c r="H22" s="15">
        <f>AVERAGE(H15:H21)</f>
        <v>39178.496337438657</v>
      </c>
      <c r="I22" s="16"/>
      <c r="J22" s="15">
        <f>AVERAGE(J15:J21)</f>
        <v>6778.8553007659775</v>
      </c>
      <c r="K22" s="16"/>
      <c r="L22" s="15">
        <f>AVERAGE(L15:L21)</f>
        <v>270.46425885416681</v>
      </c>
      <c r="M22" s="16"/>
      <c r="O22" s="14" t="s">
        <v>64</v>
      </c>
      <c r="P22" s="21">
        <f>AVERAGE(P15:P21)</f>
        <v>0.89116443455334315</v>
      </c>
      <c r="Q22" s="21">
        <f t="shared" ref="Q22:U22" si="32">AVERAGE(Q15:Q21)</f>
        <v>0.89680710266032138</v>
      </c>
      <c r="R22" s="21">
        <f t="shared" si="32"/>
        <v>0.88687759058064131</v>
      </c>
      <c r="S22" s="21">
        <f t="shared" si="32"/>
        <v>0.90745902122972388</v>
      </c>
      <c r="T22" s="21">
        <f t="shared" si="32"/>
        <v>0.90587579620909742</v>
      </c>
      <c r="U22" s="21">
        <f t="shared" si="32"/>
        <v>0.89956218050883929</v>
      </c>
    </row>
    <row r="23" spans="1:21" x14ac:dyDescent="0.25">
      <c r="A23" s="14" t="s">
        <v>31</v>
      </c>
      <c r="B23" s="15">
        <f>STDEVA(B15:B21)</f>
        <v>1197.2030751329683</v>
      </c>
      <c r="C23" s="16"/>
      <c r="D23" s="15">
        <f>STDEVA(D15:D21)</f>
        <v>2468.1388088483368</v>
      </c>
      <c r="E23" s="16"/>
      <c r="F23" s="15">
        <f>STDEVA(F15:F21)</f>
        <v>311.84502486521046</v>
      </c>
      <c r="G23" s="16"/>
      <c r="H23" s="15">
        <f>STDEVA(H15:H21)</f>
        <v>925.68820793627856</v>
      </c>
      <c r="I23" s="16"/>
      <c r="J23" s="15">
        <f>STDEVA(J15:J21)</f>
        <v>131.21254731230422</v>
      </c>
      <c r="K23" s="16"/>
      <c r="L23" s="15">
        <f>STDEVA(L15:L21)</f>
        <v>5.1958769242697684</v>
      </c>
      <c r="M23" s="16"/>
      <c r="O23" s="72" t="s">
        <v>66</v>
      </c>
      <c r="P23" s="72"/>
      <c r="Q23" s="72"/>
      <c r="R23" s="72"/>
      <c r="S23" s="72"/>
      <c r="T23" s="72"/>
      <c r="U23" s="72"/>
    </row>
    <row r="24" spans="1:21" x14ac:dyDescent="0.25">
      <c r="A24" s="14" t="s">
        <v>32</v>
      </c>
      <c r="B24" s="15">
        <f>B23*100/B22</f>
        <v>2.4210666448527753</v>
      </c>
      <c r="C24" s="16"/>
      <c r="D24" s="15">
        <f>D23*100/D22</f>
        <v>2.5087829011582685</v>
      </c>
      <c r="E24" s="16"/>
      <c r="F24" s="15">
        <f>F23*100/F22</f>
        <v>2.873263315342387</v>
      </c>
      <c r="G24" s="16"/>
      <c r="H24" s="15">
        <f>H23*100/H22</f>
        <v>2.3627456244452603</v>
      </c>
      <c r="I24" s="16"/>
      <c r="J24" s="15">
        <f>J23*100/J22</f>
        <v>1.9356151074279142</v>
      </c>
      <c r="K24" s="16"/>
      <c r="L24" s="15">
        <f t="shared" ref="L24" si="33">L23*100/L22</f>
        <v>1.9210955807182508</v>
      </c>
      <c r="M24" s="16"/>
      <c r="O24" s="19" t="s">
        <v>65</v>
      </c>
      <c r="P24" s="19" t="s">
        <v>7</v>
      </c>
      <c r="Q24" s="19" t="s">
        <v>1</v>
      </c>
      <c r="R24" s="19" t="s">
        <v>10</v>
      </c>
      <c r="S24" s="19" t="s">
        <v>9</v>
      </c>
      <c r="T24" s="19" t="s">
        <v>11</v>
      </c>
      <c r="U24" s="19" t="s">
        <v>4</v>
      </c>
    </row>
    <row r="25" spans="1:21" x14ac:dyDescent="0.25">
      <c r="A25" s="11" t="s">
        <v>128</v>
      </c>
      <c r="B25" s="12">
        <v>31130.919220055712</v>
      </c>
      <c r="C25" s="13">
        <f t="shared" ref="C25:C31" si="34">(B25-B$32)/B$33</f>
        <v>0.54178857650801215</v>
      </c>
      <c r="D25" s="12">
        <v>62141.829155060354</v>
      </c>
      <c r="E25" s="13">
        <f t="shared" ref="E25:E31" si="35">(D25-D$32)/D$33</f>
        <v>0.65172196232725876</v>
      </c>
      <c r="F25" s="12">
        <v>7062.6740947075214</v>
      </c>
      <c r="G25" s="13">
        <f t="shared" ref="G25:G31" si="36">(F25-F$32)/F$33</f>
        <v>0.7844657385233702</v>
      </c>
      <c r="H25" s="12">
        <v>24331.244196843083</v>
      </c>
      <c r="I25" s="13">
        <f t="shared" ref="I25:I31" si="37">(H25-H$32)/H$33</f>
        <v>0.47038970006265451</v>
      </c>
      <c r="J25" s="12">
        <v>4261.6063138347263</v>
      </c>
      <c r="K25" s="13">
        <f t="shared" ref="K25:K31" si="38">(J25-J$32)/J$33</f>
        <v>0.32815136225018576</v>
      </c>
      <c r="L25" s="12">
        <v>165.97028783658311</v>
      </c>
      <c r="M25" s="13">
        <f t="shared" ref="M25:M31" si="39">(L25-L$32)/L$33</f>
        <v>0.7184519522818037</v>
      </c>
      <c r="O25" s="19" t="str">
        <f>A25</f>
        <v>MW-Concentrate Sample-1</v>
      </c>
      <c r="P25" s="20">
        <f>B25/B$42</f>
        <v>0.56103339269331531</v>
      </c>
      <c r="Q25" s="20">
        <f>D25/D$42</f>
        <v>0.56646955287483058</v>
      </c>
      <c r="R25" s="20">
        <f>F25/F$42</f>
        <v>0.57712442640448469</v>
      </c>
      <c r="S25" s="20">
        <f>H25/H$42</f>
        <v>0.56356443223344244</v>
      </c>
      <c r="T25" s="20">
        <f>J25/J$42</f>
        <v>0.56948936677237139</v>
      </c>
      <c r="U25" s="20">
        <f>L25/L$42</f>
        <v>0.55201598413954811</v>
      </c>
    </row>
    <row r="26" spans="1:21" x14ac:dyDescent="0.25">
      <c r="A26" s="11" t="s">
        <v>129</v>
      </c>
      <c r="B26" s="12">
        <v>29507.5</v>
      </c>
      <c r="C26" s="13">
        <f t="shared" si="34"/>
        <v>-0.14451736762091752</v>
      </c>
      <c r="D26" s="12">
        <v>58000.25</v>
      </c>
      <c r="E26" s="13">
        <f t="shared" si="35"/>
        <v>-0.20764715727193467</v>
      </c>
      <c r="F26" s="12">
        <v>6545</v>
      </c>
      <c r="G26" s="13">
        <f t="shared" si="36"/>
        <v>-0.21616971738564009</v>
      </c>
      <c r="H26" s="12">
        <v>23836.999999999996</v>
      </c>
      <c r="I26" s="13">
        <f t="shared" si="37"/>
        <v>0.19173043506923887</v>
      </c>
      <c r="J26" s="12">
        <v>4254.25</v>
      </c>
      <c r="K26" s="13">
        <f t="shared" si="38"/>
        <v>0.30531688166573562</v>
      </c>
      <c r="L26" s="12">
        <v>159.5</v>
      </c>
      <c r="M26" s="13">
        <f t="shared" si="39"/>
        <v>0.16520848033030766</v>
      </c>
      <c r="O26" s="19" t="str">
        <f t="shared" ref="O26:O31" si="40">A26</f>
        <v>MW-Concentrate Sample-2</v>
      </c>
      <c r="P26" s="20">
        <f t="shared" ref="P26:P31" si="41">B26/B$42</f>
        <v>0.53177655044097916</v>
      </c>
      <c r="Q26" s="20">
        <f t="shared" ref="Q26:Q31" si="42">D26/D$42</f>
        <v>0.52871594111183162</v>
      </c>
      <c r="R26" s="20">
        <f t="shared" ref="R26:R31" si="43">F26/F$42</f>
        <v>0.53482283341488046</v>
      </c>
      <c r="S26" s="20">
        <f t="shared" ref="S26:S31" si="44">H26/H$42</f>
        <v>0.55211666376237156</v>
      </c>
      <c r="T26" s="20">
        <f t="shared" ref="T26:T31" si="45">J26/J$42</f>
        <v>0.56850632371325138</v>
      </c>
      <c r="U26" s="20">
        <f t="shared" ref="U26:U31" si="46">L26/L$42</f>
        <v>0.5304958533117079</v>
      </c>
    </row>
    <row r="27" spans="1:21" x14ac:dyDescent="0.25">
      <c r="A27" s="11" t="s">
        <v>130</v>
      </c>
      <c r="B27" s="12">
        <v>31261.644486692014</v>
      </c>
      <c r="C27" s="13">
        <f t="shared" si="34"/>
        <v>0.59705312335577865</v>
      </c>
      <c r="D27" s="12">
        <v>61375.712927756649</v>
      </c>
      <c r="E27" s="13">
        <f t="shared" si="35"/>
        <v>0.4927544276939515</v>
      </c>
      <c r="F27" s="12">
        <v>6890.6844106463877</v>
      </c>
      <c r="G27" s="13">
        <f t="shared" si="36"/>
        <v>0.45201917092104005</v>
      </c>
      <c r="H27" s="12">
        <v>24663.735741444867</v>
      </c>
      <c r="I27" s="13">
        <f t="shared" si="37"/>
        <v>0.65785138403802312</v>
      </c>
      <c r="J27" s="12">
        <v>4349.8098859315587</v>
      </c>
      <c r="K27" s="13">
        <f t="shared" si="38"/>
        <v>0.60194103460165282</v>
      </c>
      <c r="L27" s="12">
        <v>164.68631178707224</v>
      </c>
      <c r="M27" s="13">
        <f t="shared" si="39"/>
        <v>0.60866528042500911</v>
      </c>
      <c r="O27" s="19" t="str">
        <f t="shared" si="40"/>
        <v>MW-Concentrate Sample-3</v>
      </c>
      <c r="P27" s="20">
        <f t="shared" si="41"/>
        <v>0.56338928971432123</v>
      </c>
      <c r="Q27" s="20">
        <f t="shared" si="42"/>
        <v>0.55948582673365144</v>
      </c>
      <c r="R27" s="20">
        <f t="shared" si="43"/>
        <v>0.56307033776465198</v>
      </c>
      <c r="S27" s="20">
        <f t="shared" si="44"/>
        <v>0.57126565815678576</v>
      </c>
      <c r="T27" s="20">
        <f t="shared" si="45"/>
        <v>0.58127623602339018</v>
      </c>
      <c r="U27" s="20">
        <f t="shared" si="46"/>
        <v>0.54774548902972331</v>
      </c>
    </row>
    <row r="28" spans="1:21" x14ac:dyDescent="0.25">
      <c r="A28" s="11" t="s">
        <v>131</v>
      </c>
      <c r="B28" s="12">
        <v>31305.448408871747</v>
      </c>
      <c r="C28" s="13">
        <f t="shared" si="34"/>
        <v>0.61557137902056025</v>
      </c>
      <c r="D28" s="12">
        <v>61727.82063645131</v>
      </c>
      <c r="E28" s="13">
        <f t="shared" si="35"/>
        <v>0.56581604991486267</v>
      </c>
      <c r="F28" s="12">
        <v>6939.9710703953715</v>
      </c>
      <c r="G28" s="13">
        <f t="shared" si="36"/>
        <v>0.54728756420624125</v>
      </c>
      <c r="H28" s="12">
        <v>24262.054001928638</v>
      </c>
      <c r="I28" s="13">
        <f t="shared" si="37"/>
        <v>0.43137965405146877</v>
      </c>
      <c r="J28" s="12">
        <v>4304.0019286403085</v>
      </c>
      <c r="K28" s="13">
        <f t="shared" si="38"/>
        <v>0.45975013099411299</v>
      </c>
      <c r="L28" s="12">
        <v>159.11282545805207</v>
      </c>
      <c r="M28" s="13">
        <f t="shared" si="39"/>
        <v>0.13210303073540686</v>
      </c>
      <c r="O28" s="19" t="str">
        <f t="shared" si="40"/>
        <v>MW-Concentrate Sample-4</v>
      </c>
      <c r="P28" s="20">
        <f t="shared" si="41"/>
        <v>0.5641787126960216</v>
      </c>
      <c r="Q28" s="20">
        <f t="shared" si="42"/>
        <v>0.56269555356371215</v>
      </c>
      <c r="R28" s="20">
        <f t="shared" si="43"/>
        <v>0.56709778329811356</v>
      </c>
      <c r="S28" s="20">
        <f t="shared" si="44"/>
        <v>0.56196183712578496</v>
      </c>
      <c r="T28" s="20">
        <f t="shared" si="45"/>
        <v>0.5751548013647636</v>
      </c>
      <c r="U28" s="20">
        <f t="shared" si="46"/>
        <v>0.52920811356869069</v>
      </c>
    </row>
    <row r="29" spans="1:21" x14ac:dyDescent="0.25">
      <c r="A29" s="11" t="s">
        <v>132</v>
      </c>
      <c r="B29" s="12">
        <v>25408.937198067633</v>
      </c>
      <c r="C29" s="13">
        <f t="shared" si="34"/>
        <v>-1.8771985990624016</v>
      </c>
      <c r="D29" s="12">
        <v>50036.714975845411</v>
      </c>
      <c r="E29" s="13">
        <f t="shared" si="35"/>
        <v>-1.8600642248639561</v>
      </c>
      <c r="F29" s="12">
        <v>5712.5603864734294</v>
      </c>
      <c r="G29" s="13">
        <f t="shared" si="36"/>
        <v>-1.8252295500367137</v>
      </c>
      <c r="H29" s="12">
        <v>20198.55072463768</v>
      </c>
      <c r="I29" s="13">
        <f t="shared" si="37"/>
        <v>-1.8596595605328325</v>
      </c>
      <c r="J29" s="12">
        <v>3544.4444444444443</v>
      </c>
      <c r="K29" s="13">
        <f t="shared" si="38"/>
        <v>-1.8979661132163466</v>
      </c>
      <c r="L29" s="12">
        <v>135.50724637681157</v>
      </c>
      <c r="M29" s="13">
        <f t="shared" si="39"/>
        <v>-1.8862975193130367</v>
      </c>
      <c r="O29" s="19" t="str">
        <f t="shared" si="40"/>
        <v>MW-Concentrate Sample-5</v>
      </c>
      <c r="P29" s="20">
        <f t="shared" si="41"/>
        <v>0.45791330927933183</v>
      </c>
      <c r="Q29" s="20">
        <f t="shared" si="42"/>
        <v>0.45612232444857714</v>
      </c>
      <c r="R29" s="20">
        <f t="shared" si="43"/>
        <v>0.46680026462143992</v>
      </c>
      <c r="S29" s="20">
        <f t="shared" si="44"/>
        <v>0.46784228044309223</v>
      </c>
      <c r="T29" s="20">
        <f t="shared" si="45"/>
        <v>0.47365318933230738</v>
      </c>
      <c r="U29" s="20">
        <f t="shared" si="46"/>
        <v>0.45069612725132591</v>
      </c>
    </row>
    <row r="30" spans="1:21" x14ac:dyDescent="0.25">
      <c r="A30" s="11" t="s">
        <v>133</v>
      </c>
      <c r="B30" s="12">
        <v>32137.89682539682</v>
      </c>
      <c r="C30" s="13">
        <f t="shared" si="34"/>
        <v>0.96749175139502697</v>
      </c>
      <c r="D30" s="12">
        <v>63959.325396825385</v>
      </c>
      <c r="E30" s="13">
        <f t="shared" si="35"/>
        <v>1.028848678172364</v>
      </c>
      <c r="F30" s="12">
        <v>7166.9146825396811</v>
      </c>
      <c r="G30" s="13">
        <f t="shared" si="36"/>
        <v>0.98595704202115919</v>
      </c>
      <c r="H30" s="12">
        <v>25208.333333333332</v>
      </c>
      <c r="I30" s="13">
        <f t="shared" si="37"/>
        <v>0.96490034008475223</v>
      </c>
      <c r="J30" s="12">
        <v>4476.9345238095239</v>
      </c>
      <c r="K30" s="13">
        <f t="shared" si="38"/>
        <v>0.99654424765742999</v>
      </c>
      <c r="L30" s="12">
        <v>169.14682539682539</v>
      </c>
      <c r="M30" s="13">
        <f t="shared" si="39"/>
        <v>0.99006253793093268</v>
      </c>
      <c r="O30" s="19" t="str">
        <f t="shared" si="40"/>
        <v>MW-Concentrate Sample-6</v>
      </c>
      <c r="P30" s="20">
        <f t="shared" si="41"/>
        <v>0.57918088324112904</v>
      </c>
      <c r="Q30" s="20">
        <f t="shared" si="42"/>
        <v>0.58303739932259613</v>
      </c>
      <c r="R30" s="20">
        <f t="shared" si="43"/>
        <v>0.5856424167087213</v>
      </c>
      <c r="S30" s="20">
        <f t="shared" si="44"/>
        <v>0.58387972056088366</v>
      </c>
      <c r="T30" s="20">
        <f t="shared" si="45"/>
        <v>0.59826422698146275</v>
      </c>
      <c r="U30" s="20">
        <f t="shared" si="46"/>
        <v>0.56258112522793324</v>
      </c>
    </row>
    <row r="31" spans="1:21" x14ac:dyDescent="0.25">
      <c r="A31" s="11" t="s">
        <v>134</v>
      </c>
      <c r="B31" s="12">
        <v>28193.089430894302</v>
      </c>
      <c r="C31" s="13">
        <f t="shared" si="34"/>
        <v>-0.70018886359604349</v>
      </c>
      <c r="D31" s="12">
        <v>55765.130984643169</v>
      </c>
      <c r="E31" s="13">
        <f t="shared" si="35"/>
        <v>-0.6714297359725524</v>
      </c>
      <c r="F31" s="12">
        <v>6280.0361336946689</v>
      </c>
      <c r="G31" s="13">
        <f t="shared" si="36"/>
        <v>-0.72833024824945514</v>
      </c>
      <c r="H31" s="12">
        <v>21977.642276422757</v>
      </c>
      <c r="I31" s="13">
        <f t="shared" si="37"/>
        <v>-0.85659195277330313</v>
      </c>
      <c r="J31" s="12">
        <v>3900.1806684733506</v>
      </c>
      <c r="K31" s="13">
        <f t="shared" si="38"/>
        <v>-0.79373754395276641</v>
      </c>
      <c r="L31" s="12">
        <v>149.05149051490511</v>
      </c>
      <c r="M31" s="13">
        <f t="shared" si="39"/>
        <v>-0.72819376239042588</v>
      </c>
      <c r="O31" s="19" t="str">
        <f t="shared" si="40"/>
        <v>MW-Concentrate Sample-7</v>
      </c>
      <c r="P31" s="20">
        <f t="shared" si="41"/>
        <v>0.50808858235482501</v>
      </c>
      <c r="Q31" s="20">
        <f t="shared" si="42"/>
        <v>0.50834114869798275</v>
      </c>
      <c r="R31" s="20">
        <f t="shared" si="43"/>
        <v>0.51317138563337117</v>
      </c>
      <c r="S31" s="20">
        <f t="shared" si="44"/>
        <v>0.50904990271516493</v>
      </c>
      <c r="T31" s="20">
        <f t="shared" si="45"/>
        <v>0.52119113207998491</v>
      </c>
      <c r="U31" s="20">
        <f t="shared" si="46"/>
        <v>0.49574418588142016</v>
      </c>
    </row>
    <row r="32" spans="1:21" x14ac:dyDescent="0.25">
      <c r="A32" s="14" t="s">
        <v>30</v>
      </c>
      <c r="B32" s="15">
        <f>AVERAGE(B25:B31)</f>
        <v>29849.347938568313</v>
      </c>
      <c r="C32" s="16"/>
      <c r="D32" s="15">
        <f>AVERAGE(D25:D31)</f>
        <v>59000.969153797472</v>
      </c>
      <c r="E32" s="16"/>
      <c r="F32" s="15">
        <f>AVERAGE(F25:F31)</f>
        <v>6656.834396922437</v>
      </c>
      <c r="G32" s="16"/>
      <c r="H32" s="15">
        <f>AVERAGE(H25:H31)</f>
        <v>23496.937182087193</v>
      </c>
      <c r="I32" s="16"/>
      <c r="J32" s="15">
        <f>AVERAGE(J25:J31)</f>
        <v>4155.8896807334158</v>
      </c>
      <c r="K32" s="16"/>
      <c r="L32" s="15">
        <f>AVERAGE(L25:L31)</f>
        <v>157.56785533860707</v>
      </c>
      <c r="M32" s="16"/>
      <c r="O32" s="14" t="s">
        <v>64</v>
      </c>
      <c r="P32" s="21">
        <f>AVERAGE(P25:P31)</f>
        <v>0.53793724577427482</v>
      </c>
      <c r="Q32" s="21">
        <f t="shared" ref="Q32:U32" si="47">AVERAGE(Q25:Q31)</f>
        <v>0.53783824953616877</v>
      </c>
      <c r="R32" s="21">
        <f t="shared" si="47"/>
        <v>0.54396134969223764</v>
      </c>
      <c r="S32" s="21">
        <f t="shared" si="47"/>
        <v>0.54424007071393221</v>
      </c>
      <c r="T32" s="21">
        <f t="shared" si="47"/>
        <v>0.5553621823239332</v>
      </c>
      <c r="U32" s="21">
        <f t="shared" si="47"/>
        <v>0.52406955405862132</v>
      </c>
    </row>
    <row r="33" spans="1:13" x14ac:dyDescent="0.25">
      <c r="A33" s="14" t="s">
        <v>31</v>
      </c>
      <c r="B33" s="15">
        <f>STDEVA(B25:B31)</f>
        <v>2365.4453730780097</v>
      </c>
      <c r="C33" s="16"/>
      <c r="D33" s="15">
        <f>STDEVA(D25:D31)</f>
        <v>4819.3250846527635</v>
      </c>
      <c r="E33" s="16"/>
      <c r="F33" s="15">
        <f>STDEVA(F25:F31)</f>
        <v>517.34534455132723</v>
      </c>
      <c r="G33" s="16"/>
      <c r="H33" s="15">
        <f>STDEVA(H25:H31)</f>
        <v>1773.6506871744064</v>
      </c>
      <c r="I33" s="16"/>
      <c r="J33" s="15">
        <f>STDEVA(J25:J31)</f>
        <v>322.15814182941301</v>
      </c>
      <c r="K33" s="16"/>
      <c r="L33" s="15">
        <f>STDEVA(L25:L31)</f>
        <v>11.695190570907222</v>
      </c>
      <c r="M33" s="16"/>
    </row>
    <row r="34" spans="1:13" x14ac:dyDescent="0.25">
      <c r="A34" s="14" t="s">
        <v>32</v>
      </c>
      <c r="B34" s="15">
        <f t="shared" ref="B34" si="48">B33*100/B32</f>
        <v>7.9246132208523719</v>
      </c>
      <c r="C34" s="16"/>
      <c r="D34" s="15">
        <f>D33*100/D32</f>
        <v>8.168213427291775</v>
      </c>
      <c r="E34" s="16"/>
      <c r="F34" s="15">
        <f t="shared" ref="F34" si="49">F33*100/F32</f>
        <v>7.7716421004930574</v>
      </c>
      <c r="G34" s="16"/>
      <c r="H34" s="15">
        <f t="shared" ref="H34" si="50">H33*100/H32</f>
        <v>7.5484335402085634</v>
      </c>
      <c r="I34" s="16"/>
      <c r="J34" s="15">
        <f t="shared" ref="J34" si="51">J33*100/J32</f>
        <v>7.7518453707500665</v>
      </c>
      <c r="K34" s="16"/>
      <c r="L34" s="15">
        <f t="shared" ref="L34" si="52">L33*100/L32</f>
        <v>7.4223200828460358</v>
      </c>
      <c r="M34" s="16"/>
    </row>
    <row r="35" spans="1:13" x14ac:dyDescent="0.25">
      <c r="A35" s="11" t="s">
        <v>135</v>
      </c>
      <c r="B35" s="12">
        <v>56913.003841800011</v>
      </c>
      <c r="C35" s="13">
        <f t="shared" ref="C35:C41" si="53">(B35-B$42)/B$43</f>
        <v>1.1617649313490979</v>
      </c>
      <c r="D35" s="12">
        <v>112366.78492907569</v>
      </c>
      <c r="E35" s="13">
        <f t="shared" ref="E35:E41" si="54">(D35-D$42)/D$43</f>
        <v>1.216947643137803</v>
      </c>
      <c r="F35" s="12">
        <v>12549.315688909226</v>
      </c>
      <c r="G35" s="13">
        <f t="shared" ref="G35:G41" si="55">(F35-F$42)/F$43</f>
        <v>1.2243114813115539</v>
      </c>
      <c r="H35" s="12">
        <v>44015.464541015659</v>
      </c>
      <c r="I35" s="13">
        <f t="shared" ref="I35:I41" si="56">(H35-H$42)/H$43</f>
        <v>0.9639865575093014</v>
      </c>
      <c r="J35" s="12">
        <v>7614.4896463360419</v>
      </c>
      <c r="K35" s="13">
        <f t="shared" ref="K35:K41" si="57">(J35-J$42)/J$43</f>
        <v>0.80940566471121611</v>
      </c>
      <c r="L35" s="12">
        <v>308.42662766082401</v>
      </c>
      <c r="M35" s="13">
        <f t="shared" ref="M35:M41" si="58">(L35-L$42)/L$43</f>
        <v>1.0848041019534458</v>
      </c>
    </row>
    <row r="36" spans="1:13" x14ac:dyDescent="0.25">
      <c r="A36" s="11" t="s">
        <v>136</v>
      </c>
      <c r="B36" s="12">
        <v>55080.624399778004</v>
      </c>
      <c r="C36" s="13">
        <f t="shared" si="53"/>
        <v>-0.33267934758761042</v>
      </c>
      <c r="D36" s="12">
        <v>108248.11564571979</v>
      </c>
      <c r="E36" s="13">
        <f t="shared" si="54"/>
        <v>-0.66269415471490722</v>
      </c>
      <c r="F36" s="12">
        <v>12123.18059198718</v>
      </c>
      <c r="G36" s="13">
        <f t="shared" si="55"/>
        <v>-0.44992304459001176</v>
      </c>
      <c r="H36" s="12">
        <v>42805.353724431465</v>
      </c>
      <c r="I36" s="13">
        <f t="shared" si="56"/>
        <v>-0.42207014999675102</v>
      </c>
      <c r="J36" s="12">
        <v>7376.3690429291428</v>
      </c>
      <c r="K36" s="13">
        <f t="shared" si="57"/>
        <v>-0.65868533204312363</v>
      </c>
      <c r="L36" s="12">
        <v>296.17542548928731</v>
      </c>
      <c r="M36" s="13">
        <f t="shared" si="58"/>
        <v>-0.62684709798586102</v>
      </c>
    </row>
    <row r="37" spans="1:13" x14ac:dyDescent="0.25">
      <c r="A37" s="11" t="s">
        <v>137</v>
      </c>
      <c r="B37" s="12">
        <v>54438.203665112647</v>
      </c>
      <c r="C37" s="13">
        <f t="shared" si="53"/>
        <v>-0.85662213453109581</v>
      </c>
      <c r="D37" s="12">
        <v>108692.30566918016</v>
      </c>
      <c r="E37" s="13">
        <f t="shared" si="54"/>
        <v>-0.45997864714567821</v>
      </c>
      <c r="F37" s="12">
        <v>12121.1218620249</v>
      </c>
      <c r="G37" s="13">
        <f t="shared" si="55"/>
        <v>-0.45801155174948704</v>
      </c>
      <c r="H37" s="12">
        <v>43786.60756178727</v>
      </c>
      <c r="I37" s="13">
        <f t="shared" si="56"/>
        <v>0.70185457193258072</v>
      </c>
      <c r="J37" s="12">
        <v>7600.7685774346537</v>
      </c>
      <c r="K37" s="13">
        <f t="shared" si="57"/>
        <v>0.7248108105416573</v>
      </c>
      <c r="L37" s="12">
        <v>305.74025852137663</v>
      </c>
      <c r="M37" s="13">
        <f t="shared" si="58"/>
        <v>0.70948363163275452</v>
      </c>
    </row>
    <row r="38" spans="1:13" x14ac:dyDescent="0.25">
      <c r="A38" s="11" t="s">
        <v>138</v>
      </c>
      <c r="B38" s="12">
        <v>54276.459167265588</v>
      </c>
      <c r="C38" s="13">
        <f t="shared" si="53"/>
        <v>-0.9885370283100261</v>
      </c>
      <c r="D38" s="12">
        <v>107440.22020294218</v>
      </c>
      <c r="E38" s="13">
        <f t="shared" si="54"/>
        <v>-1.0313943192744217</v>
      </c>
      <c r="F38" s="12">
        <v>11990.516982430136</v>
      </c>
      <c r="G38" s="13">
        <f t="shared" si="55"/>
        <v>-0.97114271660346385</v>
      </c>
      <c r="H38" s="12">
        <v>42132.348884462735</v>
      </c>
      <c r="I38" s="13">
        <f t="shared" si="56"/>
        <v>-1.1929275457316257</v>
      </c>
      <c r="J38" s="12">
        <v>7324.6938355522552</v>
      </c>
      <c r="K38" s="13">
        <f t="shared" si="57"/>
        <v>-0.97727979896451911</v>
      </c>
      <c r="L38" s="12">
        <v>290.12067848179953</v>
      </c>
      <c r="M38" s="13">
        <f t="shared" si="58"/>
        <v>-1.4727734679524944</v>
      </c>
    </row>
    <row r="39" spans="1:13" x14ac:dyDescent="0.25">
      <c r="A39" s="11" t="s">
        <v>139</v>
      </c>
      <c r="B39" s="12">
        <v>57411.28772914179</v>
      </c>
      <c r="C39" s="13">
        <f t="shared" si="53"/>
        <v>1.5681531976912177</v>
      </c>
      <c r="D39" s="12">
        <v>113171.44407698607</v>
      </c>
      <c r="E39" s="13">
        <f t="shared" si="54"/>
        <v>1.5841708561180248</v>
      </c>
      <c r="F39" s="12">
        <v>12646.888545827083</v>
      </c>
      <c r="G39" s="13">
        <f t="shared" si="55"/>
        <v>1.6076637257586102</v>
      </c>
      <c r="H39" s="12">
        <v>44318.911915555633</v>
      </c>
      <c r="I39" s="13">
        <f t="shared" si="56"/>
        <v>1.3115541216464892</v>
      </c>
      <c r="J39" s="12">
        <v>7725.3149210601559</v>
      </c>
      <c r="K39" s="13">
        <f t="shared" si="57"/>
        <v>1.4926795423490724</v>
      </c>
      <c r="L39" s="12">
        <v>307.59835154793296</v>
      </c>
      <c r="M39" s="13">
        <f t="shared" si="58"/>
        <v>0.96908322961286653</v>
      </c>
    </row>
    <row r="40" spans="1:13" x14ac:dyDescent="0.25">
      <c r="A40" s="11" t="s">
        <v>140</v>
      </c>
      <c r="B40" s="12">
        <v>55554.061089603201</v>
      </c>
      <c r="C40" s="13">
        <f t="shared" si="53"/>
        <v>5.3444146445511133E-2</v>
      </c>
      <c r="D40" s="12">
        <v>109444.5809783717</v>
      </c>
      <c r="E40" s="13">
        <f t="shared" si="54"/>
        <v>-0.11666190638108613</v>
      </c>
      <c r="F40" s="12">
        <v>12175.341669483585</v>
      </c>
      <c r="G40" s="13">
        <f t="shared" si="55"/>
        <v>-0.2449883243956705</v>
      </c>
      <c r="H40" s="12">
        <v>42225.193937236298</v>
      </c>
      <c r="I40" s="13">
        <f t="shared" si="56"/>
        <v>-1.0865831462006794</v>
      </c>
      <c r="J40" s="12">
        <v>7314.7891896784986</v>
      </c>
      <c r="K40" s="13">
        <f t="shared" si="57"/>
        <v>-1.0383451634279826</v>
      </c>
      <c r="L40" s="12">
        <v>294.37148821354742</v>
      </c>
      <c r="M40" s="13">
        <f t="shared" si="58"/>
        <v>-0.87888043801261495</v>
      </c>
    </row>
    <row r="41" spans="1:13" x14ac:dyDescent="0.25">
      <c r="A41" s="11" t="s">
        <v>141</v>
      </c>
      <c r="B41" s="12">
        <v>54746.082317153559</v>
      </c>
      <c r="C41" s="13">
        <f t="shared" si="53"/>
        <v>-0.60552376505715977</v>
      </c>
      <c r="D41" s="12">
        <v>108538.0215386599</v>
      </c>
      <c r="E41" s="13">
        <f t="shared" si="54"/>
        <v>-0.53038947173972106</v>
      </c>
      <c r="F41" s="12">
        <v>12057.51648627503</v>
      </c>
      <c r="G41" s="13">
        <f t="shared" si="55"/>
        <v>-0.70790956973145969</v>
      </c>
      <c r="H41" s="12">
        <v>42933.043777094186</v>
      </c>
      <c r="I41" s="13">
        <f t="shared" si="56"/>
        <v>-0.27581440915927358</v>
      </c>
      <c r="J41" s="12">
        <v>7426.0176163006154</v>
      </c>
      <c r="K41" s="13">
        <f t="shared" si="57"/>
        <v>-0.35258572316633729</v>
      </c>
      <c r="L41" s="12">
        <v>302.20190573879961</v>
      </c>
      <c r="M41" s="13">
        <f t="shared" si="58"/>
        <v>0.21513004075189576</v>
      </c>
    </row>
    <row r="42" spans="1:13" x14ac:dyDescent="0.25">
      <c r="A42" s="14" t="s">
        <v>30</v>
      </c>
      <c r="B42" s="15">
        <f>AVERAGE(B35:B41)</f>
        <v>55488.531744264983</v>
      </c>
      <c r="C42" s="16"/>
      <c r="D42" s="15">
        <f>AVERAGE(D35:D41)</f>
        <v>109700.21043441935</v>
      </c>
      <c r="E42" s="16"/>
      <c r="F42" s="15">
        <f>AVERAGE(F35:F41)</f>
        <v>12237.69740384816</v>
      </c>
      <c r="G42" s="16"/>
      <c r="H42" s="15">
        <f>AVERAGE(H35:H41)</f>
        <v>43173.846334511887</v>
      </c>
      <c r="I42" s="16"/>
      <c r="J42" s="15">
        <f>AVERAGE(J35:J41)</f>
        <v>7483.2061184701952</v>
      </c>
      <c r="K42" s="16"/>
      <c r="L42" s="15">
        <f>AVERAGE(L35:L41)</f>
        <v>300.66210509336679</v>
      </c>
      <c r="M42" s="16"/>
    </row>
    <row r="43" spans="1:13" x14ac:dyDescent="0.25">
      <c r="A43" s="14" t="s">
        <v>31</v>
      </c>
      <c r="B43" s="15">
        <f>STDEVA(B35:B41)</f>
        <v>1226.1276434647257</v>
      </c>
      <c r="C43" s="16"/>
      <c r="D43" s="15">
        <f>STDEVA(D35:D41)</f>
        <v>2191.1990295496894</v>
      </c>
      <c r="E43" s="16"/>
      <c r="F43" s="15">
        <f>STDEVA(F35:F41)</f>
        <v>254.52533102707005</v>
      </c>
      <c r="G43" s="16"/>
      <c r="H43" s="15">
        <f>STDEVA(H35:H41)</f>
        <v>873.06010643789637</v>
      </c>
      <c r="I43" s="16"/>
      <c r="J43" s="15">
        <f>STDEVA(J35:J41)</f>
        <v>162.19744139384883</v>
      </c>
      <c r="K43" s="16"/>
      <c r="L43" s="15">
        <f>STDEVA(L35:L41)</f>
        <v>7.1575342990272306</v>
      </c>
      <c r="M43" s="16"/>
    </row>
    <row r="44" spans="1:13" x14ac:dyDescent="0.25">
      <c r="A44" s="14" t="s">
        <v>32</v>
      </c>
      <c r="B44" s="15">
        <f t="shared" ref="B44" si="59">B43*100/B42</f>
        <v>2.2096955982106197</v>
      </c>
      <c r="C44" s="16"/>
      <c r="D44" s="15">
        <f>D43*100/D42</f>
        <v>1.9974428680422864</v>
      </c>
      <c r="E44" s="16"/>
      <c r="F44" s="15">
        <f t="shared" ref="F44" si="60">F43*100/F42</f>
        <v>2.0798465808366386</v>
      </c>
      <c r="G44" s="16"/>
      <c r="H44" s="15">
        <f t="shared" ref="H44" si="61">H43*100/H42</f>
        <v>2.0221967245480235</v>
      </c>
      <c r="I44" s="16"/>
      <c r="J44" s="15">
        <f t="shared" ref="J44" si="62">J43*100/J42</f>
        <v>2.1674859522245411</v>
      </c>
      <c r="K44" s="16"/>
      <c r="L44" s="15">
        <f t="shared" ref="L44" si="63">L43*100/L42</f>
        <v>2.3805907621130205</v>
      </c>
      <c r="M44" s="16"/>
    </row>
    <row r="46" spans="1:13" ht="15.75" x14ac:dyDescent="0.25">
      <c r="A46" s="60" t="s">
        <v>27</v>
      </c>
      <c r="B46" s="60"/>
      <c r="C46" s="60"/>
      <c r="D46" s="60"/>
      <c r="E46" s="60"/>
      <c r="F46" s="60"/>
      <c r="G46" s="60"/>
      <c r="H46" s="60"/>
      <c r="I46" s="60"/>
      <c r="J46" s="60"/>
    </row>
  </sheetData>
  <mergeCells count="18">
    <mergeCell ref="O13:U13"/>
    <mergeCell ref="O23:U23"/>
    <mergeCell ref="A46:J46"/>
    <mergeCell ref="A1:U1"/>
    <mergeCell ref="A3:A4"/>
    <mergeCell ref="B3:C3"/>
    <mergeCell ref="D3:E3"/>
    <mergeCell ref="F3:G3"/>
    <mergeCell ref="H3:I3"/>
    <mergeCell ref="J3:K3"/>
    <mergeCell ref="B2:C2"/>
    <mergeCell ref="D2:E2"/>
    <mergeCell ref="F2:G2"/>
    <mergeCell ref="H2:I2"/>
    <mergeCell ref="J2:K2"/>
    <mergeCell ref="L2:M2"/>
    <mergeCell ref="L3:M3"/>
    <mergeCell ref="O3:U3"/>
  </mergeCells>
  <phoneticPr fontId="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C38E9-81A0-4D9B-8AE3-590407C018A7}">
  <dimension ref="A1:W69"/>
  <sheetViews>
    <sheetView topLeftCell="A36" workbookViewId="0">
      <selection activeCell="G51" sqref="G51"/>
    </sheetView>
  </sheetViews>
  <sheetFormatPr defaultRowHeight="15" x14ac:dyDescent="0.25"/>
  <cols>
    <col min="1" max="1" width="16.42578125" style="29" bestFit="1" customWidth="1"/>
    <col min="2" max="7" width="21.85546875" style="29" bestFit="1" customWidth="1"/>
    <col min="8" max="9" width="16" style="29" customWidth="1"/>
    <col min="10" max="10" width="22.42578125" style="29" bestFit="1" customWidth="1"/>
    <col min="11" max="11" width="16" style="29" customWidth="1"/>
    <col min="12" max="12" width="12" style="29" bestFit="1" customWidth="1"/>
    <col min="13" max="13" width="9.28515625" style="29" bestFit="1" customWidth="1"/>
    <col min="14" max="14" width="11.85546875" style="29" bestFit="1" customWidth="1"/>
    <col min="15" max="15" width="5.5703125" style="29" bestFit="1" customWidth="1"/>
    <col min="16" max="16" width="11.5703125" style="29" bestFit="1" customWidth="1"/>
    <col min="17" max="17" width="7.5703125" style="29" bestFit="1" customWidth="1"/>
    <col min="18" max="18" width="12.28515625" style="29" bestFit="1" customWidth="1"/>
    <col min="19" max="19" width="7.5703125" style="29" bestFit="1" customWidth="1"/>
    <col min="20" max="20" width="11.5703125" style="29" bestFit="1" customWidth="1"/>
    <col min="21" max="21" width="7.5703125" style="29" bestFit="1" customWidth="1"/>
    <col min="22" max="22" width="12.42578125" style="29" bestFit="1" customWidth="1"/>
    <col min="23" max="23" width="6.5703125" style="29" bestFit="1" customWidth="1"/>
    <col min="24" max="36" width="16" style="29" customWidth="1"/>
    <col min="37" max="16384" width="9.140625" style="29"/>
  </cols>
  <sheetData>
    <row r="1" spans="1:23" ht="18.75" x14ac:dyDescent="0.25">
      <c r="A1" s="79" t="s">
        <v>176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</row>
    <row r="2" spans="1:23" ht="18.75" x14ac:dyDescent="0.25">
      <c r="A2" s="80" t="s">
        <v>160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</row>
    <row r="3" spans="1:23" ht="15" customHeight="1" x14ac:dyDescent="0.25">
      <c r="A3" s="78" t="s">
        <v>163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</row>
    <row r="4" spans="1:23" x14ac:dyDescent="0.25">
      <c r="A4" s="50" t="s">
        <v>24</v>
      </c>
      <c r="B4" s="51" t="s">
        <v>1</v>
      </c>
      <c r="C4" s="51" t="s">
        <v>4</v>
      </c>
      <c r="D4" s="51" t="s">
        <v>7</v>
      </c>
      <c r="E4" s="51" t="s">
        <v>9</v>
      </c>
      <c r="F4" s="51" t="s">
        <v>10</v>
      </c>
      <c r="G4" s="51" t="s">
        <v>11</v>
      </c>
      <c r="J4" s="50" t="s">
        <v>150</v>
      </c>
      <c r="L4" s="52" t="s">
        <v>164</v>
      </c>
      <c r="M4" s="53"/>
      <c r="N4" s="52" t="s">
        <v>165</v>
      </c>
      <c r="O4" s="53"/>
      <c r="P4" s="52" t="s">
        <v>166</v>
      </c>
      <c r="Q4" s="53"/>
      <c r="R4" s="52" t="s">
        <v>167</v>
      </c>
      <c r="S4" s="53"/>
      <c r="T4" s="52" t="s">
        <v>168</v>
      </c>
      <c r="U4" s="53"/>
      <c r="V4" s="52" t="s">
        <v>169</v>
      </c>
      <c r="W4" s="53"/>
    </row>
    <row r="5" spans="1:23" x14ac:dyDescent="0.25">
      <c r="A5" s="31" t="s">
        <v>142</v>
      </c>
      <c r="B5" s="31">
        <v>96266.144814090047</v>
      </c>
      <c r="C5" s="31">
        <v>263.69863013698631</v>
      </c>
      <c r="D5" s="31">
        <v>48542.074363992178</v>
      </c>
      <c r="E5" s="31">
        <v>38245.270711024146</v>
      </c>
      <c r="F5" s="31">
        <v>10571.265492498371</v>
      </c>
      <c r="G5" s="31">
        <v>6674.9836921069809</v>
      </c>
      <c r="J5" s="31">
        <v>0.62329999999999997</v>
      </c>
      <c r="L5" s="31" t="s">
        <v>151</v>
      </c>
      <c r="M5" s="31">
        <f>(SMALL($B$5:$B$11,7)-SMALL($B$5:$B$11,1))</f>
        <v>6690.6404468163091</v>
      </c>
      <c r="N5" s="31" t="s">
        <v>151</v>
      </c>
      <c r="O5" s="31">
        <f>(SMALL($C$5:$C$11,7)-SMALL($C$5:$C$11,1))</f>
        <v>13.971272775635043</v>
      </c>
      <c r="P5" s="31" t="s">
        <v>151</v>
      </c>
      <c r="Q5" s="31">
        <f>(SMALL($D$5:$D$11,7)-SMALL($D$5:$D$11,1))</f>
        <v>3339.7724611555459</v>
      </c>
      <c r="R5" s="31" t="s">
        <v>151</v>
      </c>
      <c r="S5" s="31">
        <f>(SMALL($E$5:$E$11,7)-SMALL($E$5:$E$11,1))</f>
        <v>2159.4721542323823</v>
      </c>
      <c r="T5" s="31" t="s">
        <v>151</v>
      </c>
      <c r="U5" s="31">
        <f>(SMALL($F$5:$F$11,7)-SMALL($F$5:$F$11,1))</f>
        <v>784.65122602701376</v>
      </c>
      <c r="V5" s="31" t="s">
        <v>151</v>
      </c>
      <c r="W5" s="31">
        <f>(SMALL($G$5:$G$11,7)-SMALL($G$5:$G$11,1))</f>
        <v>331.04676422901957</v>
      </c>
    </row>
    <row r="6" spans="1:23" x14ac:dyDescent="0.25">
      <c r="A6" s="31" t="s">
        <v>143</v>
      </c>
      <c r="B6" s="31">
        <v>97883.770491803283</v>
      </c>
      <c r="C6" s="31">
        <v>266.88524590163934</v>
      </c>
      <c r="D6" s="31">
        <v>48746.229508196724</v>
      </c>
      <c r="E6" s="31">
        <v>38307.049180327871</v>
      </c>
      <c r="F6" s="31">
        <v>10695.245901639346</v>
      </c>
      <c r="G6" s="31">
        <v>6596.3934426229507</v>
      </c>
      <c r="J6" s="31">
        <v>0.30309999999999998</v>
      </c>
      <c r="L6" s="31" t="s">
        <v>152</v>
      </c>
      <c r="M6" s="31">
        <f>(SMALL($B$5:$B$11,6)-SMALL($B$5:$B$11,2))</f>
        <v>4702.010143231033</v>
      </c>
      <c r="N6" s="31" t="s">
        <v>152</v>
      </c>
      <c r="O6" s="31">
        <f>(SMALL($C$5:$C$11,6)-SMALL($C$5:$C$11,2))</f>
        <v>8.9041906153602781</v>
      </c>
      <c r="P6" s="31" t="s">
        <v>152</v>
      </c>
      <c r="Q6" s="31">
        <f>(SMALL($D$5:$D$11,6)-SMALL($D$5:$D$11,2))</f>
        <v>1997.9781639132707</v>
      </c>
      <c r="R6" s="31" t="s">
        <v>152</v>
      </c>
      <c r="S6" s="31">
        <f>(SMALL($E$5:$E$11,6)-SMALL($E$5:$E$11,2))</f>
        <v>1801.2709825763668</v>
      </c>
      <c r="T6" s="31" t="s">
        <v>152</v>
      </c>
      <c r="U6" s="31">
        <f>(SMALL($F$5:$F$11,6)-SMALL($F$5:$F$11,2))</f>
        <v>599.38738403685784</v>
      </c>
      <c r="V6" s="31" t="s">
        <v>152</v>
      </c>
      <c r="W6" s="31">
        <f>(SMALL($G$5:$G$11,6)-SMALL($G$5:$G$11,2))</f>
        <v>247.67747442778273</v>
      </c>
    </row>
    <row r="7" spans="1:23" x14ac:dyDescent="0.25">
      <c r="A7" s="31" t="s">
        <v>144</v>
      </c>
      <c r="B7" s="31">
        <v>101022.94764059469</v>
      </c>
      <c r="C7" s="31">
        <v>273.75565610859724</v>
      </c>
      <c r="D7" s="31">
        <v>50932.773109243695</v>
      </c>
      <c r="E7" s="31">
        <v>40046.541693600513</v>
      </c>
      <c r="F7" s="31">
        <v>11170.652876535229</v>
      </c>
      <c r="G7" s="31">
        <v>6927.4402068519703</v>
      </c>
      <c r="J7" s="31">
        <v>0.1401</v>
      </c>
      <c r="L7" s="31" t="s">
        <v>153</v>
      </c>
      <c r="M7" s="31">
        <f>(SMALL($B$5:$B$11,5)-SMALL($B$5:$B$11,3))</f>
        <v>1822.1406773671915</v>
      </c>
      <c r="N7" s="31" t="s">
        <v>153</v>
      </c>
      <c r="O7" s="31">
        <f>(SMALL($C$5:$C$11,5)-SMALL($C$5:$C$11,3))</f>
        <v>6.8704102069578994</v>
      </c>
      <c r="P7" s="31" t="s">
        <v>153</v>
      </c>
      <c r="Q7" s="31">
        <f>(SMALL($D$5:$D$11,5)-SMALL($D$5:$D$11,3))</f>
        <v>1303.4112494779984</v>
      </c>
      <c r="R7" s="31" t="s">
        <v>153</v>
      </c>
      <c r="S7" s="31">
        <f>(SMALL($E$5:$E$11,5)-SMALL($E$5:$E$11,3))</f>
        <v>1497.000460429801</v>
      </c>
      <c r="T7" s="31" t="s">
        <v>153</v>
      </c>
      <c r="U7" s="31">
        <f>(SMALL($F$5:$F$11,5)-SMALL($F$5:$F$11,3))</f>
        <v>401.74952618560383</v>
      </c>
      <c r="V7" s="31" t="s">
        <v>153</v>
      </c>
      <c r="W7" s="31">
        <f>(SMALL($G$5:$G$11,5)-SMALL($G$5:$G$11,3))</f>
        <v>164.80619627121996</v>
      </c>
    </row>
    <row r="8" spans="1:23" x14ac:dyDescent="0.25">
      <c r="A8" s="31" t="s">
        <v>145</v>
      </c>
      <c r="B8" s="31">
        <v>99705.911169170475</v>
      </c>
      <c r="C8" s="31">
        <v>271.22795558458523</v>
      </c>
      <c r="D8" s="31">
        <v>50049.640757674722</v>
      </c>
      <c r="E8" s="31">
        <v>39804.049640757672</v>
      </c>
      <c r="F8" s="31">
        <v>11096.99542782495</v>
      </c>
      <c r="G8" s="31">
        <v>6827.4003919007182</v>
      </c>
    </row>
    <row r="9" spans="1:23" x14ac:dyDescent="0.25">
      <c r="A9" s="31" t="s">
        <v>146</v>
      </c>
      <c r="B9" s="31">
        <v>98480.258899676366</v>
      </c>
      <c r="C9" s="31">
        <v>277.66990291262135</v>
      </c>
      <c r="D9" s="31">
        <v>49742.071197411002</v>
      </c>
      <c r="E9" s="31">
        <v>40342.233009708732</v>
      </c>
      <c r="F9" s="31">
        <v>10877.184466019417</v>
      </c>
      <c r="G9" s="31">
        <v>6916.8284789644013</v>
      </c>
      <c r="J9" s="49" t="s">
        <v>154</v>
      </c>
    </row>
    <row r="10" spans="1:23" x14ac:dyDescent="0.25">
      <c r="A10" s="31" t="s">
        <v>147</v>
      </c>
      <c r="B10" s="31">
        <v>100968.15495732108</v>
      </c>
      <c r="C10" s="31">
        <v>274.45830597504926</v>
      </c>
      <c r="D10" s="31">
        <v>50540.052527905449</v>
      </c>
      <c r="E10" s="31">
        <v>39321.569271175314</v>
      </c>
      <c r="F10" s="31">
        <v>11173.342087984242</v>
      </c>
      <c r="G10" s="31">
        <v>6839.7898883782009</v>
      </c>
      <c r="J10" s="31">
        <v>0.80300000000000005</v>
      </c>
    </row>
    <row r="11" spans="1:23" x14ac:dyDescent="0.25">
      <c r="A11" s="31" t="s">
        <v>148</v>
      </c>
      <c r="B11" s="31">
        <v>94332.307193778382</v>
      </c>
      <c r="C11" s="31">
        <v>265.55411535968898</v>
      </c>
      <c r="D11" s="31">
        <v>47593.000648088149</v>
      </c>
      <c r="E11" s="31">
        <v>38182.76085547635</v>
      </c>
      <c r="F11" s="31">
        <v>10388.690861957228</v>
      </c>
      <c r="G11" s="31">
        <v>6669.1510045366185</v>
      </c>
    </row>
    <row r="13" spans="1:23" x14ac:dyDescent="0.25">
      <c r="A13" s="46" t="s">
        <v>155</v>
      </c>
      <c r="B13" s="31">
        <f>AVERAGE($B$5:$B$11)</f>
        <v>98379.927880919189</v>
      </c>
      <c r="C13" s="31">
        <f>AVERAGE($C$5:$C$11)</f>
        <v>270.46425885416681</v>
      </c>
      <c r="D13" s="31">
        <f>AVERAGE($D$5:$D$11)</f>
        <v>49449.406016073131</v>
      </c>
      <c r="E13" s="31">
        <f>AVERAGE($E$5:$E$11)</f>
        <v>39178.496337438657</v>
      </c>
      <c r="F13" s="31">
        <f>AVERAGE($F$5:$F$11)</f>
        <v>10853.339587779828</v>
      </c>
      <c r="G13" s="31">
        <f>AVERAGE($G$5:$G$11)</f>
        <v>6778.8553007659775</v>
      </c>
    </row>
    <row r="14" spans="1:23" x14ac:dyDescent="0.25">
      <c r="A14" s="46" t="s">
        <v>156</v>
      </c>
      <c r="B14" s="31">
        <f>SUMPRODUCT(($B$5:$B$11-B13)^2)</f>
        <v>36550255.078459717</v>
      </c>
      <c r="C14" s="31">
        <f>SUMPRODUCT(($C$5:$C$11-C13)^2)</f>
        <v>161.98282207295441</v>
      </c>
      <c r="D14" s="31">
        <f>SUMPRODUCT(($D$5:$D$11-D13)^2)</f>
        <v>8599771.2186470143</v>
      </c>
      <c r="E14" s="31">
        <f>SUMPRODUCT(($E$5:$E$11-E13)^2)</f>
        <v>5141391.9498736728</v>
      </c>
      <c r="F14" s="31">
        <f>SUMPRODUCT(($F$5:$F$11-F13)^2)</f>
        <v>583483.91719910246</v>
      </c>
      <c r="G14" s="31">
        <f>SUMPRODUCT(($G$5:$G$11-G13)^2)</f>
        <v>103300.39543310202</v>
      </c>
    </row>
    <row r="15" spans="1:23" x14ac:dyDescent="0.25">
      <c r="A15" s="46" t="s">
        <v>157</v>
      </c>
      <c r="B15" s="31">
        <f>SUMPRODUCT($J$5:$J$7,M5:M7)</f>
        <v>5850.7373738130755</v>
      </c>
      <c r="C15" s="31">
        <f>SUMPRODUCT($J$5:$J$7,O5:O7)</f>
        <v>12.369698966563822</v>
      </c>
      <c r="D15" s="31">
        <f>SUMPRODUCT($J$5:$J$7,Q5:Q7)</f>
        <v>2869.8752725722316</v>
      </c>
      <c r="E15" s="31">
        <f>SUMPRODUCT($J$5:$J$7,S5:S7)</f>
        <v>2101.6939930581557</v>
      </c>
      <c r="F15" s="31">
        <f>SUMPRODUCT($J$5:$J$7,U5:U7)</f>
        <v>727.03253390281236</v>
      </c>
      <c r="G15" s="31">
        <f>SUMPRODUCT($J$5:$J$7,W5:W7)</f>
        <v>304.50183874060673</v>
      </c>
    </row>
    <row r="16" spans="1:23" x14ac:dyDescent="0.25">
      <c r="A16" s="46" t="s">
        <v>158</v>
      </c>
      <c r="B16" s="31">
        <f t="shared" ref="B16:G16" si="0">(B15^2)/B14</f>
        <v>0.93654962855530577</v>
      </c>
      <c r="C16" s="31">
        <f t="shared" si="0"/>
        <v>0.94460295582760712</v>
      </c>
      <c r="D16" s="31">
        <f t="shared" si="0"/>
        <v>0.95772130103448538</v>
      </c>
      <c r="E16" s="31">
        <f t="shared" si="0"/>
        <v>0.85912875025318125</v>
      </c>
      <c r="F16" s="31">
        <f t="shared" si="0"/>
        <v>0.90589695752107191</v>
      </c>
      <c r="G16" s="31">
        <f t="shared" si="0"/>
        <v>0.8975896888648156</v>
      </c>
    </row>
    <row r="17" spans="1:23" x14ac:dyDescent="0.25">
      <c r="A17" s="47" t="s">
        <v>159</v>
      </c>
      <c r="B17" s="48" t="str">
        <f>IF(B16&lt;$J$10,"Reject normality","Do not reject normality")</f>
        <v>Do not reject normality</v>
      </c>
      <c r="C17" s="48" t="str">
        <f t="shared" ref="C17:G17" si="1">IF(C16&lt;$J$10,"Reject normality","Do not reject normality")</f>
        <v>Do not reject normality</v>
      </c>
      <c r="D17" s="48" t="str">
        <f t="shared" si="1"/>
        <v>Do not reject normality</v>
      </c>
      <c r="E17" s="48" t="str">
        <f t="shared" si="1"/>
        <v>Do not reject normality</v>
      </c>
      <c r="F17" s="48" t="str">
        <f t="shared" si="1"/>
        <v>Do not reject normality</v>
      </c>
      <c r="G17" s="48" t="str">
        <f t="shared" si="1"/>
        <v>Do not reject normality</v>
      </c>
    </row>
    <row r="18" spans="1:23" x14ac:dyDescent="0.25">
      <c r="A18" s="57"/>
      <c r="B18" s="58"/>
      <c r="C18" s="58"/>
      <c r="D18" s="58"/>
      <c r="E18" s="58"/>
      <c r="F18" s="58"/>
      <c r="G18" s="58"/>
    </row>
    <row r="19" spans="1:23" ht="18.75" x14ac:dyDescent="0.25">
      <c r="A19" s="83" t="s">
        <v>177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</row>
    <row r="20" spans="1:23" ht="15" customHeight="1" x14ac:dyDescent="0.25">
      <c r="A20" s="78" t="s">
        <v>163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</row>
    <row r="21" spans="1:23" x14ac:dyDescent="0.25">
      <c r="A21" s="50" t="s">
        <v>24</v>
      </c>
      <c r="B21" s="51" t="s">
        <v>1</v>
      </c>
      <c r="C21" s="51" t="s">
        <v>4</v>
      </c>
      <c r="D21" s="51" t="s">
        <v>7</v>
      </c>
      <c r="E21" s="51" t="s">
        <v>9</v>
      </c>
      <c r="F21" s="51" t="s">
        <v>10</v>
      </c>
      <c r="G21" s="51" t="s">
        <v>11</v>
      </c>
      <c r="J21" s="50" t="s">
        <v>150</v>
      </c>
      <c r="L21" s="52" t="s">
        <v>164</v>
      </c>
      <c r="M21" s="53"/>
      <c r="N21" s="52" t="s">
        <v>165</v>
      </c>
      <c r="O21" s="53"/>
      <c r="P21" s="52" t="s">
        <v>166</v>
      </c>
      <c r="Q21" s="53"/>
      <c r="R21" s="52" t="s">
        <v>167</v>
      </c>
      <c r="S21" s="53"/>
      <c r="T21" s="52" t="s">
        <v>168</v>
      </c>
      <c r="U21" s="53"/>
      <c r="V21" s="52" t="s">
        <v>169</v>
      </c>
      <c r="W21" s="53"/>
    </row>
    <row r="22" spans="1:23" x14ac:dyDescent="0.25">
      <c r="A22" s="31" t="s">
        <v>142</v>
      </c>
      <c r="B22" s="31">
        <v>13207.95006570302</v>
      </c>
      <c r="C22" s="31">
        <v>39.75032851511169</v>
      </c>
      <c r="D22" s="31">
        <v>6493.9842312746396</v>
      </c>
      <c r="E22" s="31">
        <v>5125.9855453350856</v>
      </c>
      <c r="F22" s="31">
        <v>1508.7056504599211</v>
      </c>
      <c r="G22" s="31">
        <v>916.06438896189218</v>
      </c>
      <c r="J22" s="31">
        <v>0.62329999999999997</v>
      </c>
      <c r="L22" s="31" t="s">
        <v>151</v>
      </c>
      <c r="M22" s="31">
        <f>(SMALL($B$22:$B$28,7)-SMALL($B$22:$B$28,1))</f>
        <v>6948.2999342969761</v>
      </c>
      <c r="N22" s="31" t="s">
        <v>151</v>
      </c>
      <c r="O22" s="31">
        <f>(SMALL($C$22:$C$28,7)-SMALL($C$22:$C$28,1))</f>
        <v>14.994197032333567</v>
      </c>
      <c r="P22" s="31" t="s">
        <v>151</v>
      </c>
      <c r="Q22" s="31">
        <f>(SMALL($D$22:$D$28,7)-SMALL($D$22:$D$28,1))</f>
        <v>3458.2216510782991</v>
      </c>
      <c r="R22" s="31" t="s">
        <v>151</v>
      </c>
      <c r="S22" s="31">
        <f>(SMALL($E$22:$E$28,7)-SMALL($E$22:$E$28,1))</f>
        <v>2903.2115349568858</v>
      </c>
      <c r="T22" s="31" t="s">
        <v>151</v>
      </c>
      <c r="U22" s="31">
        <f>(SMALL($F$22:$F$28,7)-SMALL($F$22:$F$28,1))</f>
        <v>737.64471450358292</v>
      </c>
      <c r="V22" s="31" t="s">
        <v>151</v>
      </c>
      <c r="W22" s="31">
        <f>(SMALL($G$22:$G$28,7)-SMALL($G$22:$G$28,1))</f>
        <v>483.57064753445832</v>
      </c>
    </row>
    <row r="23" spans="1:23" x14ac:dyDescent="0.25">
      <c r="A23" s="31" t="s">
        <v>143</v>
      </c>
      <c r="B23" s="31">
        <v>14627.431906614787</v>
      </c>
      <c r="C23" s="31">
        <v>42.801556420233467</v>
      </c>
      <c r="D23" s="31">
        <v>7247.7302204928665</v>
      </c>
      <c r="E23" s="31">
        <v>5671.206225680934</v>
      </c>
      <c r="F23" s="31">
        <v>1642.5097276264594</v>
      </c>
      <c r="G23" s="31">
        <v>984.43579766536982</v>
      </c>
      <c r="J23" s="31">
        <v>0.30309999999999998</v>
      </c>
      <c r="L23" s="31" t="s">
        <v>152</v>
      </c>
      <c r="M23" s="31">
        <f>(SMALL($B$22:$B$28,6)-SMALL($B$22:$B$28,2))</f>
        <v>5527.6775824363067</v>
      </c>
      <c r="N23" s="31" t="s">
        <v>152</v>
      </c>
      <c r="O23" s="31">
        <f>(SMALL($C$22:$C$28,7)-SMALL($C$22:$C$28,2))</f>
        <v>12.273483076402783</v>
      </c>
      <c r="P23" s="31" t="s">
        <v>152</v>
      </c>
      <c r="Q23" s="31">
        <f>(SMALL($D$22:$D$28,6)-SMALL($D$22:$D$28,2))</f>
        <v>2640.9559108939948</v>
      </c>
      <c r="R23" s="31" t="s">
        <v>152</v>
      </c>
      <c r="S23" s="31">
        <f>(SMALL($E$22:$E$28,6)-SMALL($E$22:$E$28,2))</f>
        <v>2196.4408331425948</v>
      </c>
      <c r="T23" s="31" t="s">
        <v>152</v>
      </c>
      <c r="U23" s="31">
        <f>(SMALL($F$22:$F$28,6)-SMALL($F$22:$F$28,2))</f>
        <v>587.26968413824648</v>
      </c>
      <c r="V23" s="31" t="s">
        <v>152</v>
      </c>
      <c r="W23" s="31">
        <f>(SMALL($G$22:$G$28,6)-SMALL($G$22:$G$28,2))</f>
        <v>396.07890821698288</v>
      </c>
    </row>
    <row r="24" spans="1:23" x14ac:dyDescent="0.25">
      <c r="A24" s="31" t="s">
        <v>144</v>
      </c>
      <c r="B24" s="31">
        <v>20155.109489051094</v>
      </c>
      <c r="C24" s="31">
        <v>54.744525547445257</v>
      </c>
      <c r="D24" s="31">
        <v>9888.6861313868612</v>
      </c>
      <c r="E24" s="31">
        <v>8029.1970802919714</v>
      </c>
      <c r="F24" s="31">
        <v>2246.350364963504</v>
      </c>
      <c r="G24" s="31">
        <v>1399.6350364963505</v>
      </c>
      <c r="J24" s="31">
        <v>0.1401</v>
      </c>
      <c r="L24" s="31" t="s">
        <v>153</v>
      </c>
      <c r="M24" s="31">
        <f>(SMALL($B$22:$B$28,5)-SMALL($B$22:$B$28,3))</f>
        <v>1040.4414049777879</v>
      </c>
      <c r="N24" s="31" t="s">
        <v>153</v>
      </c>
      <c r="O24" s="31">
        <f>(SMALL($C$22:$C$28,7)-SMALL($C$22:$C$28,3))</f>
        <v>12.246135334953308</v>
      </c>
      <c r="P24" s="31" t="s">
        <v>153</v>
      </c>
      <c r="Q24" s="31">
        <f>(SMALL($D$22:$D$28,5)-SMALL($D$22:$D$28,3))</f>
        <v>686.58100193837527</v>
      </c>
      <c r="R24" s="31" t="s">
        <v>153</v>
      </c>
      <c r="S24" s="31">
        <f>(SMALL($E$22:$E$28,5)-SMALL($E$22:$E$28,3))</f>
        <v>370.35678857958192</v>
      </c>
      <c r="T24" s="31" t="s">
        <v>153</v>
      </c>
      <c r="U24" s="31">
        <f>(SMALL($F$22:$F$28,5)-SMALL($F$22:$F$28,3))</f>
        <v>114.42181073539723</v>
      </c>
      <c r="V24" s="31" t="s">
        <v>153</v>
      </c>
      <c r="W24" s="31">
        <f>(SMALL($G$22:$G$28,5)-SMALL($G$22:$G$28,3))</f>
        <v>46.712221374165892</v>
      </c>
    </row>
    <row r="25" spans="1:23" x14ac:dyDescent="0.25">
      <c r="A25" s="31" t="s">
        <v>145</v>
      </c>
      <c r="B25" s="31">
        <v>20156.249999999996</v>
      </c>
      <c r="C25" s="31">
        <v>51.470588235294116</v>
      </c>
      <c r="D25" s="31">
        <v>9952.2058823529387</v>
      </c>
      <c r="E25" s="31">
        <v>7867.6470588235288</v>
      </c>
      <c r="F25" s="31">
        <v>2229.7794117647059</v>
      </c>
      <c r="G25" s="31">
        <v>1380.5147058823527</v>
      </c>
    </row>
    <row r="26" spans="1:23" x14ac:dyDescent="0.25">
      <c r="A26" s="31" t="s">
        <v>146</v>
      </c>
      <c r="B26" s="31">
        <v>15528.223112892449</v>
      </c>
      <c r="C26" s="31">
        <v>45.925183700734806</v>
      </c>
      <c r="D26" s="31">
        <v>7697.0607882431532</v>
      </c>
      <c r="E26" s="31">
        <v>6111.7234468937868</v>
      </c>
      <c r="F26" s="31">
        <v>1750.6680026720105</v>
      </c>
      <c r="G26" s="31">
        <v>1072.8122912491649</v>
      </c>
      <c r="J26" s="49" t="s">
        <v>154</v>
      </c>
    </row>
    <row r="27" spans="1:23" x14ac:dyDescent="0.25">
      <c r="A27" s="31" t="s">
        <v>147</v>
      </c>
      <c r="B27" s="31">
        <v>16345.943335479717</v>
      </c>
      <c r="C27" s="31">
        <v>42.498390212491948</v>
      </c>
      <c r="D27" s="31">
        <v>8196.8770122343849</v>
      </c>
      <c r="E27" s="31">
        <v>6284.4494526722465</v>
      </c>
      <c r="F27" s="31">
        <v>1811.4938828074692</v>
      </c>
      <c r="G27" s="31">
        <v>1090.7920154539599</v>
      </c>
      <c r="J27" s="31">
        <v>0.80300000000000005</v>
      </c>
    </row>
    <row r="28" spans="1:23" x14ac:dyDescent="0.25">
      <c r="A28" s="31" t="s">
        <v>148</v>
      </c>
      <c r="B28" s="31">
        <v>15305.501930501929</v>
      </c>
      <c r="C28" s="31">
        <v>42.471042471042473</v>
      </c>
      <c r="D28" s="31">
        <v>7510.2960102960096</v>
      </c>
      <c r="E28" s="31">
        <v>5914.0926640926646</v>
      </c>
      <c r="F28" s="31">
        <v>1697.0720720720719</v>
      </c>
      <c r="G28" s="31">
        <v>1044.0797940797941</v>
      </c>
    </row>
    <row r="30" spans="1:23" x14ac:dyDescent="0.25">
      <c r="A30" s="46" t="s">
        <v>155</v>
      </c>
      <c r="B30" s="31">
        <f>AVERAGE($B$22:$B$28)</f>
        <v>16475.201405748998</v>
      </c>
      <c r="C30" s="31">
        <f>AVERAGE($C$22:$C$28)</f>
        <v>45.665945014621968</v>
      </c>
      <c r="D30" s="31">
        <f>AVERAGE($D$22:$D$28)</f>
        <v>8140.9771823258361</v>
      </c>
      <c r="E30" s="31">
        <f>AVERAGE($E$22:$E$28)</f>
        <v>6429.1859248271739</v>
      </c>
      <c r="F30" s="31">
        <f>AVERAGE($F$22:$F$28)</f>
        <v>1840.9398731951635</v>
      </c>
      <c r="G30" s="31">
        <f>AVERAGE($G$22:$G$28)</f>
        <v>1126.9048613984121</v>
      </c>
    </row>
    <row r="31" spans="1:23" x14ac:dyDescent="0.25">
      <c r="A31" s="46" t="s">
        <v>156</v>
      </c>
      <c r="B31" s="31" cm="1">
        <f t="array" ref="B31">SUMPRODUCT(($B$22:$B$28-B30)^2)</f>
        <v>43462698.094016798</v>
      </c>
      <c r="C31" s="31" cm="1">
        <f t="array" ref="C31">SUMPRODUCT(($C$22:$C$28-C30)^2)</f>
        <v>179.62175838303946</v>
      </c>
      <c r="D31" s="31" cm="1">
        <f t="array" ref="D31">SUMPRODUCT(($D$22:$D$28-D30)^2)</f>
        <v>10443457.186738113</v>
      </c>
      <c r="E31" s="31" cm="1">
        <f t="array" ref="E31">SUMPRODUCT(($E$22:$E$28-E30)^2)</f>
        <v>7289122.7235775925</v>
      </c>
      <c r="F31" s="31" cm="1">
        <f t="array" ref="F31">SUMPRODUCT(($F$22:$F$28-F30)^2)</f>
        <v>495021.97617538465</v>
      </c>
      <c r="G31" s="31" cm="1">
        <f t="array" ref="G31">SUMPRODUCT(($G$22:$G$28-G30)^2)</f>
        <v>214540.9761302378</v>
      </c>
    </row>
    <row r="32" spans="1:23" x14ac:dyDescent="0.25">
      <c r="A32" s="46" t="s">
        <v>157</v>
      </c>
      <c r="B32" s="31">
        <f>SUMPRODUCT($J$22:$J$24,M22:M24)</f>
        <v>6152.080265121137</v>
      </c>
      <c r="C32" s="31">
        <f>SUMPRODUCT($J$22:$J$24,O22:O24)</f>
        <v>14.781659291138155</v>
      </c>
      <c r="D32" s="31">
        <f>SUMPRODUCT($J$22:$J$24,Q22:Q24)</f>
        <v>3052.1732900806396</v>
      </c>
      <c r="E32" s="31">
        <f>SUMPRODUCT($J$5:$J$7,S22:S24)</f>
        <v>2527.1999523441468</v>
      </c>
      <c r="F32" s="31">
        <f>SUMPRODUCT($J$5:$J$7,U22:U24)</f>
        <v>653.80588749641481</v>
      </c>
      <c r="G32" s="31">
        <f>SUMPRODUCT($J$22:$J$24,W22:W24)</f>
        <v>428.00548390331602</v>
      </c>
    </row>
    <row r="33" spans="1:23" x14ac:dyDescent="0.25">
      <c r="A33" s="46" t="s">
        <v>158</v>
      </c>
      <c r="B33" s="31">
        <f>(B32^2)/B31</f>
        <v>0.87081781040425654</v>
      </c>
      <c r="C33" s="31">
        <f>(C32^2)/C31</f>
        <v>1.2164308676532933</v>
      </c>
      <c r="D33" s="31">
        <f t="shared" ref="D33:G33" si="2">(D32^2)/D31</f>
        <v>0.89201895752601257</v>
      </c>
      <c r="E33" s="31">
        <f t="shared" si="2"/>
        <v>0.87620140877441099</v>
      </c>
      <c r="F33" s="31">
        <f>(F32^2)/F31</f>
        <v>0.86352153863473369</v>
      </c>
      <c r="G33" s="31">
        <f t="shared" si="2"/>
        <v>0.85386343231750006</v>
      </c>
    </row>
    <row r="34" spans="1:23" x14ac:dyDescent="0.25">
      <c r="A34" s="47" t="s">
        <v>159</v>
      </c>
      <c r="B34" s="48" t="str">
        <f>IF(B33&lt;$J$10,"Reject normality","Do not reject normality")</f>
        <v>Do not reject normality</v>
      </c>
      <c r="C34" s="48" t="str">
        <f t="shared" ref="C34" si="3">IF(C33&lt;$J$10,"Reject normality","Do not reject normality")</f>
        <v>Do not reject normality</v>
      </c>
      <c r="D34" s="48" t="str">
        <f t="shared" ref="D34" si="4">IF(D33&lt;$J$10,"Reject normality","Do not reject normality")</f>
        <v>Do not reject normality</v>
      </c>
      <c r="E34" s="48" t="str">
        <f t="shared" ref="E34" si="5">IF(E33&lt;$J$10,"Reject normality","Do not reject normality")</f>
        <v>Do not reject normality</v>
      </c>
      <c r="F34" s="48" t="str">
        <f>IF(F33&lt;$J$10,"Reject normality","Do not reject normality")</f>
        <v>Do not reject normality</v>
      </c>
      <c r="G34" s="48" t="str">
        <f t="shared" ref="G34" si="6">IF(G33&lt;$J$10,"Reject normality","Do not reject normality")</f>
        <v>Do not reject normality</v>
      </c>
    </row>
    <row r="36" spans="1:23" ht="18.75" x14ac:dyDescent="0.25">
      <c r="A36" s="90" t="s">
        <v>161</v>
      </c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</row>
    <row r="37" spans="1:23" ht="15" customHeight="1" x14ac:dyDescent="0.25">
      <c r="A37" s="78" t="s">
        <v>163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  <row r="38" spans="1:23" x14ac:dyDescent="0.25">
      <c r="A38" s="51" t="s">
        <v>24</v>
      </c>
      <c r="B38" s="51" t="s">
        <v>1</v>
      </c>
      <c r="C38" s="51" t="s">
        <v>4</v>
      </c>
      <c r="D38" s="51" t="s">
        <v>7</v>
      </c>
      <c r="E38" s="51" t="s">
        <v>9</v>
      </c>
      <c r="F38" s="51" t="s">
        <v>10</v>
      </c>
      <c r="G38" s="51" t="s">
        <v>11</v>
      </c>
      <c r="J38" s="50" t="s">
        <v>150</v>
      </c>
      <c r="L38" s="52" t="s">
        <v>164</v>
      </c>
      <c r="M38" s="53"/>
      <c r="N38" s="52" t="s">
        <v>165</v>
      </c>
      <c r="O38" s="53"/>
      <c r="P38" s="52" t="s">
        <v>166</v>
      </c>
      <c r="Q38" s="53"/>
      <c r="R38" s="52" t="s">
        <v>167</v>
      </c>
      <c r="S38" s="53"/>
      <c r="T38" s="52" t="s">
        <v>168</v>
      </c>
      <c r="U38" s="53"/>
      <c r="V38" s="52" t="s">
        <v>169</v>
      </c>
      <c r="W38" s="53"/>
    </row>
    <row r="39" spans="1:23" x14ac:dyDescent="0.25">
      <c r="A39" s="31" t="s">
        <v>142</v>
      </c>
      <c r="B39" s="31">
        <v>62141.829155060354</v>
      </c>
      <c r="C39" s="31">
        <v>165.97028783658311</v>
      </c>
      <c r="D39" s="31">
        <v>31130.919220055712</v>
      </c>
      <c r="E39" s="31">
        <v>24331.244196843083</v>
      </c>
      <c r="F39" s="31">
        <v>7062.6740947075214</v>
      </c>
      <c r="G39" s="31">
        <v>4261.6063138347263</v>
      </c>
      <c r="J39" s="31">
        <v>0.62329999999999997</v>
      </c>
      <c r="L39" s="31" t="s">
        <v>151</v>
      </c>
      <c r="M39" s="31">
        <f>(SMALL($B$39:$B$45,7)-SMALL($B$39:$B$45,1))</f>
        <v>13922.610420979974</v>
      </c>
      <c r="N39" s="31" t="s">
        <v>151</v>
      </c>
      <c r="O39" s="31">
        <f>(SMALL($C$39:$C$45,7)-SMALL($C$39:$C$45,1))</f>
        <v>33.639579020013826</v>
      </c>
      <c r="P39" s="31" t="s">
        <v>151</v>
      </c>
      <c r="Q39" s="31">
        <f>(SMALL($D$39:$D$45,7)-SMALL($D$39:$D$45,1))</f>
        <v>6728.9596273291863</v>
      </c>
      <c r="R39" s="31" t="s">
        <v>151</v>
      </c>
      <c r="S39" s="31">
        <f>(SMALL($E$39:$E$45,7)-SMALL($E$39:$E$45,1))</f>
        <v>5009.782608695652</v>
      </c>
      <c r="T39" s="31" t="s">
        <v>151</v>
      </c>
      <c r="U39" s="31">
        <f>(SMALL($F$39:$F$45,7)-SMALL($F$39:$F$45,1))</f>
        <v>1454.3542960662517</v>
      </c>
      <c r="V39" s="31" t="s">
        <v>151</v>
      </c>
      <c r="W39" s="31">
        <f>(SMALL($G$39:$G$45,7)-SMALL($G$39:$G$45,1))</f>
        <v>932.49007936507951</v>
      </c>
    </row>
    <row r="40" spans="1:23" x14ac:dyDescent="0.25">
      <c r="A40" s="31" t="s">
        <v>143</v>
      </c>
      <c r="B40" s="31">
        <v>58000.25</v>
      </c>
      <c r="C40" s="31">
        <v>159.5</v>
      </c>
      <c r="D40" s="31">
        <v>29507.5</v>
      </c>
      <c r="E40" s="31">
        <v>23836.999999999996</v>
      </c>
      <c r="F40" s="31">
        <v>6545</v>
      </c>
      <c r="G40" s="31">
        <v>4254.25</v>
      </c>
      <c r="J40" s="31">
        <v>0.30309999999999998</v>
      </c>
      <c r="L40" s="31" t="s">
        <v>152</v>
      </c>
      <c r="M40" s="31">
        <f>(SMALL($B$39:$B$45,6)-SMALL($B$39:$B$45,2))</f>
        <v>6376.6981704171849</v>
      </c>
      <c r="N40" s="31" t="s">
        <v>152</v>
      </c>
      <c r="O40" s="31">
        <f>(SMALL($C$39:$C$45,6)-SMALL($C$39:$C$45,2))</f>
        <v>16.918797321677999</v>
      </c>
      <c r="P40" s="31" t="s">
        <v>152</v>
      </c>
      <c r="Q40" s="31">
        <f>(SMALL($D$39:$D$45,6)-SMALL($D$39:$D$45,2))</f>
        <v>3112.3589779774447</v>
      </c>
      <c r="R40" s="31" t="s">
        <v>152</v>
      </c>
      <c r="S40" s="31">
        <f>(SMALL($E$39:$E$45,6)-SMALL($E$39:$E$45,2))</f>
        <v>2686.0934650221097</v>
      </c>
      <c r="T40" s="31" t="s">
        <v>152</v>
      </c>
      <c r="U40" s="31">
        <f>(SMALL($F$39:$F$45,6)-SMALL($F$39:$F$45,2))</f>
        <v>782.63796101285243</v>
      </c>
      <c r="V40" s="31" t="s">
        <v>152</v>
      </c>
      <c r="W40" s="31">
        <f>(SMALL($G$39:$G$45,6)-SMALL($G$39:$G$45,2))</f>
        <v>449.62921745820813</v>
      </c>
    </row>
    <row r="41" spans="1:23" x14ac:dyDescent="0.25">
      <c r="A41" s="31" t="s">
        <v>144</v>
      </c>
      <c r="B41" s="31">
        <v>61375.712927756649</v>
      </c>
      <c r="C41" s="31">
        <v>164.68631178707224</v>
      </c>
      <c r="D41" s="31">
        <v>31261.644486692014</v>
      </c>
      <c r="E41" s="31">
        <v>24663.735741444867</v>
      </c>
      <c r="F41" s="31">
        <v>6890.6844106463877</v>
      </c>
      <c r="G41" s="31">
        <v>4349.8098859315587</v>
      </c>
      <c r="J41" s="31">
        <v>0.1401</v>
      </c>
      <c r="L41" s="31" t="s">
        <v>153</v>
      </c>
      <c r="M41" s="31">
        <f>(SMALL($B$39:$B$45,5)-SMALL($B$39:$B$45,3))</f>
        <v>3727.5706364513098</v>
      </c>
      <c r="N41" s="31" t="s">
        <v>153</v>
      </c>
      <c r="O41" s="31">
        <f>(SMALL($C$39:$C$45,5)-SMALL($C$39:$C$45,3))</f>
        <v>5.5734863290201702</v>
      </c>
      <c r="P41" s="31" t="s">
        <v>153</v>
      </c>
      <c r="Q41" s="31">
        <f>(SMALL($D$39:$D$45,5)-SMALL($D$39:$D$45,3))</f>
        <v>1754.1444866920137</v>
      </c>
      <c r="R41" s="31" t="s">
        <v>153</v>
      </c>
      <c r="S41" s="31">
        <f>(SMALL($E$39:$E$45,5)-SMALL($E$39:$E$45,3))</f>
        <v>494.24419684308668</v>
      </c>
      <c r="T41" s="31" t="s">
        <v>153</v>
      </c>
      <c r="U41" s="31">
        <f>(SMALL($F$39:$F$45,5)-SMALL($F$39:$F$45,3))</f>
        <v>394.9710703953715</v>
      </c>
      <c r="V41" s="31" t="s">
        <v>153</v>
      </c>
      <c r="W41" s="31">
        <f>(SMALL($G$39:$G$45,5)-SMALL($G$39:$G$45,3))</f>
        <v>49.751928640308506</v>
      </c>
    </row>
    <row r="42" spans="1:23" x14ac:dyDescent="0.25">
      <c r="A42" s="31" t="s">
        <v>145</v>
      </c>
      <c r="B42" s="31">
        <v>61727.82063645131</v>
      </c>
      <c r="C42" s="31">
        <v>159.11282545805207</v>
      </c>
      <c r="D42" s="31">
        <v>31305.448408871747</v>
      </c>
      <c r="E42" s="31">
        <v>24262.054001928638</v>
      </c>
      <c r="F42" s="31">
        <v>6939.9710703953715</v>
      </c>
      <c r="G42" s="31">
        <v>4304.0019286403085</v>
      </c>
    </row>
    <row r="43" spans="1:23" x14ac:dyDescent="0.25">
      <c r="A43" s="31" t="s">
        <v>146</v>
      </c>
      <c r="B43" s="31">
        <v>50036.714975845411</v>
      </c>
      <c r="C43" s="31">
        <v>135.50724637681157</v>
      </c>
      <c r="D43" s="31">
        <v>25408.937198067633</v>
      </c>
      <c r="E43" s="31">
        <v>20198.55072463768</v>
      </c>
      <c r="F43" s="31">
        <v>5712.5603864734294</v>
      </c>
      <c r="G43" s="31">
        <v>3544.4444444444443</v>
      </c>
      <c r="J43" s="49" t="s">
        <v>154</v>
      </c>
    </row>
    <row r="44" spans="1:23" x14ac:dyDescent="0.25">
      <c r="A44" s="31" t="s">
        <v>147</v>
      </c>
      <c r="B44" s="31">
        <v>63959.325396825385</v>
      </c>
      <c r="C44" s="31">
        <v>169.14682539682539</v>
      </c>
      <c r="D44" s="31">
        <v>32137.89682539682</v>
      </c>
      <c r="E44" s="31">
        <v>25208.333333333332</v>
      </c>
      <c r="F44" s="31">
        <v>7166.9146825396811</v>
      </c>
      <c r="G44" s="31">
        <v>4476.9345238095239</v>
      </c>
      <c r="J44" s="31">
        <v>0.80300000000000005</v>
      </c>
    </row>
    <row r="45" spans="1:23" x14ac:dyDescent="0.25">
      <c r="A45" s="31" t="s">
        <v>148</v>
      </c>
      <c r="B45" s="31">
        <v>55765.130984643169</v>
      </c>
      <c r="C45" s="31">
        <v>149.05149051490511</v>
      </c>
      <c r="D45" s="31">
        <v>28193.089430894302</v>
      </c>
      <c r="E45" s="31">
        <v>21977.642276422757</v>
      </c>
      <c r="F45" s="31">
        <v>6280.0361336946689</v>
      </c>
      <c r="G45" s="31">
        <v>3900.1806684733506</v>
      </c>
    </row>
    <row r="47" spans="1:23" x14ac:dyDescent="0.25">
      <c r="A47" s="46" t="s">
        <v>155</v>
      </c>
      <c r="B47" s="31">
        <f>AVERAGE($B$39:$B$45)</f>
        <v>59000.969153797472</v>
      </c>
      <c r="C47" s="31">
        <f>AVERAGE($C$39:$C$45)</f>
        <v>157.56785533860707</v>
      </c>
      <c r="D47" s="31">
        <f>AVERAGE($D$39:$D$45)</f>
        <v>29849.347938568313</v>
      </c>
      <c r="E47" s="31">
        <f>AVERAGE($E$39:$E$45)</f>
        <v>23496.937182087193</v>
      </c>
      <c r="F47" s="31">
        <f>AVERAGE($F$39:$F$45)</f>
        <v>6656.834396922437</v>
      </c>
      <c r="G47" s="31">
        <f>AVERAGE($G$39:$G$45)</f>
        <v>4155.8896807334158</v>
      </c>
    </row>
    <row r="48" spans="1:23" x14ac:dyDescent="0.25">
      <c r="A48" s="46" t="s">
        <v>156</v>
      </c>
      <c r="B48" s="31" cm="1">
        <f t="array" ref="B48">SUMPRODUCT(($B$39:$B$45-B47)^2)</f>
        <v>139355365.62938023</v>
      </c>
      <c r="C48" s="31" cm="1">
        <f t="array" ref="C48">SUMPRODUCT(($C$39:$C$45-C47)^2)</f>
        <v>820.66489493902304</v>
      </c>
      <c r="D48" s="31" cm="1">
        <f t="array" ref="D48">SUMPRODUCT(($D$39:$D$45-D47)^2)</f>
        <v>33571990.87809699</v>
      </c>
      <c r="E48" s="31" cm="1">
        <f t="array" ref="E48">SUMPRODUCT(($E$39:$E$45-E47)^2)</f>
        <v>18875020.560685463</v>
      </c>
      <c r="F48" s="31" cm="1">
        <f t="array" ref="F48">SUMPRODUCT(($F$39:$F$45-F47)^2)</f>
        <v>1605877.233173589</v>
      </c>
      <c r="G48" s="31" cm="1">
        <f t="array" ref="G48">SUMPRODUCT(($G$39:$G$45-G47)^2)</f>
        <v>622715.21008188126</v>
      </c>
    </row>
    <row r="49" spans="1:23" x14ac:dyDescent="0.25">
      <c r="A49" s="46" t="s">
        <v>157</v>
      </c>
      <c r="B49" s="31">
        <f>SUMPRODUCT($J$39:$J$41,M39:M41)</f>
        <v>11132.972937017095</v>
      </c>
      <c r="C49" s="31">
        <f>SUMPRODUCT($J$39:$J$41,O39:O41)</f>
        <v>26.876482506070943</v>
      </c>
      <c r="D49" s="31">
        <f>SUMPRODUCT($J$39:$J$41,Q39:Q41)</f>
        <v>5383.2721845247961</v>
      </c>
      <c r="E49" s="31">
        <f>SUMPRODUCT($J$39:$J$41,S39:S41)</f>
        <v>4005.9960412259175</v>
      </c>
      <c r="F49" s="31">
        <f>SUMPRODUCT($J$39:$J$41,U39:U41)</f>
        <v>1199.0520456834818</v>
      </c>
      <c r="G49" s="31">
        <f>SUMPRODUCT($J$39:$J$41,W39:W41)</f>
        <v>724.47392748234415</v>
      </c>
    </row>
    <row r="50" spans="1:23" x14ac:dyDescent="0.25">
      <c r="A50" s="46" t="s">
        <v>158</v>
      </c>
      <c r="B50" s="31">
        <f>(B49^2)/B48</f>
        <v>0.88940304419985805</v>
      </c>
      <c r="C50" s="31">
        <f>(C49^2)/C48</f>
        <v>0.88019521287407942</v>
      </c>
      <c r="D50" s="31">
        <f>(D49^2)/D48</f>
        <v>0.86320824755094372</v>
      </c>
      <c r="E50" s="31">
        <f>(E49^2)/E48</f>
        <v>0.85022446628449788</v>
      </c>
      <c r="F50" s="31">
        <f>(F49^2)/F48</f>
        <v>0.89528998765145962</v>
      </c>
      <c r="G50" s="31">
        <f>(G49^2)/G48</f>
        <v>0.84286117169464725</v>
      </c>
    </row>
    <row r="51" spans="1:23" x14ac:dyDescent="0.25">
      <c r="A51" s="47" t="s">
        <v>159</v>
      </c>
      <c r="B51" s="48" t="str">
        <f>IF(B50&lt;$J$44,"Reject normality","Do not reject normality")</f>
        <v>Do not reject normality</v>
      </c>
      <c r="C51" s="48" t="str">
        <f t="shared" ref="C51:G51" si="7">IF(C50&lt;$J$44,"Reject normality","Do not reject normality")</f>
        <v>Do not reject normality</v>
      </c>
      <c r="D51" s="48" t="str">
        <f t="shared" si="7"/>
        <v>Do not reject normality</v>
      </c>
      <c r="E51" s="48" t="str">
        <f t="shared" si="7"/>
        <v>Do not reject normality</v>
      </c>
      <c r="F51" s="48" t="str">
        <f t="shared" si="7"/>
        <v>Do not reject normality</v>
      </c>
      <c r="G51" s="48" t="str">
        <f t="shared" si="7"/>
        <v>Do not reject normality</v>
      </c>
    </row>
    <row r="54" spans="1:23" ht="18.75" x14ac:dyDescent="0.25">
      <c r="A54" s="82" t="s">
        <v>162</v>
      </c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</row>
    <row r="55" spans="1:23" ht="15" customHeight="1" x14ac:dyDescent="0.25">
      <c r="A55" s="78" t="s">
        <v>163</v>
      </c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</row>
    <row r="56" spans="1:23" x14ac:dyDescent="0.25">
      <c r="A56" s="50" t="s">
        <v>24</v>
      </c>
      <c r="B56" s="51" t="s">
        <v>1</v>
      </c>
      <c r="C56" s="51" t="s">
        <v>4</v>
      </c>
      <c r="D56" s="51" t="s">
        <v>7</v>
      </c>
      <c r="E56" s="51" t="s">
        <v>9</v>
      </c>
      <c r="F56" s="51" t="s">
        <v>10</v>
      </c>
      <c r="G56" s="51" t="s">
        <v>11</v>
      </c>
      <c r="J56" s="50" t="s">
        <v>150</v>
      </c>
      <c r="L56" s="52" t="s">
        <v>164</v>
      </c>
      <c r="M56" s="53"/>
      <c r="N56" s="52" t="s">
        <v>165</v>
      </c>
      <c r="O56" s="53"/>
      <c r="P56" s="52" t="s">
        <v>166</v>
      </c>
      <c r="Q56" s="53"/>
      <c r="R56" s="52" t="s">
        <v>167</v>
      </c>
      <c r="S56" s="53"/>
      <c r="T56" s="52" t="s">
        <v>168</v>
      </c>
      <c r="U56" s="53"/>
      <c r="V56" s="52" t="s">
        <v>169</v>
      </c>
      <c r="W56" s="53"/>
    </row>
    <row r="57" spans="1:23" x14ac:dyDescent="0.25">
      <c r="A57" s="31" t="s">
        <v>142</v>
      </c>
      <c r="B57" s="31">
        <v>112366.78492907569</v>
      </c>
      <c r="C57" s="31">
        <v>308.42662766082401</v>
      </c>
      <c r="D57" s="31">
        <v>56913.003841800011</v>
      </c>
      <c r="E57" s="31">
        <v>44015.464541015659</v>
      </c>
      <c r="F57" s="31">
        <v>12549.315688909226</v>
      </c>
      <c r="G57" s="31">
        <v>7614.4896463360419</v>
      </c>
      <c r="J57" s="31">
        <v>0.62329999999999997</v>
      </c>
      <c r="L57" s="31" t="s">
        <v>151</v>
      </c>
      <c r="M57" s="31">
        <f>(SMALL($B$57:$B$63,7)-SMALL($B$57:$B$63,1))</f>
        <v>5731.2238740438916</v>
      </c>
      <c r="N57" s="31" t="s">
        <v>151</v>
      </c>
      <c r="O57" s="31">
        <f>(SMALL($C$57:$C$63,7)-SMALL($C$57:$C$63,1))</f>
        <v>18.305949179024481</v>
      </c>
      <c r="P57" s="31" t="s">
        <v>151</v>
      </c>
      <c r="Q57" s="31">
        <f>(SMALL($D$57:$D$63,7)-SMALL($D$57:$D$63,1))</f>
        <v>3134.828561876202</v>
      </c>
      <c r="R57" s="31" t="s">
        <v>151</v>
      </c>
      <c r="S57" s="31">
        <f>(SMALL($E$57:$E$63,7)-SMALL($E$57:$E$63,1))</f>
        <v>2186.5630310928973</v>
      </c>
      <c r="T57" s="31" t="s">
        <v>151</v>
      </c>
      <c r="U57" s="31">
        <f>(SMALL($F$57:$F$63,7)-SMALL($F$57:$F$63,1))</f>
        <v>656.37156339694775</v>
      </c>
      <c r="V57" s="31" t="s">
        <v>151</v>
      </c>
      <c r="W57" s="31">
        <f>(SMALL($G$57:$G$63,7)-SMALL($G$57:$G$63,1))</f>
        <v>410.52573138165735</v>
      </c>
    </row>
    <row r="58" spans="1:23" x14ac:dyDescent="0.25">
      <c r="A58" s="31" t="s">
        <v>143</v>
      </c>
      <c r="B58" s="31">
        <v>108248.11564571979</v>
      </c>
      <c r="C58" s="31">
        <v>296.17542548928731</v>
      </c>
      <c r="D58" s="31">
        <v>55080.624399778004</v>
      </c>
      <c r="E58" s="31">
        <v>42805.353724431465</v>
      </c>
      <c r="F58" s="31">
        <v>12123.18059198718</v>
      </c>
      <c r="G58" s="31">
        <v>7376.3690429291428</v>
      </c>
      <c r="J58" s="31">
        <v>0.30309999999999998</v>
      </c>
      <c r="L58" s="31" t="s">
        <v>152</v>
      </c>
      <c r="M58" s="31">
        <f>(SMALL($B$57:$B$63,6)-SMALL($B$57:$B$63,2))</f>
        <v>4118.6692833558918</v>
      </c>
      <c r="N58" s="31" t="s">
        <v>152</v>
      </c>
      <c r="O58" s="31">
        <f>(SMALL($C$57:$C$63,6)-SMALL($C$57:$C$63,2))</f>
        <v>13.226863334385541</v>
      </c>
      <c r="P58" s="31" t="s">
        <v>152</v>
      </c>
      <c r="Q58" s="31">
        <f>(SMALL($D$57:$D$63,6)-SMALL($D$57:$D$63,2))</f>
        <v>2474.800176687364</v>
      </c>
      <c r="R58" s="31" t="s">
        <v>152</v>
      </c>
      <c r="S58" s="31">
        <f>(SMALL($E$57:$E$63,6)-SMALL($E$57:$E$63,2))</f>
        <v>1790.2706037793614</v>
      </c>
      <c r="T58" s="31" t="s">
        <v>152</v>
      </c>
      <c r="U58" s="31">
        <f>(SMALL($F$57:$F$63,6)-SMALL($F$57:$F$63,2))</f>
        <v>491.79920263419626</v>
      </c>
      <c r="V58" s="31" t="s">
        <v>152</v>
      </c>
      <c r="W58" s="31">
        <f>(SMALL($G$57:$G$63,6)-SMALL($G$57:$G$63,2))</f>
        <v>289.79581078378669</v>
      </c>
    </row>
    <row r="59" spans="1:23" x14ac:dyDescent="0.25">
      <c r="A59" s="31" t="s">
        <v>144</v>
      </c>
      <c r="B59" s="31">
        <v>108692.30566918016</v>
      </c>
      <c r="C59" s="31">
        <v>305.74025852137663</v>
      </c>
      <c r="D59" s="31">
        <v>54438.203665112647</v>
      </c>
      <c r="E59" s="31">
        <v>43786.60756178727</v>
      </c>
      <c r="F59" s="31">
        <v>12121.1218620249</v>
      </c>
      <c r="G59" s="31">
        <v>7600.7685774346537</v>
      </c>
      <c r="J59" s="31">
        <v>0.1401</v>
      </c>
      <c r="L59" s="31" t="s">
        <v>153</v>
      </c>
      <c r="M59" s="31">
        <f>(SMALL($B$57:$B$63,5)-SMALL($B$57:$B$63,3))</f>
        <v>906.55943971179659</v>
      </c>
      <c r="N59" s="31" t="s">
        <v>153</v>
      </c>
      <c r="O59" s="31">
        <f>(SMALL($C$57:$C$63,5)-SMALL($C$57:$C$63,3))</f>
        <v>9.5648330320893251</v>
      </c>
      <c r="P59" s="31" t="s">
        <v>153</v>
      </c>
      <c r="Q59" s="31">
        <f>(SMALL($D$57:$D$63,5)-SMALL($D$57:$D$63,3))</f>
        <v>807.97877244964184</v>
      </c>
      <c r="R59" s="31" t="s">
        <v>153</v>
      </c>
      <c r="S59" s="31">
        <f>(SMALL($E$57:$E$63,5)-SMALL($E$57:$E$63,3))</f>
        <v>981.25383735580544</v>
      </c>
      <c r="T59" s="31" t="s">
        <v>153</v>
      </c>
      <c r="U59" s="31">
        <f>(SMALL($F$57:$F$63,5)-SMALL($F$57:$F$63,3))</f>
        <v>54.219807458684954</v>
      </c>
      <c r="V59" s="31" t="s">
        <v>153</v>
      </c>
      <c r="W59" s="31">
        <f>(SMALL($G$57:$G$63,5)-SMALL($G$57:$G$63,3))</f>
        <v>224.39953450551093</v>
      </c>
    </row>
    <row r="60" spans="1:23" x14ac:dyDescent="0.25">
      <c r="A60" s="31" t="s">
        <v>145</v>
      </c>
      <c r="B60" s="31">
        <v>107440.22020294218</v>
      </c>
      <c r="C60" s="31">
        <v>290.12067848179953</v>
      </c>
      <c r="D60" s="31">
        <v>54276.459167265588</v>
      </c>
      <c r="E60" s="31">
        <v>42132.348884462735</v>
      </c>
      <c r="F60" s="31">
        <v>11990.516982430136</v>
      </c>
      <c r="G60" s="31">
        <v>7324.6938355522552</v>
      </c>
    </row>
    <row r="61" spans="1:23" x14ac:dyDescent="0.25">
      <c r="A61" s="31" t="s">
        <v>146</v>
      </c>
      <c r="B61" s="31">
        <v>113171.44407698607</v>
      </c>
      <c r="C61" s="31">
        <v>307.59835154793296</v>
      </c>
      <c r="D61" s="31">
        <v>57411.28772914179</v>
      </c>
      <c r="E61" s="31">
        <v>44318.911915555633</v>
      </c>
      <c r="F61" s="31">
        <v>12646.888545827083</v>
      </c>
      <c r="G61" s="31">
        <v>7725.3149210601559</v>
      </c>
      <c r="J61" s="49" t="s">
        <v>154</v>
      </c>
    </row>
    <row r="62" spans="1:23" x14ac:dyDescent="0.25">
      <c r="A62" s="31" t="s">
        <v>147</v>
      </c>
      <c r="B62" s="31">
        <v>109444.5809783717</v>
      </c>
      <c r="C62" s="31">
        <v>294.37148821354742</v>
      </c>
      <c r="D62" s="31">
        <v>55554.061089603201</v>
      </c>
      <c r="E62" s="31">
        <v>42225.193937236298</v>
      </c>
      <c r="F62" s="31">
        <v>12175.341669483585</v>
      </c>
      <c r="G62" s="31">
        <v>7314.7891896784986</v>
      </c>
      <c r="J62" s="31">
        <v>0.80300000000000005</v>
      </c>
    </row>
    <row r="63" spans="1:23" x14ac:dyDescent="0.25">
      <c r="A63" s="31" t="s">
        <v>148</v>
      </c>
      <c r="B63" s="31">
        <v>108538.0215386599</v>
      </c>
      <c r="C63" s="31">
        <v>302.20190573879961</v>
      </c>
      <c r="D63" s="31">
        <v>54746.082317153559</v>
      </c>
      <c r="E63" s="31">
        <v>42933.043777094186</v>
      </c>
      <c r="F63" s="31">
        <v>12057.51648627503</v>
      </c>
      <c r="G63" s="31">
        <v>7426.0176163006154</v>
      </c>
    </row>
    <row r="65" spans="1:7" x14ac:dyDescent="0.25">
      <c r="A65" s="46" t="s">
        <v>155</v>
      </c>
      <c r="B65" s="31">
        <f>AVERAGE($B$57:$B$63)</f>
        <v>109700.21043441935</v>
      </c>
      <c r="C65" s="31">
        <f>AVERAGE($C$57:$C$63)</f>
        <v>300.66210509336679</v>
      </c>
      <c r="D65" s="31">
        <f>AVERAGE($D$57:$D$63)</f>
        <v>55488.531744264983</v>
      </c>
      <c r="E65" s="31">
        <f>AVERAGE($E$57:$E$63)</f>
        <v>43173.846334511887</v>
      </c>
      <c r="F65" s="31">
        <f>AVERAGE($F$57:$F$63)</f>
        <v>12237.69740384816</v>
      </c>
      <c r="G65" s="31">
        <f>AVERAGE($G$57:$G$63)</f>
        <v>7483.2061184701952</v>
      </c>
    </row>
    <row r="66" spans="1:7" x14ac:dyDescent="0.25">
      <c r="A66" s="46" t="s">
        <v>156</v>
      </c>
      <c r="B66" s="31">
        <f>SUMPRODUCT(($B$57:$B$63-B65)^2)</f>
        <v>28808119.122596998</v>
      </c>
      <c r="C66" s="31">
        <f>SUMPRODUCT(($C$57:$C$63-C65)^2)</f>
        <v>307.38178345050733</v>
      </c>
      <c r="D66" s="31">
        <f>SUMPRODUCT(($D$57:$D$63-D65)^2)</f>
        <v>9020333.9884101674</v>
      </c>
      <c r="E66" s="31">
        <f>SUMPRODUCT(($E$57:$E$63-E65)^2)</f>
        <v>4573403.6967201056</v>
      </c>
      <c r="F66" s="31">
        <f>SUMPRODUCT(($F$57:$F$63-F65)^2)</f>
        <v>388698.86480663752</v>
      </c>
      <c r="G66" s="31">
        <f>SUMPRODUCT(($G$57:$G$63-G65)^2)</f>
        <v>157848.05996826614</v>
      </c>
    </row>
    <row r="67" spans="1:7" x14ac:dyDescent="0.25">
      <c r="A67" s="46" t="s">
        <v>157</v>
      </c>
      <c r="B67" s="31">
        <f>SUMPRODUCT($J$57:$J$59,M57:M59)</f>
        <v>4947.6494779803506</v>
      </c>
      <c r="C67" s="31">
        <f>SUMPRODUCT($J$57:$J$59,O57:O59)</f>
        <v>16.759193507733933</v>
      </c>
      <c r="D67" s="31">
        <f>SUMPRODUCT($J$57:$J$59,Q57:Q59)</f>
        <v>2817.2484021915716</v>
      </c>
      <c r="E67" s="31">
        <f>SUMPRODUCT($J$57:$J$59,S57:S59)</f>
        <v>2042.9894198992758</v>
      </c>
      <c r="F67" s="31">
        <f>SUMPRODUCT($J$57:$J$59,U57:U59)</f>
        <v>565.77692880870416</v>
      </c>
      <c r="G67" s="31">
        <f>SUMPRODUCT($J$57:$J$59,W57:W59)</f>
        <v>375.15617340297484</v>
      </c>
    </row>
    <row r="68" spans="1:7" x14ac:dyDescent="0.25">
      <c r="A68" s="46" t="s">
        <v>158</v>
      </c>
      <c r="B68" s="31">
        <f t="shared" ref="B68:G68" si="8">(B67^2)/B66</f>
        <v>0.84973389803008004</v>
      </c>
      <c r="C68" s="31">
        <f t="shared" si="8"/>
        <v>0.91375150432392227</v>
      </c>
      <c r="D68" s="31">
        <f t="shared" si="8"/>
        <v>0.87988854623883372</v>
      </c>
      <c r="E68" s="31">
        <f t="shared" si="8"/>
        <v>0.91262570431158208</v>
      </c>
      <c r="F68" s="31">
        <f t="shared" si="8"/>
        <v>0.82352577317520215</v>
      </c>
      <c r="G68" s="31">
        <f t="shared" si="8"/>
        <v>0.89163056214094616</v>
      </c>
    </row>
    <row r="69" spans="1:7" x14ac:dyDescent="0.25">
      <c r="A69" s="47" t="s">
        <v>159</v>
      </c>
      <c r="B69" s="48" t="str">
        <f>IF(B68&lt;$J$62,"Reject normality","Do not reject  normality")</f>
        <v>Do not reject  normality</v>
      </c>
      <c r="C69" s="48" t="str">
        <f t="shared" ref="C69:G69" si="9">IF(C68&lt;$J$62,"Reject normality","Do not reject  normality")</f>
        <v>Do not reject  normality</v>
      </c>
      <c r="D69" s="48" t="str">
        <f t="shared" si="9"/>
        <v>Do not reject  normality</v>
      </c>
      <c r="E69" s="48" t="str">
        <f t="shared" si="9"/>
        <v>Do not reject  normality</v>
      </c>
      <c r="F69" s="48" t="str">
        <f t="shared" si="9"/>
        <v>Do not reject  normality</v>
      </c>
      <c r="G69" s="48" t="str">
        <f t="shared" si="9"/>
        <v>Do not reject  normality</v>
      </c>
    </row>
  </sheetData>
  <mergeCells count="9">
    <mergeCell ref="A54:W54"/>
    <mergeCell ref="A55:W55"/>
    <mergeCell ref="A1:W1"/>
    <mergeCell ref="A2:W2"/>
    <mergeCell ref="A3:W3"/>
    <mergeCell ref="A36:W36"/>
    <mergeCell ref="A37:W37"/>
    <mergeCell ref="A19:W19"/>
    <mergeCell ref="A20:W2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B9823-4634-4450-ADEE-0494E3F6155E}">
  <dimension ref="A1:U221"/>
  <sheetViews>
    <sheetView workbookViewId="0">
      <selection activeCell="F213" sqref="F213:G216"/>
    </sheetView>
  </sheetViews>
  <sheetFormatPr defaultColWidth="9.28515625" defaultRowHeight="15" x14ac:dyDescent="0.25"/>
  <cols>
    <col min="1" max="1" width="13.7109375" bestFit="1" customWidth="1"/>
    <col min="2" max="2" width="9.5703125" bestFit="1" customWidth="1"/>
    <col min="3" max="3" width="8.5703125" bestFit="1" customWidth="1"/>
    <col min="4" max="4" width="9.5703125" bestFit="1" customWidth="1"/>
    <col min="6" max="6" width="19.140625" bestFit="1" customWidth="1"/>
    <col min="7" max="7" width="12" bestFit="1" customWidth="1"/>
    <col min="8" max="12" width="12.5703125" bestFit="1" customWidth="1"/>
    <col min="14" max="14" width="19.140625" bestFit="1" customWidth="1"/>
    <col min="15" max="15" width="15.7109375" bestFit="1" customWidth="1"/>
    <col min="16" max="16" width="12" bestFit="1" customWidth="1"/>
    <col min="17" max="17" width="14.7109375" bestFit="1" customWidth="1"/>
    <col min="18" max="20" width="12" bestFit="1" customWidth="1"/>
  </cols>
  <sheetData>
    <row r="1" spans="1:20" ht="18.75" x14ac:dyDescent="0.3">
      <c r="A1" s="86" t="s">
        <v>175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</row>
    <row r="2" spans="1:20" x14ac:dyDescent="0.25">
      <c r="A2" s="84" t="s">
        <v>100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</row>
    <row r="3" spans="1:20" x14ac:dyDescent="0.25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x14ac:dyDescent="0.25">
      <c r="B4" s="87" t="s">
        <v>101</v>
      </c>
      <c r="C4" s="87"/>
      <c r="D4" s="87"/>
      <c r="F4" s="88"/>
      <c r="G4" s="88"/>
      <c r="H4" s="88"/>
      <c r="I4" s="88"/>
      <c r="J4" s="88"/>
      <c r="K4" s="88"/>
      <c r="L4" s="88"/>
      <c r="N4" s="88"/>
      <c r="O4" s="88"/>
      <c r="P4" s="88"/>
      <c r="Q4" s="88"/>
      <c r="R4" s="88"/>
      <c r="S4" s="88"/>
      <c r="T4" s="88"/>
    </row>
    <row r="5" spans="1:20" x14ac:dyDescent="0.25">
      <c r="A5" s="23" t="s">
        <v>65</v>
      </c>
      <c r="B5" s="23" t="s">
        <v>67</v>
      </c>
      <c r="C5" s="23" t="s">
        <v>68</v>
      </c>
      <c r="D5" s="23" t="s">
        <v>69</v>
      </c>
      <c r="E5" s="22"/>
      <c r="F5" s="32" t="s">
        <v>70</v>
      </c>
      <c r="G5" s="32"/>
      <c r="H5" s="32"/>
      <c r="I5" s="32"/>
      <c r="J5" s="32"/>
      <c r="K5" s="32"/>
      <c r="L5" s="32"/>
      <c r="M5" s="22"/>
      <c r="N5" s="42" t="s">
        <v>70</v>
      </c>
      <c r="O5" s="42"/>
      <c r="P5" s="42"/>
      <c r="Q5" s="42"/>
      <c r="R5" s="42"/>
      <c r="S5" s="42"/>
      <c r="T5" s="42"/>
    </row>
    <row r="6" spans="1:20" x14ac:dyDescent="0.25">
      <c r="A6" s="31" t="s">
        <v>142</v>
      </c>
      <c r="B6" s="31">
        <v>48542.074363992178</v>
      </c>
      <c r="C6" s="31">
        <v>31130.919220055712</v>
      </c>
      <c r="D6" s="31">
        <v>56913.003841800011</v>
      </c>
      <c r="E6" s="22"/>
      <c r="F6" s="2"/>
      <c r="G6" s="2"/>
      <c r="H6" s="2"/>
      <c r="I6" s="2"/>
      <c r="J6" s="2"/>
      <c r="K6" s="2"/>
      <c r="L6" s="2"/>
      <c r="M6" s="22"/>
      <c r="N6" s="42"/>
      <c r="O6" s="42"/>
      <c r="P6" s="42"/>
      <c r="Q6" s="42"/>
      <c r="R6" s="42"/>
      <c r="S6" s="42"/>
      <c r="T6" s="42"/>
    </row>
    <row r="7" spans="1:20" ht="15.75" thickBot="1" x14ac:dyDescent="0.3">
      <c r="A7" s="31" t="s">
        <v>143</v>
      </c>
      <c r="B7" s="31">
        <v>48746.229508196724</v>
      </c>
      <c r="C7" s="31">
        <v>29507.5</v>
      </c>
      <c r="D7" s="31">
        <v>55080.624399778004</v>
      </c>
      <c r="E7" s="22"/>
      <c r="F7" s="2" t="s">
        <v>71</v>
      </c>
      <c r="G7" s="2"/>
      <c r="H7" s="2"/>
      <c r="I7" s="2"/>
      <c r="J7" s="2"/>
      <c r="K7" s="2"/>
      <c r="L7" s="2"/>
      <c r="M7" s="22"/>
      <c r="N7" s="42" t="s">
        <v>71</v>
      </c>
      <c r="O7" s="42"/>
      <c r="P7" s="42"/>
      <c r="Q7" s="42"/>
      <c r="R7" s="42"/>
      <c r="S7" s="42"/>
      <c r="T7" s="42"/>
    </row>
    <row r="8" spans="1:20" ht="15.75" thickBot="1" x14ac:dyDescent="0.3">
      <c r="A8" s="31" t="s">
        <v>144</v>
      </c>
      <c r="B8" s="31">
        <v>50932.773109243695</v>
      </c>
      <c r="C8" s="31">
        <v>31261.644486692014</v>
      </c>
      <c r="D8" s="31">
        <v>54438.203665112647</v>
      </c>
      <c r="E8" s="22"/>
      <c r="F8" s="2" t="s">
        <v>72</v>
      </c>
      <c r="G8" s="2" t="s">
        <v>73</v>
      </c>
      <c r="H8" s="2" t="s">
        <v>74</v>
      </c>
      <c r="I8" s="2" t="s">
        <v>75</v>
      </c>
      <c r="J8" s="2" t="s">
        <v>76</v>
      </c>
      <c r="K8" s="2"/>
      <c r="L8" s="2"/>
      <c r="M8" s="22"/>
      <c r="N8" s="43" t="s">
        <v>72</v>
      </c>
      <c r="O8" s="43" t="s">
        <v>73</v>
      </c>
      <c r="P8" s="43" t="s">
        <v>74</v>
      </c>
      <c r="Q8" s="43" t="s">
        <v>75</v>
      </c>
      <c r="R8" s="43" t="s">
        <v>76</v>
      </c>
      <c r="S8" s="42"/>
      <c r="T8" s="42"/>
    </row>
    <row r="9" spans="1:20" x14ac:dyDescent="0.25">
      <c r="A9" s="31" t="s">
        <v>145</v>
      </c>
      <c r="B9" s="31">
        <v>50049.640757674722</v>
      </c>
      <c r="C9" s="31">
        <v>31305.448408871747</v>
      </c>
      <c r="D9" s="31">
        <v>54276.459167265588</v>
      </c>
      <c r="E9" s="22"/>
      <c r="F9" s="33" t="s">
        <v>77</v>
      </c>
      <c r="G9" s="33">
        <v>7</v>
      </c>
      <c r="H9" s="33">
        <v>6933.8270558846853</v>
      </c>
      <c r="I9" s="33">
        <v>990.54672226924072</v>
      </c>
      <c r="J9" s="33">
        <v>288581.92594310996</v>
      </c>
      <c r="K9" s="2"/>
      <c r="L9" s="2"/>
      <c r="M9" s="22"/>
      <c r="N9" s="42" t="s">
        <v>77</v>
      </c>
      <c r="O9" s="42">
        <v>7</v>
      </c>
      <c r="P9" s="42">
        <v>346145.84211251192</v>
      </c>
      <c r="Q9" s="42">
        <v>49449.406016073131</v>
      </c>
      <c r="R9" s="42">
        <v>1433295.2031078357</v>
      </c>
      <c r="S9" s="42"/>
      <c r="T9" s="42"/>
    </row>
    <row r="10" spans="1:20" x14ac:dyDescent="0.25">
      <c r="A10" s="31" t="s">
        <v>146</v>
      </c>
      <c r="B10" s="31">
        <v>49742.071197411002</v>
      </c>
      <c r="C10" s="31">
        <v>25408.937198067633</v>
      </c>
      <c r="D10" s="31">
        <v>57411.28772914179</v>
      </c>
      <c r="E10" s="22"/>
      <c r="F10" s="2" t="s">
        <v>78</v>
      </c>
      <c r="G10" s="2">
        <v>7</v>
      </c>
      <c r="H10" s="2">
        <v>12877.034373486043</v>
      </c>
      <c r="I10" s="2">
        <v>1839.5763390694349</v>
      </c>
      <c r="J10" s="2">
        <v>1647283.8545413769</v>
      </c>
      <c r="K10" s="2"/>
      <c r="L10" s="2"/>
      <c r="M10" s="22"/>
      <c r="N10" s="42" t="s">
        <v>78</v>
      </c>
      <c r="O10" s="42">
        <v>7</v>
      </c>
      <c r="P10" s="42">
        <v>208945.4355699782</v>
      </c>
      <c r="Q10" s="42">
        <v>29849.347938568313</v>
      </c>
      <c r="R10" s="42">
        <v>5595331.813016165</v>
      </c>
      <c r="S10" s="42"/>
      <c r="T10" s="42"/>
    </row>
    <row r="11" spans="1:20" ht="15.75" thickBot="1" x14ac:dyDescent="0.3">
      <c r="A11" s="31" t="s">
        <v>147</v>
      </c>
      <c r="B11" s="31">
        <v>50540.052527905449</v>
      </c>
      <c r="C11" s="31">
        <v>32137.89682539682</v>
      </c>
      <c r="D11" s="31">
        <v>55554.061089603201</v>
      </c>
      <c r="E11" s="22"/>
      <c r="F11" s="2" t="s">
        <v>79</v>
      </c>
      <c r="G11" s="2">
        <v>7</v>
      </c>
      <c r="H11" s="2">
        <v>6825.514855500187</v>
      </c>
      <c r="I11" s="2">
        <v>975.07355078574096</v>
      </c>
      <c r="J11" s="2">
        <v>394159.1637194627</v>
      </c>
      <c r="K11" s="2"/>
      <c r="L11" s="2"/>
      <c r="M11" s="22"/>
      <c r="N11" s="44" t="s">
        <v>79</v>
      </c>
      <c r="O11" s="44">
        <v>7</v>
      </c>
      <c r="P11" s="44">
        <v>388419.72220985487</v>
      </c>
      <c r="Q11" s="44">
        <v>55488.531744264983</v>
      </c>
      <c r="R11" s="44">
        <v>1503388.9980683613</v>
      </c>
      <c r="S11" s="42"/>
      <c r="T11" s="42"/>
    </row>
    <row r="12" spans="1:20" ht="15.75" thickBot="1" x14ac:dyDescent="0.3">
      <c r="A12" s="31" t="s">
        <v>148</v>
      </c>
      <c r="B12" s="31">
        <v>47593.000648088149</v>
      </c>
      <c r="C12" s="31">
        <v>28193.089430894302</v>
      </c>
      <c r="D12" s="31">
        <v>54746.082317153559</v>
      </c>
      <c r="E12" s="22"/>
      <c r="F12" s="34"/>
      <c r="G12" s="34"/>
      <c r="H12" s="34"/>
      <c r="I12" s="34"/>
      <c r="J12" s="34"/>
      <c r="K12" s="2"/>
      <c r="L12" s="2"/>
      <c r="M12" s="22"/>
      <c r="N12" s="42"/>
      <c r="O12" s="42"/>
      <c r="P12" s="42"/>
      <c r="Q12" s="42"/>
      <c r="R12" s="42"/>
      <c r="S12" s="42"/>
      <c r="T12" s="42"/>
    </row>
    <row r="13" spans="1:20" x14ac:dyDescent="0.25">
      <c r="A13" s="22"/>
      <c r="B13" s="22"/>
      <c r="C13" s="22"/>
      <c r="D13" s="22"/>
      <c r="E13" s="22"/>
      <c r="F13" s="2"/>
      <c r="G13" s="2"/>
      <c r="H13" s="2"/>
      <c r="I13" s="2"/>
      <c r="J13" s="2"/>
      <c r="K13" s="2"/>
      <c r="L13" s="2"/>
      <c r="M13" s="22"/>
      <c r="N13" s="42"/>
      <c r="O13" s="42"/>
      <c r="P13" s="42"/>
      <c r="Q13" s="42"/>
      <c r="R13" s="42"/>
      <c r="S13" s="42"/>
      <c r="T13" s="42"/>
    </row>
    <row r="14" spans="1:20" ht="15.75" thickBot="1" x14ac:dyDescent="0.3">
      <c r="A14" s="30" t="s">
        <v>30</v>
      </c>
      <c r="B14" s="30">
        <f>AVERAGE(B6:B12)</f>
        <v>49449.406016073131</v>
      </c>
      <c r="C14" s="30">
        <f>AVERAGE(C6:C12)</f>
        <v>29849.347938568313</v>
      </c>
      <c r="D14" s="30">
        <f>AVERAGE(D6:D12)</f>
        <v>55488.531744264983</v>
      </c>
      <c r="E14" s="22"/>
      <c r="F14" s="2" t="s">
        <v>80</v>
      </c>
      <c r="G14" s="2"/>
      <c r="H14" s="2"/>
      <c r="I14" s="2"/>
      <c r="J14" s="2"/>
      <c r="K14" s="2"/>
      <c r="L14" s="2"/>
      <c r="M14" s="22"/>
      <c r="N14" s="42" t="s">
        <v>80</v>
      </c>
      <c r="O14" s="42"/>
      <c r="P14" s="42"/>
      <c r="Q14" s="42"/>
      <c r="R14" s="42"/>
      <c r="S14" s="42"/>
      <c r="T14" s="42"/>
    </row>
    <row r="15" spans="1:20" ht="15.75" thickBot="1" x14ac:dyDescent="0.3">
      <c r="A15" s="29"/>
      <c r="B15" s="85" t="s">
        <v>101</v>
      </c>
      <c r="C15" s="85"/>
      <c r="D15" s="85"/>
      <c r="E15" s="22"/>
      <c r="F15" s="2" t="s">
        <v>81</v>
      </c>
      <c r="G15" s="2" t="s">
        <v>82</v>
      </c>
      <c r="H15" s="2" t="s">
        <v>83</v>
      </c>
      <c r="I15" s="2" t="s">
        <v>84</v>
      </c>
      <c r="J15" s="2" t="s">
        <v>85</v>
      </c>
      <c r="K15" s="2" t="s">
        <v>86</v>
      </c>
      <c r="L15" s="2" t="s">
        <v>87</v>
      </c>
      <c r="M15" s="22"/>
      <c r="N15" s="43" t="s">
        <v>81</v>
      </c>
      <c r="O15" s="43" t="s">
        <v>82</v>
      </c>
      <c r="P15" s="43" t="s">
        <v>83</v>
      </c>
      <c r="Q15" s="43" t="s">
        <v>84</v>
      </c>
      <c r="R15" s="43" t="s">
        <v>85</v>
      </c>
      <c r="S15" s="43" t="s">
        <v>86</v>
      </c>
      <c r="T15" s="43" t="s">
        <v>87</v>
      </c>
    </row>
    <row r="16" spans="1:20" x14ac:dyDescent="0.25">
      <c r="A16" s="23" t="s">
        <v>65</v>
      </c>
      <c r="B16" s="23" t="s">
        <v>67</v>
      </c>
      <c r="C16" s="23" t="s">
        <v>68</v>
      </c>
      <c r="D16" s="23" t="s">
        <v>69</v>
      </c>
      <c r="E16" s="22"/>
      <c r="F16" s="33" t="s">
        <v>88</v>
      </c>
      <c r="G16" s="33">
        <v>3426396.8204431515</v>
      </c>
      <c r="H16" s="33">
        <v>2</v>
      </c>
      <c r="I16" s="33">
        <v>1713198.4102215758</v>
      </c>
      <c r="J16" s="33">
        <v>2.2058112482656966</v>
      </c>
      <c r="K16" s="33">
        <v>0.13905700101093585</v>
      </c>
      <c r="L16" s="33">
        <v>3.5545571456617879</v>
      </c>
      <c r="M16" s="22"/>
      <c r="N16" s="42" t="s">
        <v>88</v>
      </c>
      <c r="O16" s="42">
        <v>2515335812.3244586</v>
      </c>
      <c r="P16" s="42">
        <v>2</v>
      </c>
      <c r="Q16" s="42">
        <v>1257667906.1622293</v>
      </c>
      <c r="R16" s="42">
        <v>442.21713979563356</v>
      </c>
      <c r="S16" s="42">
        <v>4.9970338407281135E-16</v>
      </c>
      <c r="T16" s="42">
        <v>3.5545571456617879</v>
      </c>
    </row>
    <row r="17" spans="1:20" x14ac:dyDescent="0.25">
      <c r="A17" s="31" t="s">
        <v>142</v>
      </c>
      <c r="B17" s="31">
        <f>ABS(B6-B$14)</f>
        <v>907.33165208095306</v>
      </c>
      <c r="C17" s="31">
        <f t="shared" ref="C17:D17" si="0">ABS(C6-C$14)</f>
        <v>1281.5712814873987</v>
      </c>
      <c r="D17" s="31">
        <f t="shared" si="0"/>
        <v>1424.4720975350283</v>
      </c>
      <c r="E17" s="22"/>
      <c r="F17" s="2" t="s">
        <v>89</v>
      </c>
      <c r="G17" s="2">
        <v>13980149.665223705</v>
      </c>
      <c r="H17" s="2">
        <v>18</v>
      </c>
      <c r="I17" s="2">
        <v>776674.98140131694</v>
      </c>
      <c r="J17" s="2"/>
      <c r="K17" s="2"/>
      <c r="L17" s="2"/>
      <c r="M17" s="22"/>
      <c r="N17" s="42" t="s">
        <v>89</v>
      </c>
      <c r="O17" s="42">
        <v>51192096.085154168</v>
      </c>
      <c r="P17" s="42">
        <v>18</v>
      </c>
      <c r="Q17" s="42">
        <v>2844005.3380641206</v>
      </c>
      <c r="R17" s="42"/>
      <c r="S17" s="42"/>
      <c r="T17" s="42"/>
    </row>
    <row r="18" spans="1:20" x14ac:dyDescent="0.25">
      <c r="A18" s="31" t="s">
        <v>143</v>
      </c>
      <c r="B18" s="31">
        <f t="shared" ref="B18:D23" si="1">ABS(B7-B$14)</f>
        <v>703.17650787640741</v>
      </c>
      <c r="C18" s="31">
        <f t="shared" si="1"/>
        <v>341.84793856831311</v>
      </c>
      <c r="D18" s="31">
        <f t="shared" si="1"/>
        <v>407.90734448697913</v>
      </c>
      <c r="E18" s="22"/>
      <c r="F18" s="2"/>
      <c r="G18" s="2"/>
      <c r="H18" s="2"/>
      <c r="I18" s="2"/>
      <c r="J18" s="2"/>
      <c r="K18" s="2"/>
      <c r="L18" s="2"/>
      <c r="M18" s="22"/>
      <c r="N18" s="42"/>
      <c r="O18" s="42"/>
      <c r="P18" s="42"/>
      <c r="Q18" s="42"/>
      <c r="R18" s="42"/>
      <c r="S18" s="42"/>
      <c r="T18" s="42"/>
    </row>
    <row r="19" spans="1:20" ht="15.75" thickBot="1" x14ac:dyDescent="0.3">
      <c r="A19" s="31" t="s">
        <v>144</v>
      </c>
      <c r="B19" s="31">
        <f t="shared" si="1"/>
        <v>1483.3670931705637</v>
      </c>
      <c r="C19" s="31">
        <f t="shared" si="1"/>
        <v>1412.2965481237006</v>
      </c>
      <c r="D19" s="31">
        <f t="shared" si="1"/>
        <v>1050.3280791523357</v>
      </c>
      <c r="E19" s="22"/>
      <c r="F19" s="2" t="s">
        <v>90</v>
      </c>
      <c r="G19" s="2">
        <v>17406546.485666856</v>
      </c>
      <c r="H19" s="2">
        <v>20</v>
      </c>
      <c r="I19" s="2"/>
      <c r="J19" s="2"/>
      <c r="K19" s="2"/>
      <c r="L19" s="2"/>
      <c r="M19" s="22"/>
      <c r="N19" s="44" t="s">
        <v>90</v>
      </c>
      <c r="O19" s="44">
        <v>2566527908.4096127</v>
      </c>
      <c r="P19" s="44">
        <v>20</v>
      </c>
      <c r="Q19" s="44"/>
      <c r="R19" s="44"/>
      <c r="S19" s="44"/>
      <c r="T19" s="44"/>
    </row>
    <row r="20" spans="1:20" ht="15.75" thickBot="1" x14ac:dyDescent="0.3">
      <c r="A20" s="31" t="s">
        <v>145</v>
      </c>
      <c r="B20" s="31">
        <f t="shared" si="1"/>
        <v>600.23474160159094</v>
      </c>
      <c r="C20" s="31">
        <f t="shared" si="1"/>
        <v>1456.1004703034341</v>
      </c>
      <c r="D20" s="31">
        <f t="shared" si="1"/>
        <v>1212.0725769993951</v>
      </c>
      <c r="E20" s="22"/>
      <c r="F20" s="34"/>
      <c r="G20" s="34"/>
      <c r="H20" s="34"/>
      <c r="I20" s="34"/>
      <c r="J20" s="34"/>
      <c r="K20" s="34"/>
      <c r="L20" s="34"/>
      <c r="M20" s="22"/>
      <c r="N20" s="22"/>
      <c r="O20" s="22"/>
      <c r="P20" s="22"/>
      <c r="Q20" s="22"/>
      <c r="R20" s="22"/>
      <c r="S20" s="22"/>
      <c r="T20" s="22"/>
    </row>
    <row r="21" spans="1:20" x14ac:dyDescent="0.25">
      <c r="A21" s="31" t="s">
        <v>146</v>
      </c>
      <c r="B21" s="31">
        <f t="shared" si="1"/>
        <v>292.66518133787031</v>
      </c>
      <c r="C21" s="31">
        <f t="shared" si="1"/>
        <v>4440.4107405006798</v>
      </c>
      <c r="D21" s="31">
        <f t="shared" si="1"/>
        <v>1922.7559848768069</v>
      </c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</row>
    <row r="22" spans="1:20" x14ac:dyDescent="0.25">
      <c r="A22" s="31" t="s">
        <v>147</v>
      </c>
      <c r="B22" s="31">
        <f t="shared" si="1"/>
        <v>1090.6465118323176</v>
      </c>
      <c r="C22" s="31">
        <f t="shared" si="1"/>
        <v>2288.5488868285065</v>
      </c>
      <c r="D22" s="31">
        <f t="shared" si="1"/>
        <v>65.529345338218263</v>
      </c>
      <c r="E22" s="22"/>
      <c r="F22" s="97" t="s">
        <v>91</v>
      </c>
      <c r="G22" s="98">
        <v>4601.4576096802648</v>
      </c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</row>
    <row r="23" spans="1:20" x14ac:dyDescent="0.25">
      <c r="A23" s="31" t="s">
        <v>148</v>
      </c>
      <c r="B23" s="31">
        <f t="shared" si="1"/>
        <v>1856.4053679849821</v>
      </c>
      <c r="C23" s="31">
        <f t="shared" si="1"/>
        <v>1656.2585076740106</v>
      </c>
      <c r="D23" s="31">
        <f t="shared" si="1"/>
        <v>742.44942711142357</v>
      </c>
      <c r="E23" s="22"/>
      <c r="F23" s="98" t="s">
        <v>92</v>
      </c>
      <c r="G23" s="98" t="s">
        <v>149</v>
      </c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</row>
    <row r="24" spans="1:20" x14ac:dyDescent="0.25">
      <c r="A24" s="22"/>
      <c r="B24" s="22"/>
      <c r="C24" s="22"/>
      <c r="D24" s="22"/>
      <c r="E24" s="22"/>
      <c r="F24" s="98" t="s">
        <v>93</v>
      </c>
      <c r="G24" s="98" t="s">
        <v>149</v>
      </c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</row>
    <row r="25" spans="1:20" x14ac:dyDescent="0.25">
      <c r="A25" s="22"/>
      <c r="B25" s="22"/>
      <c r="C25" s="22"/>
      <c r="D25" s="22"/>
      <c r="E25" s="22"/>
      <c r="F25" s="98" t="s">
        <v>94</v>
      </c>
      <c r="G25" s="98" t="s">
        <v>149</v>
      </c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</row>
    <row r="26" spans="1:20" x14ac:dyDescent="0.25">
      <c r="A26" s="22"/>
      <c r="B26" s="22"/>
      <c r="C26" s="22"/>
      <c r="D26" s="22"/>
      <c r="E26" s="22"/>
      <c r="F26" s="29" t="s">
        <v>7</v>
      </c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</row>
    <row r="27" spans="1:20" x14ac:dyDescent="0.25">
      <c r="A27" s="22"/>
      <c r="B27" s="22"/>
      <c r="C27" s="22"/>
      <c r="D27" s="22"/>
      <c r="E27" s="22"/>
      <c r="F27" s="25" t="s">
        <v>91</v>
      </c>
      <c r="G27" s="25">
        <v>2301.0358526475302</v>
      </c>
      <c r="H27" s="25" t="s">
        <v>95</v>
      </c>
      <c r="I27" s="25" t="s">
        <v>96</v>
      </c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</row>
    <row r="28" spans="1:20" x14ac:dyDescent="0.25">
      <c r="A28" s="22"/>
      <c r="B28" s="22"/>
      <c r="C28" s="22"/>
      <c r="D28" s="22"/>
      <c r="E28" s="22"/>
      <c r="F28" s="25" t="s">
        <v>97</v>
      </c>
      <c r="G28" s="25">
        <v>19600.058077504818</v>
      </c>
      <c r="H28" s="25">
        <v>2301.0358526475302</v>
      </c>
      <c r="I28" s="25">
        <v>2301.0358526475302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</row>
    <row r="29" spans="1:20" x14ac:dyDescent="0.25">
      <c r="A29" s="22"/>
      <c r="B29" s="22"/>
      <c r="C29" s="22"/>
      <c r="D29" s="22"/>
      <c r="E29" s="22"/>
      <c r="F29" s="25" t="s">
        <v>98</v>
      </c>
      <c r="G29" s="25">
        <v>-6039.1257281918515</v>
      </c>
      <c r="H29" s="25">
        <v>2301.0358526475302</v>
      </c>
      <c r="I29" s="25">
        <v>2301.0358526475302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</row>
    <row r="30" spans="1:20" x14ac:dyDescent="0.25">
      <c r="A30" s="22"/>
      <c r="B30" s="22"/>
      <c r="C30" s="22"/>
      <c r="D30" s="22"/>
      <c r="E30" s="22"/>
      <c r="F30" s="25" t="s">
        <v>99</v>
      </c>
      <c r="G30" s="25">
        <v>-25639.18380569667</v>
      </c>
      <c r="H30" s="25">
        <v>2301.0358526475302</v>
      </c>
      <c r="I30" s="25">
        <v>2301.0358526475302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</row>
    <row r="41" spans="1:20" ht="15" customHeight="1" x14ac:dyDescent="0.25">
      <c r="A41" s="91" t="s">
        <v>102</v>
      </c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3"/>
    </row>
    <row r="42" spans="1:20" ht="15" customHeight="1" x14ac:dyDescent="0.25">
      <c r="A42" s="94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6"/>
    </row>
    <row r="43" spans="1:20" x14ac:dyDescent="0.25">
      <c r="B43" s="85" t="s">
        <v>101</v>
      </c>
      <c r="C43" s="85"/>
      <c r="D43" s="85"/>
    </row>
    <row r="44" spans="1:20" x14ac:dyDescent="0.25">
      <c r="A44" s="23" t="s">
        <v>65</v>
      </c>
      <c r="B44" s="23" t="s">
        <v>67</v>
      </c>
      <c r="C44" s="23" t="s">
        <v>68</v>
      </c>
      <c r="D44" s="23" t="s">
        <v>69</v>
      </c>
      <c r="E44" s="22"/>
      <c r="F44" s="32"/>
      <c r="G44" s="32"/>
      <c r="H44" s="32"/>
      <c r="I44" s="32"/>
      <c r="J44" s="32"/>
      <c r="K44" s="32"/>
      <c r="L44" s="32"/>
      <c r="M44" s="22"/>
      <c r="N44" s="24"/>
      <c r="O44" s="24"/>
      <c r="P44" s="24"/>
      <c r="Q44" s="24"/>
      <c r="R44" s="24"/>
      <c r="S44" s="24"/>
      <c r="T44" s="24"/>
    </row>
    <row r="45" spans="1:20" x14ac:dyDescent="0.25">
      <c r="A45" s="31" t="s">
        <v>142</v>
      </c>
      <c r="B45" s="25">
        <v>96266.144814090047</v>
      </c>
      <c r="C45" s="25">
        <v>62141.829155060354</v>
      </c>
      <c r="D45" s="25">
        <v>112366.78492907569</v>
      </c>
      <c r="E45" s="22"/>
      <c r="F45" s="2" t="s">
        <v>70</v>
      </c>
      <c r="G45" s="2"/>
      <c r="H45" s="2"/>
      <c r="I45" s="2"/>
      <c r="J45" s="2"/>
      <c r="K45" s="2"/>
      <c r="L45" s="2"/>
      <c r="M45" s="22"/>
      <c r="N45" s="42" t="s">
        <v>70</v>
      </c>
      <c r="O45" s="42"/>
      <c r="P45" s="42"/>
      <c r="Q45" s="42"/>
      <c r="R45" s="42"/>
      <c r="S45" s="42"/>
      <c r="T45" s="42"/>
    </row>
    <row r="46" spans="1:20" x14ac:dyDescent="0.25">
      <c r="A46" s="31" t="s">
        <v>143</v>
      </c>
      <c r="B46" s="25">
        <v>97883.770491803283</v>
      </c>
      <c r="C46" s="25">
        <v>58000.25</v>
      </c>
      <c r="D46" s="25">
        <v>108248.11564571979</v>
      </c>
      <c r="E46" s="22"/>
      <c r="F46" s="2"/>
      <c r="G46" s="2"/>
      <c r="H46" s="2"/>
      <c r="I46" s="2"/>
      <c r="J46" s="2"/>
      <c r="K46" s="2"/>
      <c r="L46" s="2"/>
      <c r="M46" s="22"/>
      <c r="N46" s="42"/>
      <c r="O46" s="42"/>
      <c r="P46" s="42"/>
      <c r="Q46" s="42"/>
      <c r="R46" s="42"/>
      <c r="S46" s="42"/>
      <c r="T46" s="42"/>
    </row>
    <row r="47" spans="1:20" ht="15.75" thickBot="1" x14ac:dyDescent="0.3">
      <c r="A47" s="31" t="s">
        <v>144</v>
      </c>
      <c r="B47" s="25">
        <v>101022.94764059469</v>
      </c>
      <c r="C47" s="25">
        <v>61375.712927756649</v>
      </c>
      <c r="D47" s="25">
        <v>108692.30566918016</v>
      </c>
      <c r="E47" s="22"/>
      <c r="F47" s="2" t="s">
        <v>71</v>
      </c>
      <c r="G47" s="2"/>
      <c r="H47" s="2"/>
      <c r="I47" s="2"/>
      <c r="J47" s="2"/>
      <c r="K47" s="2"/>
      <c r="L47" s="2"/>
      <c r="M47" s="22"/>
      <c r="N47" s="42" t="s">
        <v>71</v>
      </c>
      <c r="O47" s="42"/>
      <c r="P47" s="42"/>
      <c r="Q47" s="42"/>
      <c r="R47" s="42"/>
      <c r="S47" s="42"/>
      <c r="T47" s="42"/>
    </row>
    <row r="48" spans="1:20" x14ac:dyDescent="0.25">
      <c r="A48" s="31" t="s">
        <v>145</v>
      </c>
      <c r="B48" s="25">
        <v>99705.911169170475</v>
      </c>
      <c r="C48" s="25">
        <v>61727.82063645131</v>
      </c>
      <c r="D48" s="25">
        <v>107440.22020294218</v>
      </c>
      <c r="E48" s="22"/>
      <c r="F48" s="33" t="s">
        <v>72</v>
      </c>
      <c r="G48" s="33" t="s">
        <v>73</v>
      </c>
      <c r="H48" s="33" t="s">
        <v>74</v>
      </c>
      <c r="I48" s="33" t="s">
        <v>75</v>
      </c>
      <c r="J48" s="33" t="s">
        <v>76</v>
      </c>
      <c r="K48" s="2"/>
      <c r="L48" s="2"/>
      <c r="M48" s="22"/>
      <c r="N48" s="43" t="s">
        <v>72</v>
      </c>
      <c r="O48" s="43" t="s">
        <v>73</v>
      </c>
      <c r="P48" s="43" t="s">
        <v>74</v>
      </c>
      <c r="Q48" s="43" t="s">
        <v>75</v>
      </c>
      <c r="R48" s="43" t="s">
        <v>76</v>
      </c>
      <c r="S48" s="42"/>
      <c r="T48" s="42"/>
    </row>
    <row r="49" spans="1:20" x14ac:dyDescent="0.25">
      <c r="A49" s="31" t="s">
        <v>146</v>
      </c>
      <c r="B49" s="25">
        <v>98480.258899676366</v>
      </c>
      <c r="C49" s="25">
        <v>50036.714975845411</v>
      </c>
      <c r="D49" s="25">
        <v>113171.44407698607</v>
      </c>
      <c r="E49" s="22"/>
      <c r="F49" s="2" t="s">
        <v>77</v>
      </c>
      <c r="G49" s="2">
        <v>7</v>
      </c>
      <c r="H49" s="2">
        <v>13315.122286171711</v>
      </c>
      <c r="I49" s="2">
        <v>1902.1603265959586</v>
      </c>
      <c r="J49" s="2">
        <v>1870459.6203217015</v>
      </c>
      <c r="K49" s="2"/>
      <c r="L49" s="2"/>
      <c r="M49" s="22"/>
      <c r="N49" s="42" t="s">
        <v>77</v>
      </c>
      <c r="O49" s="42">
        <v>7</v>
      </c>
      <c r="P49" s="42">
        <v>688659.49516643432</v>
      </c>
      <c r="Q49" s="42">
        <v>98379.927880919189</v>
      </c>
      <c r="R49" s="42">
        <v>6091709.1797432862</v>
      </c>
      <c r="S49" s="42"/>
      <c r="T49" s="42"/>
    </row>
    <row r="50" spans="1:20" x14ac:dyDescent="0.25">
      <c r="A50" s="31" t="s">
        <v>147</v>
      </c>
      <c r="B50" s="25">
        <v>100968.15495732108</v>
      </c>
      <c r="C50" s="25">
        <v>63959.325396825385</v>
      </c>
      <c r="D50" s="25">
        <v>109444.5809783717</v>
      </c>
      <c r="E50" s="22"/>
      <c r="F50" s="2" t="s">
        <v>78</v>
      </c>
      <c r="G50" s="2">
        <v>7</v>
      </c>
      <c r="H50" s="2">
        <v>26401.623001807646</v>
      </c>
      <c r="I50" s="2">
        <v>3771.6604288296635</v>
      </c>
      <c r="J50" s="2">
        <v>6629568.1494305478</v>
      </c>
      <c r="K50" s="2"/>
      <c r="L50" s="2"/>
      <c r="M50" s="22"/>
      <c r="N50" s="42" t="s">
        <v>78</v>
      </c>
      <c r="O50" s="42">
        <v>7</v>
      </c>
      <c r="P50" s="42">
        <v>413006.78407658229</v>
      </c>
      <c r="Q50" s="42">
        <v>59000.969153797472</v>
      </c>
      <c r="R50" s="42">
        <v>23225894.27156337</v>
      </c>
      <c r="S50" s="42"/>
      <c r="T50" s="42"/>
    </row>
    <row r="51" spans="1:20" ht="15.75" thickBot="1" x14ac:dyDescent="0.3">
      <c r="A51" s="31" t="s">
        <v>148</v>
      </c>
      <c r="B51" s="25">
        <v>94332.307193778382</v>
      </c>
      <c r="C51" s="25">
        <v>55765.130984643169</v>
      </c>
      <c r="D51" s="25">
        <v>108538.0215386599</v>
      </c>
      <c r="E51" s="22"/>
      <c r="F51" s="34" t="s">
        <v>79</v>
      </c>
      <c r="G51" s="34">
        <v>7</v>
      </c>
      <c r="H51" s="34">
        <v>12275.616274446074</v>
      </c>
      <c r="I51" s="34">
        <v>1753.6594677780106</v>
      </c>
      <c r="J51" s="34">
        <v>1213478.0700174682</v>
      </c>
      <c r="K51" s="2"/>
      <c r="L51" s="2"/>
      <c r="M51" s="22"/>
      <c r="N51" s="44" t="s">
        <v>79</v>
      </c>
      <c r="O51" s="44">
        <v>7</v>
      </c>
      <c r="P51" s="44">
        <v>767901.47304093547</v>
      </c>
      <c r="Q51" s="44">
        <v>109700.21043441935</v>
      </c>
      <c r="R51" s="44">
        <v>4801353.1870994996</v>
      </c>
      <c r="S51" s="42"/>
      <c r="T51" s="42"/>
    </row>
    <row r="52" spans="1:20" x14ac:dyDescent="0.25">
      <c r="A52" s="22"/>
      <c r="B52" s="22"/>
      <c r="C52" s="22"/>
      <c r="D52" s="22"/>
      <c r="E52" s="22"/>
      <c r="F52" s="2"/>
      <c r="G52" s="2"/>
      <c r="H52" s="2"/>
      <c r="I52" s="2"/>
      <c r="J52" s="2"/>
      <c r="K52" s="2"/>
      <c r="L52" s="2"/>
      <c r="M52" s="22"/>
      <c r="N52" s="42"/>
      <c r="O52" s="42"/>
      <c r="P52" s="42"/>
      <c r="Q52" s="42"/>
      <c r="R52" s="42"/>
      <c r="S52" s="42"/>
      <c r="T52" s="42"/>
    </row>
    <row r="53" spans="1:20" x14ac:dyDescent="0.25">
      <c r="A53" s="29" t="s">
        <v>30</v>
      </c>
      <c r="B53" s="29">
        <f>AVERAGE(B45:B51)</f>
        <v>98379.927880919189</v>
      </c>
      <c r="C53" s="29">
        <f t="shared" ref="C53:D53" si="2">AVERAGE(C45:C51)</f>
        <v>59000.969153797472</v>
      </c>
      <c r="D53" s="29">
        <f t="shared" si="2"/>
        <v>109700.21043441935</v>
      </c>
      <c r="E53" s="22"/>
      <c r="F53" s="2"/>
      <c r="G53" s="2"/>
      <c r="H53" s="2"/>
      <c r="I53" s="2"/>
      <c r="J53" s="2"/>
      <c r="K53" s="2"/>
      <c r="L53" s="2"/>
      <c r="M53" s="22"/>
      <c r="N53" s="42"/>
      <c r="O53" s="42"/>
      <c r="P53" s="42"/>
      <c r="Q53" s="42"/>
      <c r="R53" s="42"/>
      <c r="S53" s="42"/>
      <c r="T53" s="42"/>
    </row>
    <row r="54" spans="1:20" ht="15.75" thickBot="1" x14ac:dyDescent="0.3">
      <c r="A54" s="29"/>
      <c r="B54" s="85" t="s">
        <v>101</v>
      </c>
      <c r="C54" s="85"/>
      <c r="D54" s="85"/>
      <c r="E54" s="22"/>
      <c r="F54" s="2" t="s">
        <v>80</v>
      </c>
      <c r="G54" s="2"/>
      <c r="H54" s="2"/>
      <c r="I54" s="2"/>
      <c r="J54" s="2"/>
      <c r="K54" s="2"/>
      <c r="L54" s="2"/>
      <c r="M54" s="22"/>
      <c r="N54" s="42" t="s">
        <v>80</v>
      </c>
      <c r="O54" s="42"/>
      <c r="P54" s="42"/>
      <c r="Q54" s="42"/>
      <c r="R54" s="42"/>
      <c r="S54" s="42"/>
      <c r="T54" s="42"/>
    </row>
    <row r="55" spans="1:20" x14ac:dyDescent="0.25">
      <c r="A55" s="23" t="s">
        <v>65</v>
      </c>
      <c r="B55" s="23" t="s">
        <v>67</v>
      </c>
      <c r="C55" s="23" t="s">
        <v>68</v>
      </c>
      <c r="D55" s="23" t="s">
        <v>69</v>
      </c>
      <c r="E55" s="22"/>
      <c r="F55" s="33" t="s">
        <v>81</v>
      </c>
      <c r="G55" s="33" t="s">
        <v>82</v>
      </c>
      <c r="H55" s="33" t="s">
        <v>83</v>
      </c>
      <c r="I55" s="33" t="s">
        <v>84</v>
      </c>
      <c r="J55" s="33" t="s">
        <v>85</v>
      </c>
      <c r="K55" s="33" t="s">
        <v>86</v>
      </c>
      <c r="L55" s="33" t="s">
        <v>87</v>
      </c>
      <c r="M55" s="22"/>
      <c r="N55" s="43" t="s">
        <v>81</v>
      </c>
      <c r="O55" s="43" t="s">
        <v>82</v>
      </c>
      <c r="P55" s="43" t="s">
        <v>83</v>
      </c>
      <c r="Q55" s="43" t="s">
        <v>84</v>
      </c>
      <c r="R55" s="43" t="s">
        <v>85</v>
      </c>
      <c r="S55" s="43" t="s">
        <v>86</v>
      </c>
      <c r="T55" s="43" t="s">
        <v>87</v>
      </c>
    </row>
    <row r="56" spans="1:20" x14ac:dyDescent="0.25">
      <c r="A56" s="31" t="s">
        <v>142</v>
      </c>
      <c r="B56" s="25">
        <f>ABS(B45-B$53)</f>
        <v>2113.7830668291426</v>
      </c>
      <c r="C56" s="25">
        <f t="shared" ref="C56:D56" si="3">ABS(C45-C$53)</f>
        <v>3140.8600012628813</v>
      </c>
      <c r="D56" s="25">
        <f t="shared" si="3"/>
        <v>2666.5744946563354</v>
      </c>
      <c r="E56" s="22"/>
      <c r="F56" s="2" t="s">
        <v>88</v>
      </c>
      <c r="G56" s="2">
        <v>17708625.704296097</v>
      </c>
      <c r="H56" s="2">
        <v>2</v>
      </c>
      <c r="I56" s="2">
        <v>8854312.8521480486</v>
      </c>
      <c r="J56" s="2">
        <v>2.7346396856723234</v>
      </c>
      <c r="K56" s="2">
        <v>9.1823692607953422E-2</v>
      </c>
      <c r="L56" s="2">
        <v>3.5545571456617879</v>
      </c>
      <c r="M56" s="22"/>
      <c r="N56" s="42" t="s">
        <v>88</v>
      </c>
      <c r="O56" s="42">
        <v>9914949925.8930187</v>
      </c>
      <c r="P56" s="42">
        <v>2</v>
      </c>
      <c r="Q56" s="42">
        <v>4957474962.9465094</v>
      </c>
      <c r="R56" s="42">
        <v>435.89917026062619</v>
      </c>
      <c r="S56" s="42">
        <v>5.6732016805027957E-16</v>
      </c>
      <c r="T56" s="42">
        <v>3.5545571456617879</v>
      </c>
    </row>
    <row r="57" spans="1:20" x14ac:dyDescent="0.25">
      <c r="A57" s="31" t="s">
        <v>143</v>
      </c>
      <c r="B57" s="25">
        <f t="shared" ref="B57:D57" si="4">ABS(B46-B$53)</f>
        <v>496.15738911590597</v>
      </c>
      <c r="C57" s="25">
        <f t="shared" si="4"/>
        <v>1000.7191537974722</v>
      </c>
      <c r="D57" s="25">
        <f t="shared" si="4"/>
        <v>1452.0947886995564</v>
      </c>
      <c r="E57" s="22"/>
      <c r="F57" s="2" t="s">
        <v>89</v>
      </c>
      <c r="G57" s="2">
        <v>58281035.038618326</v>
      </c>
      <c r="H57" s="2">
        <v>18</v>
      </c>
      <c r="I57" s="2">
        <v>3237835.2799232402</v>
      </c>
      <c r="J57" s="2"/>
      <c r="K57" s="2"/>
      <c r="L57" s="2"/>
      <c r="M57" s="22"/>
      <c r="N57" s="42" t="s">
        <v>89</v>
      </c>
      <c r="O57" s="42">
        <v>204713739.83043694</v>
      </c>
      <c r="P57" s="42">
        <v>18</v>
      </c>
      <c r="Q57" s="42">
        <v>11372985.546135386</v>
      </c>
      <c r="R57" s="42"/>
      <c r="S57" s="42"/>
      <c r="T57" s="42"/>
    </row>
    <row r="58" spans="1:20" x14ac:dyDescent="0.25">
      <c r="A58" s="31" t="s">
        <v>144</v>
      </c>
      <c r="B58" s="25">
        <f t="shared" ref="B58:D58" si="5">ABS(B47-B$53)</f>
        <v>2643.0197596755024</v>
      </c>
      <c r="C58" s="25">
        <f t="shared" si="5"/>
        <v>2374.7437739591769</v>
      </c>
      <c r="D58" s="25">
        <f t="shared" si="5"/>
        <v>1007.9047652391891</v>
      </c>
      <c r="E58" s="22"/>
      <c r="F58" s="2"/>
      <c r="G58" s="2"/>
      <c r="H58" s="2"/>
      <c r="I58" s="2"/>
      <c r="J58" s="2"/>
      <c r="K58" s="2"/>
      <c r="L58" s="2"/>
      <c r="M58" s="22"/>
      <c r="N58" s="42"/>
      <c r="O58" s="42"/>
      <c r="P58" s="42"/>
      <c r="Q58" s="42"/>
      <c r="R58" s="42"/>
      <c r="S58" s="42"/>
      <c r="T58" s="42"/>
    </row>
    <row r="59" spans="1:20" ht="15.75" thickBot="1" x14ac:dyDescent="0.3">
      <c r="A59" s="31" t="s">
        <v>145</v>
      </c>
      <c r="B59" s="25">
        <f t="shared" ref="B59:D59" si="6">ABS(B48-B$53)</f>
        <v>1325.9832882512856</v>
      </c>
      <c r="C59" s="25">
        <f t="shared" si="6"/>
        <v>2726.8514826538376</v>
      </c>
      <c r="D59" s="25">
        <f t="shared" si="6"/>
        <v>2259.9902314771753</v>
      </c>
      <c r="E59" s="22"/>
      <c r="F59" s="34" t="s">
        <v>90</v>
      </c>
      <c r="G59" s="34">
        <v>75989660.742914423</v>
      </c>
      <c r="H59" s="34">
        <v>20</v>
      </c>
      <c r="I59" s="34"/>
      <c r="J59" s="34"/>
      <c r="K59" s="34"/>
      <c r="L59" s="34"/>
      <c r="M59" s="22"/>
      <c r="N59" s="44" t="s">
        <v>90</v>
      </c>
      <c r="O59" s="44">
        <v>10119663665.723455</v>
      </c>
      <c r="P59" s="44">
        <v>20</v>
      </c>
      <c r="Q59" s="44"/>
      <c r="R59" s="44"/>
      <c r="S59" s="44"/>
      <c r="T59" s="44"/>
    </row>
    <row r="60" spans="1:20" x14ac:dyDescent="0.25">
      <c r="A60" s="31" t="s">
        <v>146</v>
      </c>
      <c r="B60" s="25">
        <f t="shared" ref="B60:D60" si="7">ABS(B49-B$53)</f>
        <v>100.33101875717693</v>
      </c>
      <c r="C60" s="25">
        <f t="shared" si="7"/>
        <v>8964.2541779520616</v>
      </c>
      <c r="D60" s="25">
        <f t="shared" si="7"/>
        <v>3471.2336425667163</v>
      </c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</row>
    <row r="61" spans="1:20" x14ac:dyDescent="0.25">
      <c r="A61" s="31" t="s">
        <v>147</v>
      </c>
      <c r="B61" s="25">
        <f t="shared" ref="B61:D61" si="8">ABS(B50-B$53)</f>
        <v>2588.2270764018904</v>
      </c>
      <c r="C61" s="25">
        <f t="shared" si="8"/>
        <v>4958.3562430279126</v>
      </c>
      <c r="D61" s="25">
        <f t="shared" si="8"/>
        <v>255.62945604765264</v>
      </c>
      <c r="E61" s="22"/>
      <c r="F61" s="97" t="s">
        <v>91</v>
      </c>
      <c r="G61" s="98">
        <f>3.61*SQRT(Q57/7)</f>
        <v>4601.4576096802648</v>
      </c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</row>
    <row r="62" spans="1:20" x14ac:dyDescent="0.25">
      <c r="A62" s="31" t="s">
        <v>148</v>
      </c>
      <c r="B62" s="25">
        <f>ABS(B51-B$53)</f>
        <v>4047.6206871408067</v>
      </c>
      <c r="C62" s="25">
        <f t="shared" ref="C62:D62" si="9">ABS(C51-C$53)</f>
        <v>3235.8381691543036</v>
      </c>
      <c r="D62" s="25">
        <f t="shared" si="9"/>
        <v>1162.1888957594492</v>
      </c>
      <c r="E62" s="22"/>
      <c r="F62" s="98" t="s">
        <v>92</v>
      </c>
      <c r="G62" s="98" t="str">
        <f>IF(ABS(Q49-Q50)&gt;G61, "true", "false")</f>
        <v>true</v>
      </c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</row>
    <row r="63" spans="1:20" x14ac:dyDescent="0.25">
      <c r="A63" s="22"/>
      <c r="B63" s="22"/>
      <c r="C63" s="22"/>
      <c r="D63" s="22"/>
      <c r="E63" s="22"/>
      <c r="F63" s="98" t="s">
        <v>93</v>
      </c>
      <c r="G63" s="98" t="str">
        <f>IF(ABS(Q49-Q51)&gt;G61, "true", "false")</f>
        <v>true</v>
      </c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</row>
    <row r="64" spans="1:20" x14ac:dyDescent="0.25">
      <c r="A64" s="22"/>
      <c r="B64" s="22"/>
      <c r="C64" s="22"/>
      <c r="D64" s="22"/>
      <c r="E64" s="22"/>
      <c r="F64" s="98" t="s">
        <v>94</v>
      </c>
      <c r="G64" s="98" t="str">
        <f>IF(ABS(Q50-Q51)&gt;G61, "true", "false")</f>
        <v>true</v>
      </c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</row>
    <row r="65" spans="1:20" x14ac:dyDescent="0.2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</row>
    <row r="66" spans="1:20" x14ac:dyDescent="0.25">
      <c r="A66" s="22"/>
      <c r="B66" s="22"/>
      <c r="C66" s="22"/>
      <c r="D66" s="22"/>
      <c r="E66" s="22"/>
      <c r="F66" s="37" t="s">
        <v>1</v>
      </c>
      <c r="G66" s="35"/>
      <c r="H66" s="35"/>
      <c r="I66" s="35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</row>
    <row r="67" spans="1:20" x14ac:dyDescent="0.25">
      <c r="A67" s="22"/>
      <c r="B67" s="22"/>
      <c r="C67" s="22"/>
      <c r="D67" s="22"/>
      <c r="E67" s="22"/>
      <c r="F67" s="36" t="s">
        <v>91</v>
      </c>
      <c r="G67" s="13">
        <f>3.61*SQRT(Q57/7)</f>
        <v>4601.4576096802648</v>
      </c>
      <c r="H67" s="13" t="s">
        <v>95</v>
      </c>
      <c r="I67" s="13" t="s">
        <v>96</v>
      </c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</row>
    <row r="68" spans="1:20" x14ac:dyDescent="0.25">
      <c r="A68" s="22"/>
      <c r="B68" s="22"/>
      <c r="C68" s="22"/>
      <c r="D68" s="22"/>
      <c r="E68" s="22"/>
      <c r="F68" s="36" t="s">
        <v>97</v>
      </c>
      <c r="G68" s="13">
        <f>Q49-Q50</f>
        <v>39378.958727121717</v>
      </c>
      <c r="H68" s="13">
        <v>4601.4576096802648</v>
      </c>
      <c r="I68" s="13">
        <v>4601.4576096802648</v>
      </c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</row>
    <row r="69" spans="1:20" x14ac:dyDescent="0.25">
      <c r="A69" s="22"/>
      <c r="B69" s="22"/>
      <c r="C69" s="22"/>
      <c r="D69" s="22"/>
      <c r="E69" s="22"/>
      <c r="F69" s="36" t="s">
        <v>98</v>
      </c>
      <c r="G69" s="13">
        <f>Q49-Q51</f>
        <v>-11320.282553500161</v>
      </c>
      <c r="H69" s="13">
        <v>4601.4576096802648</v>
      </c>
      <c r="I69" s="13">
        <v>4601.4576096802648</v>
      </c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</row>
    <row r="70" spans="1:20" x14ac:dyDescent="0.25">
      <c r="A70" s="22"/>
      <c r="B70" s="22"/>
      <c r="C70" s="22"/>
      <c r="D70" s="22"/>
      <c r="E70" s="22"/>
      <c r="F70" s="36" t="s">
        <v>99</v>
      </c>
      <c r="G70" s="13">
        <f>Q50-Q51</f>
        <v>-50699.241280621878</v>
      </c>
      <c r="H70" s="13">
        <v>4601.4576096802648</v>
      </c>
      <c r="I70" s="13">
        <v>4601.4576096802648</v>
      </c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</row>
    <row r="71" spans="1:20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</row>
    <row r="80" spans="1:20" ht="15" customHeight="1" x14ac:dyDescent="0.25">
      <c r="A80" s="91" t="s">
        <v>110</v>
      </c>
      <c r="B80" s="92"/>
      <c r="C80" s="92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3"/>
    </row>
    <row r="81" spans="1:21" ht="15" customHeight="1" x14ac:dyDescent="0.25">
      <c r="A81" s="94"/>
      <c r="B81" s="95"/>
      <c r="C81" s="95"/>
      <c r="D81" s="95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6"/>
    </row>
    <row r="82" spans="1:21" x14ac:dyDescent="0.25">
      <c r="B82" s="85" t="s">
        <v>101</v>
      </c>
      <c r="C82" s="85"/>
      <c r="D82" s="85"/>
    </row>
    <row r="83" spans="1:21" x14ac:dyDescent="0.25">
      <c r="A83" s="22"/>
      <c r="B83" s="23" t="s">
        <v>67</v>
      </c>
      <c r="C83" s="23" t="s">
        <v>68</v>
      </c>
      <c r="D83" s="23" t="s">
        <v>69</v>
      </c>
      <c r="E83" s="22"/>
      <c r="F83" s="32"/>
      <c r="G83" s="32"/>
      <c r="H83" s="32"/>
      <c r="I83" s="32"/>
      <c r="J83" s="32"/>
      <c r="K83" s="32"/>
      <c r="L83" s="32"/>
      <c r="M83" s="22"/>
      <c r="N83" s="24"/>
      <c r="O83" s="24"/>
      <c r="P83" s="24"/>
      <c r="Q83" s="24"/>
      <c r="R83" s="24"/>
      <c r="S83" s="24"/>
      <c r="T83" s="24"/>
      <c r="U83" s="22"/>
    </row>
    <row r="84" spans="1:21" x14ac:dyDescent="0.25">
      <c r="A84" s="31" t="s">
        <v>142</v>
      </c>
      <c r="B84" s="25">
        <v>10571.265492498371</v>
      </c>
      <c r="C84" s="25">
        <v>7062.6740947075214</v>
      </c>
      <c r="D84" s="25">
        <v>12549.315688909226</v>
      </c>
      <c r="E84" s="22"/>
      <c r="F84" s="2" t="s">
        <v>70</v>
      </c>
      <c r="G84" s="2"/>
      <c r="H84" s="2"/>
      <c r="I84" s="2"/>
      <c r="J84" s="2"/>
      <c r="K84" s="2"/>
      <c r="L84" s="2"/>
      <c r="M84" s="22"/>
      <c r="N84" s="42" t="s">
        <v>70</v>
      </c>
      <c r="O84" s="42"/>
      <c r="P84" s="42"/>
      <c r="Q84" s="42"/>
      <c r="R84" s="42"/>
      <c r="S84" s="42"/>
      <c r="T84" s="42"/>
      <c r="U84" s="22"/>
    </row>
    <row r="85" spans="1:21" x14ac:dyDescent="0.25">
      <c r="A85" s="31" t="s">
        <v>143</v>
      </c>
      <c r="B85" s="25">
        <v>10695.245901639346</v>
      </c>
      <c r="C85" s="25">
        <v>6545</v>
      </c>
      <c r="D85" s="25">
        <v>12123.18059198718</v>
      </c>
      <c r="E85" s="22"/>
      <c r="F85" s="2"/>
      <c r="G85" s="2"/>
      <c r="H85" s="2"/>
      <c r="I85" s="2"/>
      <c r="J85" s="2"/>
      <c r="K85" s="2"/>
      <c r="L85" s="2"/>
      <c r="M85" s="22"/>
      <c r="N85" s="42"/>
      <c r="O85" s="42"/>
      <c r="P85" s="42"/>
      <c r="Q85" s="42"/>
      <c r="R85" s="42"/>
      <c r="S85" s="42"/>
      <c r="T85" s="42"/>
      <c r="U85" s="22"/>
    </row>
    <row r="86" spans="1:21" ht="15.75" thickBot="1" x14ac:dyDescent="0.3">
      <c r="A86" s="31" t="s">
        <v>144</v>
      </c>
      <c r="B86" s="25">
        <v>11170.652876535229</v>
      </c>
      <c r="C86" s="25">
        <v>6890.6844106463877</v>
      </c>
      <c r="D86" s="25">
        <v>12121.1218620249</v>
      </c>
      <c r="E86" s="22"/>
      <c r="F86" s="2" t="s">
        <v>71</v>
      </c>
      <c r="G86" s="2"/>
      <c r="H86" s="2"/>
      <c r="I86" s="2"/>
      <c r="J86" s="2"/>
      <c r="K86" s="2"/>
      <c r="L86" s="2"/>
      <c r="M86" s="22"/>
      <c r="N86" s="42" t="s">
        <v>71</v>
      </c>
      <c r="O86" s="42"/>
      <c r="P86" s="42"/>
      <c r="Q86" s="42"/>
      <c r="R86" s="42"/>
      <c r="S86" s="42"/>
      <c r="T86" s="42"/>
      <c r="U86" s="22"/>
    </row>
    <row r="87" spans="1:21" x14ac:dyDescent="0.25">
      <c r="A87" s="31" t="s">
        <v>145</v>
      </c>
      <c r="B87" s="25">
        <v>11096.99542782495</v>
      </c>
      <c r="C87" s="25">
        <v>6939.9710703953715</v>
      </c>
      <c r="D87" s="25">
        <v>11990.516982430136</v>
      </c>
      <c r="E87" s="22"/>
      <c r="F87" s="33" t="s">
        <v>72</v>
      </c>
      <c r="G87" s="33" t="s">
        <v>73</v>
      </c>
      <c r="H87" s="33" t="s">
        <v>74</v>
      </c>
      <c r="I87" s="33" t="s">
        <v>75</v>
      </c>
      <c r="J87" s="33" t="s">
        <v>76</v>
      </c>
      <c r="K87" s="2"/>
      <c r="L87" s="2"/>
      <c r="M87" s="22"/>
      <c r="N87" s="43" t="s">
        <v>72</v>
      </c>
      <c r="O87" s="43" t="s">
        <v>73</v>
      </c>
      <c r="P87" s="43" t="s">
        <v>74</v>
      </c>
      <c r="Q87" s="43" t="s">
        <v>75</v>
      </c>
      <c r="R87" s="43" t="s">
        <v>76</v>
      </c>
      <c r="S87" s="42"/>
      <c r="T87" s="42"/>
      <c r="U87" s="22"/>
    </row>
    <row r="88" spans="1:21" x14ac:dyDescent="0.25">
      <c r="A88" s="31" t="s">
        <v>146</v>
      </c>
      <c r="B88" s="25">
        <v>10877.184466019417</v>
      </c>
      <c r="C88" s="25">
        <v>5712.5603864734294</v>
      </c>
      <c r="D88" s="25">
        <v>12646.888545827083</v>
      </c>
      <c r="E88" s="22"/>
      <c r="F88" s="2" t="s">
        <v>77</v>
      </c>
      <c r="G88" s="2">
        <v>7</v>
      </c>
      <c r="H88" s="2">
        <v>1809.6330144890635</v>
      </c>
      <c r="I88" s="2">
        <v>258.51900206986619</v>
      </c>
      <c r="J88" s="2">
        <v>19276.566030117665</v>
      </c>
      <c r="K88" s="2"/>
      <c r="L88" s="2"/>
      <c r="M88" s="22"/>
      <c r="N88" s="42" t="s">
        <v>77</v>
      </c>
      <c r="O88" s="42">
        <v>7</v>
      </c>
      <c r="P88" s="42">
        <v>75973.377114458795</v>
      </c>
      <c r="Q88" s="42">
        <v>10853.339587779828</v>
      </c>
      <c r="R88" s="42">
        <v>97247.319533183749</v>
      </c>
      <c r="S88" s="42"/>
      <c r="T88" s="42"/>
      <c r="U88" s="22"/>
    </row>
    <row r="89" spans="1:21" x14ac:dyDescent="0.25">
      <c r="A89" s="31" t="s">
        <v>147</v>
      </c>
      <c r="B89" s="25">
        <v>11173.342087984242</v>
      </c>
      <c r="C89" s="25">
        <v>7166.9146825396811</v>
      </c>
      <c r="D89" s="25">
        <v>12175.341669483585</v>
      </c>
      <c r="E89" s="22"/>
      <c r="F89" s="2" t="s">
        <v>78</v>
      </c>
      <c r="G89" s="2">
        <v>7</v>
      </c>
      <c r="H89" s="2">
        <v>2865.8133411984263</v>
      </c>
      <c r="I89" s="2">
        <v>409.4019058854895</v>
      </c>
      <c r="J89" s="2">
        <v>72101.298229148451</v>
      </c>
      <c r="K89" s="2"/>
      <c r="L89" s="2"/>
      <c r="M89" s="22"/>
      <c r="N89" s="42" t="s">
        <v>78</v>
      </c>
      <c r="O89" s="42">
        <v>7</v>
      </c>
      <c r="P89" s="42">
        <v>46597.840778457059</v>
      </c>
      <c r="Q89" s="42">
        <v>6656.834396922437</v>
      </c>
      <c r="R89" s="42">
        <v>267646.20552893152</v>
      </c>
      <c r="S89" s="42"/>
      <c r="T89" s="42"/>
      <c r="U89" s="22"/>
    </row>
    <row r="90" spans="1:21" ht="15.75" thickBot="1" x14ac:dyDescent="0.3">
      <c r="A90" s="31" t="s">
        <v>148</v>
      </c>
      <c r="B90" s="25">
        <v>10388.690861957228</v>
      </c>
      <c r="C90" s="25">
        <v>6280.0361336946689</v>
      </c>
      <c r="D90" s="25">
        <v>12057.51648627503</v>
      </c>
      <c r="E90" s="22"/>
      <c r="F90" s="34" t="s">
        <v>79</v>
      </c>
      <c r="G90" s="34">
        <v>7</v>
      </c>
      <c r="H90" s="34">
        <v>1441.6188540799594</v>
      </c>
      <c r="I90" s="34">
        <v>205.94555058285135</v>
      </c>
      <c r="J90" s="34">
        <v>15300.646028753506</v>
      </c>
      <c r="K90" s="2"/>
      <c r="L90" s="2"/>
      <c r="M90" s="22"/>
      <c r="N90" s="44" t="s">
        <v>79</v>
      </c>
      <c r="O90" s="44">
        <v>7</v>
      </c>
      <c r="P90" s="44">
        <v>85663.881826937126</v>
      </c>
      <c r="Q90" s="44">
        <v>12237.69740384816</v>
      </c>
      <c r="R90" s="44">
        <v>64783.144134439586</v>
      </c>
      <c r="S90" s="42"/>
      <c r="T90" s="42"/>
      <c r="U90" s="22"/>
    </row>
    <row r="91" spans="1:21" x14ac:dyDescent="0.25">
      <c r="A91" s="22"/>
      <c r="B91" s="22"/>
      <c r="C91" s="22"/>
      <c r="D91" s="22"/>
      <c r="E91" s="22"/>
      <c r="F91" s="2"/>
      <c r="G91" s="2"/>
      <c r="H91" s="2"/>
      <c r="I91" s="2"/>
      <c r="J91" s="2"/>
      <c r="K91" s="2"/>
      <c r="L91" s="2"/>
      <c r="M91" s="22"/>
      <c r="N91" s="42"/>
      <c r="O91" s="42"/>
      <c r="P91" s="42"/>
      <c r="Q91" s="42"/>
      <c r="R91" s="42"/>
      <c r="S91" s="42"/>
      <c r="T91" s="42"/>
      <c r="U91" s="22"/>
    </row>
    <row r="92" spans="1:21" x14ac:dyDescent="0.25">
      <c r="A92" s="29" t="s">
        <v>30</v>
      </c>
      <c r="B92" s="29">
        <f>AVERAGE(B84:B90)</f>
        <v>10853.339587779828</v>
      </c>
      <c r="C92" s="29">
        <f t="shared" ref="C92:D92" si="10">AVERAGE(C84:C90)</f>
        <v>6656.834396922437</v>
      </c>
      <c r="D92" s="29">
        <f t="shared" si="10"/>
        <v>12237.69740384816</v>
      </c>
      <c r="E92" s="22"/>
      <c r="F92" s="2"/>
      <c r="G92" s="2"/>
      <c r="H92" s="2"/>
      <c r="I92" s="2"/>
      <c r="J92" s="2"/>
      <c r="K92" s="2"/>
      <c r="L92" s="2"/>
      <c r="M92" s="22"/>
      <c r="N92" s="42"/>
      <c r="O92" s="42"/>
      <c r="P92" s="42"/>
      <c r="Q92" s="42"/>
      <c r="R92" s="42"/>
      <c r="S92" s="42"/>
      <c r="T92" s="42"/>
      <c r="U92" s="22"/>
    </row>
    <row r="93" spans="1:21" ht="15.75" thickBot="1" x14ac:dyDescent="0.3">
      <c r="A93" s="29"/>
      <c r="B93" s="85" t="s">
        <v>101</v>
      </c>
      <c r="C93" s="85"/>
      <c r="D93" s="85"/>
      <c r="E93" s="22"/>
      <c r="F93" s="2" t="s">
        <v>80</v>
      </c>
      <c r="G93" s="2"/>
      <c r="H93" s="2"/>
      <c r="I93" s="2"/>
      <c r="J93" s="2"/>
      <c r="K93" s="2"/>
      <c r="L93" s="2"/>
      <c r="M93" s="22"/>
      <c r="N93" s="42" t="s">
        <v>80</v>
      </c>
      <c r="O93" s="42"/>
      <c r="P93" s="42"/>
      <c r="Q93" s="42"/>
      <c r="R93" s="42"/>
      <c r="S93" s="42"/>
      <c r="T93" s="42"/>
      <c r="U93" s="22"/>
    </row>
    <row r="94" spans="1:21" x14ac:dyDescent="0.25">
      <c r="B94" s="23" t="s">
        <v>67</v>
      </c>
      <c r="C94" s="23" t="s">
        <v>68</v>
      </c>
      <c r="D94" s="23" t="s">
        <v>69</v>
      </c>
      <c r="E94" s="22"/>
      <c r="F94" s="33" t="s">
        <v>81</v>
      </c>
      <c r="G94" s="33" t="s">
        <v>82</v>
      </c>
      <c r="H94" s="33" t="s">
        <v>83</v>
      </c>
      <c r="I94" s="33" t="s">
        <v>84</v>
      </c>
      <c r="J94" s="33" t="s">
        <v>85</v>
      </c>
      <c r="K94" s="33" t="s">
        <v>86</v>
      </c>
      <c r="L94" s="33" t="s">
        <v>87</v>
      </c>
      <c r="M94" s="22"/>
      <c r="N94" s="43" t="s">
        <v>81</v>
      </c>
      <c r="O94" s="43" t="s">
        <v>82</v>
      </c>
      <c r="P94" s="43" t="s">
        <v>83</v>
      </c>
      <c r="Q94" s="43" t="s">
        <v>84</v>
      </c>
      <c r="R94" s="43" t="s">
        <v>85</v>
      </c>
      <c r="S94" s="43" t="s">
        <v>86</v>
      </c>
      <c r="T94" s="43" t="s">
        <v>87</v>
      </c>
      <c r="U94" s="22"/>
    </row>
    <row r="95" spans="1:21" x14ac:dyDescent="0.25">
      <c r="A95" s="31" t="s">
        <v>142</v>
      </c>
      <c r="B95" s="25">
        <f>ABS(B84-B$92)</f>
        <v>282.07409528145763</v>
      </c>
      <c r="C95" s="25">
        <f t="shared" ref="C95:D95" si="11">ABS(C84-C$92)</f>
        <v>405.83969778508435</v>
      </c>
      <c r="D95" s="25">
        <f t="shared" si="11"/>
        <v>311.61828506106576</v>
      </c>
      <c r="E95" s="22"/>
      <c r="F95" s="2" t="s">
        <v>88</v>
      </c>
      <c r="G95" s="2">
        <v>156156.24961562606</v>
      </c>
      <c r="H95" s="2">
        <v>2</v>
      </c>
      <c r="I95" s="2">
        <v>78078.12480781303</v>
      </c>
      <c r="J95" s="2">
        <v>2.1957034625908567</v>
      </c>
      <c r="K95" s="2">
        <v>0.14019099002930688</v>
      </c>
      <c r="L95" s="2">
        <v>3.5545571456617879</v>
      </c>
      <c r="M95" s="22"/>
      <c r="N95" s="42" t="s">
        <v>88</v>
      </c>
      <c r="O95" s="42">
        <v>118237313.32437396</v>
      </c>
      <c r="P95" s="42">
        <v>2</v>
      </c>
      <c r="Q95" s="42">
        <v>59118656.66218698</v>
      </c>
      <c r="R95" s="42">
        <v>412.76611624781924</v>
      </c>
      <c r="S95" s="42">
        <v>9.1735494420194443E-16</v>
      </c>
      <c r="T95" s="42">
        <v>3.5545571456617879</v>
      </c>
      <c r="U95" s="22"/>
    </row>
    <row r="96" spans="1:21" x14ac:dyDescent="0.25">
      <c r="A96" s="31" t="s">
        <v>143</v>
      </c>
      <c r="B96" s="25">
        <f t="shared" ref="B96:D96" si="12">ABS(B85-B$92)</f>
        <v>158.09368614048253</v>
      </c>
      <c r="C96" s="25">
        <f t="shared" si="12"/>
        <v>111.83439692243701</v>
      </c>
      <c r="D96" s="25">
        <f t="shared" si="12"/>
        <v>114.51681186097994</v>
      </c>
      <c r="E96" s="22"/>
      <c r="F96" s="2" t="s">
        <v>89</v>
      </c>
      <c r="G96" s="2">
        <v>640071.06172811799</v>
      </c>
      <c r="H96" s="2">
        <v>18</v>
      </c>
      <c r="I96" s="2">
        <v>35559.503429339886</v>
      </c>
      <c r="J96" s="2"/>
      <c r="K96" s="2"/>
      <c r="L96" s="2"/>
      <c r="M96" s="22"/>
      <c r="N96" s="42" t="s">
        <v>89</v>
      </c>
      <c r="O96" s="42">
        <v>2578060.0151793291</v>
      </c>
      <c r="P96" s="42">
        <v>18</v>
      </c>
      <c r="Q96" s="42">
        <v>143225.55639885162</v>
      </c>
      <c r="R96" s="42"/>
      <c r="S96" s="42"/>
      <c r="T96" s="42"/>
      <c r="U96" s="22"/>
    </row>
    <row r="97" spans="1:21" x14ac:dyDescent="0.25">
      <c r="A97" s="31" t="s">
        <v>144</v>
      </c>
      <c r="B97" s="25">
        <f t="shared" ref="B97:D97" si="13">ABS(B86-B$92)</f>
        <v>317.31328875540021</v>
      </c>
      <c r="C97" s="25">
        <f t="shared" si="13"/>
        <v>233.85001372395072</v>
      </c>
      <c r="D97" s="25">
        <f t="shared" si="13"/>
        <v>116.57554182326021</v>
      </c>
      <c r="E97" s="22"/>
      <c r="F97" s="2"/>
      <c r="G97" s="2"/>
      <c r="H97" s="2"/>
      <c r="I97" s="2"/>
      <c r="J97" s="2"/>
      <c r="K97" s="2"/>
      <c r="L97" s="2"/>
      <c r="M97" s="22"/>
      <c r="N97" s="42"/>
      <c r="O97" s="42"/>
      <c r="P97" s="42"/>
      <c r="Q97" s="42"/>
      <c r="R97" s="42"/>
      <c r="S97" s="42"/>
      <c r="T97" s="42"/>
      <c r="U97" s="22"/>
    </row>
    <row r="98" spans="1:21" ht="15.75" thickBot="1" x14ac:dyDescent="0.3">
      <c r="A98" s="31" t="s">
        <v>145</v>
      </c>
      <c r="B98" s="25">
        <f t="shared" ref="B98:D98" si="14">ABS(B87-B$92)</f>
        <v>243.65584004512129</v>
      </c>
      <c r="C98" s="25">
        <f t="shared" si="14"/>
        <v>283.13667347293449</v>
      </c>
      <c r="D98" s="25">
        <f t="shared" si="14"/>
        <v>247.18042141802471</v>
      </c>
      <c r="E98" s="22"/>
      <c r="F98" s="34" t="s">
        <v>90</v>
      </c>
      <c r="G98" s="34">
        <v>796227.31134374405</v>
      </c>
      <c r="H98" s="34">
        <v>20</v>
      </c>
      <c r="I98" s="34"/>
      <c r="J98" s="34"/>
      <c r="K98" s="34"/>
      <c r="L98" s="34"/>
      <c r="M98" s="22"/>
      <c r="N98" s="44" t="s">
        <v>90</v>
      </c>
      <c r="O98" s="44">
        <v>120815373.3395533</v>
      </c>
      <c r="P98" s="44">
        <v>20</v>
      </c>
      <c r="Q98" s="44"/>
      <c r="R98" s="44"/>
      <c r="S98" s="44"/>
      <c r="T98" s="44"/>
      <c r="U98" s="22"/>
    </row>
    <row r="99" spans="1:21" x14ac:dyDescent="0.25">
      <c r="A99" s="31" t="s">
        <v>146</v>
      </c>
      <c r="B99" s="25">
        <f t="shared" ref="B99:D99" si="15">ABS(B88-B$92)</f>
        <v>23.84487823958807</v>
      </c>
      <c r="C99" s="25">
        <f t="shared" si="15"/>
        <v>944.27401044900762</v>
      </c>
      <c r="D99" s="25">
        <f t="shared" si="15"/>
        <v>409.19114197892304</v>
      </c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</row>
    <row r="100" spans="1:21" x14ac:dyDescent="0.25">
      <c r="A100" s="31" t="s">
        <v>147</v>
      </c>
      <c r="B100" s="25">
        <f t="shared" ref="B100:D100" si="16">ABS(B89-B$92)</f>
        <v>320.00250020441308</v>
      </c>
      <c r="C100" s="25">
        <f t="shared" si="16"/>
        <v>510.08028561724404</v>
      </c>
      <c r="D100" s="25">
        <f t="shared" si="16"/>
        <v>62.355734364575255</v>
      </c>
      <c r="E100" s="22"/>
      <c r="F100" s="97" t="s">
        <v>91</v>
      </c>
      <c r="G100" s="98">
        <f>3.61*SQRT(Q96/7)</f>
        <v>516.37884397649009</v>
      </c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</row>
    <row r="101" spans="1:21" x14ac:dyDescent="0.25">
      <c r="A101" s="31" t="s">
        <v>148</v>
      </c>
      <c r="B101" s="25">
        <f t="shared" ref="B101:D101" si="17">ABS(B90-B$92)</f>
        <v>464.64872582260068</v>
      </c>
      <c r="C101" s="25">
        <f t="shared" si="17"/>
        <v>376.79826322776808</v>
      </c>
      <c r="D101" s="25">
        <f t="shared" si="17"/>
        <v>180.1809175731305</v>
      </c>
      <c r="E101" s="22"/>
      <c r="F101" s="98" t="s">
        <v>92</v>
      </c>
      <c r="G101" s="98" t="str">
        <f>IF(ABS(Q88-Q89)&gt;G100, "true", "false")</f>
        <v>true</v>
      </c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</row>
    <row r="102" spans="1:21" x14ac:dyDescent="0.25">
      <c r="A102" s="22"/>
      <c r="B102" s="22"/>
      <c r="C102" s="22"/>
      <c r="D102" s="22"/>
      <c r="E102" s="22"/>
      <c r="F102" s="98" t="s">
        <v>93</v>
      </c>
      <c r="G102" s="98" t="str">
        <f>IF(ABS(Q88-Q90)&gt;G100, "true", "false")</f>
        <v>true</v>
      </c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</row>
    <row r="103" spans="1:21" x14ac:dyDescent="0.25">
      <c r="A103" s="22"/>
      <c r="B103" s="22"/>
      <c r="C103" s="22"/>
      <c r="D103" s="22"/>
      <c r="E103" s="22"/>
      <c r="F103" s="98" t="s">
        <v>94</v>
      </c>
      <c r="G103" s="98" t="str">
        <f>IF(ABS(Q89-Q90)&gt;G100, "true", "false")</f>
        <v>true</v>
      </c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</row>
    <row r="104" spans="1:21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</row>
    <row r="105" spans="1:21" x14ac:dyDescent="0.25">
      <c r="A105" s="22"/>
      <c r="B105" s="22"/>
      <c r="C105" s="22"/>
      <c r="D105" s="22"/>
      <c r="E105" s="22"/>
      <c r="F105" s="29" t="s">
        <v>10</v>
      </c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</row>
    <row r="106" spans="1:21" x14ac:dyDescent="0.25">
      <c r="A106" s="22"/>
      <c r="B106" s="22"/>
      <c r="C106" s="22"/>
      <c r="D106" s="22"/>
      <c r="E106" s="22"/>
      <c r="F106" s="25" t="s">
        <v>91</v>
      </c>
      <c r="G106" s="25">
        <f>3.61*SQRT(Q96/7)</f>
        <v>516.37884397649009</v>
      </c>
      <c r="H106" s="25" t="s">
        <v>95</v>
      </c>
      <c r="I106" s="25" t="s">
        <v>96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</row>
    <row r="107" spans="1:21" x14ac:dyDescent="0.25">
      <c r="A107" s="22"/>
      <c r="B107" s="22"/>
      <c r="C107" s="22"/>
      <c r="D107" s="22"/>
      <c r="E107" s="22"/>
      <c r="F107" s="25" t="s">
        <v>97</v>
      </c>
      <c r="G107" s="25">
        <f>Q88-Q89</f>
        <v>4196.5051908573914</v>
      </c>
      <c r="H107" s="25">
        <v>516.37884397649009</v>
      </c>
      <c r="I107" s="25">
        <v>516.37884397649009</v>
      </c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</row>
    <row r="108" spans="1:21" x14ac:dyDescent="0.25">
      <c r="A108" s="22"/>
      <c r="B108" s="22"/>
      <c r="C108" s="22"/>
      <c r="D108" s="22"/>
      <c r="E108" s="22"/>
      <c r="F108" s="25" t="s">
        <v>98</v>
      </c>
      <c r="G108" s="25">
        <f>Q88-Q90</f>
        <v>-1384.3578160683319</v>
      </c>
      <c r="H108" s="25">
        <v>516.37884397649009</v>
      </c>
      <c r="I108" s="25">
        <v>516.37884397649009</v>
      </c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</row>
    <row r="109" spans="1:21" x14ac:dyDescent="0.25">
      <c r="A109" s="22"/>
      <c r="B109" s="22"/>
      <c r="C109" s="22"/>
      <c r="D109" s="22"/>
      <c r="E109" s="22"/>
      <c r="F109" s="25" t="s">
        <v>99</v>
      </c>
      <c r="G109" s="25">
        <f>Q89-Q90</f>
        <v>-5580.8630069257233</v>
      </c>
      <c r="H109" s="25">
        <v>516.37884397649009</v>
      </c>
      <c r="I109" s="25">
        <v>516.37884397649009</v>
      </c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</row>
    <row r="117" spans="1:20" ht="15" customHeight="1" x14ac:dyDescent="0.25">
      <c r="A117" s="91" t="s">
        <v>111</v>
      </c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3"/>
    </row>
    <row r="118" spans="1:20" ht="15" customHeight="1" x14ac:dyDescent="0.25">
      <c r="A118" s="94"/>
      <c r="B118" s="95"/>
      <c r="C118" s="95"/>
      <c r="D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6"/>
    </row>
    <row r="119" spans="1:20" x14ac:dyDescent="0.25">
      <c r="B119" s="85" t="s">
        <v>101</v>
      </c>
      <c r="C119" s="85"/>
      <c r="D119" s="85"/>
    </row>
    <row r="120" spans="1:20" x14ac:dyDescent="0.25">
      <c r="A120" s="22"/>
      <c r="B120" s="23" t="s">
        <v>67</v>
      </c>
      <c r="C120" s="23" t="s">
        <v>68</v>
      </c>
      <c r="D120" s="23" t="s">
        <v>69</v>
      </c>
      <c r="E120" s="22"/>
      <c r="F120" s="32"/>
      <c r="G120" s="32"/>
      <c r="H120" s="32"/>
      <c r="I120" s="32"/>
      <c r="J120" s="32"/>
      <c r="K120" s="32"/>
      <c r="L120" s="32"/>
      <c r="M120" s="22"/>
      <c r="N120" s="24"/>
      <c r="O120" s="24"/>
      <c r="P120" s="24"/>
      <c r="Q120" s="24"/>
      <c r="R120" s="24"/>
      <c r="S120" s="24"/>
      <c r="T120" s="24"/>
    </row>
    <row r="121" spans="1:20" x14ac:dyDescent="0.25">
      <c r="A121" s="31" t="s">
        <v>142</v>
      </c>
      <c r="B121" s="25">
        <v>38245.270711024146</v>
      </c>
      <c r="C121" s="25">
        <v>24331.244196843083</v>
      </c>
      <c r="D121" s="25">
        <v>44015.464541015659</v>
      </c>
      <c r="E121" s="22"/>
      <c r="F121" s="2" t="s">
        <v>70</v>
      </c>
      <c r="G121" s="2"/>
      <c r="H121" s="2"/>
      <c r="I121" s="2"/>
      <c r="J121" s="2"/>
      <c r="K121" s="2"/>
      <c r="L121" s="2"/>
      <c r="M121" s="22"/>
      <c r="N121" s="42" t="s">
        <v>70</v>
      </c>
      <c r="O121" s="42"/>
      <c r="P121" s="42"/>
      <c r="Q121" s="42"/>
      <c r="R121" s="42"/>
      <c r="S121" s="42"/>
      <c r="T121" s="42"/>
    </row>
    <row r="122" spans="1:20" x14ac:dyDescent="0.25">
      <c r="A122" s="31" t="s">
        <v>143</v>
      </c>
      <c r="B122" s="25">
        <v>38307.049180327871</v>
      </c>
      <c r="C122" s="25">
        <v>23836.999999999996</v>
      </c>
      <c r="D122" s="25">
        <v>42805.353724431465</v>
      </c>
      <c r="E122" s="22"/>
      <c r="F122" s="2"/>
      <c r="G122" s="2"/>
      <c r="H122" s="2"/>
      <c r="I122" s="2"/>
      <c r="J122" s="2"/>
      <c r="K122" s="2"/>
      <c r="L122" s="2"/>
      <c r="M122" s="22"/>
      <c r="N122" s="42"/>
      <c r="O122" s="42"/>
      <c r="P122" s="42"/>
      <c r="Q122" s="42"/>
      <c r="R122" s="42"/>
      <c r="S122" s="42"/>
      <c r="T122" s="42"/>
    </row>
    <row r="123" spans="1:20" ht="15.75" thickBot="1" x14ac:dyDescent="0.3">
      <c r="A123" s="31" t="s">
        <v>144</v>
      </c>
      <c r="B123" s="25">
        <v>40046.541693600513</v>
      </c>
      <c r="C123" s="25">
        <v>24663.735741444867</v>
      </c>
      <c r="D123" s="25">
        <v>43786.60756178727</v>
      </c>
      <c r="E123" s="22"/>
      <c r="F123" s="2" t="s">
        <v>71</v>
      </c>
      <c r="G123" s="2"/>
      <c r="H123" s="2"/>
      <c r="I123" s="2"/>
      <c r="J123" s="2"/>
      <c r="K123" s="2"/>
      <c r="L123" s="2"/>
      <c r="M123" s="22"/>
      <c r="N123" s="42" t="s">
        <v>71</v>
      </c>
      <c r="O123" s="42"/>
      <c r="P123" s="42"/>
      <c r="Q123" s="42"/>
      <c r="R123" s="42"/>
      <c r="S123" s="42"/>
      <c r="T123" s="42"/>
    </row>
    <row r="124" spans="1:20" x14ac:dyDescent="0.25">
      <c r="A124" s="31" t="s">
        <v>145</v>
      </c>
      <c r="B124" s="25">
        <v>39804.049640757672</v>
      </c>
      <c r="C124" s="25">
        <v>24262.054001928638</v>
      </c>
      <c r="D124" s="25">
        <v>42132.348884462735</v>
      </c>
      <c r="E124" s="22"/>
      <c r="F124" s="33" t="s">
        <v>72</v>
      </c>
      <c r="G124" s="33" t="s">
        <v>73</v>
      </c>
      <c r="H124" s="33" t="s">
        <v>74</v>
      </c>
      <c r="I124" s="33" t="s">
        <v>75</v>
      </c>
      <c r="J124" s="33" t="s">
        <v>76</v>
      </c>
      <c r="K124" s="2"/>
      <c r="L124" s="2"/>
      <c r="M124" s="22"/>
      <c r="N124" s="43" t="s">
        <v>72</v>
      </c>
      <c r="O124" s="43" t="s">
        <v>73</v>
      </c>
      <c r="P124" s="43" t="s">
        <v>74</v>
      </c>
      <c r="Q124" s="43" t="s">
        <v>75</v>
      </c>
      <c r="R124" s="43" t="s">
        <v>76</v>
      </c>
      <c r="S124" s="42"/>
      <c r="T124" s="42"/>
    </row>
    <row r="125" spans="1:20" x14ac:dyDescent="0.25">
      <c r="A125" s="31" t="s">
        <v>146</v>
      </c>
      <c r="B125" s="25">
        <v>40342.233009708732</v>
      </c>
      <c r="C125" s="25">
        <v>20198.55072463768</v>
      </c>
      <c r="D125" s="25">
        <v>44318.911915555633</v>
      </c>
      <c r="E125" s="22"/>
      <c r="F125" s="2" t="s">
        <v>77</v>
      </c>
      <c r="G125" s="2">
        <v>7</v>
      </c>
      <c r="H125" s="2">
        <v>5600.8165309752076</v>
      </c>
      <c r="I125" s="2">
        <v>800.11664728217249</v>
      </c>
      <c r="J125" s="2">
        <v>110014.23417787021</v>
      </c>
      <c r="K125" s="2"/>
      <c r="L125" s="2"/>
      <c r="M125" s="22"/>
      <c r="N125" s="42" t="s">
        <v>77</v>
      </c>
      <c r="O125" s="42">
        <v>7</v>
      </c>
      <c r="P125" s="42">
        <v>274249.47436207061</v>
      </c>
      <c r="Q125" s="42">
        <v>39178.496337438657</v>
      </c>
      <c r="R125" s="42">
        <v>856898.6583122788</v>
      </c>
      <c r="S125" s="42"/>
      <c r="T125" s="42"/>
    </row>
    <row r="126" spans="1:20" x14ac:dyDescent="0.25">
      <c r="A126" s="31" t="s">
        <v>147</v>
      </c>
      <c r="B126" s="25">
        <v>39321.569271175314</v>
      </c>
      <c r="C126" s="25">
        <v>25208.333333333332</v>
      </c>
      <c r="D126" s="25">
        <v>42225.193937236298</v>
      </c>
      <c r="E126" s="22"/>
      <c r="F126" s="2" t="s">
        <v>78</v>
      </c>
      <c r="G126" s="2">
        <v>7</v>
      </c>
      <c r="H126" s="2">
        <v>9635.3627262279006</v>
      </c>
      <c r="I126" s="2">
        <v>1376.4803894611287</v>
      </c>
      <c r="J126" s="2">
        <v>935355.45378133992</v>
      </c>
      <c r="K126" s="2"/>
      <c r="L126" s="2"/>
      <c r="M126" s="22"/>
      <c r="N126" s="42" t="s">
        <v>78</v>
      </c>
      <c r="O126" s="42">
        <v>7</v>
      </c>
      <c r="P126" s="42">
        <v>164478.56027461035</v>
      </c>
      <c r="Q126" s="42">
        <v>23496.937182087193</v>
      </c>
      <c r="R126" s="42">
        <v>3145836.7601142437</v>
      </c>
      <c r="S126" s="42"/>
      <c r="T126" s="42"/>
    </row>
    <row r="127" spans="1:20" ht="15.75" thickBot="1" x14ac:dyDescent="0.3">
      <c r="A127" s="31" t="s">
        <v>148</v>
      </c>
      <c r="B127" s="25">
        <v>38182.76085547635</v>
      </c>
      <c r="C127" s="25">
        <v>21977.642276422757</v>
      </c>
      <c r="D127" s="25">
        <v>42933.043777094186</v>
      </c>
      <c r="E127" s="22"/>
      <c r="F127" s="34" t="s">
        <v>79</v>
      </c>
      <c r="G127" s="34">
        <v>7</v>
      </c>
      <c r="H127" s="34">
        <v>5198.890029645765</v>
      </c>
      <c r="I127" s="34">
        <v>742.69857566368069</v>
      </c>
      <c r="J127" s="34">
        <v>118699.24611168083</v>
      </c>
      <c r="K127" s="2"/>
      <c r="L127" s="2"/>
      <c r="M127" s="22"/>
      <c r="N127" s="44" t="s">
        <v>79</v>
      </c>
      <c r="O127" s="44">
        <v>7</v>
      </c>
      <c r="P127" s="44">
        <v>302216.92434158322</v>
      </c>
      <c r="Q127" s="44">
        <v>43173.846334511887</v>
      </c>
      <c r="R127" s="44">
        <v>762233.94945335097</v>
      </c>
      <c r="S127" s="42"/>
      <c r="T127" s="42"/>
    </row>
    <row r="128" spans="1:20" x14ac:dyDescent="0.25">
      <c r="A128" s="22"/>
      <c r="B128" s="22"/>
      <c r="C128" s="22"/>
      <c r="D128" s="22"/>
      <c r="E128" s="22"/>
      <c r="F128" s="2"/>
      <c r="G128" s="2"/>
      <c r="H128" s="2"/>
      <c r="I128" s="2"/>
      <c r="J128" s="2"/>
      <c r="K128" s="2"/>
      <c r="L128" s="2"/>
      <c r="M128" s="22"/>
      <c r="N128" s="42"/>
      <c r="O128" s="42"/>
      <c r="P128" s="42"/>
      <c r="Q128" s="42"/>
      <c r="R128" s="42"/>
      <c r="S128" s="42"/>
      <c r="T128" s="42"/>
    </row>
    <row r="129" spans="1:20" x14ac:dyDescent="0.25">
      <c r="A129" s="29" t="s">
        <v>30</v>
      </c>
      <c r="B129" s="29">
        <f>AVERAGE(B121:B127)</f>
        <v>39178.496337438657</v>
      </c>
      <c r="C129" s="29">
        <f t="shared" ref="C129:D129" si="18">AVERAGE(C121:C127)</f>
        <v>23496.937182087193</v>
      </c>
      <c r="D129" s="29">
        <f t="shared" si="18"/>
        <v>43173.846334511887</v>
      </c>
      <c r="E129" s="22"/>
      <c r="F129" s="2"/>
      <c r="G129" s="2"/>
      <c r="H129" s="2"/>
      <c r="I129" s="2"/>
      <c r="J129" s="2"/>
      <c r="K129" s="2"/>
      <c r="L129" s="2"/>
      <c r="M129" s="22"/>
      <c r="N129" s="42"/>
      <c r="O129" s="42"/>
      <c r="P129" s="42"/>
      <c r="Q129" s="42"/>
      <c r="R129" s="42"/>
      <c r="S129" s="42"/>
      <c r="T129" s="42"/>
    </row>
    <row r="130" spans="1:20" ht="15.75" thickBot="1" x14ac:dyDescent="0.3">
      <c r="A130" s="29"/>
      <c r="B130" s="85" t="s">
        <v>101</v>
      </c>
      <c r="C130" s="85"/>
      <c r="D130" s="85"/>
      <c r="E130" s="22"/>
      <c r="F130" s="2" t="s">
        <v>80</v>
      </c>
      <c r="G130" s="2"/>
      <c r="H130" s="2"/>
      <c r="I130" s="2"/>
      <c r="J130" s="2"/>
      <c r="K130" s="2"/>
      <c r="L130" s="2"/>
      <c r="M130" s="22"/>
      <c r="N130" s="42" t="s">
        <v>80</v>
      </c>
      <c r="O130" s="42"/>
      <c r="P130" s="42"/>
      <c r="Q130" s="42"/>
      <c r="R130" s="42"/>
      <c r="S130" s="42"/>
      <c r="T130" s="42"/>
    </row>
    <row r="131" spans="1:20" x14ac:dyDescent="0.25">
      <c r="A131" s="22"/>
      <c r="B131" s="23" t="s">
        <v>67</v>
      </c>
      <c r="C131" s="23" t="s">
        <v>68</v>
      </c>
      <c r="D131" s="23" t="s">
        <v>69</v>
      </c>
      <c r="E131" s="22"/>
      <c r="F131" s="33" t="s">
        <v>81</v>
      </c>
      <c r="G131" s="33" t="s">
        <v>82</v>
      </c>
      <c r="H131" s="33" t="s">
        <v>83</v>
      </c>
      <c r="I131" s="33" t="s">
        <v>84</v>
      </c>
      <c r="J131" s="33" t="s">
        <v>85</v>
      </c>
      <c r="K131" s="33" t="s">
        <v>86</v>
      </c>
      <c r="L131" s="33" t="s">
        <v>87</v>
      </c>
      <c r="M131" s="22"/>
      <c r="N131" s="43" t="s">
        <v>81</v>
      </c>
      <c r="O131" s="43" t="s">
        <v>82</v>
      </c>
      <c r="P131" s="43" t="s">
        <v>83</v>
      </c>
      <c r="Q131" s="43" t="s">
        <v>84</v>
      </c>
      <c r="R131" s="43" t="s">
        <v>85</v>
      </c>
      <c r="S131" s="43" t="s">
        <v>86</v>
      </c>
      <c r="T131" s="43" t="s">
        <v>87</v>
      </c>
    </row>
    <row r="132" spans="1:20" x14ac:dyDescent="0.25">
      <c r="A132" s="31" t="s">
        <v>142</v>
      </c>
      <c r="B132" s="25">
        <f>ABS(B121-B$129)</f>
        <v>933.22562641451077</v>
      </c>
      <c r="C132" s="25">
        <f t="shared" ref="C132:D132" si="19">ABS(C121-C$129)</f>
        <v>834.30701475589012</v>
      </c>
      <c r="D132" s="25">
        <f t="shared" si="19"/>
        <v>841.61820650377194</v>
      </c>
      <c r="E132" s="22"/>
      <c r="F132" s="2" t="s">
        <v>88</v>
      </c>
      <c r="G132" s="2">
        <v>1720066.566743698</v>
      </c>
      <c r="H132" s="2">
        <v>2</v>
      </c>
      <c r="I132" s="2">
        <v>860033.28337184899</v>
      </c>
      <c r="J132" s="2">
        <v>2.2164493653246309</v>
      </c>
      <c r="K132" s="2">
        <v>0.137874510545825</v>
      </c>
      <c r="L132" s="2">
        <v>3.5545571456617879</v>
      </c>
      <c r="M132" s="22"/>
      <c r="N132" s="42" t="s">
        <v>88</v>
      </c>
      <c r="O132" s="42">
        <v>1514461370.1809089</v>
      </c>
      <c r="P132" s="42">
        <v>2</v>
      </c>
      <c r="Q132" s="42">
        <v>757230685.09045446</v>
      </c>
      <c r="R132" s="42">
        <v>476.74851187598102</v>
      </c>
      <c r="S132" s="42">
        <v>2.5732339693864386E-16</v>
      </c>
      <c r="T132" s="42">
        <v>3.5545571456617879</v>
      </c>
    </row>
    <row r="133" spans="1:20" x14ac:dyDescent="0.25">
      <c r="A133" s="31" t="s">
        <v>143</v>
      </c>
      <c r="B133" s="25">
        <f t="shared" ref="B133:D133" si="20">ABS(B122-B$129)</f>
        <v>871.44715711078607</v>
      </c>
      <c r="C133" s="25">
        <f t="shared" si="20"/>
        <v>340.06281791280344</v>
      </c>
      <c r="D133" s="25">
        <f t="shared" si="20"/>
        <v>368.49261008042231</v>
      </c>
      <c r="E133" s="22"/>
      <c r="F133" s="2" t="s">
        <v>89</v>
      </c>
      <c r="G133" s="2">
        <v>6984413.6044253483</v>
      </c>
      <c r="H133" s="2">
        <v>18</v>
      </c>
      <c r="I133" s="2">
        <v>388022.97802363045</v>
      </c>
      <c r="J133" s="2"/>
      <c r="K133" s="2"/>
      <c r="L133" s="2"/>
      <c r="M133" s="22"/>
      <c r="N133" s="42" t="s">
        <v>89</v>
      </c>
      <c r="O133" s="42">
        <v>28589816.207279239</v>
      </c>
      <c r="P133" s="42">
        <v>18</v>
      </c>
      <c r="Q133" s="42">
        <v>1588323.1226266243</v>
      </c>
      <c r="R133" s="42"/>
      <c r="S133" s="42"/>
      <c r="T133" s="42"/>
    </row>
    <row r="134" spans="1:20" x14ac:dyDescent="0.25">
      <c r="A134" s="31" t="s">
        <v>144</v>
      </c>
      <c r="B134" s="25">
        <f t="shared" ref="B134:D134" si="21">ABS(B123-B$129)</f>
        <v>868.04535616185603</v>
      </c>
      <c r="C134" s="25">
        <f t="shared" si="21"/>
        <v>1166.7985593576741</v>
      </c>
      <c r="D134" s="25">
        <f t="shared" si="21"/>
        <v>612.76122727538313</v>
      </c>
      <c r="E134" s="22"/>
      <c r="F134" s="2"/>
      <c r="G134" s="2"/>
      <c r="H134" s="2"/>
      <c r="I134" s="2"/>
      <c r="J134" s="2"/>
      <c r="K134" s="2"/>
      <c r="L134" s="2"/>
      <c r="M134" s="22"/>
      <c r="N134" s="42"/>
      <c r="O134" s="42"/>
      <c r="P134" s="42"/>
      <c r="Q134" s="42"/>
      <c r="R134" s="42"/>
      <c r="S134" s="42"/>
      <c r="T134" s="42"/>
    </row>
    <row r="135" spans="1:20" ht="15.75" thickBot="1" x14ac:dyDescent="0.3">
      <c r="A135" s="31" t="s">
        <v>145</v>
      </c>
      <c r="B135" s="25">
        <f t="shared" ref="B135:D135" si="22">ABS(B124-B$129)</f>
        <v>625.55330331901496</v>
      </c>
      <c r="C135" s="25">
        <f t="shared" si="22"/>
        <v>765.11681984144525</v>
      </c>
      <c r="D135" s="25">
        <f t="shared" si="22"/>
        <v>1041.4974500491517</v>
      </c>
      <c r="E135" s="22"/>
      <c r="F135" s="34" t="s">
        <v>90</v>
      </c>
      <c r="G135" s="34">
        <v>8704480.1711690463</v>
      </c>
      <c r="H135" s="34">
        <v>20</v>
      </c>
      <c r="I135" s="34"/>
      <c r="J135" s="34"/>
      <c r="K135" s="34"/>
      <c r="L135" s="34"/>
      <c r="M135" s="22"/>
      <c r="N135" s="44" t="s">
        <v>90</v>
      </c>
      <c r="O135" s="44">
        <v>1543051186.3881881</v>
      </c>
      <c r="P135" s="44">
        <v>20</v>
      </c>
      <c r="Q135" s="44"/>
      <c r="R135" s="44"/>
      <c r="S135" s="44"/>
      <c r="T135" s="44"/>
    </row>
    <row r="136" spans="1:20" x14ac:dyDescent="0.25">
      <c r="A136" s="31" t="s">
        <v>146</v>
      </c>
      <c r="B136" s="25">
        <f t="shared" ref="B136:D136" si="23">ABS(B125-B$129)</f>
        <v>1163.7366722700754</v>
      </c>
      <c r="C136" s="25">
        <f t="shared" si="23"/>
        <v>3298.3864574495128</v>
      </c>
      <c r="D136" s="25">
        <f t="shared" si="23"/>
        <v>1145.0655810437456</v>
      </c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</row>
    <row r="137" spans="1:20" x14ac:dyDescent="0.25">
      <c r="A137" s="31" t="s">
        <v>147</v>
      </c>
      <c r="B137" s="25">
        <f t="shared" ref="B137:D137" si="24">ABS(B126-B$129)</f>
        <v>143.07293373665743</v>
      </c>
      <c r="C137" s="25">
        <f t="shared" si="24"/>
        <v>1711.3961512461392</v>
      </c>
      <c r="D137" s="25">
        <f t="shared" si="24"/>
        <v>948.65239727558946</v>
      </c>
      <c r="E137" s="22"/>
      <c r="F137" s="97" t="s">
        <v>91</v>
      </c>
      <c r="G137" s="98">
        <f>3.61*SQRT(Q133/7)</f>
        <v>1719.600691455616</v>
      </c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</row>
    <row r="138" spans="1:20" x14ac:dyDescent="0.25">
      <c r="A138" s="31" t="s">
        <v>148</v>
      </c>
      <c r="B138" s="25">
        <f t="shared" ref="B138:D138" si="25">ABS(B127-B$129)</f>
        <v>995.73548196230695</v>
      </c>
      <c r="C138" s="25">
        <f t="shared" si="25"/>
        <v>1519.2949056644356</v>
      </c>
      <c r="D138" s="25">
        <f t="shared" si="25"/>
        <v>240.80255741770088</v>
      </c>
      <c r="E138" s="22"/>
      <c r="F138" s="98" t="s">
        <v>92</v>
      </c>
      <c r="G138" s="98" t="str">
        <f>IF(ABS(Q125-Q126)&gt;G137, "true", "false")</f>
        <v>true</v>
      </c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</row>
    <row r="139" spans="1:20" x14ac:dyDescent="0.25">
      <c r="A139" s="22"/>
      <c r="B139" s="22"/>
      <c r="C139" s="22"/>
      <c r="D139" s="22"/>
      <c r="E139" s="22"/>
      <c r="F139" s="98" t="s">
        <v>93</v>
      </c>
      <c r="G139" s="98" t="str">
        <f>IF(ABS(Q125-Q127)&gt;G137, "true", "false")</f>
        <v>true</v>
      </c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</row>
    <row r="140" spans="1:20" x14ac:dyDescent="0.25">
      <c r="A140" s="22"/>
      <c r="B140" s="22"/>
      <c r="C140" s="22"/>
      <c r="D140" s="22"/>
      <c r="E140" s="22"/>
      <c r="F140" s="98" t="s">
        <v>94</v>
      </c>
      <c r="G140" s="98" t="str">
        <f>IF(ABS(Q126-Q127)&gt;G137, "true", "false")</f>
        <v>true</v>
      </c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</row>
    <row r="141" spans="1:20" x14ac:dyDescent="0.25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</row>
    <row r="142" spans="1:20" x14ac:dyDescent="0.25">
      <c r="A142" s="22"/>
      <c r="B142" s="22"/>
      <c r="C142" s="22"/>
      <c r="D142" s="22"/>
      <c r="E142" s="22"/>
      <c r="F142" s="29" t="s">
        <v>9</v>
      </c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</row>
    <row r="143" spans="1:20" x14ac:dyDescent="0.25">
      <c r="A143" s="22"/>
      <c r="B143" s="22"/>
      <c r="C143" s="22"/>
      <c r="D143" s="22"/>
      <c r="E143" s="22"/>
      <c r="F143" s="25" t="s">
        <v>91</v>
      </c>
      <c r="G143" s="25">
        <f>3.61*SQRT(Q133/7)</f>
        <v>1719.600691455616</v>
      </c>
      <c r="H143" s="25" t="s">
        <v>95</v>
      </c>
      <c r="I143" s="25" t="s">
        <v>96</v>
      </c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</row>
    <row r="144" spans="1:20" x14ac:dyDescent="0.25">
      <c r="A144" s="22"/>
      <c r="B144" s="22"/>
      <c r="C144" s="22"/>
      <c r="D144" s="22"/>
      <c r="E144" s="22"/>
      <c r="F144" s="25" t="s">
        <v>97</v>
      </c>
      <c r="G144" s="25">
        <f>Q125-Q126</f>
        <v>15681.559155351464</v>
      </c>
      <c r="H144" s="25">
        <v>1719.600691455616</v>
      </c>
      <c r="I144" s="25">
        <v>1719.600691455616</v>
      </c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</row>
    <row r="145" spans="1:21" x14ac:dyDescent="0.25">
      <c r="A145" s="22"/>
      <c r="B145" s="22"/>
      <c r="C145" s="22"/>
      <c r="D145" s="22"/>
      <c r="E145" s="22"/>
      <c r="F145" s="25" t="s">
        <v>98</v>
      </c>
      <c r="G145" s="25">
        <f>Q125-Q127</f>
        <v>-3995.34999707323</v>
      </c>
      <c r="H145" s="25">
        <v>1719.600691455616</v>
      </c>
      <c r="I145" s="25">
        <v>1719.600691455616</v>
      </c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</row>
    <row r="146" spans="1:21" x14ac:dyDescent="0.25">
      <c r="A146" s="22"/>
      <c r="B146" s="22"/>
      <c r="C146" s="22"/>
      <c r="D146" s="22"/>
      <c r="E146" s="22"/>
      <c r="F146" s="25" t="s">
        <v>99</v>
      </c>
      <c r="G146" s="25">
        <f>Q126-Q127</f>
        <v>-19676.909152424694</v>
      </c>
      <c r="H146" s="25">
        <v>1719.600691455616</v>
      </c>
      <c r="I146" s="25">
        <v>1719.600691455616</v>
      </c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</row>
    <row r="147" spans="1:21" x14ac:dyDescent="0.25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</row>
    <row r="156" spans="1:21" ht="15" customHeight="1" x14ac:dyDescent="0.25">
      <c r="A156" s="91" t="s">
        <v>112</v>
      </c>
      <c r="B156" s="92"/>
      <c r="C156" s="92"/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3"/>
    </row>
    <row r="157" spans="1:21" ht="15" customHeight="1" x14ac:dyDescent="0.25">
      <c r="A157" s="94"/>
      <c r="B157" s="95"/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6"/>
    </row>
    <row r="158" spans="1:21" x14ac:dyDescent="0.25">
      <c r="B158" s="85" t="s">
        <v>101</v>
      </c>
      <c r="C158" s="85"/>
      <c r="D158" s="85"/>
    </row>
    <row r="159" spans="1:21" x14ac:dyDescent="0.25">
      <c r="A159" s="22"/>
      <c r="B159" s="23" t="s">
        <v>67</v>
      </c>
      <c r="C159" s="23" t="s">
        <v>68</v>
      </c>
      <c r="D159" s="23" t="s">
        <v>69</v>
      </c>
      <c r="E159" s="22"/>
      <c r="F159" s="32"/>
      <c r="G159" s="32"/>
      <c r="H159" s="32"/>
      <c r="I159" s="32"/>
      <c r="J159" s="32"/>
      <c r="K159" s="32"/>
      <c r="L159" s="32"/>
      <c r="M159" s="22"/>
      <c r="N159" s="24"/>
      <c r="O159" s="24"/>
      <c r="P159" s="24"/>
      <c r="Q159" s="24"/>
      <c r="R159" s="24"/>
      <c r="S159" s="24"/>
      <c r="T159" s="24"/>
      <c r="U159" s="22"/>
    </row>
    <row r="160" spans="1:21" x14ac:dyDescent="0.25">
      <c r="A160" s="31" t="s">
        <v>142</v>
      </c>
      <c r="B160" s="25">
        <v>6674.9836921069809</v>
      </c>
      <c r="C160" s="25">
        <v>4261.6063138347263</v>
      </c>
      <c r="D160" s="25">
        <v>7614.4896463360419</v>
      </c>
      <c r="E160" s="22"/>
      <c r="F160" s="2" t="s">
        <v>70</v>
      </c>
      <c r="G160" s="2"/>
      <c r="H160" s="2"/>
      <c r="I160" s="2"/>
      <c r="J160" s="2"/>
      <c r="K160" s="2"/>
      <c r="L160" s="2"/>
      <c r="M160" s="22"/>
      <c r="N160" s="42" t="s">
        <v>70</v>
      </c>
      <c r="O160" s="42"/>
      <c r="P160" s="42"/>
      <c r="Q160" s="42"/>
      <c r="R160" s="42"/>
      <c r="S160" s="42"/>
      <c r="T160" s="42"/>
      <c r="U160" s="22"/>
    </row>
    <row r="161" spans="1:21" x14ac:dyDescent="0.25">
      <c r="A161" s="31" t="s">
        <v>143</v>
      </c>
      <c r="B161" s="25">
        <v>6596.3934426229507</v>
      </c>
      <c r="C161" s="25">
        <v>4254.25</v>
      </c>
      <c r="D161" s="25">
        <v>7376.3690429291428</v>
      </c>
      <c r="E161" s="22"/>
      <c r="F161" s="2"/>
      <c r="G161" s="2"/>
      <c r="H161" s="2"/>
      <c r="I161" s="2"/>
      <c r="J161" s="2"/>
      <c r="K161" s="2"/>
      <c r="L161" s="2"/>
      <c r="M161" s="22"/>
      <c r="N161" s="42"/>
      <c r="O161" s="42"/>
      <c r="P161" s="42"/>
      <c r="Q161" s="42"/>
      <c r="R161" s="42"/>
      <c r="S161" s="42"/>
      <c r="T161" s="42"/>
      <c r="U161" s="22"/>
    </row>
    <row r="162" spans="1:21" ht="15.75" thickBot="1" x14ac:dyDescent="0.3">
      <c r="A162" s="31" t="s">
        <v>144</v>
      </c>
      <c r="B162" s="25">
        <v>6927.4402068519703</v>
      </c>
      <c r="C162" s="25">
        <v>4349.8098859315587</v>
      </c>
      <c r="D162" s="25">
        <v>7600.7685774346537</v>
      </c>
      <c r="E162" s="22"/>
      <c r="F162" s="2" t="s">
        <v>71</v>
      </c>
      <c r="G162" s="2"/>
      <c r="H162" s="2"/>
      <c r="I162" s="2"/>
      <c r="J162" s="2"/>
      <c r="K162" s="2"/>
      <c r="L162" s="2"/>
      <c r="M162" s="22"/>
      <c r="N162" s="42" t="s">
        <v>71</v>
      </c>
      <c r="O162" s="42"/>
      <c r="P162" s="42"/>
      <c r="Q162" s="42"/>
      <c r="R162" s="42"/>
      <c r="S162" s="42"/>
      <c r="T162" s="42"/>
      <c r="U162" s="22"/>
    </row>
    <row r="163" spans="1:21" x14ac:dyDescent="0.25">
      <c r="A163" s="31" t="s">
        <v>145</v>
      </c>
      <c r="B163" s="25">
        <v>6827.4003919007182</v>
      </c>
      <c r="C163" s="25">
        <v>4304.0019286403085</v>
      </c>
      <c r="D163" s="25">
        <v>7324.6938355522552</v>
      </c>
      <c r="E163" s="22"/>
      <c r="F163" s="33" t="s">
        <v>72</v>
      </c>
      <c r="G163" s="33" t="s">
        <v>73</v>
      </c>
      <c r="H163" s="33" t="s">
        <v>74</v>
      </c>
      <c r="I163" s="33" t="s">
        <v>75</v>
      </c>
      <c r="J163" s="33" t="s">
        <v>76</v>
      </c>
      <c r="K163" s="2"/>
      <c r="L163" s="2"/>
      <c r="M163" s="22"/>
      <c r="N163" s="43" t="s">
        <v>72</v>
      </c>
      <c r="O163" s="43" t="s">
        <v>73</v>
      </c>
      <c r="P163" s="43" t="s">
        <v>74</v>
      </c>
      <c r="Q163" s="43" t="s">
        <v>75</v>
      </c>
      <c r="R163" s="43" t="s">
        <v>76</v>
      </c>
      <c r="S163" s="42"/>
      <c r="T163" s="42"/>
      <c r="U163" s="22"/>
    </row>
    <row r="164" spans="1:21" x14ac:dyDescent="0.25">
      <c r="A164" s="31" t="s">
        <v>146</v>
      </c>
      <c r="B164" s="25">
        <v>6916.8284789644013</v>
      </c>
      <c r="C164" s="25">
        <v>3544.4444444444443</v>
      </c>
      <c r="D164" s="25">
        <v>7725.3149210601559</v>
      </c>
      <c r="E164" s="22"/>
      <c r="F164" s="2" t="s">
        <v>77</v>
      </c>
      <c r="G164" s="2">
        <v>7</v>
      </c>
      <c r="H164" s="2">
        <v>792.07552606276295</v>
      </c>
      <c r="I164" s="2">
        <v>113.15364658039471</v>
      </c>
      <c r="J164" s="2">
        <v>2279.026882002654</v>
      </c>
      <c r="K164" s="2"/>
      <c r="L164" s="2"/>
      <c r="M164" s="22"/>
      <c r="N164" s="42" t="s">
        <v>77</v>
      </c>
      <c r="O164" s="42">
        <v>7</v>
      </c>
      <c r="P164" s="42">
        <v>47451.987105361841</v>
      </c>
      <c r="Q164" s="42">
        <v>6778.8553007659775</v>
      </c>
      <c r="R164" s="42">
        <v>17216.732572183671</v>
      </c>
      <c r="S164" s="42"/>
      <c r="T164" s="42"/>
      <c r="U164" s="22"/>
    </row>
    <row r="165" spans="1:21" x14ac:dyDescent="0.25">
      <c r="A165" s="31" t="s">
        <v>147</v>
      </c>
      <c r="B165" s="25">
        <v>6839.7898883782009</v>
      </c>
      <c r="C165" s="25">
        <v>4476.9345238095239</v>
      </c>
      <c r="D165" s="25">
        <v>7314.7891896784986</v>
      </c>
      <c r="E165" s="22"/>
      <c r="F165" s="2" t="s">
        <v>78</v>
      </c>
      <c r="G165" s="2">
        <v>7</v>
      </c>
      <c r="H165" s="2">
        <v>1734.3084970980749</v>
      </c>
      <c r="I165" s="2">
        <v>247.75835672829641</v>
      </c>
      <c r="J165" s="2">
        <v>32170.964463490131</v>
      </c>
      <c r="K165" s="2"/>
      <c r="L165" s="2"/>
      <c r="M165" s="22"/>
      <c r="N165" s="42" t="s">
        <v>78</v>
      </c>
      <c r="O165" s="42">
        <v>7</v>
      </c>
      <c r="P165" s="42">
        <v>29091.22776513391</v>
      </c>
      <c r="Q165" s="42">
        <v>4155.8896807334158</v>
      </c>
      <c r="R165" s="42">
        <v>103785.86834698021</v>
      </c>
      <c r="S165" s="42"/>
      <c r="T165" s="42"/>
      <c r="U165" s="22"/>
    </row>
    <row r="166" spans="1:21" ht="15.75" thickBot="1" x14ac:dyDescent="0.3">
      <c r="A166" s="31" t="s">
        <v>148</v>
      </c>
      <c r="B166" s="25">
        <v>6669.1510045366185</v>
      </c>
      <c r="C166" s="25">
        <v>3900.1806684733506</v>
      </c>
      <c r="D166" s="25">
        <v>7426.0176163006154</v>
      </c>
      <c r="E166" s="22"/>
      <c r="F166" s="34" t="s">
        <v>79</v>
      </c>
      <c r="G166" s="34">
        <v>7</v>
      </c>
      <c r="H166" s="34">
        <v>981.90957884053478</v>
      </c>
      <c r="I166" s="34">
        <v>140.27279697721926</v>
      </c>
      <c r="J166" s="34">
        <v>3352.142827596826</v>
      </c>
      <c r="K166" s="2"/>
      <c r="L166" s="2"/>
      <c r="M166" s="22"/>
      <c r="N166" s="44" t="s">
        <v>79</v>
      </c>
      <c r="O166" s="44">
        <v>7</v>
      </c>
      <c r="P166" s="44">
        <v>52382.442829291365</v>
      </c>
      <c r="Q166" s="44">
        <v>7483.2061184701952</v>
      </c>
      <c r="R166" s="44">
        <v>26308.009994711025</v>
      </c>
      <c r="S166" s="42"/>
      <c r="T166" s="42"/>
      <c r="U166" s="22"/>
    </row>
    <row r="167" spans="1:21" x14ac:dyDescent="0.25">
      <c r="A167" s="22"/>
      <c r="B167" s="22"/>
      <c r="C167" s="22"/>
      <c r="D167" s="22"/>
      <c r="E167" s="22"/>
      <c r="F167" s="2"/>
      <c r="G167" s="2"/>
      <c r="H167" s="2"/>
      <c r="I167" s="2"/>
      <c r="J167" s="2"/>
      <c r="K167" s="2"/>
      <c r="L167" s="2"/>
      <c r="M167" s="22"/>
      <c r="N167" s="42"/>
      <c r="O167" s="42"/>
      <c r="P167" s="42"/>
      <c r="Q167" s="42"/>
      <c r="R167" s="42"/>
      <c r="S167" s="42"/>
      <c r="T167" s="42"/>
      <c r="U167" s="22"/>
    </row>
    <row r="168" spans="1:21" x14ac:dyDescent="0.25">
      <c r="A168" s="29" t="s">
        <v>30</v>
      </c>
      <c r="B168" s="29">
        <f>AVERAGE(B160:B166)</f>
        <v>6778.8553007659775</v>
      </c>
      <c r="C168" s="29">
        <f t="shared" ref="C168:D168" si="26">AVERAGE(C160:C166)</f>
        <v>4155.8896807334158</v>
      </c>
      <c r="D168" s="29">
        <f t="shared" si="26"/>
        <v>7483.2061184701952</v>
      </c>
      <c r="E168" s="22"/>
      <c r="F168" s="2"/>
      <c r="G168" s="2"/>
      <c r="H168" s="2"/>
      <c r="I168" s="2"/>
      <c r="J168" s="2"/>
      <c r="K168" s="2"/>
      <c r="L168" s="2"/>
      <c r="M168" s="22"/>
      <c r="N168" s="42"/>
      <c r="O168" s="42"/>
      <c r="P168" s="42"/>
      <c r="Q168" s="42"/>
      <c r="R168" s="42"/>
      <c r="S168" s="42"/>
      <c r="T168" s="42"/>
      <c r="U168" s="22"/>
    </row>
    <row r="169" spans="1:21" ht="15.75" thickBot="1" x14ac:dyDescent="0.3">
      <c r="A169" s="29"/>
      <c r="B169" s="85" t="s">
        <v>101</v>
      </c>
      <c r="C169" s="85"/>
      <c r="D169" s="85"/>
      <c r="E169" s="22"/>
      <c r="F169" s="2" t="s">
        <v>80</v>
      </c>
      <c r="G169" s="2"/>
      <c r="H169" s="2"/>
      <c r="I169" s="2"/>
      <c r="J169" s="2"/>
      <c r="K169" s="2"/>
      <c r="L169" s="2"/>
      <c r="M169" s="22"/>
      <c r="N169" s="42" t="s">
        <v>80</v>
      </c>
      <c r="O169" s="42"/>
      <c r="P169" s="42"/>
      <c r="Q169" s="42"/>
      <c r="R169" s="42"/>
      <c r="S169" s="42"/>
      <c r="T169" s="42"/>
      <c r="U169" s="22"/>
    </row>
    <row r="170" spans="1:21" x14ac:dyDescent="0.25">
      <c r="A170" s="22"/>
      <c r="B170" s="23" t="s">
        <v>67</v>
      </c>
      <c r="C170" s="23" t="s">
        <v>68</v>
      </c>
      <c r="D170" s="23" t="s">
        <v>69</v>
      </c>
      <c r="E170" s="22"/>
      <c r="F170" s="33" t="s">
        <v>81</v>
      </c>
      <c r="G170" s="33" t="s">
        <v>82</v>
      </c>
      <c r="H170" s="33" t="s">
        <v>83</v>
      </c>
      <c r="I170" s="33" t="s">
        <v>84</v>
      </c>
      <c r="J170" s="33" t="s">
        <v>85</v>
      </c>
      <c r="K170" s="33" t="s">
        <v>86</v>
      </c>
      <c r="L170" s="33" t="s">
        <v>87</v>
      </c>
      <c r="M170" s="22"/>
      <c r="N170" s="43" t="s">
        <v>81</v>
      </c>
      <c r="O170" s="43" t="s">
        <v>82</v>
      </c>
      <c r="P170" s="43" t="s">
        <v>83</v>
      </c>
      <c r="Q170" s="43" t="s">
        <v>84</v>
      </c>
      <c r="R170" s="43" t="s">
        <v>85</v>
      </c>
      <c r="S170" s="43" t="s">
        <v>86</v>
      </c>
      <c r="T170" s="43" t="s">
        <v>87</v>
      </c>
      <c r="U170" s="22"/>
    </row>
    <row r="171" spans="1:21" x14ac:dyDescent="0.25">
      <c r="A171" s="31" t="s">
        <v>142</v>
      </c>
      <c r="B171" s="25">
        <f>ABS(B160-B$168)</f>
        <v>103.87160865899659</v>
      </c>
      <c r="C171" s="25">
        <f t="shared" ref="C171:D171" si="27">ABS(C160-C$168)</f>
        <v>105.71663310131044</v>
      </c>
      <c r="D171" s="25">
        <f t="shared" si="27"/>
        <v>131.28352786584674</v>
      </c>
      <c r="E171" s="22"/>
      <c r="F171" s="2" t="s">
        <v>88</v>
      </c>
      <c r="G171" s="2">
        <v>70949.717690246733</v>
      </c>
      <c r="H171" s="2">
        <v>2</v>
      </c>
      <c r="I171" s="2">
        <v>35474.858845123366</v>
      </c>
      <c r="J171" s="2">
        <v>2.815306036639885</v>
      </c>
      <c r="K171" s="2">
        <v>8.6333194147761985E-2</v>
      </c>
      <c r="L171" s="2">
        <v>3.5545571456617879</v>
      </c>
      <c r="M171" s="22"/>
      <c r="N171" s="42" t="s">
        <v>88</v>
      </c>
      <c r="O171" s="42">
        <v>43043217.921915792</v>
      </c>
      <c r="P171" s="42">
        <v>2</v>
      </c>
      <c r="Q171" s="42">
        <v>21521608.960957896</v>
      </c>
      <c r="R171" s="42">
        <v>438.29040204457158</v>
      </c>
      <c r="S171" s="42">
        <v>5.4060041194526618E-16</v>
      </c>
      <c r="T171" s="42">
        <v>3.5545571456617879</v>
      </c>
      <c r="U171" s="22"/>
    </row>
    <row r="172" spans="1:21" x14ac:dyDescent="0.25">
      <c r="A172" s="31" t="s">
        <v>143</v>
      </c>
      <c r="B172" s="25">
        <f t="shared" ref="B172:D172" si="28">ABS(B161-B$168)</f>
        <v>182.4618581430268</v>
      </c>
      <c r="C172" s="25">
        <f t="shared" si="28"/>
        <v>98.360319266584156</v>
      </c>
      <c r="D172" s="25">
        <f t="shared" si="28"/>
        <v>106.8370755410524</v>
      </c>
      <c r="E172" s="22"/>
      <c r="F172" s="2" t="s">
        <v>89</v>
      </c>
      <c r="G172" s="2">
        <v>226812.80503853774</v>
      </c>
      <c r="H172" s="2">
        <v>18</v>
      </c>
      <c r="I172" s="2">
        <v>12600.711391029874</v>
      </c>
      <c r="J172" s="2"/>
      <c r="K172" s="2"/>
      <c r="L172" s="2"/>
      <c r="M172" s="22"/>
      <c r="N172" s="42" t="s">
        <v>89</v>
      </c>
      <c r="O172" s="42">
        <v>883863.66548324947</v>
      </c>
      <c r="P172" s="42">
        <v>18</v>
      </c>
      <c r="Q172" s="42">
        <v>49103.536971291636</v>
      </c>
      <c r="R172" s="42"/>
      <c r="S172" s="42"/>
      <c r="T172" s="42"/>
      <c r="U172" s="22"/>
    </row>
    <row r="173" spans="1:21" x14ac:dyDescent="0.25">
      <c r="A173" s="31" t="s">
        <v>144</v>
      </c>
      <c r="B173" s="25">
        <f t="shared" ref="B173:D173" si="29">ABS(B162-B$168)</f>
        <v>148.58490608599277</v>
      </c>
      <c r="C173" s="25">
        <f t="shared" si="29"/>
        <v>193.92020519814287</v>
      </c>
      <c r="D173" s="25">
        <f t="shared" si="29"/>
        <v>117.56245896445853</v>
      </c>
      <c r="E173" s="22"/>
      <c r="F173" s="2"/>
      <c r="G173" s="2"/>
      <c r="H173" s="2"/>
      <c r="I173" s="2"/>
      <c r="J173" s="2"/>
      <c r="K173" s="2"/>
      <c r="L173" s="2"/>
      <c r="M173" s="22"/>
      <c r="N173" s="42"/>
      <c r="O173" s="42"/>
      <c r="P173" s="42"/>
      <c r="Q173" s="42"/>
      <c r="R173" s="42"/>
      <c r="S173" s="42"/>
      <c r="T173" s="42"/>
      <c r="U173" s="22"/>
    </row>
    <row r="174" spans="1:21" ht="15.75" thickBot="1" x14ac:dyDescent="0.3">
      <c r="A174" s="31" t="s">
        <v>145</v>
      </c>
      <c r="B174" s="25">
        <f t="shared" ref="B174:D174" si="30">ABS(B163-B$168)</f>
        <v>48.545091134740687</v>
      </c>
      <c r="C174" s="25">
        <f t="shared" si="30"/>
        <v>148.11224790689266</v>
      </c>
      <c r="D174" s="25">
        <f t="shared" si="30"/>
        <v>158.51228291793996</v>
      </c>
      <c r="E174" s="22"/>
      <c r="F174" s="34" t="s">
        <v>90</v>
      </c>
      <c r="G174" s="34">
        <v>297762.52272878448</v>
      </c>
      <c r="H174" s="34">
        <v>20</v>
      </c>
      <c r="I174" s="34"/>
      <c r="J174" s="34"/>
      <c r="K174" s="34"/>
      <c r="L174" s="34"/>
      <c r="M174" s="22"/>
      <c r="N174" s="44" t="s">
        <v>90</v>
      </c>
      <c r="O174" s="44">
        <v>43927081.587399043</v>
      </c>
      <c r="P174" s="44">
        <v>20</v>
      </c>
      <c r="Q174" s="44"/>
      <c r="R174" s="44"/>
      <c r="S174" s="44"/>
      <c r="T174" s="44"/>
      <c r="U174" s="22"/>
    </row>
    <row r="175" spans="1:21" x14ac:dyDescent="0.25">
      <c r="A175" s="31" t="s">
        <v>146</v>
      </c>
      <c r="B175" s="25">
        <f t="shared" ref="B175:D175" si="31">ABS(B164-B$168)</f>
        <v>137.97317819842374</v>
      </c>
      <c r="C175" s="25">
        <f t="shared" si="31"/>
        <v>611.4452362889715</v>
      </c>
      <c r="D175" s="25">
        <f t="shared" si="31"/>
        <v>242.10880258996076</v>
      </c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</row>
    <row r="176" spans="1:21" x14ac:dyDescent="0.25">
      <c r="A176" s="31" t="s">
        <v>147</v>
      </c>
      <c r="B176" s="25">
        <f t="shared" ref="B176:D176" si="32">ABS(B165-B$168)</f>
        <v>60.934587612223368</v>
      </c>
      <c r="C176" s="25">
        <f t="shared" si="32"/>
        <v>321.04484307610801</v>
      </c>
      <c r="D176" s="25">
        <f t="shared" si="32"/>
        <v>168.41692879169659</v>
      </c>
      <c r="E176" s="22"/>
      <c r="F176" s="97" t="s">
        <v>91</v>
      </c>
      <c r="G176" s="98">
        <f>3.61*SQRT(Q172/7)</f>
        <v>302.35320030992364</v>
      </c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</row>
    <row r="177" spans="1:21" x14ac:dyDescent="0.25">
      <c r="A177" s="31" t="s">
        <v>148</v>
      </c>
      <c r="B177" s="25">
        <f t="shared" ref="B177:D177" si="33">ABS(B166-B$168)</f>
        <v>109.70429622935899</v>
      </c>
      <c r="C177" s="25">
        <f t="shared" si="33"/>
        <v>255.70901226006526</v>
      </c>
      <c r="D177" s="25">
        <f t="shared" si="33"/>
        <v>57.188502169579806</v>
      </c>
      <c r="E177" s="22"/>
      <c r="F177" s="98" t="s">
        <v>92</v>
      </c>
      <c r="G177" s="98" t="str">
        <f>IF(ABS(Q164-Q165)&gt;G176, "true", "false")</f>
        <v>true</v>
      </c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</row>
    <row r="178" spans="1:21" x14ac:dyDescent="0.25">
      <c r="A178" s="22"/>
      <c r="B178" s="22"/>
      <c r="C178" s="22"/>
      <c r="D178" s="22"/>
      <c r="E178" s="22"/>
      <c r="F178" s="98" t="s">
        <v>93</v>
      </c>
      <c r="G178" s="98" t="str">
        <f>IF(ABS(Q164-Q166)&gt;G176, "true", "false")</f>
        <v>true</v>
      </c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</row>
    <row r="179" spans="1:21" x14ac:dyDescent="0.25">
      <c r="A179" s="22"/>
      <c r="B179" s="22"/>
      <c r="C179" s="22"/>
      <c r="D179" s="22"/>
      <c r="E179" s="22"/>
      <c r="F179" s="98" t="s">
        <v>94</v>
      </c>
      <c r="G179" s="98" t="str">
        <f>IF(ABS(Q165-Q166)&gt;G176, "true", "false")</f>
        <v>true</v>
      </c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</row>
    <row r="180" spans="1:21" x14ac:dyDescent="0.25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</row>
    <row r="181" spans="1:21" x14ac:dyDescent="0.25">
      <c r="A181" s="22"/>
      <c r="B181" s="22"/>
      <c r="C181" s="22"/>
      <c r="D181" s="22"/>
      <c r="E181" s="22"/>
      <c r="F181" s="29" t="s">
        <v>11</v>
      </c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</row>
    <row r="182" spans="1:21" x14ac:dyDescent="0.25">
      <c r="A182" s="22"/>
      <c r="B182" s="22"/>
      <c r="C182" s="22"/>
      <c r="D182" s="22"/>
      <c r="E182" s="22"/>
      <c r="F182" s="25" t="s">
        <v>91</v>
      </c>
      <c r="G182" s="25">
        <f>3.61*SQRT(Q172/7)</f>
        <v>302.35320030992364</v>
      </c>
      <c r="H182" s="25" t="s">
        <v>95</v>
      </c>
      <c r="I182" s="25" t="s">
        <v>96</v>
      </c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</row>
    <row r="183" spans="1:21" x14ac:dyDescent="0.25">
      <c r="A183" s="22"/>
      <c r="B183" s="22"/>
      <c r="C183" s="22"/>
      <c r="D183" s="22"/>
      <c r="E183" s="22"/>
      <c r="F183" s="25" t="s">
        <v>97</v>
      </c>
      <c r="G183" s="25">
        <f>Q164-Q165</f>
        <v>2622.9656200325617</v>
      </c>
      <c r="H183" s="25">
        <v>302.35320030992364</v>
      </c>
      <c r="I183" s="25">
        <v>302.35320030992364</v>
      </c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</row>
    <row r="184" spans="1:21" x14ac:dyDescent="0.25">
      <c r="A184" s="22"/>
      <c r="B184" s="22"/>
      <c r="C184" s="22"/>
      <c r="D184" s="22"/>
      <c r="E184" s="22"/>
      <c r="F184" s="25" t="s">
        <v>98</v>
      </c>
      <c r="G184" s="25">
        <f>Q164-Q166</f>
        <v>-704.35081770421766</v>
      </c>
      <c r="H184" s="25">
        <v>302.35320030992364</v>
      </c>
      <c r="I184" s="25">
        <v>302.35320030992364</v>
      </c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</row>
    <row r="185" spans="1:21" x14ac:dyDescent="0.25">
      <c r="A185" s="22"/>
      <c r="B185" s="22"/>
      <c r="C185" s="22"/>
      <c r="D185" s="22"/>
      <c r="E185" s="22"/>
      <c r="F185" s="25" t="s">
        <v>99</v>
      </c>
      <c r="G185" s="25">
        <f>Q165-Q166</f>
        <v>-3327.3164377367793</v>
      </c>
      <c r="H185" s="25">
        <v>302.35320030992364</v>
      </c>
      <c r="I185" s="25">
        <v>302.35320030992364</v>
      </c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</row>
    <row r="186" spans="1:21" x14ac:dyDescent="0.25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</row>
    <row r="193" spans="1:20" ht="15" customHeight="1" x14ac:dyDescent="0.25">
      <c r="A193" s="91" t="s">
        <v>113</v>
      </c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3"/>
    </row>
    <row r="194" spans="1:20" ht="15" customHeight="1" x14ac:dyDescent="0.25">
      <c r="A194" s="94"/>
      <c r="B194" s="95"/>
      <c r="C194" s="95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6"/>
    </row>
    <row r="195" spans="1:20" x14ac:dyDescent="0.25">
      <c r="B195" s="85" t="s">
        <v>101</v>
      </c>
      <c r="C195" s="85"/>
      <c r="D195" s="85"/>
    </row>
    <row r="196" spans="1:20" x14ac:dyDescent="0.25">
      <c r="A196" s="22"/>
      <c r="B196" s="23" t="s">
        <v>67</v>
      </c>
      <c r="C196" s="23" t="s">
        <v>68</v>
      </c>
      <c r="D196" s="23" t="s">
        <v>69</v>
      </c>
      <c r="E196" s="22"/>
      <c r="F196" s="32"/>
      <c r="G196" s="32"/>
      <c r="H196" s="32"/>
      <c r="I196" s="32"/>
      <c r="J196" s="32"/>
      <c r="K196" s="32"/>
      <c r="L196" s="32"/>
      <c r="M196" s="22"/>
      <c r="N196" s="24"/>
      <c r="O196" s="24"/>
      <c r="P196" s="24"/>
      <c r="Q196" s="24"/>
      <c r="R196" s="24"/>
      <c r="S196" s="24"/>
      <c r="T196" s="24"/>
    </row>
    <row r="197" spans="1:20" x14ac:dyDescent="0.25">
      <c r="A197" s="31" t="s">
        <v>142</v>
      </c>
      <c r="B197" s="25">
        <v>263.69863013698631</v>
      </c>
      <c r="C197" s="25">
        <v>165.97028783658311</v>
      </c>
      <c r="D197" s="25">
        <v>308.42662766082401</v>
      </c>
      <c r="E197" s="22"/>
      <c r="F197" s="2" t="s">
        <v>70</v>
      </c>
      <c r="G197" s="2"/>
      <c r="H197" s="2"/>
      <c r="I197" s="2"/>
      <c r="J197" s="2"/>
      <c r="K197" s="2"/>
      <c r="L197" s="2"/>
      <c r="M197" s="22"/>
      <c r="N197" s="42" t="s">
        <v>70</v>
      </c>
      <c r="O197" s="42"/>
      <c r="P197" s="42"/>
      <c r="Q197" s="42"/>
      <c r="R197" s="42"/>
      <c r="S197" s="42"/>
      <c r="T197" s="42"/>
    </row>
    <row r="198" spans="1:20" x14ac:dyDescent="0.25">
      <c r="A198" s="31" t="s">
        <v>143</v>
      </c>
      <c r="B198" s="25">
        <v>266.88524590163934</v>
      </c>
      <c r="C198" s="25">
        <v>159.5</v>
      </c>
      <c r="D198" s="25">
        <v>296.17542548928731</v>
      </c>
      <c r="E198" s="22"/>
      <c r="F198" s="2"/>
      <c r="G198" s="2"/>
      <c r="H198" s="2"/>
      <c r="I198" s="2"/>
      <c r="J198" s="2"/>
      <c r="K198" s="2"/>
      <c r="L198" s="2"/>
      <c r="M198" s="22"/>
      <c r="N198" s="42"/>
      <c r="O198" s="42"/>
      <c r="P198" s="42"/>
      <c r="Q198" s="42"/>
      <c r="R198" s="42"/>
      <c r="S198" s="42"/>
      <c r="T198" s="42"/>
    </row>
    <row r="199" spans="1:20" ht="15.75" thickBot="1" x14ac:dyDescent="0.3">
      <c r="A199" s="31" t="s">
        <v>144</v>
      </c>
      <c r="B199" s="25">
        <v>273.75565610859724</v>
      </c>
      <c r="C199" s="25">
        <v>164.68631178707224</v>
      </c>
      <c r="D199" s="25">
        <v>305.74025852137663</v>
      </c>
      <c r="E199" s="22"/>
      <c r="F199" s="2" t="s">
        <v>71</v>
      </c>
      <c r="G199" s="2"/>
      <c r="H199" s="2"/>
      <c r="I199" s="2"/>
      <c r="J199" s="2"/>
      <c r="K199" s="2"/>
      <c r="L199" s="2"/>
      <c r="M199" s="22"/>
      <c r="N199" s="42" t="s">
        <v>71</v>
      </c>
      <c r="O199" s="42"/>
      <c r="P199" s="42"/>
      <c r="Q199" s="42"/>
      <c r="R199" s="42"/>
      <c r="S199" s="42"/>
      <c r="T199" s="42"/>
    </row>
    <row r="200" spans="1:20" x14ac:dyDescent="0.25">
      <c r="A200" s="31" t="s">
        <v>145</v>
      </c>
      <c r="B200" s="25">
        <v>271.22795558458523</v>
      </c>
      <c r="C200" s="25">
        <v>159.11282545805207</v>
      </c>
      <c r="D200" s="25">
        <v>290.12067848179953</v>
      </c>
      <c r="E200" s="22"/>
      <c r="F200" s="33" t="s">
        <v>72</v>
      </c>
      <c r="G200" s="33" t="s">
        <v>73</v>
      </c>
      <c r="H200" s="33" t="s">
        <v>74</v>
      </c>
      <c r="I200" s="33" t="s">
        <v>75</v>
      </c>
      <c r="J200" s="33" t="s">
        <v>76</v>
      </c>
      <c r="K200" s="2"/>
      <c r="L200" s="2"/>
      <c r="M200" s="22"/>
      <c r="N200" s="43" t="s">
        <v>72</v>
      </c>
      <c r="O200" s="43" t="s">
        <v>73</v>
      </c>
      <c r="P200" s="43" t="s">
        <v>74</v>
      </c>
      <c r="Q200" s="43" t="s">
        <v>75</v>
      </c>
      <c r="R200" s="43" t="s">
        <v>76</v>
      </c>
      <c r="S200" s="42"/>
      <c r="T200" s="42"/>
    </row>
    <row r="201" spans="1:20" x14ac:dyDescent="0.25">
      <c r="A201" s="31" t="s">
        <v>146</v>
      </c>
      <c r="B201" s="25">
        <v>277.66990291262135</v>
      </c>
      <c r="C201" s="25">
        <v>135.50724637681157</v>
      </c>
      <c r="D201" s="25">
        <v>307.59835154793296</v>
      </c>
      <c r="E201" s="22"/>
      <c r="F201" s="2" t="s">
        <v>77</v>
      </c>
      <c r="G201" s="2">
        <v>7</v>
      </c>
      <c r="H201" s="2">
        <v>30.509570328371638</v>
      </c>
      <c r="I201" s="2">
        <v>4.3585100469102338</v>
      </c>
      <c r="J201" s="2">
        <v>4.8344255449720395</v>
      </c>
      <c r="K201" s="2"/>
      <c r="L201" s="2"/>
      <c r="M201" s="22"/>
      <c r="N201" s="42" t="s">
        <v>77</v>
      </c>
      <c r="O201" s="42">
        <v>7</v>
      </c>
      <c r="P201" s="42">
        <v>1893.2498119791678</v>
      </c>
      <c r="Q201" s="42">
        <v>270.46425885416681</v>
      </c>
      <c r="R201" s="42">
        <v>26.997137012159069</v>
      </c>
      <c r="S201" s="42"/>
      <c r="T201" s="42"/>
    </row>
    <row r="202" spans="1:20" x14ac:dyDescent="0.25">
      <c r="A202" s="31" t="s">
        <v>147</v>
      </c>
      <c r="B202" s="25">
        <v>274.45830597504926</v>
      </c>
      <c r="C202" s="25">
        <v>169.14682539682539</v>
      </c>
      <c r="D202" s="25">
        <v>294.37148821354742</v>
      </c>
      <c r="E202" s="22"/>
      <c r="F202" s="2" t="s">
        <v>78</v>
      </c>
      <c r="G202" s="2">
        <v>7</v>
      </c>
      <c r="H202" s="2">
        <v>61.153947570994916</v>
      </c>
      <c r="I202" s="2">
        <v>8.7362782244278456</v>
      </c>
      <c r="J202" s="2">
        <v>47.734499072789674</v>
      </c>
      <c r="K202" s="2"/>
      <c r="L202" s="2"/>
      <c r="M202" s="22"/>
      <c r="N202" s="42" t="s">
        <v>78</v>
      </c>
      <c r="O202" s="42">
        <v>7</v>
      </c>
      <c r="P202" s="42">
        <v>1102.9749873702494</v>
      </c>
      <c r="Q202" s="42">
        <v>157.56785533860707</v>
      </c>
      <c r="R202" s="42">
        <v>136.77748248983718</v>
      </c>
      <c r="S202" s="42"/>
      <c r="T202" s="42"/>
    </row>
    <row r="203" spans="1:20" ht="15.75" thickBot="1" x14ac:dyDescent="0.3">
      <c r="A203" s="31" t="s">
        <v>148</v>
      </c>
      <c r="B203" s="25">
        <v>265.55411535968898</v>
      </c>
      <c r="C203" s="25">
        <v>149.05149051490511</v>
      </c>
      <c r="D203" s="25">
        <v>302.20190573879961</v>
      </c>
      <c r="E203" s="22"/>
      <c r="F203" s="34" t="s">
        <v>79</v>
      </c>
      <c r="G203" s="34">
        <v>7</v>
      </c>
      <c r="H203" s="34">
        <v>42.637446190932167</v>
      </c>
      <c r="I203" s="34">
        <v>6.0910637415617384</v>
      </c>
      <c r="J203" s="34">
        <v>7.9457301540217982</v>
      </c>
      <c r="K203" s="2"/>
      <c r="L203" s="2"/>
      <c r="M203" s="22"/>
      <c r="N203" s="44" t="s">
        <v>79</v>
      </c>
      <c r="O203" s="44">
        <v>7</v>
      </c>
      <c r="P203" s="44">
        <v>2104.6347356535675</v>
      </c>
      <c r="Q203" s="44">
        <v>300.66210509336679</v>
      </c>
      <c r="R203" s="44">
        <v>51.230297241751224</v>
      </c>
      <c r="S203" s="42"/>
      <c r="T203" s="42"/>
    </row>
    <row r="204" spans="1:20" x14ac:dyDescent="0.25">
      <c r="A204" s="22"/>
      <c r="B204" s="22"/>
      <c r="C204" s="22"/>
      <c r="D204" s="22"/>
      <c r="E204" s="22"/>
      <c r="F204" s="2"/>
      <c r="G204" s="2"/>
      <c r="H204" s="2"/>
      <c r="I204" s="2"/>
      <c r="J204" s="2"/>
      <c r="K204" s="2"/>
      <c r="L204" s="2"/>
      <c r="M204" s="22"/>
      <c r="N204" s="42"/>
      <c r="O204" s="42"/>
      <c r="P204" s="42"/>
      <c r="Q204" s="42"/>
      <c r="R204" s="42"/>
      <c r="S204" s="42"/>
      <c r="T204" s="42"/>
    </row>
    <row r="205" spans="1:20" x14ac:dyDescent="0.25">
      <c r="A205" s="29" t="s">
        <v>30</v>
      </c>
      <c r="B205" s="29">
        <f>AVERAGE(B197:B203)</f>
        <v>270.46425885416681</v>
      </c>
      <c r="C205" s="29">
        <f t="shared" ref="C205:D205" si="34">AVERAGE(C197:C203)</f>
        <v>157.56785533860707</v>
      </c>
      <c r="D205" s="29">
        <f t="shared" si="34"/>
        <v>300.66210509336679</v>
      </c>
      <c r="E205" s="22"/>
      <c r="F205" s="2"/>
      <c r="G205" s="2"/>
      <c r="H205" s="2"/>
      <c r="I205" s="2"/>
      <c r="J205" s="2"/>
      <c r="K205" s="2"/>
      <c r="L205" s="2"/>
      <c r="M205" s="22"/>
      <c r="N205" s="42"/>
      <c r="O205" s="42"/>
      <c r="P205" s="42"/>
      <c r="Q205" s="42"/>
      <c r="R205" s="42"/>
      <c r="S205" s="42"/>
      <c r="T205" s="42"/>
    </row>
    <row r="206" spans="1:20" ht="15.75" thickBot="1" x14ac:dyDescent="0.3">
      <c r="A206" s="29"/>
      <c r="B206" s="85" t="s">
        <v>101</v>
      </c>
      <c r="C206" s="85"/>
      <c r="D206" s="85"/>
      <c r="E206" s="22"/>
      <c r="F206" s="2" t="s">
        <v>80</v>
      </c>
      <c r="G206" s="2"/>
      <c r="H206" s="2"/>
      <c r="I206" s="2"/>
      <c r="J206" s="2"/>
      <c r="K206" s="2"/>
      <c r="L206" s="2"/>
      <c r="M206" s="22"/>
      <c r="N206" s="42" t="s">
        <v>80</v>
      </c>
      <c r="O206" s="42"/>
      <c r="P206" s="42"/>
      <c r="Q206" s="42"/>
      <c r="R206" s="42"/>
      <c r="S206" s="42"/>
      <c r="T206" s="42"/>
    </row>
    <row r="207" spans="1:20" x14ac:dyDescent="0.25">
      <c r="A207" s="22"/>
      <c r="B207" s="23" t="s">
        <v>67</v>
      </c>
      <c r="C207" s="23" t="s">
        <v>68</v>
      </c>
      <c r="D207" s="23" t="s">
        <v>69</v>
      </c>
      <c r="E207" s="22"/>
      <c r="F207" s="33" t="s">
        <v>81</v>
      </c>
      <c r="G207" s="33" t="s">
        <v>82</v>
      </c>
      <c r="H207" s="33" t="s">
        <v>83</v>
      </c>
      <c r="I207" s="33" t="s">
        <v>84</v>
      </c>
      <c r="J207" s="33" t="s">
        <v>85</v>
      </c>
      <c r="K207" s="33" t="s">
        <v>86</v>
      </c>
      <c r="L207" s="33" t="s">
        <v>87</v>
      </c>
      <c r="M207" s="22"/>
      <c r="N207" s="43" t="s">
        <v>81</v>
      </c>
      <c r="O207" s="43" t="s">
        <v>82</v>
      </c>
      <c r="P207" s="43" t="s">
        <v>83</v>
      </c>
      <c r="Q207" s="43" t="s">
        <v>84</v>
      </c>
      <c r="R207" s="43" t="s">
        <v>85</v>
      </c>
      <c r="S207" s="43" t="s">
        <v>86</v>
      </c>
      <c r="T207" s="43" t="s">
        <v>87</v>
      </c>
    </row>
    <row r="208" spans="1:20" x14ac:dyDescent="0.25">
      <c r="A208" s="31" t="s">
        <v>142</v>
      </c>
      <c r="B208" s="25">
        <f>ABS(B197-B$205)</f>
        <v>6.7656287171805047</v>
      </c>
      <c r="C208" s="25">
        <f t="shared" ref="C208:D208" si="35">ABS(C197-C$205)</f>
        <v>8.4024324979760365</v>
      </c>
      <c r="D208" s="25">
        <f t="shared" si="35"/>
        <v>7.7645225674572202</v>
      </c>
      <c r="E208" s="22"/>
      <c r="F208" s="2" t="s">
        <v>88</v>
      </c>
      <c r="G208" s="2">
        <v>68.048764423035891</v>
      </c>
      <c r="H208" s="2">
        <v>2</v>
      </c>
      <c r="I208" s="2">
        <v>34.024382211517946</v>
      </c>
      <c r="J208" s="2">
        <v>1.6867508708344818</v>
      </c>
      <c r="K208" s="2">
        <v>0.21309409620189373</v>
      </c>
      <c r="L208" s="2">
        <v>3.5545571456617879</v>
      </c>
      <c r="M208" s="22"/>
      <c r="N208" s="42" t="s">
        <v>88</v>
      </c>
      <c r="O208" s="42">
        <v>79644.768366594697</v>
      </c>
      <c r="P208" s="42">
        <v>2</v>
      </c>
      <c r="Q208" s="42">
        <v>39822.384183297348</v>
      </c>
      <c r="R208" s="42">
        <v>555.64846776168554</v>
      </c>
      <c r="S208" s="42">
        <v>6.6401700154415498E-17</v>
      </c>
      <c r="T208" s="42">
        <v>3.5545571456617879</v>
      </c>
    </row>
    <row r="209" spans="1:20" x14ac:dyDescent="0.25">
      <c r="A209" s="31" t="s">
        <v>143</v>
      </c>
      <c r="B209" s="25">
        <f t="shared" ref="B209:D209" si="36">ABS(B198-B$205)</f>
        <v>3.5790129525274779</v>
      </c>
      <c r="C209" s="25">
        <f t="shared" si="36"/>
        <v>1.9321446613929254</v>
      </c>
      <c r="D209" s="25">
        <f t="shared" si="36"/>
        <v>4.4866796040794839</v>
      </c>
      <c r="E209" s="22"/>
      <c r="F209" s="2" t="s">
        <v>89</v>
      </c>
      <c r="G209" s="2">
        <v>363.08792863070096</v>
      </c>
      <c r="H209" s="2">
        <v>18</v>
      </c>
      <c r="I209" s="2">
        <v>20.171551590594497</v>
      </c>
      <c r="J209" s="2"/>
      <c r="K209" s="2"/>
      <c r="L209" s="2"/>
      <c r="M209" s="22"/>
      <c r="N209" s="42" t="s">
        <v>89</v>
      </c>
      <c r="O209" s="42">
        <v>1290.0295004624847</v>
      </c>
      <c r="P209" s="42">
        <v>18</v>
      </c>
      <c r="Q209" s="42">
        <v>71.668305581249157</v>
      </c>
      <c r="R209" s="42"/>
      <c r="S209" s="42"/>
      <c r="T209" s="42"/>
    </row>
    <row r="210" spans="1:20" x14ac:dyDescent="0.25">
      <c r="A210" s="31" t="s">
        <v>144</v>
      </c>
      <c r="B210" s="25">
        <f t="shared" ref="B210:D210" si="37">ABS(B199-B$205)</f>
        <v>3.2913972544304215</v>
      </c>
      <c r="C210" s="25">
        <f t="shared" si="37"/>
        <v>7.1184564484651673</v>
      </c>
      <c r="D210" s="25">
        <f t="shared" si="37"/>
        <v>5.0781534280098413</v>
      </c>
      <c r="E210" s="22"/>
      <c r="F210" s="2"/>
      <c r="G210" s="2"/>
      <c r="H210" s="2"/>
      <c r="I210" s="2"/>
      <c r="J210" s="2"/>
      <c r="K210" s="2"/>
      <c r="L210" s="2"/>
      <c r="M210" s="22"/>
      <c r="N210" s="42"/>
      <c r="O210" s="42"/>
      <c r="P210" s="42"/>
      <c r="Q210" s="42"/>
      <c r="R210" s="42"/>
      <c r="S210" s="42"/>
      <c r="T210" s="42"/>
    </row>
    <row r="211" spans="1:20" ht="15.75" thickBot="1" x14ac:dyDescent="0.3">
      <c r="A211" s="31" t="s">
        <v>145</v>
      </c>
      <c r="B211" s="25">
        <f t="shared" ref="B211:D211" si="38">ABS(B200-B$205)</f>
        <v>0.76369673041841679</v>
      </c>
      <c r="C211" s="25">
        <f t="shared" si="38"/>
        <v>1.5449701194449972</v>
      </c>
      <c r="D211" s="25">
        <f t="shared" si="38"/>
        <v>10.54142661156726</v>
      </c>
      <c r="E211" s="22"/>
      <c r="F211" s="34" t="s">
        <v>90</v>
      </c>
      <c r="G211" s="34">
        <v>431.13669305373685</v>
      </c>
      <c r="H211" s="34">
        <v>20</v>
      </c>
      <c r="I211" s="34"/>
      <c r="J211" s="34"/>
      <c r="K211" s="34"/>
      <c r="L211" s="34"/>
      <c r="M211" s="22"/>
      <c r="N211" s="44" t="s">
        <v>90</v>
      </c>
      <c r="O211" s="44">
        <v>80934.797867057176</v>
      </c>
      <c r="P211" s="44">
        <v>20</v>
      </c>
      <c r="Q211" s="44"/>
      <c r="R211" s="44"/>
      <c r="S211" s="44"/>
      <c r="T211" s="44"/>
    </row>
    <row r="212" spans="1:20" x14ac:dyDescent="0.25">
      <c r="A212" s="31" t="s">
        <v>146</v>
      </c>
      <c r="B212" s="25">
        <f t="shared" ref="B212:D212" si="39">ABS(B201-B$205)</f>
        <v>7.2056440584545385</v>
      </c>
      <c r="C212" s="25">
        <f t="shared" si="39"/>
        <v>22.060608961795509</v>
      </c>
      <c r="D212" s="25">
        <f t="shared" si="39"/>
        <v>6.9362464545661737</v>
      </c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</row>
    <row r="213" spans="1:20" x14ac:dyDescent="0.25">
      <c r="A213" s="31" t="s">
        <v>147</v>
      </c>
      <c r="B213" s="25">
        <f t="shared" ref="B213:D213" si="40">ABS(B202-B$205)</f>
        <v>3.994047120882442</v>
      </c>
      <c r="C213" s="25">
        <f t="shared" si="40"/>
        <v>11.578970058218317</v>
      </c>
      <c r="D213" s="25">
        <f t="shared" si="40"/>
        <v>6.2906168798193676</v>
      </c>
      <c r="E213" s="22"/>
      <c r="F213" s="97" t="s">
        <v>91</v>
      </c>
      <c r="G213" s="98">
        <f>3.61*SQRT(Q209/7)</f>
        <v>11.551057621122201</v>
      </c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</row>
    <row r="214" spans="1:20" x14ac:dyDescent="0.25">
      <c r="A214" s="31" t="s">
        <v>148</v>
      </c>
      <c r="B214" s="25">
        <f t="shared" ref="B214:D214" si="41">ABS(B203-B$205)</f>
        <v>4.9101434944778362</v>
      </c>
      <c r="C214" s="25">
        <f t="shared" si="41"/>
        <v>8.5163648237019629</v>
      </c>
      <c r="D214" s="25">
        <f t="shared" si="41"/>
        <v>1.5398006454328197</v>
      </c>
      <c r="E214" s="22"/>
      <c r="F214" s="98" t="s">
        <v>92</v>
      </c>
      <c r="G214" s="98" t="str">
        <f>IF(ABS(Q201-Q202)&gt;G213, "true", "false")</f>
        <v>true</v>
      </c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</row>
    <row r="215" spans="1:20" x14ac:dyDescent="0.25">
      <c r="A215" s="22"/>
      <c r="B215" s="22"/>
      <c r="C215" s="22"/>
      <c r="D215" s="22"/>
      <c r="E215" s="22"/>
      <c r="F215" s="98" t="s">
        <v>93</v>
      </c>
      <c r="G215" s="98" t="str">
        <f>IF(ABS(Q201-Q203)&gt;G213, "true", "false")</f>
        <v>true</v>
      </c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</row>
    <row r="216" spans="1:20" x14ac:dyDescent="0.25">
      <c r="A216" s="22"/>
      <c r="B216" s="22"/>
      <c r="C216" s="22"/>
      <c r="D216" s="22"/>
      <c r="E216" s="22"/>
      <c r="F216" s="98" t="s">
        <v>94</v>
      </c>
      <c r="G216" s="98" t="str">
        <f>IF(ABS(Q202-Q203)&gt;G213, "true", "false")</f>
        <v>true</v>
      </c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</row>
    <row r="217" spans="1:20" x14ac:dyDescent="0.25">
      <c r="A217" s="22"/>
      <c r="B217" s="22"/>
      <c r="C217" s="22"/>
      <c r="D217" s="22"/>
      <c r="E217" s="22"/>
      <c r="F217" s="29" t="s">
        <v>4</v>
      </c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</row>
    <row r="218" spans="1:20" x14ac:dyDescent="0.25">
      <c r="A218" s="22"/>
      <c r="B218" s="22"/>
      <c r="C218" s="22"/>
      <c r="D218" s="22"/>
      <c r="E218" s="22"/>
      <c r="F218" s="25" t="s">
        <v>91</v>
      </c>
      <c r="G218" s="25">
        <f>3.61*SQRT(Q209/7)</f>
        <v>11.551057621122201</v>
      </c>
      <c r="H218" s="25" t="s">
        <v>95</v>
      </c>
      <c r="I218" s="25" t="s">
        <v>96</v>
      </c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</row>
    <row r="219" spans="1:20" x14ac:dyDescent="0.25">
      <c r="A219" s="22"/>
      <c r="B219" s="22"/>
      <c r="C219" s="22"/>
      <c r="D219" s="22"/>
      <c r="E219" s="22"/>
      <c r="F219" s="25" t="s">
        <v>97</v>
      </c>
      <c r="G219" s="25">
        <f>Q201-Q202</f>
        <v>112.89640351555974</v>
      </c>
      <c r="H219" s="13">
        <v>11.551057621122201</v>
      </c>
      <c r="I219" s="13">
        <v>11.551057621122201</v>
      </c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</row>
    <row r="220" spans="1:20" x14ac:dyDescent="0.25">
      <c r="A220" s="22"/>
      <c r="B220" s="22"/>
      <c r="C220" s="22"/>
      <c r="D220" s="22"/>
      <c r="E220" s="22"/>
      <c r="F220" s="25" t="s">
        <v>98</v>
      </c>
      <c r="G220" s="25">
        <f>Q201-Q203</f>
        <v>-30.197846239199976</v>
      </c>
      <c r="H220" s="13">
        <v>11.551057621122201</v>
      </c>
      <c r="I220" s="13">
        <v>11.551057621122201</v>
      </c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</row>
    <row r="221" spans="1:20" x14ac:dyDescent="0.25">
      <c r="A221" s="22"/>
      <c r="B221" s="22"/>
      <c r="C221" s="22"/>
      <c r="D221" s="22"/>
      <c r="E221" s="22"/>
      <c r="F221" s="25" t="s">
        <v>99</v>
      </c>
      <c r="G221" s="25">
        <f>Q202-Q203</f>
        <v>-143.09424975475972</v>
      </c>
      <c r="H221" s="13">
        <v>11.551057621122201</v>
      </c>
      <c r="I221" s="13">
        <v>11.551057621122201</v>
      </c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</row>
  </sheetData>
  <mergeCells count="21">
    <mergeCell ref="A1:T1"/>
    <mergeCell ref="B119:D119"/>
    <mergeCell ref="B130:D130"/>
    <mergeCell ref="A156:T157"/>
    <mergeCell ref="B158:D158"/>
    <mergeCell ref="B43:D43"/>
    <mergeCell ref="B54:D54"/>
    <mergeCell ref="A80:T81"/>
    <mergeCell ref="B82:D82"/>
    <mergeCell ref="B93:D93"/>
    <mergeCell ref="A2:T3"/>
    <mergeCell ref="B4:D4"/>
    <mergeCell ref="F4:L4"/>
    <mergeCell ref="N4:T4"/>
    <mergeCell ref="B15:D15"/>
    <mergeCell ref="B195:D195"/>
    <mergeCell ref="B206:D206"/>
    <mergeCell ref="A193:T194"/>
    <mergeCell ref="A117:T118"/>
    <mergeCell ref="A41:T42"/>
    <mergeCell ref="B169:D169"/>
  </mergeCells>
  <phoneticPr fontId="8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Evaluation of Digestion Methods</vt:lpstr>
      <vt:lpstr>Bulk -Z score and Recovery</vt:lpstr>
      <vt:lpstr>Shapiro-Wilk Bulk Sample</vt:lpstr>
      <vt:lpstr>Bulk Samples - ANOVA</vt:lpstr>
      <vt:lpstr>Conc -Z score and Recovery </vt:lpstr>
      <vt:lpstr>Shapiro-Wilk Concentrate Sample</vt:lpstr>
      <vt:lpstr>Concentrate Samples - ANOVA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 zaben</dc:creator>
  <cp:lastModifiedBy>alaa zaben</cp:lastModifiedBy>
  <dcterms:created xsi:type="dcterms:W3CDTF">2015-06-05T18:17:20Z</dcterms:created>
  <dcterms:modified xsi:type="dcterms:W3CDTF">2026-04-09T08:46:12Z</dcterms:modified>
</cp:coreProperties>
</file>